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<sst xmlns="http://schemas.openxmlformats.org/spreadsheetml/2006/main" uniqueCount="25899">
  <si>
    <t>Program</t>
  </si>
  <si>
    <t>Batch</t>
  </si>
  <si>
    <t>Roll Number</t>
  </si>
  <si>
    <t>First Name</t>
  </si>
  <si>
    <t>Middle Name</t>
  </si>
  <si>
    <t>Last Name</t>
  </si>
  <si>
    <t>Name</t>
  </si>
  <si>
    <t>E-mail Address</t>
  </si>
  <si>
    <t>Campus E-mail Address</t>
  </si>
  <si>
    <t>Mobile</t>
  </si>
  <si>
    <t>Gender</t>
  </si>
  <si>
    <t>DOB</t>
  </si>
  <si>
    <t>Marital Status</t>
  </si>
  <si>
    <t>Language</t>
  </si>
  <si>
    <t>Hobby</t>
  </si>
  <si>
    <t>Blood Group</t>
  </si>
  <si>
    <t>Aadhar Nubmer</t>
  </si>
  <si>
    <t>Father</t>
  </si>
  <si>
    <t>Father Mobile</t>
  </si>
  <si>
    <t>Father Occupation</t>
  </si>
  <si>
    <t>Mother</t>
  </si>
  <si>
    <t>Mother Mobile</t>
  </si>
  <si>
    <t>Mother Occupation</t>
  </si>
  <si>
    <t>Address</t>
  </si>
  <si>
    <t>City</t>
  </si>
  <si>
    <t>State</t>
  </si>
  <si>
    <t>Correspondence Address</t>
  </si>
  <si>
    <t>Correspondence City</t>
  </si>
  <si>
    <t>Correspondence State</t>
  </si>
  <si>
    <t>Current CGPA</t>
  </si>
  <si>
    <t>Backlog</t>
  </si>
  <si>
    <t>SSC School</t>
  </si>
  <si>
    <t>SSC Board</t>
  </si>
  <si>
    <t>SSC Joining Date</t>
  </si>
  <si>
    <t>SSC Passing Date</t>
  </si>
  <si>
    <t>SSC Marks</t>
  </si>
  <si>
    <t>SSC CGPA</t>
  </si>
  <si>
    <t>HSC School</t>
  </si>
  <si>
    <t>HSC Board</t>
  </si>
  <si>
    <t>HSC Joining Date</t>
  </si>
  <si>
    <t>HSC Passing Date</t>
  </si>
  <si>
    <t>HSC Marks</t>
  </si>
  <si>
    <t>HSC CGPA</t>
  </si>
  <si>
    <t>Diploma</t>
  </si>
  <si>
    <t>Diploma College</t>
  </si>
  <si>
    <t>Diploma Joining Date</t>
  </si>
  <si>
    <t>Diploma Passing Date</t>
  </si>
  <si>
    <t>Diploma Marks</t>
  </si>
  <si>
    <t>Diploma CGPA</t>
  </si>
  <si>
    <t>Graduation University</t>
  </si>
  <si>
    <t>Graduation College</t>
  </si>
  <si>
    <t>Graduation Joining Date</t>
  </si>
  <si>
    <t>Graduation Passing Date</t>
  </si>
  <si>
    <t>Graduation Marks</t>
  </si>
  <si>
    <t>Graduation CGPA</t>
  </si>
  <si>
    <t>Post Graduation University</t>
  </si>
  <si>
    <t>Post Graduation College</t>
  </si>
  <si>
    <t>Post Graduation Joining Date</t>
  </si>
  <si>
    <t>Post Graduation Passing Date</t>
  </si>
  <si>
    <t>Post Graduation Marks</t>
  </si>
  <si>
    <t>Post Graduation CGPA</t>
  </si>
  <si>
    <t>Technical Skills</t>
  </si>
  <si>
    <t>Work Experience</t>
  </si>
  <si>
    <t>Total Experience</t>
  </si>
  <si>
    <t>Project / Internship Detail</t>
  </si>
  <si>
    <t>Total(weeks)</t>
  </si>
  <si>
    <t>Certifications Details(if any)</t>
  </si>
  <si>
    <t>Profile Picture</t>
  </si>
  <si>
    <t>Intern Counter</t>
  </si>
  <si>
    <t>Job Counter</t>
  </si>
  <si>
    <t>MBA-ACM</t>
  </si>
  <si>
    <t>2024-2026</t>
  </si>
  <si>
    <t>P24700049</t>
  </si>
  <si>
    <t>AASHIRWAD</t>
  </si>
  <si>
    <t>ASHOKRAO</t>
  </si>
  <si>
    <t>GHUGE</t>
  </si>
  <si>
    <t>Aashirwad Ashokrao Ghuge</t>
  </si>
  <si>
    <t>aashirwadghuge@gmail.com</t>
  </si>
  <si>
    <t>p24700049@student.nicmar.ac.in</t>
  </si>
  <si>
    <t>Male</t>
  </si>
  <si>
    <t>23-Jan-2000</t>
  </si>
  <si>
    <t>Single</t>
  </si>
  <si>
    <t>ENGLISH,HINDI</t>
  </si>
  <si>
    <t>Music</t>
  </si>
  <si>
    <t>A+</t>
  </si>
  <si>
    <t>9657 8471 4368</t>
  </si>
  <si>
    <t>ASHOKRAO GHUGE</t>
  </si>
  <si>
    <t>CIVIL ENGINEER</t>
  </si>
  <si>
    <t>ANJALI GHUGE</t>
  </si>
  <si>
    <t>HOMEMAKER</t>
  </si>
  <si>
    <t>Sector G-22,N-4 Cidco, Near High Court, Chhatrapati Sambhajinagar</t>
  </si>
  <si>
    <t>Aurangabad</t>
  </si>
  <si>
    <t>Maharashtra</t>
  </si>
  <si>
    <t>NA</t>
  </si>
  <si>
    <t>NIRMALA CONVENT HIGH SCHOOL</t>
  </si>
  <si>
    <t>S.S.C BOARD FROM NASHIK/MAHARASHTRA</t>
  </si>
  <si>
    <t>2014-Jun</t>
  </si>
  <si>
    <t>2015-Mar</t>
  </si>
  <si>
    <t>DIPLOMA IN CIVIL ENGINEERING</t>
  </si>
  <si>
    <t xml:space="preserve">MGMS POLYTECHNIC FROM AURANGABAD/MAHARASHTRA </t>
  </si>
  <si>
    <t>2015-Aug</t>
  </si>
  <si>
    <t>2018-Jun</t>
  </si>
  <si>
    <t>DR. BABASAHEB AMBEDKAR TECHNOLOGICAL UNIVERSITY</t>
  </si>
  <si>
    <t xml:space="preserve">SHREEYASH COLLEGE OF ENGINEERING AND TECHNOLOGY FROM AURANGABAD/MAHARASHTRA </t>
  </si>
  <si>
    <t>2019-Sep</t>
  </si>
  <si>
    <t>2022-Aug</t>
  </si>
  <si>
    <t>AutoCAD,MS-Office,Ms-Project,AutoCAD3D,Revit Architecture</t>
  </si>
  <si>
    <t>AJAY PARSHURAM PATHRUT  | TRAINEE ENGINEER | AURANGABAD (CHHATRAPATI SAMBHAJINAGAR)  | Jun 2022 | Jul 2022 | 4.1428571428571 Weeks
ECONSTRUCT DESIGN &amp; BUILD PVT. LTD. | BIM AND PROJECT MANAGEMENT  | BANGALORE  | May 2025 | Jul 2025 | 8.5714285714286 Weeks</t>
  </si>
  <si>
    <t>Project Planning using Microsoft Project
NPTEL Online Certification
Quantity Surveying and Project Billing using MS-Excel
Radhai Organic and Agri Equipments
Champions of Behavioural Science
Klystron 2k17
Revit Architecture
AutoCAD 3D
AutoCAD</t>
  </si>
  <si>
    <t>P24700084</t>
  </si>
  <si>
    <t>VISHNU</t>
  </si>
  <si>
    <t>S</t>
  </si>
  <si>
    <t>NAIR</t>
  </si>
  <si>
    <t>Vishnu S Nair</t>
  </si>
  <si>
    <t>p24700084@student.nicmar.ac.in</t>
  </si>
  <si>
    <t>02-Aug-1997</t>
  </si>
  <si>
    <t>ENGLISH,HINDI,MALAYALAM</t>
  </si>
  <si>
    <t>B+</t>
  </si>
  <si>
    <t>2980 3516 6556</t>
  </si>
  <si>
    <t>SADANANDAN KK</t>
  </si>
  <si>
    <t>RETIRED</t>
  </si>
  <si>
    <t>AJITHA P</t>
  </si>
  <si>
    <t>TEACHER</t>
  </si>
  <si>
    <t>Sreesadanam Pariyarakkal Kavanoor P.o</t>
  </si>
  <si>
    <t>Malappuram</t>
  </si>
  <si>
    <t>Kerala</t>
  </si>
  <si>
    <t>AIRPORT SENIOR SECONDARY SCHOOL</t>
  </si>
  <si>
    <t>MALAPPURAM</t>
  </si>
  <si>
    <t>2012-Jun</t>
  </si>
  <si>
    <t>2013-May</t>
  </si>
  <si>
    <t>2014-Jul</t>
  </si>
  <si>
    <t>2015-May</t>
  </si>
  <si>
    <t>APJ ABDUL KALAM TECHNOLOGICAL UNIVERSITY</t>
  </si>
  <si>
    <t>KOLLAM</t>
  </si>
  <si>
    <t>2016-Aug</t>
  </si>
  <si>
    <t>2021-Nov</t>
  </si>
  <si>
    <t>ms office,others</t>
  </si>
  <si>
    <t>Tron Digital | Marketing Strategist | Kerala | Aug 2023 | Jul 2024 | 0Y 11M
BYJU | Associate - Business Development | BANGLORE | Apr 2023 | Jul 2023 | 0Y 3M | 5
Ahalia Group | GRE | Abu dhabi | Dec 2020 | Sep 2022 | 1Y 9M | 9.6</t>
  </si>
  <si>
    <t>3 Years 0 Months</t>
  </si>
  <si>
    <t>KALPATARU PROJECTS INTERNATIONAL LIMITED | CONTRACTS AND PLANNING INTERN | MUMBAI | May 2025 | Jul 2025 | 8.7142857142857 Weeks</t>
  </si>
  <si>
    <t>Microsoft Excel
Marketing Management
Microsoft project
Advanced planning and scheduling with primavera
Lean Six sigma certification
Power BI
Business analytics with excel</t>
  </si>
  <si>
    <t>P24700184</t>
  </si>
  <si>
    <t>MANE</t>
  </si>
  <si>
    <t>AISHWARYA</t>
  </si>
  <si>
    <t>RAVINDRA</t>
  </si>
  <si>
    <t>Mane Aishwarya Ravindra</t>
  </si>
  <si>
    <t>aishwaryamane2905@gmail.com</t>
  </si>
  <si>
    <t>p24700184@student.nicmar.ac.in</t>
  </si>
  <si>
    <t>Female</t>
  </si>
  <si>
    <t>29-May-2000</t>
  </si>
  <si>
    <t>Married</t>
  </si>
  <si>
    <t>ENGLISH, HINDI,MARATHI</t>
  </si>
  <si>
    <t>Reading</t>
  </si>
  <si>
    <t>8641 3799 0401</t>
  </si>
  <si>
    <t>FARMER</t>
  </si>
  <si>
    <t>ANURADHA</t>
  </si>
  <si>
    <t>HOUSEWIFE</t>
  </si>
  <si>
    <t>At-Kanhergaon, Post-Akole (khu), Tal-Madha, Dist-Solapur</t>
  </si>
  <si>
    <t>Solapur</t>
  </si>
  <si>
    <t>NEW ENGLISH SCHOOL, TEMBHURNI</t>
  </si>
  <si>
    <t>MAHARASHTRA STATE BOARD OF SECONDARY AND HIGHER SECONDARY EDUCATION, PUNE</t>
  </si>
  <si>
    <t>2015-Jun</t>
  </si>
  <si>
    <t>2016-Jun</t>
  </si>
  <si>
    <t>ORCHID JUNIOR COLLEGE, SOLAPUR</t>
  </si>
  <si>
    <t xml:space="preserve">MAHARASHTRA STATE BOARD OF SECONDARY AND HIGHER SECONDARY PUNE, </t>
  </si>
  <si>
    <t>2017-Jun</t>
  </si>
  <si>
    <t>2018-May</t>
  </si>
  <si>
    <t xml:space="preserve">CIVIL </t>
  </si>
  <si>
    <t xml:space="preserve">SHRIRAM INSTITUTE OF ENGINEERING AND TECHNOLOGY (POLY), PANIV. </t>
  </si>
  <si>
    <t>2018-Jul</t>
  </si>
  <si>
    <t>2020-Nov</t>
  </si>
  <si>
    <t>PUNYASHLOK AHILYADEVI HOLAKAR UNIVERSITY, SOLAPUR</t>
  </si>
  <si>
    <t>SHRI VITHAL EDUCATION AND RESEARCH INSTITUTE, COLLEGE OF ENGINEERING, PANDHARPUR</t>
  </si>
  <si>
    <t>2020-Jul</t>
  </si>
  <si>
    <t>2023-Jul</t>
  </si>
  <si>
    <t>AutoCAD,MS Office,Other,REVIT</t>
  </si>
  <si>
    <t>Nyati Engineers &amp; Consultants Pvt. Ltd | I have worked on different type of activities such as planning, finishing, development, some part of MEP | Satara | May 2025 | Jul 2025 | 8.7142857142857 Weeks</t>
  </si>
  <si>
    <t>CCC</t>
  </si>
  <si>
    <t>P24700253</t>
  </si>
  <si>
    <t>KHUTALE</t>
  </si>
  <si>
    <t>JAYKUMAR</t>
  </si>
  <si>
    <t>PRAKASH</t>
  </si>
  <si>
    <t>Khutale Jaykumar Prakash</t>
  </si>
  <si>
    <t>p24700253@student.nicmar.ac.in</t>
  </si>
  <si>
    <t>07-Feb-2001</t>
  </si>
  <si>
    <t>Marathi,hindi,english</t>
  </si>
  <si>
    <t>Reading,Music</t>
  </si>
  <si>
    <t>6105 0905 6606</t>
  </si>
  <si>
    <t xml:space="preserve">PRAKASH MADHUKAR KHUTALE </t>
  </si>
  <si>
    <t>MEENA PRAKASH KHUTALE</t>
  </si>
  <si>
    <t xml:space="preserve">A/p- Khanote, Tal- Daund,  Dist- Pune </t>
  </si>
  <si>
    <t>Pune</t>
  </si>
  <si>
    <t xml:space="preserve">FLAT NO-2108, VTP-ALPINE, MAHALUNGE. </t>
  </si>
  <si>
    <t>BHAIRAVNATH VIDYALAYA BHIGWAN</t>
  </si>
  <si>
    <t>SSC MAHARASHTRA</t>
  </si>
  <si>
    <t>2017-Mar</t>
  </si>
  <si>
    <t>VIDYA PRATISHTHAN'S ARTS, SCIENCE &amp; COMMERCE COLLEGE, BARAMATI COLLEGE IN BARAMATI, MAHARASHTRA</t>
  </si>
  <si>
    <t>HSC MAHARASHTRA</t>
  </si>
  <si>
    <t>2019-Feb</t>
  </si>
  <si>
    <t xml:space="preserve">SAVITRIBAI PHULE PUNE UNIVERSITY </t>
  </si>
  <si>
    <t>SMT KASHIBAI NAVALE COLLEGE OF ARCHITECTURE PUNE MAHARASHTRA</t>
  </si>
  <si>
    <t>2019-Aug</t>
  </si>
  <si>
    <t>2024-Jun</t>
  </si>
  <si>
    <t>BEXCEL,Revit,Cost X,3D VISULIZATION</t>
  </si>
  <si>
    <t>Shitesh Agrawal Architects Pvt.Ltd | Intern (Trainee Architect) | Model Colony, Shivajinagar Pune | Jun 2023 | Dec 2023 | 24.285714285714 Weeks
Vanguard Ventures | Strategic Business Development (Sales intern) | Mumbai  | Mar 2025 | Jul 2025 | 16.142857142857 Weeks</t>
  </si>
  <si>
    <t>Participated in competition for designing day to day, interior/exterior spaces on 1ST APRIL, 2023 Geriatric Society Of India.- Pune Chapter
Completed short term course for Medical Architecture for the Elderly in collaboration with Geriatric Society of India in 2023-2024
Fold Unfold 2020- Annual Exhibition &amp; Workshop event on "Architecture &amp; Landscape Architecture"
Startup India- Completed Communication and Confidence Building Course
NPTEL-Ethics in Engineering Practice
Completed Architecture Software Course, by ArchTech Software Training Institute 2023-24
Successfully completed the Finlatics Start-Up Strategist Experience Program. 2025
Digital quality control workshop participation certificate
NPTEL Indian Economy: Some Contemporary Perspectives</t>
  </si>
  <si>
    <t>P24700397</t>
  </si>
  <si>
    <t>RUGVED</t>
  </si>
  <si>
    <t>KISHOR</t>
  </si>
  <si>
    <t>SHEREKAR</t>
  </si>
  <si>
    <t>Rugved Kishor Sherekar</t>
  </si>
  <si>
    <t>p24700397@student.nicmar.ac.in</t>
  </si>
  <si>
    <t>02-Apr-2001</t>
  </si>
  <si>
    <t>Marathi, English,Hindi</t>
  </si>
  <si>
    <t>O+</t>
  </si>
  <si>
    <t>4079 5890 1577</t>
  </si>
  <si>
    <t>GOVERNMENT SERVICE</t>
  </si>
  <si>
    <t>VANDANA</t>
  </si>
  <si>
    <t>Uday Colony No1, Sai Nagar, Amravati, Maharashtra.</t>
  </si>
  <si>
    <t>Amravati</t>
  </si>
  <si>
    <t>1107, B WING VARDHAMAN MOONSTONE, SR NO. 99, OPPOSITE TO JSPM COLLEGE, TATHWADE, PUNE, MAHARASHTRA</t>
  </si>
  <si>
    <t>SHRI SAMARTHA HIGHSCHOOL</t>
  </si>
  <si>
    <t>MAHARASHTRA STATE BOARD OF SECONDARY AND HIGHER SECONDARY EDUCATION , AMRAVATI.</t>
  </si>
  <si>
    <t>CIVIL AND RURAL ENGINEERING</t>
  </si>
  <si>
    <t>DR. PANJABRAO DESHMUKH POLYTECHNIC, AMRAVATI, MAHARASHTRA.</t>
  </si>
  <si>
    <t>2017-Aug</t>
  </si>
  <si>
    <t>SANT GADGE BABA AMRAVATI UNIVERSITY.</t>
  </si>
  <si>
    <t>PROF. RAM MEGHE INSTITUTE OF TECHNOLOGY AND RESEARCH, BADNERA, AMRAVATI, MAHARASHTRA</t>
  </si>
  <si>
    <t>2020-Dec</t>
  </si>
  <si>
    <t>2023-Jun</t>
  </si>
  <si>
    <t>AutoCAD, MS Office, MS Project,Primavera</t>
  </si>
  <si>
    <t>GIRISH NAGPURE &amp; ASSOCIATES | Engineer | Amravati | Jun 2023 | Jun 2024 | 55.428571428571 Weeks
CAD TECH Ltd. | Engineer | Amravati | Jul 2022 | Aug 2022 | 8.7142857142857 Weeks
BALAJI STRUCTURAL CONSULTANCY | Intern  | Amravati | Aug 2021 | Sep 2021 | 6.7142857142857 Weeks
Pune Metro Rail Corporation | Summer Intern | Pune | May 2025 | Jul 2025 | 8.5714285714286 Weeks</t>
  </si>
  <si>
    <t>AutoCAD (2D+3D)
MS-CIT</t>
  </si>
  <si>
    <t>P24700401</t>
  </si>
  <si>
    <t>ANAND</t>
  </si>
  <si>
    <t>LAXMAN</t>
  </si>
  <si>
    <t>PAWAR</t>
  </si>
  <si>
    <t>Anand Laxman Pawar</t>
  </si>
  <si>
    <t>anandpawar212@gmail.com</t>
  </si>
  <si>
    <t>p24700401@student.nicmar.ac.in</t>
  </si>
  <si>
    <t>22-Sep-1998</t>
  </si>
  <si>
    <t>ENGLISH, HINDI</t>
  </si>
  <si>
    <t>3507 8862 9217</t>
  </si>
  <si>
    <t>LAXMAN RAMHARI PAWAR</t>
  </si>
  <si>
    <t>KALPANA LAXMAN PAWAR</t>
  </si>
  <si>
    <t>At Post Loni Gurav Teh Khamgaon,Dist Buldhan-444303</t>
  </si>
  <si>
    <t>Buldhana</t>
  </si>
  <si>
    <t>NEW VISION ENGLISH HIGH SCHOOL, BALAPUR</t>
  </si>
  <si>
    <t>MAHARASHTRA STATE BOARD OF SECONDARY AND HIGHER SECONDARY BOARD PUNE</t>
  </si>
  <si>
    <t>2012-Jul</t>
  </si>
  <si>
    <t>DIPLOMA IN CIVIL AND RURAL ENGINEERING</t>
  </si>
  <si>
    <t>ACHARYA SHRIMANNARAYAN POLYTECHNIC PIPRI WARDHA</t>
  </si>
  <si>
    <t>2014-Aug</t>
  </si>
  <si>
    <t>UNIVERSITY OF MUMBAI</t>
  </si>
  <si>
    <t>PILLAI HOC COLLEGE OF ENGINEERING AND TECHNOLOGY RASAYANI, PANVEL</t>
  </si>
  <si>
    <t>AutoCAD,MS Office</t>
  </si>
  <si>
    <t>PRISM JOHNSON LIMITED | Sr Executive Assistant | Pune | Apr 2024 | Jul 2024 | 0Y 3M | 7.00
 NCC Limited | QA/QC Engineer | Mumbai | Nov 2022 | Apr 2024 | 1Y 5M | 5.05
HCC Limited | QA/QC Engineer | Maharashtra | Jul 2021 | Oct 2022 | 1Y 3M | 3.00</t>
  </si>
  <si>
    <t>Avia Construction Group Pvt Ltd | Civil Site Engineer | Amravati | Apr 2019 | May 2019 | 5.7142857142857 Weeks
CIDCO | Civil Site Engineer | Navi Mumbai | Jun 2019 | Jul 2019 | 2.8571428571429 Weeks
MILLENNIUM ENGINEERS &amp; CONTRACTORS PVT.LTD. | Planning | Pune | May 2025 | Jul 2025 | 8.7142857142857 Weeks</t>
  </si>
  <si>
    <t>AutoCAD
Primavera P6</t>
  </si>
  <si>
    <t>P24700528</t>
  </si>
  <si>
    <t>NEDURI</t>
  </si>
  <si>
    <t>NESSY</t>
  </si>
  <si>
    <t>CHAND</t>
  </si>
  <si>
    <t>Neduri Nessy Chand</t>
  </si>
  <si>
    <t>ncn.civilengineer@gmail.com</t>
  </si>
  <si>
    <t>p24700528@student.nicmar.ac.in</t>
  </si>
  <si>
    <t>04-Apr-2001</t>
  </si>
  <si>
    <t>English, Telugu</t>
  </si>
  <si>
    <t>Designing</t>
  </si>
  <si>
    <t>8793 8049 7489</t>
  </si>
  <si>
    <t>NEDURI RAJA RAO</t>
  </si>
  <si>
    <t>ADVOCATE</t>
  </si>
  <si>
    <t>NEDURI SUJATHA</t>
  </si>
  <si>
    <t>HOUSE WIFE</t>
  </si>
  <si>
    <t>D.NO 3-30,RAAVI CHETTU STREET, Z.MEDAPADU, MANDAPETA MANDAL.</t>
  </si>
  <si>
    <t>Konaseema</t>
  </si>
  <si>
    <t>Andhra Pradesh</t>
  </si>
  <si>
    <t>SRI CHAITANYA ENGLISH MEDIUM</t>
  </si>
  <si>
    <t>ANDHRAPRADESH BOARD</t>
  </si>
  <si>
    <t>2016-Apr</t>
  </si>
  <si>
    <t>SRI GAYATRI JUNIOR COLLEGE</t>
  </si>
  <si>
    <t>2018-Mar</t>
  </si>
  <si>
    <t>JAWAHARLAL NEHRU TECHNOLOGICAL UNIVERSITY</t>
  </si>
  <si>
    <t>SASI INSTITUTE OF TECHNOLOGY AND ENGINEERING</t>
  </si>
  <si>
    <t>2022-Jun</t>
  </si>
  <si>
    <t>AutoCAD,MS Office,MS Project,Primavera,Other,BIM</t>
  </si>
  <si>
    <t>A1 Projects | Site Engineer | Visakhapatnam | Apr 2023 | May 2024 | 1Y 1M | 2.04</t>
  </si>
  <si>
    <t>1 Year 1 Month</t>
  </si>
  <si>
    <t>MADHURI ENGINEERS AND CONSTRUCTIONS | QUALITY ENGINEER | PUNE | May 2025 | Jul 2025 | 8.7142857142857 Weeks</t>
  </si>
  <si>
    <t>Udemy ( Basics of Construction Methodology )
RS &amp; GIS</t>
  </si>
  <si>
    <t>P24700529</t>
  </si>
  <si>
    <t>AASHISH</t>
  </si>
  <si>
    <t>BHALERAO</t>
  </si>
  <si>
    <t>Aashish Bhalerao</t>
  </si>
  <si>
    <t>theashish0710@gmail.com</t>
  </si>
  <si>
    <t>p24700529@student.nicmar.ac.in</t>
  </si>
  <si>
    <t>05-Nov-2000</t>
  </si>
  <si>
    <t>MARATHI, HINDI</t>
  </si>
  <si>
    <t>3684 6338 5924</t>
  </si>
  <si>
    <t xml:space="preserve">SHESHARAJ </t>
  </si>
  <si>
    <t>PEON</t>
  </si>
  <si>
    <t>ANITA</t>
  </si>
  <si>
    <t xml:space="preserve">HOUSEWIFE </t>
  </si>
  <si>
    <t xml:space="preserve">At Post - Chinawal, Tal - Raver, Dist- Jalgaon, MH </t>
  </si>
  <si>
    <t>Jalgaon</t>
  </si>
  <si>
    <t xml:space="preserve">201, SINHGAD VRINDAVAN, NEAR SINHGAD LAW COLLEGE, WADGAON CAMPUS, PUNE, MH </t>
  </si>
  <si>
    <t xml:space="preserve">JAWAHAR NAVODAYA VIDYALAYA, JALGAON, MH </t>
  </si>
  <si>
    <t>CENTRAL BOARD OF SECONDARY EDUCATION</t>
  </si>
  <si>
    <t>2019-May</t>
  </si>
  <si>
    <t>SINHGAD COLLEGE OF ARCHITECTURE, PUNE, MH</t>
  </si>
  <si>
    <t>2019-Jul</t>
  </si>
  <si>
    <t>AutoCAD,MS Office,MS Project,Primavera,Other,SketchUp</t>
  </si>
  <si>
    <t>SMJ ARCHITECTS AND INTERIOR DESIGNERS | INTERN | KOTHRUD, PUNE | Jun 2023 | Dec 2023 | 25.142857142857 Weeks
N. V. RATHOD CIVIL ENGINEER &amp; GOVT CONTRACTOR | PLANNING INTERN | LATUR, MH | May 2025 | Jul 2025 | 8.7142857142857 Weeks</t>
  </si>
  <si>
    <t>P24700537</t>
  </si>
  <si>
    <t>BHUSHAN</t>
  </si>
  <si>
    <t>RAMDAS</t>
  </si>
  <si>
    <t>INGLE</t>
  </si>
  <si>
    <t>Bhushan Ramdas Ingle</t>
  </si>
  <si>
    <t>inglebhushan95@gmail.com</t>
  </si>
  <si>
    <t>p24700537@student.nicmar.ac.in</t>
  </si>
  <si>
    <t>07-Apr-1995</t>
  </si>
  <si>
    <t>English, Marathi</t>
  </si>
  <si>
    <t>Trekking</t>
  </si>
  <si>
    <t>2817 8226 1690</t>
  </si>
  <si>
    <t>RAMDAS INGLE</t>
  </si>
  <si>
    <t>FARMING</t>
  </si>
  <si>
    <t>ASHA INGLE</t>
  </si>
  <si>
    <t>B/20 Emerald Enclave, Akoli Khurd,</t>
  </si>
  <si>
    <t>Akola</t>
  </si>
  <si>
    <t>JUBILEE ENGLISH HIGH SCHOOL</t>
  </si>
  <si>
    <t>MAHARASHTRA STATE BOARD OF SECONDARY AND HIGHER SECONDARY SCHOOL, PUNE</t>
  </si>
  <si>
    <t>2010-May</t>
  </si>
  <si>
    <t>2011-Mar</t>
  </si>
  <si>
    <t>BHONSLA POLYTECHNIC</t>
  </si>
  <si>
    <t>2011-Jul</t>
  </si>
  <si>
    <t>SANT GADGE BABA AMRAVATI UNIVERSITY</t>
  </si>
  <si>
    <t>BHONSLA COLLEGE OF ENGINEERING AND RESEARCH, AKOLA</t>
  </si>
  <si>
    <t>2015-Jul</t>
  </si>
  <si>
    <t>AutoCAD,MS Office,MS Project,Primavera,Other</t>
  </si>
  <si>
    <t>Vision Infrastructure | Civil Engineer | Maharashtra | Feb 2021 | Jan 2024 | 2Y 11M | 3.0</t>
  </si>
  <si>
    <t>2 Years 11 Months</t>
  </si>
  <si>
    <t>SS CONSTRUCTION &amp; GOVT. CONTRACTOR | PROJECT MANAGMENT INTERN | AKOLA | May 2025 | Jul 2025 | 8.7142857142857 Weeks</t>
  </si>
  <si>
    <t>P24700624</t>
  </si>
  <si>
    <t>AKSHAY</t>
  </si>
  <si>
    <t>DHANAJI</t>
  </si>
  <si>
    <t>YADAV</t>
  </si>
  <si>
    <t>Akshay Dhanaji Yadav</t>
  </si>
  <si>
    <t>ay4051592@gmail.com</t>
  </si>
  <si>
    <t>p24700624@student.nicmar.ac.in</t>
  </si>
  <si>
    <t>15-May-2002</t>
  </si>
  <si>
    <t>English,Hindi</t>
  </si>
  <si>
    <t>AB+</t>
  </si>
  <si>
    <t>7306 5755 6879</t>
  </si>
  <si>
    <t>NANDINI</t>
  </si>
  <si>
    <t>A/P Tavashi, Tal-Pandharpur</t>
  </si>
  <si>
    <t>SADHANA VIDHYALAYA TAVASHI</t>
  </si>
  <si>
    <t>PANDHARPUR</t>
  </si>
  <si>
    <t>B.H.CHATE JR.COLLEGE,GAUD-DARA,PUNE</t>
  </si>
  <si>
    <t>SECONDARY AND HIGHER SECONDARY EDUCATION, PUNE</t>
  </si>
  <si>
    <t>2019-Jan</t>
  </si>
  <si>
    <t>2020-Feb</t>
  </si>
  <si>
    <t>SAVITRIBAI PHULE PUNE UNIVERSITY</t>
  </si>
  <si>
    <t>AISSMS COLLEGE OF ENGINEERING ,PUNE</t>
  </si>
  <si>
    <t>2021-Jan</t>
  </si>
  <si>
    <t>AutoCAD,MS Office,MS Project</t>
  </si>
  <si>
    <t>Sobha Limited-India | Construction Management Trainee | Gurugram | May 2025 | Jul 2025 | 8.5714285714286 Weeks</t>
  </si>
  <si>
    <t>P24700701</t>
  </si>
  <si>
    <t>MIHIR</t>
  </si>
  <si>
    <t>MAHENDRA</t>
  </si>
  <si>
    <t>BHALGAT</t>
  </si>
  <si>
    <t>Mihir Mahendra Bhalgat</t>
  </si>
  <si>
    <t>mbhalgat07@gmail.com</t>
  </si>
  <si>
    <t>p24700701@student.nicmar.ac.in</t>
  </si>
  <si>
    <t>16-Dec-2000</t>
  </si>
  <si>
    <t>HINDI, ENGLISH</t>
  </si>
  <si>
    <t>Playing cricket</t>
  </si>
  <si>
    <t>3134 9593 2393</t>
  </si>
  <si>
    <t>BUSINESS MAN</t>
  </si>
  <si>
    <t>Indira Market Road, In Front Of Axis Bank, Malgujaripura, Wardha</t>
  </si>
  <si>
    <t>Wardha</t>
  </si>
  <si>
    <t>BHALGAT MIHIR MAHENDRA</t>
  </si>
  <si>
    <t>CENTRAL BOARD OF SECONDARY EDUCATION WARDHA MAHARASHTRA</t>
  </si>
  <si>
    <t>ACHARYA SHRIMANNARAYAN POLYTECHNIC PIPRI, WARDHA MAHARASHTRA</t>
  </si>
  <si>
    <t>2017-Jul</t>
  </si>
  <si>
    <t>DR. BABASAHEB AMBEDKAR TECHNOLOGICAL UNIVERSITY, LONERE RAIGAD MAHARASHTRA</t>
  </si>
  <si>
    <t>BAJAJ INSTITUTE OF TECHNOLOGY, WARDHA MAHARASHTRA</t>
  </si>
  <si>
    <t>2023-Aug</t>
  </si>
  <si>
    <t>AutoCAD,MS Office,MS Project,Other,REVIT</t>
  </si>
  <si>
    <t>AVANISH GROUP RAIPUR | CIVIL INTERNSHIP | RAIPUR | Mar 2023 | Aug 2023 | 21.714285714286 Weeks
J.P ENTERPRISES | ROAD WORKS | WARDHA | Apr 2019 | Jun 2019 | 8.1428571428571 Weeks
PRESTIGE ENCLAVE PVT. LTD | CONSTRUCTION FIRM | WARDHA | Nov 2023 | Apr 2024 | 21.714285714286 Weeks
NEW CONSOLIDATED CONSTRUCTION CO. LTD. | SITE EXECUTION | MUMBAI | May 2025 | Jul 2025 | 8.7142857142857 Weeks</t>
  </si>
  <si>
    <t>INTRODUCTION TO STRUCTURAL ANALYSIS SOFTWARE
REVIT ARCHITECTURE</t>
  </si>
  <si>
    <t>P24700707</t>
  </si>
  <si>
    <t>TANAY</t>
  </si>
  <si>
    <t>VIJAY</t>
  </si>
  <si>
    <t>KAPSE</t>
  </si>
  <si>
    <t>Tanay Vijay Kapse</t>
  </si>
  <si>
    <t>kapsetanay30@gmail.com</t>
  </si>
  <si>
    <t>p24700707@student.nicmar.ac.in</t>
  </si>
  <si>
    <t>30-Dec-2002</t>
  </si>
  <si>
    <t xml:space="preserve">ENGLISH , HINDI </t>
  </si>
  <si>
    <t>Photography,Chess,Video Editing</t>
  </si>
  <si>
    <t>5875 2657 6942</t>
  </si>
  <si>
    <t>VIJAY KAPSE</t>
  </si>
  <si>
    <t xml:space="preserve">ASSOCIATE PROFESSOR </t>
  </si>
  <si>
    <t>PRARTHANA KAPSE</t>
  </si>
  <si>
    <t>8/3,Sudhavihar Apartment ,Wanjari Nagar ,Nagpur</t>
  </si>
  <si>
    <t>Nagpur</t>
  </si>
  <si>
    <t>MONTFORT SENIOR SECONDARY SCHOOL</t>
  </si>
  <si>
    <t>NAGPUR,MAHARASHTRA</t>
  </si>
  <si>
    <t>ST.XAVIER'S HIGH SCHOOL HINGNA</t>
  </si>
  <si>
    <t>2019-Mar</t>
  </si>
  <si>
    <t>RASHTRASANT TUKADOJI MAHARAJ NAGPUR UNIVERSITY</t>
  </si>
  <si>
    <t>YESHWANTRAO CHAVAN COLLEGE OF ENGINEERING, NAGPUR ,MAHARASHTRA</t>
  </si>
  <si>
    <t>2020-May</t>
  </si>
  <si>
    <t>2024-May</t>
  </si>
  <si>
    <t xml:space="preserve">AutoCAD,MS Project,Primavera,Revit </t>
  </si>
  <si>
    <t>DR. SWAPNIL WANJARI (ASSOCIATE PROFESSOR AT VNIT NAGPUR) | TRAINEE AND SITE ENGINEER | NAGPUR | Jan 2024 | Apr 2024 | 17.142857142857 Weeks
Impact Infraheights Pvt. Ltd. | Procurement team and Project Coordinator | Pune | May 2025 | Jul 2025 | 7.7142857142857 Weeks</t>
  </si>
  <si>
    <t>P24700768</t>
  </si>
  <si>
    <t>SAKSHI</t>
  </si>
  <si>
    <t>DAYANAND</t>
  </si>
  <si>
    <t>SHIRAL</t>
  </si>
  <si>
    <t>Sakshi Dayanand Shiral</t>
  </si>
  <si>
    <t>sakshidshiral80@gmail.com</t>
  </si>
  <si>
    <t>p24700768@student.nicmar.ac.in</t>
  </si>
  <si>
    <t>31-Aug-2001</t>
  </si>
  <si>
    <t>Travelling,Drawing,Listening Music,Dancing</t>
  </si>
  <si>
    <t>5708 9466 3657</t>
  </si>
  <si>
    <t>DAYANAND SHIRAL</t>
  </si>
  <si>
    <t>SANGITA SHIRAL</t>
  </si>
  <si>
    <t>138/4 Jijau Nagar Barshi Naka, Osmanabad</t>
  </si>
  <si>
    <t>Osmanabad</t>
  </si>
  <si>
    <t>SHRIPATRAO BHOSALE HIGHSCHOOL, OSMANABAD</t>
  </si>
  <si>
    <t xml:space="preserve">MAHARASHTRA STATE BOARD OF SECONDARY AND HIGHER SECONDARY EDUCATION, PUNE, MAHARASHTRA </t>
  </si>
  <si>
    <t>SHRIPATRAO BHOSALE JUNIOR COLLEGE , OSMANABAD</t>
  </si>
  <si>
    <t>2019-Jun</t>
  </si>
  <si>
    <t>CIVIL ENGINEERING</t>
  </si>
  <si>
    <t xml:space="preserve">A.G. PATIL POLYTECHNIC INSTITUTE, SOLAPUR, MAHARASHTRA </t>
  </si>
  <si>
    <t>2021-Aug</t>
  </si>
  <si>
    <t>PUNYASHLOK AHILYADEVI HOLKAR SOLAPUR UNIVERSITY, SOLAPUR</t>
  </si>
  <si>
    <t xml:space="preserve">WALCHAND INSTITUTE TECHNOLOGY (WIT), SOLAPUR, MAHARASHTRA </t>
  </si>
  <si>
    <t>AutoCAD,MS Office,MS Project,Primavera,RIB CostX,Revit,BEXEL MANAGER</t>
  </si>
  <si>
    <t>Rajeshri Developers | Vocational Trainee | Jule Solapur, Solapur | Mar 2023 | Mar 2023 | 2.1428571428571 Weeks
New Consolidated Construction Co. Ltd. | Site Execution, Planning and Project Co-ordination | Mumbai | May 2025 | Jul 2025 | 8.7142857142857 Weeks</t>
  </si>
  <si>
    <t>2025-2027</t>
  </si>
  <si>
    <t>P25700031</t>
  </si>
  <si>
    <t>AKHIL</t>
  </si>
  <si>
    <t>RAJABOINA</t>
  </si>
  <si>
    <t>Akhil Rajaboina</t>
  </si>
  <si>
    <t>akhilrajaboina.ce@gmail.com</t>
  </si>
  <si>
    <t>p25700031@student.nicmar.ac.in</t>
  </si>
  <si>
    <t>24-May-2001</t>
  </si>
  <si>
    <t>Telugu, English, Hindi</t>
  </si>
  <si>
    <t>O+ve</t>
  </si>
  <si>
    <t>3872 9242 9817</t>
  </si>
  <si>
    <t>RAJU</t>
  </si>
  <si>
    <t>RAMA</t>
  </si>
  <si>
    <t>1-30/2, Vill: Shayampet (H), Mdl: Geesugonda, Dist: Warangal, Telangana, India - 506330.</t>
  </si>
  <si>
    <t>Warangal</t>
  </si>
  <si>
    <t>Telangana</t>
  </si>
  <si>
    <t>Z P P SECONDARY SCHOOL DHARMARAM</t>
  </si>
  <si>
    <t>BOARD OF SECONDARY EDUCATION, TELANGANA</t>
  </si>
  <si>
    <t>RAJIV GANDHI UNIVERSITY OF KNOWLEDGE TECHNOLOGIES, BASAR</t>
  </si>
  <si>
    <t>2020-Jun</t>
  </si>
  <si>
    <t>AutoCAD,MS Office,MS Project,Primavera,Power BI,STAAD.Pro,CostX,Revit</t>
  </si>
  <si>
    <t>Navayuga Engineering Company Limited | Project Monitoring and Control | Silkyara - Barkot, Uttarakhand | Jul 2024 | Jun 2025 | 0Y 11M | 3.1</t>
  </si>
  <si>
    <t>0 Years 11 Months</t>
  </si>
  <si>
    <t>Masin Projects Private Limited | Delay/Quantum | Mumbai | May 2026 | Jul 2026 | 8.7142857142857 Weeks | Campus Internship
Roads and Buildings Department, Telangana State | Site Supervision | Nizamabad, Telangana State | May 2023 | Jun 2023 | 5.5714285714286 Weeks</t>
  </si>
  <si>
    <t>P25700556</t>
  </si>
  <si>
    <t>POOJITHA SAI</t>
  </si>
  <si>
    <t>BASATI</t>
  </si>
  <si>
    <t>Poojitha Sai Basati</t>
  </si>
  <si>
    <t>poojithasaibasati@gmail.com</t>
  </si>
  <si>
    <t>p25700556@student.nicmar.ac.in</t>
  </si>
  <si>
    <t>23-Oct-2003</t>
  </si>
  <si>
    <t>A+ve</t>
  </si>
  <si>
    <t>4432 8553 1307</t>
  </si>
  <si>
    <t>BASATI KOTESWARA RAO</t>
  </si>
  <si>
    <t>GOVT TEACHER</t>
  </si>
  <si>
    <t>YADAVALLI VS PARVATHI</t>
  </si>
  <si>
    <t>1-48/2 Seetha Gardens,sanivarapu Peta 534003_x000D_
Eluru,Andhra Pradesh</t>
  </si>
  <si>
    <t>Eluru</t>
  </si>
  <si>
    <t>BHASHYAM E/M HIGH SCHOOL, N.R PET ELURU</t>
  </si>
  <si>
    <t>BOARD OF SECONDARY EDUCATION ANDHRA PRADESH, INDIA</t>
  </si>
  <si>
    <t>2018-Apr</t>
  </si>
  <si>
    <t>ADITYA JUNIOR COLLEGE , PUNADIPADU ANDHRA PRADESH</t>
  </si>
  <si>
    <t>BOARD OF INTERMEDIATE EDUCATION , ANDHRA PRADESH INDIA</t>
  </si>
  <si>
    <t>ACHARYA NAGARJUNA UNIVERSITY</t>
  </si>
  <si>
    <t>R.V.R &amp; J.C COLLEGE OF ENGINEERING , CHOWDAVARAM ANDHRA PRADESH</t>
  </si>
  <si>
    <t>AutoCAD,MS Office,MS Project,Primavera,Project documentation,Scheduling basics,Report preparation</t>
  </si>
  <si>
    <t>Godrej Properties Limited | Operations - Intern | Bangalore | May 2026 | Jul 2026 | 8.7142857142857 Weeks | Campus Internship
SV ASSOCIATES PATTABHIPURAM, GUNTUR 522006 | PLANNING &amp; DESIGNING | GUNTUR | Jan 2024 | May 2024 | 16.285714285714 Weeks</t>
  </si>
  <si>
    <t>P25700173</t>
  </si>
  <si>
    <t>BHAVISHA</t>
  </si>
  <si>
    <t>MANOJ</t>
  </si>
  <si>
    <t>BORDE</t>
  </si>
  <si>
    <t>Bhavisha Manoj Borde</t>
  </si>
  <si>
    <t>bhavishamborde@gmail.com</t>
  </si>
  <si>
    <t>p25700173@student.nicmar.ac.in</t>
  </si>
  <si>
    <t>14-Nov-1999</t>
  </si>
  <si>
    <t>English, Hindi, Marathi, Marawadi.</t>
  </si>
  <si>
    <t>B+ve</t>
  </si>
  <si>
    <t>8653 8712 2679</t>
  </si>
  <si>
    <t>MANOJ BORDE</t>
  </si>
  <si>
    <t>LIASONING OFFICER</t>
  </si>
  <si>
    <t>NISHA BORDE</t>
  </si>
  <si>
    <t>A/30 SINDHU KUNJ, GAURAKSHAN ROAD , AKOLA</t>
  </si>
  <si>
    <t>MOUNT CARMEL SECONDARY AND HIGHERSECONDARY SCHOOL</t>
  </si>
  <si>
    <t>MAHARASHTRA STATE BOARD, AMRAVATI DIVISIONAL BOARD, PUNE</t>
  </si>
  <si>
    <t>2014-Mar</t>
  </si>
  <si>
    <t>LATE JYOTI JANOLKAR COLLEGE , AKOLA.</t>
  </si>
  <si>
    <t>2016-Feb</t>
  </si>
  <si>
    <t>2017-Feb</t>
  </si>
  <si>
    <t>SAVITRIBAI PHULE UNIVERSITY ,PUNE</t>
  </si>
  <si>
    <t>SB PATIL COLLEGE OF ARCHITECTURE AND DESIGN.</t>
  </si>
  <si>
    <t>2022-Apr</t>
  </si>
  <si>
    <t>AutoCAD, MS Office, MS Project, Primavera,Revit, Navisworks, Autodesk contruction cloud, Sketchup, Lumion, Enscape, Photoshop, Archicad, 3Ds Max, Power BI, RIB CostX, GAMMA AR</t>
  </si>
  <si>
    <t>10D Design Services, Pune | BIM Consultant | Hyderabad | Apr 2024 | Jun 2025 | 1Y 2M | 3.6
Godha Design Hub | Jr. Architect | Hyderabad | Oct 2022 | Mar 2024 | 1Y 5M | 3</t>
  </si>
  <si>
    <t>2 Years 8 Months</t>
  </si>
  <si>
    <t>Cushman &amp; Wakefield | Intern- Strategic Consulting | Gurgaon | May 2026 | Jun 2026 | 7.5714285714286 Weeks | Campus Internship
Rennu Khanna Associates,Chandigarh | Intern Architect | Chandigarh | Jun 2021 | Nov 2021 | 25 Weeks</t>
  </si>
  <si>
    <t>Diploma in Architecture Softwares
Finance for Non Financial Managers</t>
  </si>
  <si>
    <t>P25700279</t>
  </si>
  <si>
    <t>DAKSH</t>
  </si>
  <si>
    <t>PRATAP</t>
  </si>
  <si>
    <t>SINGH</t>
  </si>
  <si>
    <t>Daksh Pratap Singh</t>
  </si>
  <si>
    <t>er.singh.p.21@gmail.com</t>
  </si>
  <si>
    <t>p25700279@student.nicmar.ac.in</t>
  </si>
  <si>
    <t>04-Mar-2004</t>
  </si>
  <si>
    <t>Hindi, English, Bhojpuri, German</t>
  </si>
  <si>
    <t>Badminton,Notetaking,Cooking</t>
  </si>
  <si>
    <t>6813 4831 0819</t>
  </si>
  <si>
    <t>MANOJ KUMAR SINGH</t>
  </si>
  <si>
    <t>GOVERNMENT EMPLOYEE</t>
  </si>
  <si>
    <t>SADHANA SINGH</t>
  </si>
  <si>
    <t>HOME MAKER</t>
  </si>
  <si>
    <t>Ii/6/c, Irrigation Colony, Tulsisagar, New Church Compound</t>
  </si>
  <si>
    <t>Ghazipur</t>
  </si>
  <si>
    <t>Uttar Pradesh</t>
  </si>
  <si>
    <t>SHAH FAIZ PUBLIC SCHOOL</t>
  </si>
  <si>
    <t>CENTRAL BOARD OF SECONDAY EDUCATION</t>
  </si>
  <si>
    <t>2019-Apr</t>
  </si>
  <si>
    <t>CITY INTERNATIONAL SCHOOL</t>
  </si>
  <si>
    <t>2021-Jul</t>
  </si>
  <si>
    <t>VELLORE INSTITUTE OF TECHNOLOGY</t>
  </si>
  <si>
    <t>VELLORE INSTITUTE OF TECHNOLOGY WITH VELLORE</t>
  </si>
  <si>
    <t>2021-Sep</t>
  </si>
  <si>
    <t>2025-May</t>
  </si>
  <si>
    <t>AutoCAD,MS Office,MS Project,Revit,Plaxis,AutoDesk Insight,Project Planning &amp; Control,Cost Estimation,Client Communication</t>
  </si>
  <si>
    <t>KPMG India | Business Consulting Inter | Gurugram, India | May 2026 | Jun 2026 | 7.5714285714286 Weeks | Campus Internship
IRRIGATION &amp; WATER RESOURCES DEPARTMENT | CIVIL ENGINEERING INTERN | GHAZIPUR | Aug 2023 | Sep 2023 | 4.4285714285714 Weeks
GOLDEN PACIFIC TRAD. &amp; CONT. L.L.C. | CONSTRUCTION MANAGEMENT INTERN | MUSCAT, OMAN | May 2025 | Jun 2025 | 8.4285714285714 Weeks</t>
  </si>
  <si>
    <t>P25700226</t>
  </si>
  <si>
    <t>DINESH KARTHI</t>
  </si>
  <si>
    <t>M M</t>
  </si>
  <si>
    <t>Dinesh Karthi M M</t>
  </si>
  <si>
    <t>mmdineshkarthi@gmail.com</t>
  </si>
  <si>
    <t>p25700226@student.nicmar.ac.in</t>
  </si>
  <si>
    <t>13-Dec-2001</t>
  </si>
  <si>
    <t>English, Tamil, Hindi</t>
  </si>
  <si>
    <t>5567 2198 0913</t>
  </si>
  <si>
    <t>MURUGAN K</t>
  </si>
  <si>
    <t>MANJULA M</t>
  </si>
  <si>
    <t>6/5/75, Main Road, Near Police Station, Kannivadi.</t>
  </si>
  <si>
    <t>Dindigul</t>
  </si>
  <si>
    <t>Tamil Nadu</t>
  </si>
  <si>
    <t>LOURDE MATHA CONVENT MAT HR SEC SCHOOL UDUMALPET TIRUPPUR</t>
  </si>
  <si>
    <t>STATE BOARD OF SCHOOL EXAMINATIONS, TAMIL NADU</t>
  </si>
  <si>
    <t>2017-May</t>
  </si>
  <si>
    <t>SRI LATHANGI VIDHYA MANDIR MATRIC HR SEC SCHOOL T KOTTAMPATTI POLLACHI</t>
  </si>
  <si>
    <t>ANNA UNIVERSITY</t>
  </si>
  <si>
    <t>PSNA COLLEGE OF ENGINEERING AND TECHNOLOGY, DINDIGUL</t>
  </si>
  <si>
    <t>2023-Apr</t>
  </si>
  <si>
    <t>AutoCAD,MS Office,MS Project,Primavera</t>
  </si>
  <si>
    <t>URC Construction (P) Ltd | Assistant Planning Engineer | Delhi and Hosur | Jun 2023 | May 2025 | 1Y 11M | 2.52</t>
  </si>
  <si>
    <t>1 Year 11 Months</t>
  </si>
  <si>
    <t>Sobha Limited | Project Management Office (PMO) | Bengaluru | May 2026 | Jul 2026 | 9 Weeks | Campus Internship</t>
  </si>
  <si>
    <t>Introduction to Lean Construction
Diploma in Primavera</t>
  </si>
  <si>
    <t>P25700221</t>
  </si>
  <si>
    <t>JITHIN</t>
  </si>
  <si>
    <t>M</t>
  </si>
  <si>
    <t>Jithin M</t>
  </si>
  <si>
    <t>jithinm.mail@gmail.com</t>
  </si>
  <si>
    <t>binaya.patnaik@hyd.nicmar.ac.in</t>
  </si>
  <si>
    <t>10-Nov-2002</t>
  </si>
  <si>
    <t>English, Hindi, Malayalam</t>
  </si>
  <si>
    <t>Long Distance Running,Reading</t>
  </si>
  <si>
    <t>5536 1485 3909</t>
  </si>
  <si>
    <t>BALAKRISHNAN A</t>
  </si>
  <si>
    <t>AGRICULTURE</t>
  </si>
  <si>
    <t>SREEJA M</t>
  </si>
  <si>
    <t xml:space="preserve">Parambath House, Kallanchira , Balal P.O, Kasargod, Kerala </t>
  </si>
  <si>
    <t>Kasaragod</t>
  </si>
  <si>
    <t>ST. JUDE'S H S S VELLARIKUNDU</t>
  </si>
  <si>
    <t>GENERAL EDUCATION DEPARTMENT KERALA</t>
  </si>
  <si>
    <t>BOARD OF HIGHER SECONDARY EXAMINATIONS KERALA</t>
  </si>
  <si>
    <t>2020-Mar</t>
  </si>
  <si>
    <t>APJ ABDUL KALAM TECHNOLOGICAL UNIVERSITY, KERALA</t>
  </si>
  <si>
    <t>COLLEGE OF ENGINEERING TRIVANDRUM, KERALA</t>
  </si>
  <si>
    <t>2021-Oct</t>
  </si>
  <si>
    <t>2025-Apr</t>
  </si>
  <si>
    <t>AutoCAD,MS Office,MS Project,Primavera,PLAXIS 2D,STAAD Pro.</t>
  </si>
  <si>
    <t>SOBHA Limited | Intern- Project Planning  | Kochi, Kerala | May 2026 | Jul 2026 | 9 Weeks | Campus Internship
THE URALUNGAL LABOUR CONTRACT CO-OPERATIVE SOCIETY LTD. | STUDENT INTERN | TRIVANDRUM | Jun 2024 | Jun 2024 | 1.1428571428571 Weeks</t>
  </si>
  <si>
    <t>Municipal Solid Waste Management-NPTEL Certification
McKinsey.org Forward Program
Finance for Non- Financial Managers , Emory University - Coursera Certification</t>
  </si>
  <si>
    <t>P25700199</t>
  </si>
  <si>
    <t>MOHIT</t>
  </si>
  <si>
    <t>KAKDE</t>
  </si>
  <si>
    <t>Mohit Kakde</t>
  </si>
  <si>
    <t>mohitkakde199@gmail.com</t>
  </si>
  <si>
    <t>p25700199@student.nicmar.ac.in</t>
  </si>
  <si>
    <t>23-Sep-2000</t>
  </si>
  <si>
    <t>English, Hindi, Marathi</t>
  </si>
  <si>
    <t>4866 0472 2489</t>
  </si>
  <si>
    <t>VASANT KAKDE</t>
  </si>
  <si>
    <t>BANKER (RETD.)</t>
  </si>
  <si>
    <t>CHANDA KAKDE</t>
  </si>
  <si>
    <t>Behind Jajoo Hospital , Datta Mandir Ward,Warora</t>
  </si>
  <si>
    <t>Chandrapur</t>
  </si>
  <si>
    <t>ST. ANNE'S PUBLIC SCHOOL,WARORA</t>
  </si>
  <si>
    <t>CENTRAL BOARD OF SECONDARY EDUCATION ,DELHI</t>
  </si>
  <si>
    <t>2016-May</t>
  </si>
  <si>
    <t>SHRI JAYANTRAO WANJARI JUNIOR COLLEGE,WADODA</t>
  </si>
  <si>
    <t>MAHARASHTRA STATE BOARD OF SECONDARY AND HIGHER SECONDARY EDUCATION,PUNE</t>
  </si>
  <si>
    <t>SAVITRIBAI PHULE PUNE UNIVERSITY,PUNE</t>
  </si>
  <si>
    <t>K.K WAGH INSTITUTE OF ENGINEERING EDUCATION AND RESEARCH,NASHIK</t>
  </si>
  <si>
    <t>2022-May</t>
  </si>
  <si>
    <t>AutoCAD,MS Office,MS Project,Primavera,PowerBI,Microsoft Excel,SQL</t>
  </si>
  <si>
    <t>Sobha Limited | Project Planning Intern | Gurugram | May 2026 | Jul 2026 | 9 Weeks | Campus Internship</t>
  </si>
  <si>
    <t>Finance for Non-Financial Managers
AutoCAD
Project Management Basics for Non-Project Managers</t>
  </si>
  <si>
    <t>P25700377</t>
  </si>
  <si>
    <t>RAMAN</t>
  </si>
  <si>
    <t>RACHIT</t>
  </si>
  <si>
    <t>Raman Rachit</t>
  </si>
  <si>
    <t>ramanrachit08@gmail.com</t>
  </si>
  <si>
    <t>p25700377@student.nicmar.ac.in</t>
  </si>
  <si>
    <t>20-Sep-2000</t>
  </si>
  <si>
    <t>6129 0457 7739</t>
  </si>
  <si>
    <t>SHASHI RANJAN</t>
  </si>
  <si>
    <t>SERVICE</t>
  </si>
  <si>
    <t>KUMARI NISHA</t>
  </si>
  <si>
    <t>S/O- Shashi Ranjan,H.No-78,Hathwa Enclave,OPP Bata Petrol Pump, Ramjeechak,Digha,Patna</t>
  </si>
  <si>
    <t>Patna</t>
  </si>
  <si>
    <t>Bihar</t>
  </si>
  <si>
    <t>JAGAT MISSION SR SEC SCHOOL KHAGAUL</t>
  </si>
  <si>
    <t>CBSE- PATNA/BIHAR</t>
  </si>
  <si>
    <t>PRIVATE CANDIDATE</t>
  </si>
  <si>
    <t>CBSE-PATNA/BIHAR</t>
  </si>
  <si>
    <t>GRAPHIC ERA DEEMED TO BE UNIVERSITY</t>
  </si>
  <si>
    <t>GRAPHIC ERA DEEMED TO BE UNIVERSITY- DEHRADUN/UTTRAKHAND</t>
  </si>
  <si>
    <t>AutoCAD,MS Office,MS Project,Primavera,ETABS,MSP,Primavera,Costx</t>
  </si>
  <si>
    <t>M4 Solution Pvt Ltd | Civil Engineer | Ghaziabad | Feb 2025 | May 2025 | 0Y 3M | 4.28
T&amp;M Consulting Private Limited | Civil Engineer | Gurgaon | Nov 2024 | Jan 2025 | 0Y 2M | 4.08</t>
  </si>
  <si>
    <t>0 Years 6 Months</t>
  </si>
  <si>
    <t>Embassy Devlopments Limited | Intern - Central Monitoring | Mumbai | May 2026 | Jul 2026 | 8.2857142857143 Weeks | Campus Internship
Insurance dekho | Product Intern | Gurgaon | Jan 2023 | Jun 2024 | 75.142857142857 Weeks
JKUMAR INFRAPROJECTS PVT LTD | TRAINEE ENGINEER | MUMBAI | Jun 2022 | Aug 2022 | 7.5714285714286 Weeks</t>
  </si>
  <si>
    <t>P25700102</t>
  </si>
  <si>
    <t>RIDHDHISH</t>
  </si>
  <si>
    <t>ATUL</t>
  </si>
  <si>
    <t>MALDE</t>
  </si>
  <si>
    <t>Ridhdhish Atul Malde</t>
  </si>
  <si>
    <t>ridhdhish.malde@gmail.com</t>
  </si>
  <si>
    <t>p25700102@student.nicmar.ac.in</t>
  </si>
  <si>
    <t>18-Oct-2001</t>
  </si>
  <si>
    <t>HINDI, ENGLISH ,GUJARATI ,MARATHI ,KUTCHI</t>
  </si>
  <si>
    <t>B-ve</t>
  </si>
  <si>
    <t>3592 2116 9277</t>
  </si>
  <si>
    <t>DEVELOPER</t>
  </si>
  <si>
    <t>PRIYA</t>
  </si>
  <si>
    <t>6/A Yogi Raj Park ,Opposite City Palace ,Tithal-road ,Valsad ,Gujarat.</t>
  </si>
  <si>
    <t>Valsad</t>
  </si>
  <si>
    <t>Gujarat</t>
  </si>
  <si>
    <t>ATUL VIDYALAYA</t>
  </si>
  <si>
    <t>INDIAN CERTIFICATE OF SECONDARY EDUCATION ,NEW DELHI</t>
  </si>
  <si>
    <t>INDIAN SCHOOL CERTIFICATE , NEW DELHI</t>
  </si>
  <si>
    <t>MUMBAI UNIVERSITY</t>
  </si>
  <si>
    <t>DR. BALIRAM HIRAY COLLEGE OF ARCHITECTURE</t>
  </si>
  <si>
    <t>AutoCAD,MS Office,MS Project,Primavera,Sketchup,Lumion,Photoshop,Enscape,Vray</t>
  </si>
  <si>
    <t>Reza Kabul Architects | Junior Architect - Architect | Bandra West ,Mumbai | Jun 2024 | May 2025 | 0Y 11M | 3.25</t>
  </si>
  <si>
    <t>0 Years 12 Months</t>
  </si>
  <si>
    <t>Colliers International | Technical Advisory Services (TAS)  | Bengaluru, India | May 2026 | Jul 2026 | 8.5714285714286 Weeks | Campus Internship
Ingrain Architects | Intern  | Kalaghoda, Mumbai | Dec 2022 | Apr 2023 | 19.142857142857 Weeks
D-Workshop | Intern -Trainee | Valsad,Gujarat | Jun 2021 | Oct 2021 | 21.571428571429 Weeks</t>
  </si>
  <si>
    <t>Finance for Non-Financial Managers
Construction Project Management Columbia University
Risk Management Corporate Finance Institute (CFI)
Risk Management â€“ Corporate Finance Institute (CFI)
Construction Project Management â€“ Columbia University</t>
  </si>
  <si>
    <t>P25700003</t>
  </si>
  <si>
    <t>SREELAKSHMI</t>
  </si>
  <si>
    <t>KRISHNAKUMAR</t>
  </si>
  <si>
    <t>Sreelakshmi Krishnakumar</t>
  </si>
  <si>
    <t>sreelakshmitrkk@gmail.com</t>
  </si>
  <si>
    <t>p25700003@student.nicmar.ac.in</t>
  </si>
  <si>
    <t>20-Mar-2001</t>
  </si>
  <si>
    <t>ENGLISH, HINDI, MALAYALAM</t>
  </si>
  <si>
    <t>7013 6395 7609</t>
  </si>
  <si>
    <t>KRISHNAKUMAR TR</t>
  </si>
  <si>
    <t>EMPLOYEE</t>
  </si>
  <si>
    <t>RADHIKA KRISHNAKUMAR</t>
  </si>
  <si>
    <t>Thoppil House Puttumanoor Puthencruze PO Ernakulam</t>
  </si>
  <si>
    <t>Ernakulam</t>
  </si>
  <si>
    <t>COCHIN REFINERIES SCHOOL</t>
  </si>
  <si>
    <t>CENTRAL BOARD OF SECONDARY EDUCATION, NEW DELHI</t>
  </si>
  <si>
    <t>2017-Apr</t>
  </si>
  <si>
    <t>CENTRAL BOARD OF SECONDARY EDUCATION KERALA</t>
  </si>
  <si>
    <t>KERALA TECHNOLOGICAL UNIVERSITY</t>
  </si>
  <si>
    <t>MAR ATHANASIUS COLLEGE OF ENGINEERING ERNAKULAM KERALA</t>
  </si>
  <si>
    <t>AutoCAD, MS Office, MS Project, Primavera, Revit</t>
  </si>
  <si>
    <t>Larsen and Toubro | Senior Engineer Civil | Bharuch Gujarat | Jul 2023 | Jun 2025 | 1Y 11M | 6.6</t>
  </si>
  <si>
    <t>1 Year 12 Months</t>
  </si>
  <si>
    <t>KPMG India | Intern- Major Projects Advisory | Mumbai, Maharashtra | May 2026 | Jun 2026 | 7.5714285714286 Weeks | Campus Internship
Prestige Group | Site Engineer | Kakkanad, Ernakulam | Aug 2022 | Aug 2022 | 1 Weeks
Bharat Petroleum Corporation Limited | Intern | Ambalamugal, Kerala | Jun 2023 | Jun 2023 | 4.1428571428571 Weeks</t>
  </si>
  <si>
    <t>Finance for Non-Financial Managers
Construction Management: Planning and Scheduling
Project Management Foundations: Ethics
Project Management Foundations: Requirements</t>
  </si>
  <si>
    <t>P25700112</t>
  </si>
  <si>
    <t>TEJESH</t>
  </si>
  <si>
    <t>C V</t>
  </si>
  <si>
    <t>Tejesh C V</t>
  </si>
  <si>
    <t>tejesh3104@gmail.com</t>
  </si>
  <si>
    <t>p25700112@student.nicmar.ac.in</t>
  </si>
  <si>
    <t>04-Apr-1999</t>
  </si>
  <si>
    <t>ENGLISH,HINDI,TELUGU,KANNADA,TAMIL</t>
  </si>
  <si>
    <t>4885 2459 9171</t>
  </si>
  <si>
    <t>VASU C</t>
  </si>
  <si>
    <t>SUPERVISOR</t>
  </si>
  <si>
    <t>LAKSHMI C</t>
  </si>
  <si>
    <t>13-144 K GUNDUMALA MADAKASIRA</t>
  </si>
  <si>
    <t>Anantapur</t>
  </si>
  <si>
    <t>AVS CONVENT HIGH SCHOOL</t>
  </si>
  <si>
    <t>KARNATAKA SECONDARY EDUCATION EXAMINATION BOARD, KARNATAKA</t>
  </si>
  <si>
    <t>2005-May</t>
  </si>
  <si>
    <t>THE NATIONAL  PU COLLEGE, JAYANAGAR</t>
  </si>
  <si>
    <t>DEPARTMENT OF PRE UNIVERSITY BOARD, KARNATAKA</t>
  </si>
  <si>
    <t>VISVESVARAYA TECHNOLOGICAL UNIVERSITY, BELAGAVI</t>
  </si>
  <si>
    <t>THE OXFORD COLLEGE OF ENGINEERING, BANGALORE</t>
  </si>
  <si>
    <t>AutoCAD,MS Office,MS Project,Primavera,Power BI</t>
  </si>
  <si>
    <t>Suryapriya Constructions pvt ltd | Project Planning and Control Engineer | Bangalore | May 2023 | Jun 2025 | 2Y 1M | 4.67
Radical Minds | Customer support Representative | Bangalore | Feb 2022 | Aug 2022 | 0Y 5M | 2.04</t>
  </si>
  <si>
    <t>2 Years 6 Months</t>
  </si>
  <si>
    <t>Sprng Energy | Project Management Office - Intern  | Pune, Maharashtra | May 2026 | Jul 2026 | 8.5714285714286 Weeks | Campus Internship
SURYAPRIYA CONSTRUCTIONS PVT LTD | MANAGEMENT TRAINEE | BANGALORE | Jan 2023 | May 2023 | 19.142857142857 Weeks
Reliance Consultant | Trainee | Bangalore | Mar 2021 | Apr 2021 | 4.4285714285714 Weeks</t>
  </si>
  <si>
    <t>P25700315</t>
  </si>
  <si>
    <t>UTKARSHA</t>
  </si>
  <si>
    <t>KAVITAKE</t>
  </si>
  <si>
    <t>Utkarsha Kavitake</t>
  </si>
  <si>
    <t>kavitakeu@gmail.com</t>
  </si>
  <si>
    <t>p25700315@student.nicmar.ac.in</t>
  </si>
  <si>
    <t>30-Sep-2001</t>
  </si>
  <si>
    <t>Marathi, English, Hindi.</t>
  </si>
  <si>
    <t>2924 0396 4910</t>
  </si>
  <si>
    <t>GAJANAN KAVITKE</t>
  </si>
  <si>
    <t>RUPALI KAVITKE</t>
  </si>
  <si>
    <t>LAVISH VILLA SOCIETY, MANJARI BUDRUK</t>
  </si>
  <si>
    <t>At Post Gotandi, Village Ghorpadwadi, Tal Indapur</t>
  </si>
  <si>
    <t>KENDRIYA VIDYALAYA, VAYU SENA NAGAR</t>
  </si>
  <si>
    <t>NAGPUR, MAHARASHTRA</t>
  </si>
  <si>
    <t>D. Y. PATIL, COLLEGE OF ENGINEERING, AKURDI, PUNE</t>
  </si>
  <si>
    <t>AutoCAD,MS Office,MS Project,SolidWorks (Basics),Technical Documentation &amp; Reporting</t>
  </si>
  <si>
    <t>Knest Manufacturers Pvt. Ltd. | Design Engineer  | Bhosari, Pune | Jul 2023 | Oct 2024 | 1Y 3M | 3
Abhikalpan Construction Solutions Pvt. Ltd. | Intermediate Design Engineer | Viman Nagar, Pune | Dec 2024 | May 2025 | 0Y 4M | 3.35</t>
  </si>
  <si>
    <t>1 Year 8 Months</t>
  </si>
  <si>
    <t>Masin Projects Pvt. Ltd. | Intern - Delay Analysis | Gurgaon | May 2026 | Jul 2026 | 8.7142857142857 Weeks | Campus Internship
Ajwani Infrastructure Pvt. Ltd. | Intern | Aundh, Pune | Jan 2022 | Feb 2022 | 4.7142857142857 Weeks</t>
  </si>
  <si>
    <t>P25700584</t>
  </si>
  <si>
    <t>YASH</t>
  </si>
  <si>
    <t>SANTOSH</t>
  </si>
  <si>
    <t>GUNDAWAR</t>
  </si>
  <si>
    <t>Yash Santosh Gundawar</t>
  </si>
  <si>
    <t>yash.s.gundawar1@gmail.com</t>
  </si>
  <si>
    <t>p25700584@student.nicmar.ac.in</t>
  </si>
  <si>
    <t>11-Nov-1999</t>
  </si>
  <si>
    <t>English,Hindi,Marathi</t>
  </si>
  <si>
    <t>5322 6048 2537</t>
  </si>
  <si>
    <t>SANTOSH GUNDAWAR</t>
  </si>
  <si>
    <t>BUSSINESS</t>
  </si>
  <si>
    <t>ARCHANA GUNDAWAR</t>
  </si>
  <si>
    <t>Plot No. 5, Wandre Layout, Nagpur Chandrapur Highway, Warora, Dist- Chandrapur</t>
  </si>
  <si>
    <t>ST. ANNE'S PUBLIC SCHOOL, WARORA, DIST-CHANDRAPUR</t>
  </si>
  <si>
    <t>CENTRAL BOARD OF SECONDARY EDUCATION, DELHI</t>
  </si>
  <si>
    <t>YASHWANTRAO SHINDE JR. COLLEGE (SCIENCE &amp; ARTS),BHADRAWATI</t>
  </si>
  <si>
    <t>K.K. WAGH INSTITUTE OF ENGINEERING EDUCATION AND RESEARCH, NASHIK</t>
  </si>
  <si>
    <t>Adani Electricity Mumbai Infra Limited | Senior Executive | Mumbai | Jul 2022 | Apr 2024 | 1Y 9M | 7.2</t>
  </si>
  <si>
    <t>1 Year 9 Months</t>
  </si>
  <si>
    <t>KPMG India | Business Consulting- Intern | Mumbai  | May 2026 | Jun 2026 | 7.5714285714286 Weeks | Campus Internship
ZENITH INFRASTRUCTURE | Trainee Site Engineer | Warora, Dist- Chandrapur | Jan 2021 | Jun 2021 | 25.714285714286 Weeks</t>
  </si>
  <si>
    <t>p2270426</t>
  </si>
  <si>
    <t>RAJ</t>
  </si>
  <si>
    <t>Raj Singh</t>
  </si>
  <si>
    <t>rajsinghnicmar@gmail.com</t>
  </si>
  <si>
    <t>p2270426@student.nicmar.ac.in</t>
  </si>
  <si>
    <t>22-Mar-1992</t>
  </si>
  <si>
    <t>English , Hindi &amp; Basic Arabic</t>
  </si>
  <si>
    <t>6962 7883 8134</t>
  </si>
  <si>
    <t>YOGENDRA SINGH</t>
  </si>
  <si>
    <t>BRIJESH DEVI</t>
  </si>
  <si>
    <t>House No 36 , Shivaji Nagar</t>
  </si>
  <si>
    <t>Mathura</t>
  </si>
  <si>
    <t>ARCADIAN PUBLIC SENIOR SECONDARY SCHOOL</t>
  </si>
  <si>
    <t>CBSE</t>
  </si>
  <si>
    <t>2008-Mar</t>
  </si>
  <si>
    <t>2009-Mar</t>
  </si>
  <si>
    <t>2010-Mar</t>
  </si>
  <si>
    <t>MONAD UNIVERSITY</t>
  </si>
  <si>
    <t>2011-May</t>
  </si>
  <si>
    <t>AKTU</t>
  </si>
  <si>
    <t>BSA COLLEGE OF ENGINEERING AND TECHNOLOGY</t>
  </si>
  <si>
    <t>2013-Aug</t>
  </si>
  <si>
    <t>AutoCAD,MS Office,MS Project,Primavera P6</t>
  </si>
  <si>
    <t>GE3S | Consulting  | Abu Dhabi-UAE | May 2017 | May 2022 | 5Y 0M | 28.5
NSCC International saudi Contracting | Construction Environmental and Sustainability Manager | Saudi Arabia | Jan 2024 | Jan 2026 | 1Y 11M | 100</t>
  </si>
  <si>
    <t>6 Years 11 Months</t>
  </si>
  <si>
    <t>DLF Home Developers Limited | Planning and Exceution Intern | Gurugram | May 2026 | Jul 2026 | 8 Weeks | Campus Internship</t>
  </si>
  <si>
    <t>Estidama - PCRS
ESTIDAMA - PBRS</t>
  </si>
  <si>
    <t>P25700001</t>
  </si>
  <si>
    <t>SUDEESWAR</t>
  </si>
  <si>
    <t>K</t>
  </si>
  <si>
    <t>Sudeeswar K</t>
  </si>
  <si>
    <t>12441sudeeswark@gmail.com</t>
  </si>
  <si>
    <t>p25700001@student.nicmar.ac.in</t>
  </si>
  <si>
    <t>04-Apr-2003</t>
  </si>
  <si>
    <t>TAMIL,ENGLISH,TELUGU</t>
  </si>
  <si>
    <t>5338 3512 1471</t>
  </si>
  <si>
    <t>KUNDUMANI</t>
  </si>
  <si>
    <t>MENAGA</t>
  </si>
  <si>
    <t>5/617 Parakadu Alagapuram Periya Pudur Salem</t>
  </si>
  <si>
    <t>Salem</t>
  </si>
  <si>
    <t>HOLY CROSS MATRICULATION HIGHER SECONDARY SCHOOL</t>
  </si>
  <si>
    <t>STATE BOARD, TAMIL NADU</t>
  </si>
  <si>
    <t>SONA COLLEGE OF TECHNOLOGY SALEM/TAMIL NADU</t>
  </si>
  <si>
    <t>AutoCAD,MS Office,MS Project,Primavera,BIM,STAAD PRO</t>
  </si>
  <si>
    <t>J. Kumar Infraprojects Ltd | Summer Intern- Site Execution | CHENNAI | May 2026 | Jul 2026 | 9.7142857142857 Weeks | Campus Internship
SURRYA BUILDERS | TRAINEE | SALEM | Jun 2024 | Jul 2024 | 6.4285714285714 Weeks</t>
  </si>
  <si>
    <t>P25700002</t>
  </si>
  <si>
    <t>SAMKIT</t>
  </si>
  <si>
    <t>VIKKI</t>
  </si>
  <si>
    <t>PALRECHA</t>
  </si>
  <si>
    <t>Samkit Vikki Palrecha</t>
  </si>
  <si>
    <t>samkitpalrecha20@gmail.com</t>
  </si>
  <si>
    <t>p25700002@student.nicmar.ac.in</t>
  </si>
  <si>
    <t>07-Mar-2003</t>
  </si>
  <si>
    <t>English, Hindi, Marathi, Marwadi</t>
  </si>
  <si>
    <t>5870 0268 0076</t>
  </si>
  <si>
    <t>VIKKI PALRECHA</t>
  </si>
  <si>
    <t>BUSINESS</t>
  </si>
  <si>
    <t>VINITA PALRECHA</t>
  </si>
  <si>
    <t>Plot No.22, Chanchal Niwas, Pradhan Park, Lonavala 410-401</t>
  </si>
  <si>
    <t>RYEWOOD INTERNATIONAL SCHOOL</t>
  </si>
  <si>
    <t>INDIAN COUNSIL OF SECONDARY EDUCATION, PUNE, MAHARASHTRA</t>
  </si>
  <si>
    <t>DON BOSCO JUNIOR COLLEGE</t>
  </si>
  <si>
    <t>2021-May</t>
  </si>
  <si>
    <t>D Y PATIL COLLEGE OF ENGINEERING, AKURDI, PUNE</t>
  </si>
  <si>
    <t>2021-Jun</t>
  </si>
  <si>
    <t>2025-Jun</t>
  </si>
  <si>
    <t>AutoCAD</t>
  </si>
  <si>
    <t>Vikas Constructions | Project Management  Intern | Lonavala | May 2026 | Jul 2026 | 8.4285714285714 Weeks | Campus Internship
VIKAS CONSTRUCTIONS | JUNIOR ENGINEER | AAMBY VALLEY CITY, SAHARA | Nov 2024 | Mar 2025 | 16.428571428571 Weeks
SHAASHWAT BUILDERS, PROMOTERS &amp; DEVELOPERS | INTERN | LONAVALA | Dec 2023 | Feb 2024 | 12.428571428571 Weeks</t>
  </si>
  <si>
    <t>P25700004</t>
  </si>
  <si>
    <t>JAGMA</t>
  </si>
  <si>
    <t>PRIYADARSHINI</t>
  </si>
  <si>
    <t>Jagma Priyadarshini</t>
  </si>
  <si>
    <t>jagma2002@gmail.com</t>
  </si>
  <si>
    <t>p25700004@student.nicmar.ac.in</t>
  </si>
  <si>
    <t>05-Mar-2004</t>
  </si>
  <si>
    <t>ENGLISH,HINDI,ODIA</t>
  </si>
  <si>
    <t>3414 2234 8709</t>
  </si>
  <si>
    <t>HIMANSHU SEKHAR DAS</t>
  </si>
  <si>
    <t>ASST.ENGINEER (MINOR IRRIGATION)</t>
  </si>
  <si>
    <t>MEENAKSHEE DAS</t>
  </si>
  <si>
    <t>A/71,PPL HOUSING COLONY,AIGINIA,KHANDAGIRI,BHUBANESWAR</t>
  </si>
  <si>
    <t>Khordha</t>
  </si>
  <si>
    <t>Odisha</t>
  </si>
  <si>
    <t>DAV PUBLIC SCHOOL,KALINGANAGAR,BHUBANESWAR</t>
  </si>
  <si>
    <t>SECONDARY EDUCATION (CBSE)</t>
  </si>
  <si>
    <t>HIGHER SECONDARY EDUCATION (CBSE)</t>
  </si>
  <si>
    <t>BIJU PATNAIK UNIVERSITY OF TECHNOLOGY,ROURKELA,ODISHA</t>
  </si>
  <si>
    <t>INDIRA GANDHI INSTITUTE OF TECHNOLOGY,SARANG</t>
  </si>
  <si>
    <t>2021-Dec</t>
  </si>
  <si>
    <t>AutoCAD,MS Office,STAAD PRO</t>
  </si>
  <si>
    <t>ASIAN PAINTS | Sales Engineering + Waterproofing | BHUBANESWAR,ODISHA | May 2026 | Jul 2026 | 8.7142857142857 Weeks | Campus Internship
QUALITY ASSURANCE DIVISION ,BHUBANESWAR | INTERN | BHUBANESWAR,ODISHA | May 2024 | Jun 2024 | 4.2857142857143 Weeks
OFFICE OF THE EXECUTIVE ENGINEER BHUBANESWAR (R&amp;B) DIVISION NO-V BHUBANESWARL | INTERN | BHUBANESWAR,ODISHA | May 2023 | Jun 2023 | 4.4285714285714 Weeks</t>
  </si>
  <si>
    <t>P25700005</t>
  </si>
  <si>
    <t>AYUSH</t>
  </si>
  <si>
    <t>NAIK</t>
  </si>
  <si>
    <t>Ayush Naik</t>
  </si>
  <si>
    <t>naikayush402@gmail.com</t>
  </si>
  <si>
    <t>p25700005@student.nicmar.ac.in</t>
  </si>
  <si>
    <t>27-Aug-2002</t>
  </si>
  <si>
    <t>ENGLISH, HINDI, ODIA</t>
  </si>
  <si>
    <t>6491 6445 4028</t>
  </si>
  <si>
    <t>ASIS NAIK</t>
  </si>
  <si>
    <t>MITA RANI NAIK</t>
  </si>
  <si>
    <t>S/O Asis Naik, Ayush Complex, Kainsir Road, Karamtoli, Ainthapali</t>
  </si>
  <si>
    <t>Sambalpur</t>
  </si>
  <si>
    <t>MADNAWATI PUBLIC SCHOOL</t>
  </si>
  <si>
    <t>CENTRAL BOARD OF SECONDARY EDUCATION, SAMBALPUR/ODISHA</t>
  </si>
  <si>
    <t>GANDHI INSTITUTE OF ENGINEERING AND TECHNOLOGY UNIVERSITY, GUNUPUR/ODISHA</t>
  </si>
  <si>
    <t>2020-Sep</t>
  </si>
  <si>
    <t>Dineshchandra R. Agrawal Infracon Pvt. Ltd. | Graduate Engineer Trainee (GET) | Chennai, Tamil Nadu | Mar 2024 | Jan 2025 | 0Y 10M | 2.4</t>
  </si>
  <si>
    <t>0 Years 10 Months</t>
  </si>
  <si>
    <t>SOBHA India Limited | Site Execution | Bangalore | May 2026 | Jul 2026 | 9 Weeks | Campus Internship
HINDALCO A UNIT ADITYA ALUMINUM | INTERN | SAMBALPUR, ODISHA | Jun 2023 | Jun 2023 | 4.1428571428571 Weeks</t>
  </si>
  <si>
    <t>P25700006</t>
  </si>
  <si>
    <t>THETE</t>
  </si>
  <si>
    <t>AJINKYA</t>
  </si>
  <si>
    <t>TANAJI</t>
  </si>
  <si>
    <t>Thete Ajinkya Tanaji</t>
  </si>
  <si>
    <t>ajinkyatthete@gmail.com</t>
  </si>
  <si>
    <t>P2370047@student.nicmar.ac.in</t>
  </si>
  <si>
    <t>21-Sep-2002</t>
  </si>
  <si>
    <t>ENGLISH,HINDI,MARATHI</t>
  </si>
  <si>
    <t>9832 4212 6090</t>
  </si>
  <si>
    <t>TANAJI NAMDEO THETE</t>
  </si>
  <si>
    <t>HEAD CLERK</t>
  </si>
  <si>
    <t>VIJAYA TANAJI THETE</t>
  </si>
  <si>
    <t>PRINCIPAL</t>
  </si>
  <si>
    <t>Shivpushp Bunglow, Amrut Nagar, Lasalgaon-422306,Nashik, Maharashtra</t>
  </si>
  <si>
    <t>Nashik</t>
  </si>
  <si>
    <t>LOKNETE DATTAJI PATIL VIDYALAYA,LASALGAON</t>
  </si>
  <si>
    <t>NASHIK</t>
  </si>
  <si>
    <t>LOKNETE DATTAJI PATIL SECONDARY AND HIGHER SECONDARY SCHOOL, LASALGAON</t>
  </si>
  <si>
    <t>S.N.J.B'S KBJ COE,CHANDVAD</t>
  </si>
  <si>
    <t>AutoCAD,MS Office,Revit</t>
  </si>
  <si>
    <t>Samruddhi Associates | Site Engineer  | Nashik | Aug 2024 | Jun 2025 | 0Y 10M | 2.04</t>
  </si>
  <si>
    <t>Pune metro rail corporation  | Intern | Pune | May 2026 | Jul 2026 | 9.7142857142857 Weeks | Campus Internship
HH Builders and Developer | Intern  | Nashik | Jan 2023 | Feb 2023 | 4.4285714285714 Weeks</t>
  </si>
  <si>
    <t>P25700007</t>
  </si>
  <si>
    <t>ASHUTOSH</t>
  </si>
  <si>
    <t>Ashutosh Singh</t>
  </si>
  <si>
    <t>2007ashutosh2000@gmail.com</t>
  </si>
  <si>
    <t>p25700007@student.nicmar.ac.in</t>
  </si>
  <si>
    <t>12-Dec-2002</t>
  </si>
  <si>
    <t>5144 0136 1325</t>
  </si>
  <si>
    <t>UMESH KUMAR SINGH</t>
  </si>
  <si>
    <t>BUSINESSMAN</t>
  </si>
  <si>
    <t>SUMAN SINGH</t>
  </si>
  <si>
    <t>61,Near Kuchman Station, Chakariya, Keshavpur, Chandauli</t>
  </si>
  <si>
    <t>Chandauli</t>
  </si>
  <si>
    <t>SUNBEAM SCHOOL MUGHALSARAI</t>
  </si>
  <si>
    <t>CENTRAL BOARD OF SECONDARY EDUCATION, MUGHALSARAI/UTTARPRADESH</t>
  </si>
  <si>
    <t>CENTRAL BOARD OF SECONDARY EDUCATION, MUGHALSARAI/UTTAR PRADESH</t>
  </si>
  <si>
    <t>ABDUL KALAM TECHNICAL UNIVERSITY</t>
  </si>
  <si>
    <t>INDRAPRASHTHA ENGENEERING COLLEGE, GHAZIABAD/UTTARPRADESH</t>
  </si>
  <si>
    <t>2023-Dec</t>
  </si>
  <si>
    <t>AutoCAD,MS Office,MS Project,Primavera,StadPro</t>
  </si>
  <si>
    <t>J. kumar Infraprojects Ltd | Planning Engineer intern | New Delhi | May 2026 | Jul 2026 | 9.7142857142857 Weeks | Campus Internship</t>
  </si>
  <si>
    <t>Course on Building Design
BIM Fundamentals for Engineers</t>
  </si>
  <si>
    <t>P25700008</t>
  </si>
  <si>
    <t>DARSHAN</t>
  </si>
  <si>
    <t>SATISHKUMAR</t>
  </si>
  <si>
    <t>VAKHARIYA</t>
  </si>
  <si>
    <t>Darshan Satishkumar Vakhariya</t>
  </si>
  <si>
    <t>darshan.vakharia33@gmail.com</t>
  </si>
  <si>
    <t>p25700008@student.nicmar.ac.in</t>
  </si>
  <si>
    <t>02-Jan-2001</t>
  </si>
  <si>
    <t>ENGLISH,HINDI,MARATHI,GUJARATI</t>
  </si>
  <si>
    <t>2497 3115 8893</t>
  </si>
  <si>
    <t>SHRADDHA</t>
  </si>
  <si>
    <t>202 LIVIA SOCIETY, BHUMKAR NAGAR,HINJAWADI PUNE</t>
  </si>
  <si>
    <t>3299/B Mahavir Marg Barshi</t>
  </si>
  <si>
    <t>SULAKHE ENGLISH MEDIUM SCHOOL</t>
  </si>
  <si>
    <t>SHRI SHIVAJI MAHAVIDYALAYA, BARSHI</t>
  </si>
  <si>
    <t>ZEAL COLLEGE OF ENGINEERING AND RESEARCH</t>
  </si>
  <si>
    <t>2023-May</t>
  </si>
  <si>
    <t>Suyog Development Corporation LTD. | Trainee engineer | Gangadham, pune | Aug 2023 | Apr 2025 | 1Y 8M | 2.5</t>
  </si>
  <si>
    <t>Jyoti Structures Ltd | Management Intern  | Boisar-Pune | May 2026 | Jul 2026 | 8.5714285714286 Weeks | Campus Internship
Idhant Construction and Developers |  site engineer intern  | Barshi  | Jan 2022 | Feb 2022 | 4.4285714285714 Weeks</t>
  </si>
  <si>
    <t>P25700009</t>
  </si>
  <si>
    <t>SHIVAM</t>
  </si>
  <si>
    <t>SHARMA</t>
  </si>
  <si>
    <t>Shivam Sharma</t>
  </si>
  <si>
    <t>shivamsharma2003cool@gmail.com</t>
  </si>
  <si>
    <t>p25700009@student.nicmar.ac.in</t>
  </si>
  <si>
    <t>24-Nov-2003</t>
  </si>
  <si>
    <t>English Hindi</t>
  </si>
  <si>
    <t>8551 9504 4457</t>
  </si>
  <si>
    <t>ANAND SWARUP SHARMA</t>
  </si>
  <si>
    <t>ASHA DEVI</t>
  </si>
  <si>
    <t>Sector 123 H Block_x000D_
House Number 905</t>
  </si>
  <si>
    <t>Amritsar</t>
  </si>
  <si>
    <t>Punjab</t>
  </si>
  <si>
    <t>TAURIAN WORLD SCHOOL</t>
  </si>
  <si>
    <t>RANCHI JHARKHAND</t>
  </si>
  <si>
    <t>PODAR INTERNATIONAL SCHOOL</t>
  </si>
  <si>
    <t>BHUSAWAL MAHARASHTRA</t>
  </si>
  <si>
    <t>2020-Apr</t>
  </si>
  <si>
    <t>CHANDIGARH UNIVERSITY</t>
  </si>
  <si>
    <t>CHANDIGARH UNIVERSITY PUNJAB</t>
  </si>
  <si>
    <t>MS Project,Primavera,Arc Gis,Open Roads</t>
  </si>
  <si>
    <t>Pidilite Industries Ltd. | PPG Intern Segment | Gurugram | May 2026 | Jun 2026 | 7.5714285714286 Weeks | Campus Internship
aarvee association | Site Engineer | Shamli Saharanpur | May 2024 | Jul 2024 | 8 Weeks</t>
  </si>
  <si>
    <t>P25700010</t>
  </si>
  <si>
    <t>SHUBHANKAR</t>
  </si>
  <si>
    <t>DATTATREY</t>
  </si>
  <si>
    <t>MAIRAL</t>
  </si>
  <si>
    <t>Shubhankar Dattatrey Mairal</t>
  </si>
  <si>
    <t>mairalshubhankar@gmail.com</t>
  </si>
  <si>
    <t>p25700010@student.nicmar.ac.in</t>
  </si>
  <si>
    <t>21-Nov-2002</t>
  </si>
  <si>
    <t>ENGLISH, HINDI, MARATHI.</t>
  </si>
  <si>
    <t>2659 1560 4236</t>
  </si>
  <si>
    <t>DATTATREYA MAIRAL</t>
  </si>
  <si>
    <t>SANJIVANI MAIRAL</t>
  </si>
  <si>
    <t>Plot No. 44, PMG Society, Narendra Nagar, Nagpur.</t>
  </si>
  <si>
    <t>SOMALWAR NIKALAS HIGH SCHOOL AND JUNIOR COLLEGE</t>
  </si>
  <si>
    <t>MAHARASHTRA STATE BOARD</t>
  </si>
  <si>
    <t>RASHTRASANT TUKDOJI MAHARAJ NAGPUR UNIVERSITY</t>
  </si>
  <si>
    <t>YESHWANTRAO CHAVAN COLLEGE OF ENGINEERING, NAGPUR, MAHARASHTRA</t>
  </si>
  <si>
    <t>MASIN PROJECTS PRIVATE LIMITED  | Inter (Delay/Quantum) | Gurugram | May 2026 | Jul 2026 | 8.7142857142857 Weeks | Campus Internship
Manaswi Construction | Intern- Site Execution | Nagpur | Jan 2024 | May 2024 | 17.285714285714 Weeks</t>
  </si>
  <si>
    <t>P25700011</t>
  </si>
  <si>
    <t>NABA</t>
  </si>
  <si>
    <t>ANSARI</t>
  </si>
  <si>
    <t>Naba Ansari</t>
  </si>
  <si>
    <t>naba.falak@gmail.com</t>
  </si>
  <si>
    <t>p25700011@student.nicmar.ac.in</t>
  </si>
  <si>
    <t>07-Sep-2002</t>
  </si>
  <si>
    <t>English, Hindi, Urdu, Marathi, French</t>
  </si>
  <si>
    <t>4572 3312 2490</t>
  </si>
  <si>
    <t>MOHAMMAD ATIF ANSARI</t>
  </si>
  <si>
    <t>ATIYA NAYAB ANSARI</t>
  </si>
  <si>
    <t>B-35/002, Takshashila Loknagri, MIDC Road, Ambarnath - East, 421501</t>
  </si>
  <si>
    <t>Thane</t>
  </si>
  <si>
    <t>FATIMA HIGH SCHOOL &amp; JUNIOR COLLEGE</t>
  </si>
  <si>
    <t>SMT. CHANDIBAI HIMATHMAL MANSUKHANI COLLEGE, ULHASNAGAR</t>
  </si>
  <si>
    <t>L.S RAHEJA SCHOOL OF ARCHITECTURE</t>
  </si>
  <si>
    <t>AutoCAD,MS Office,MS Project,Sketchup,Revit,Vectorworks,QGIS,Photoshop,Rhino,Indesign,Illustrator,Twinmotion</t>
  </si>
  <si>
    <t>KPMG  | Intern  | Mumbai  | May 2026 | Jun 2026 | 7.5714285714286 Weeks | Campus Internship
SJK ARCHITECTS | ARCHITECTURAL DESIGN INTERN | MUMBAI | Nov 2023 | Apr 2024 | 22.428571428571 Weeks</t>
  </si>
  <si>
    <t>Architectural Conservation
Building Materials as a Cornerstone to Sustainability
Real Estate Financial Modeling
Foundations of Project Management
Finance for Non-Financial Managers</t>
  </si>
  <si>
    <t>P25700012</t>
  </si>
  <si>
    <t>KRISHNA</t>
  </si>
  <si>
    <t>SACHIN</t>
  </si>
  <si>
    <t>PAREKH</t>
  </si>
  <si>
    <t>Krishna Sachin Parekh</t>
  </si>
  <si>
    <t>krishnasachinparekh@gmail.com</t>
  </si>
  <si>
    <t>p25700012@student.nicmar.ac.in</t>
  </si>
  <si>
    <t>03-May-2003</t>
  </si>
  <si>
    <t>English, Hindi, Marathi, Gujarati</t>
  </si>
  <si>
    <t>AB+ve</t>
  </si>
  <si>
    <t>3960 4649 8957</t>
  </si>
  <si>
    <t>SACHIN JAYSING PAREKH</t>
  </si>
  <si>
    <t>KETAKI SACHIN PAREKH</t>
  </si>
  <si>
    <t>'Rajyog', Near Chanakyapuri Garden, Chanakyapuri, Vishrambag, Sangli</t>
  </si>
  <si>
    <t>Sangli</t>
  </si>
  <si>
    <t>CITY HIGH SCHOOL, SANGLI</t>
  </si>
  <si>
    <t>SSC BOARD, SANGLI, MAHARASHTRA</t>
  </si>
  <si>
    <t>MGSK GUJARATI HIGH SCHOOL, SANGLI</t>
  </si>
  <si>
    <t>HSC BOARD, SANGLI, MAHARASHTRA</t>
  </si>
  <si>
    <t>SHIVAJI UNIVERSITY, KOLHAPUR</t>
  </si>
  <si>
    <t>WALCHAND COLEGE OF ENGINEERING, SANGLI</t>
  </si>
  <si>
    <t>2020-Aug</t>
  </si>
  <si>
    <t>AutoCAD,MS Office,MS Project,Primavera,Edificius 2D &amp; 3D,RIB COSTX,REVIT</t>
  </si>
  <si>
    <t>S. N. Joshi Consultants Pvt. Ltd. | Trainee Engineer - Plumbing &amp; FF | Pune, Maharashtra | Jun 2024 | Feb 2025 | 0Y 8M | 3.9</t>
  </si>
  <si>
    <t>0 Years 8 Months</t>
  </si>
  <si>
    <t>RITES Limited | Project Management Intern - Highway Division | Gurugram, Harayana | May 2026 | Jul 2026 | 9 Weeks | Campus Internship
USHA CONSTRUCTIONS, BUILDERS &amp; CONTRACTORS | INTERN- SITE SUPERVISOR | SANGLI, MAHARASHTRA | Jun 2023 | Jun 2023 | 4.1428571428571 Weeks
DYNAMIC PRESTRESS  PROJECT &amp; SERVICES PVT. LTD. | INTERN | PUNE, MUMBAI - MAHARASHTRA | Jan 2023 | Jan 2023 | 1.4285714285714 Weeks</t>
  </si>
  <si>
    <t>P25700013</t>
  </si>
  <si>
    <t>SIDDHESH</t>
  </si>
  <si>
    <t>RAI</t>
  </si>
  <si>
    <t>Siddhesh Rai</t>
  </si>
  <si>
    <t>siddheshrai7275@gmail.com</t>
  </si>
  <si>
    <t>P24700729@student.nicmar.ac.in</t>
  </si>
  <si>
    <t>01-Dec-2001</t>
  </si>
  <si>
    <t>ENGLISH , HINDI , FRENCH</t>
  </si>
  <si>
    <t>Badminton,Meditation</t>
  </si>
  <si>
    <t>3607 4678 5140</t>
  </si>
  <si>
    <t>ABHAY RAJ RAI</t>
  </si>
  <si>
    <t>MANJU RAI</t>
  </si>
  <si>
    <t>BUSINESS PROPRIETOR</t>
  </si>
  <si>
    <t>House No. 6 , Durga Puri Colony , Eldeco Tiraha , Chinhat , Lucknow</t>
  </si>
  <si>
    <t>Lucknow</t>
  </si>
  <si>
    <t>DELHI PUBLIC SCHOOL</t>
  </si>
  <si>
    <t>CENTRAL BOARD OF SECONDARY EDUCATION LUCKNOW , UTTAR PRADESH</t>
  </si>
  <si>
    <t>THREE YEAR DIPLOMA IN CIVIL ENGINEERING</t>
  </si>
  <si>
    <t>HEWETT POLYTECHNIC LUCKNOW , UTTAR PRADESH</t>
  </si>
  <si>
    <t>2018-Aug</t>
  </si>
  <si>
    <t>BHARATI VIDYAPEETH ( DEEMED TO BE UNIVERSITY )</t>
  </si>
  <si>
    <t>BHARATI VIDYAPEETH COLLEGE OF ENGINEERING, PUNE , MAHARASHTRA</t>
  </si>
  <si>
    <t>AutoCAD,MS Office,MS Project,Primavera,ETABS,STAAD.Pro</t>
  </si>
  <si>
    <t>JS MARINE SERVICES PVT LTD | Site Supervisor | Lucknow | Jun 2024 | Jun 2025 | 1Y 0M | 3</t>
  </si>
  <si>
    <t>1 Year 0 Months</t>
  </si>
  <si>
    <t>Goa State Infrastructure Development Corporation Limited ( GSIDC ) | Site Execution / Site Supervision  | Goa | May 2026 | Jul 2026 | 8.7142857142857 Weeks | Campus Internship
Tricon Infra Buildtech Pvt . Ltd | Trainee Intern | Lucknow | Jun 2023 | Aug 2023 | 8.2857142857143 Weeks
Uttar Pradesh Awas Vikas Parishad Lucknow | Trainee Intern | Lucknow | Oct 2020 | Nov 2020 | 4.1428571428571 Weeks</t>
  </si>
  <si>
    <t>P25700014</t>
  </si>
  <si>
    <t>DIWATELWAR</t>
  </si>
  <si>
    <t>SUYASH</t>
  </si>
  <si>
    <t>SATISH</t>
  </si>
  <si>
    <t>Diwatelwar Suyash Satish</t>
  </si>
  <si>
    <t>suyashdiwatelwar@gmail.com</t>
  </si>
  <si>
    <t>p25700014@student.nicmar.ac.in</t>
  </si>
  <si>
    <t>30-Oct-2001</t>
  </si>
  <si>
    <t>Marathi, Hindi and English</t>
  </si>
  <si>
    <t>6140 8923 8718</t>
  </si>
  <si>
    <t>SATISH VASANTRAO DIWATELWAR</t>
  </si>
  <si>
    <t>SUHASINI SATISH DIWATELWAR</t>
  </si>
  <si>
    <t>Plot No 2, Santaji Society, Balpande Layout, Narendra Nagar, Rachna Vatika Road, Near Bajrang Aatta Chakki. Nagpur</t>
  </si>
  <si>
    <t>SOMALWAR NIKALAS HIGH SCHOOL AND JR. COLLEGE NAGPUR</t>
  </si>
  <si>
    <t>MAHARASHTRA STATE BOARD OF SECONDARY AND HIGHER SECONDARY EDUCATION, PUNE (NAGPUR/MAHARASHTRA)</t>
  </si>
  <si>
    <t>SHRI SHIVAJI SCIENCE COLLEGE NAGPUR</t>
  </si>
  <si>
    <t>G H RAISONI INSTITUTE OF ENGINEERING AND TECHNOLOGY, NAGPUR. MAHARASHTRA</t>
  </si>
  <si>
    <t>2024-Jul</t>
  </si>
  <si>
    <t>AutoCAD,MS Office,MS Project,Primavera,Revit,MS Excel</t>
  </si>
  <si>
    <t>MB Infra | Site Engineer | Nagpur | Jul 2024 | Jun 2025 | 0Y 11M | 3.6</t>
  </si>
  <si>
    <t>B. G. SHIRKE CONSTRUCTION TECHNOLOGY PVT. LTD. | Management Trainee | Nagpur | May 2026 | Jul 2026 | 9.7142857142857 Weeks | Campus Internship
MB Infra | Intern | Nagpur | Dec 2023 | Jun 2024 | 25.714285714286 Weeks
Rajkala Developers | Intern | Nagpur | Jun 2023 | Jul 2023 | 4.2857142857143 Weeks
Prefab Concrete Systems | Intern | Umargaon, Umred Road, Nagpur. | Feb 2022 | Feb 2022 | 2 Weeks</t>
  </si>
  <si>
    <t>AUTOCAD (Drafting Engineer)</t>
  </si>
  <si>
    <t>P25700015</t>
  </si>
  <si>
    <t>ANKIT</t>
  </si>
  <si>
    <t>RANJAN</t>
  </si>
  <si>
    <t>Ankit Ranjan</t>
  </si>
  <si>
    <t>ankitranjan413@gmail.com</t>
  </si>
  <si>
    <t>p25700015@student.nicmar.ac.in</t>
  </si>
  <si>
    <t>28-Feb-2001</t>
  </si>
  <si>
    <t>English and Hindi</t>
  </si>
  <si>
    <t>2759 9383 2103</t>
  </si>
  <si>
    <t>OM PRAKASH OJHA</t>
  </si>
  <si>
    <t>GOVERNMENT JOB</t>
  </si>
  <si>
    <t>MAMTA OJHA</t>
  </si>
  <si>
    <t>F-402 Amrapali Princely Estate Sector-76 Noida</t>
  </si>
  <si>
    <t>Gautam Buddha Nagar</t>
  </si>
  <si>
    <t>SARLA CHOPRA DAV PUBLIC SCHOOL</t>
  </si>
  <si>
    <t>CENTRAL BOARD OF SECONDARY EDUCATION,NOIDA</t>
  </si>
  <si>
    <t>2015-Apr</t>
  </si>
  <si>
    <t>2016-Mar</t>
  </si>
  <si>
    <t>DR.A.P.J ABDUL KALAM TECHNICAL UNIVERSITY</t>
  </si>
  <si>
    <t>JSS ACADEMY OF TECHNICAL EDUCATION, NOIDA</t>
  </si>
  <si>
    <t>Prateek Group | trainee engineer | ghaziabad | Jun 2024 | Apr 2025 | 0Y 10M | 2.16</t>
  </si>
  <si>
    <t>Prestige group  | Site execution  | Delhi ncr | May 2026 | Jul 2026 | 8.5714285714286 Weeks | Campus Internship
Municipal Corporation of Delhi | Intern | Delhi | Nov 2021 | Apr 2022 | 25.714285714286 Weeks</t>
  </si>
  <si>
    <t>P25700016</t>
  </si>
  <si>
    <t>VAIBHAV</t>
  </si>
  <si>
    <t>ARJUN</t>
  </si>
  <si>
    <t>BASETWAR</t>
  </si>
  <si>
    <t>Vaibhav Arjun Basetwar</t>
  </si>
  <si>
    <t>basetwarvaibhav@gmail.com</t>
  </si>
  <si>
    <t>p25700016@student.nicmar.ac.in</t>
  </si>
  <si>
    <t>19-May-2002</t>
  </si>
  <si>
    <t>3435 1834 0287</t>
  </si>
  <si>
    <t>VAISHALI</t>
  </si>
  <si>
    <t>Sambhaji Chowk Pandharpur</t>
  </si>
  <si>
    <t>KAVTHEKAR PRASAHALA PANDHARPUR</t>
  </si>
  <si>
    <t>SOLAPUR MAHARASHTRA</t>
  </si>
  <si>
    <t>VIVEK VARDHINI PANDHARPUR</t>
  </si>
  <si>
    <t>AISSMS COLLEGE OF ENGINEERING PUNE</t>
  </si>
  <si>
    <t>2024-Nov</t>
  </si>
  <si>
    <t>MAJESTIC REALTIES | Project Management - Intern  | Kothrud Pune  | May 2026 | Jun 2026 | 7.7142857142857 Weeks | Campus Internship
Tirupati Construction | Site Engineer | Pandharpur | Aug 2024 | Dec 2024 | 17.428571428571 Weeks</t>
  </si>
  <si>
    <t>P25700017</t>
  </si>
  <si>
    <t>SWAPNIL</t>
  </si>
  <si>
    <t>PRASHANT</t>
  </si>
  <si>
    <t>Swapnil Prashant Mane</t>
  </si>
  <si>
    <t>maneswapnil8101@gmail.com</t>
  </si>
  <si>
    <t>p25700017@student.nicmar.ac.in</t>
  </si>
  <si>
    <t>11-Sep-2001</t>
  </si>
  <si>
    <t>7014 2891 4267</t>
  </si>
  <si>
    <t>PRASHANT BABURAO MANE</t>
  </si>
  <si>
    <t>SHUBHANGI PRASHANT MANE</t>
  </si>
  <si>
    <t>Soham Niwas, Deshpande Colony, Ausa Road, Near Pramod Super Market</t>
  </si>
  <si>
    <t>Latur</t>
  </si>
  <si>
    <t>JIJAI NIWAS, ASHOKA SOCIETY ROAD, KALEWADI PHATA, THERGAON, PIMPRI CHINCHWAD</t>
  </si>
  <si>
    <t>SRI SRI RAVISHANKAR VIDYA MANDIR, LATUR</t>
  </si>
  <si>
    <t>DAYANAND SCIENCE COLLEGE, LATUR</t>
  </si>
  <si>
    <t>VISHWAKARMA INSTITUTE OF INFORMATION TECHNOLOGY, PUNE, MAHARASHTRA</t>
  </si>
  <si>
    <t>AutoCAD,MS Office,MS Project,Primavera,IPMS (Integrated Project Management System),CostX,Revit</t>
  </si>
  <si>
    <t>Adani Road Transport Limited | Assistant Manager- Planning &amp; Coordination | Raebareli, Uttar Pradesh | Aug 2023 | Jun 2025 | 1Y 10M | 8.37</t>
  </si>
  <si>
    <t>1 Year 10 Months</t>
  </si>
  <si>
    <t>New Consolidated Construction Company Limited  | Intern- Planning  | Alibag | May 2026 | Jul 2026 | 8.7142857142857 Weeks | Campus Internship
V.M. MATERE INFRASTRUCTURES (INDIA) PVT. LTD. | Site Engineering Intern | Pune | Mar 2023 | May 2023 | 12.142857142857 Weeks</t>
  </si>
  <si>
    <t>MS Project
Autocad Civil</t>
  </si>
  <si>
    <t>P25700018</t>
  </si>
  <si>
    <t>MD ZAID</t>
  </si>
  <si>
    <t>TANWEER</t>
  </si>
  <si>
    <t>JAHAGIRDAR</t>
  </si>
  <si>
    <t>Md Zaid Tanweer Jahagirdar</t>
  </si>
  <si>
    <t>ztj7620@gmail.com</t>
  </si>
  <si>
    <t>p25700018@student.nicmar.ac.in</t>
  </si>
  <si>
    <t>06-Nov-2001</t>
  </si>
  <si>
    <t>ENGLISH, HINDI, MARATHI</t>
  </si>
  <si>
    <t>9776 1155 3658</t>
  </si>
  <si>
    <t>TANWEER JAHAGIRDAR</t>
  </si>
  <si>
    <t>NIKHATARA JAHAGIRDAR</t>
  </si>
  <si>
    <t>Plot No 64, Tangsal Nagar, Asra, Majarewadi, Solapur North, Solapur</t>
  </si>
  <si>
    <t>MODEL PUBLIC SCHOOL, SOLAPUR</t>
  </si>
  <si>
    <t>A. D. JOSHI JUNIOR COLLEGE, SOLAPUR</t>
  </si>
  <si>
    <t>WALCHAND COLLEGE OF ENGINEERING, SANGLI</t>
  </si>
  <si>
    <t>2021-Feb</t>
  </si>
  <si>
    <t>AutoCAD,MS Office,MS Project,MS Excel,Revit,Lumion,ABAQUS- Finite Element Analysis</t>
  </si>
  <si>
    <t>Iconic Engineering Solutions | Trainee Engineer | Solapur | Jun 2024 | Jul 2025 | 1Y 1M | 2.2</t>
  </si>
  <si>
    <t>1 Year 2 Months</t>
  </si>
  <si>
    <t>The Construction House | Structural Designer | Sangli | Jul 2023 | Jul 2023 | 4.2857142857143 Weeks
Unity Multicons Pvt. Ltd. | Site Supervisor | Solapur | Jan 2024 | Apr 2024 | 13.714285714286 Weeks</t>
  </si>
  <si>
    <t>P25700019</t>
  </si>
  <si>
    <t>PRAJYOT</t>
  </si>
  <si>
    <t>PRADIP</t>
  </si>
  <si>
    <t>PATIL</t>
  </si>
  <si>
    <t>Prajyot Pradip Patil</t>
  </si>
  <si>
    <t>prajyotpatil2815@gmail.com</t>
  </si>
  <si>
    <t>p25700019@student.nicmar.ac.in</t>
  </si>
  <si>
    <t>28-Aug-2003</t>
  </si>
  <si>
    <t>ENGLISH,MARATHI,HINDI</t>
  </si>
  <si>
    <t>2958 6975 3100</t>
  </si>
  <si>
    <t>PRADIP RAMCHANDRA PATIL</t>
  </si>
  <si>
    <t>JYOTI PRADIP PATIL</t>
  </si>
  <si>
    <t>ARDARSH NAGAR BEHINDE RTO OFFICE PEN RAIGAD_x000D_
INFRONT OF SAIDEEP BANGLOW</t>
  </si>
  <si>
    <t>Raigad</t>
  </si>
  <si>
    <t>PEN EDUCATION SOCIETY ENGLISH MEDIUM SCHOOL, PEN</t>
  </si>
  <si>
    <t>PRIVATE HIGH SCHOOL AND JUNIOR COLLEGE, PEN</t>
  </si>
  <si>
    <t>2021-Mar</t>
  </si>
  <si>
    <t>SARASWATI COLLEGE OF ENGINEERING, KHARGHAR</t>
  </si>
  <si>
    <t>Sobha Realty  | Site Execution  | Bangalore  | May 2026 | Jul 2026 | 9 Weeks | Campus Internship
YOGESHWAR CONSTRUCTION | Site Engineer | PEN | May 2025 | Jul 2025 | 8.5714285714286 Weeks
IMARIKA INFRAPROJECTS | Site Engineer | Airoli, Navi Mumbai | Jan 2023 | Feb 2023 | 4.2857142857143 Weeks</t>
  </si>
  <si>
    <t>Certificate Course in AutoCAD</t>
  </si>
  <si>
    <t>P25700020</t>
  </si>
  <si>
    <t>NIKITHA</t>
  </si>
  <si>
    <t>M B</t>
  </si>
  <si>
    <t>Nikitha M B</t>
  </si>
  <si>
    <t>nikithagowda9399@gmail.com</t>
  </si>
  <si>
    <t>p25700020@student.nicmar.ac.in</t>
  </si>
  <si>
    <t>09-Mar-1999</t>
  </si>
  <si>
    <t>English, Kannada, Hindi</t>
  </si>
  <si>
    <t>2718 4029 1882</t>
  </si>
  <si>
    <t>BASAVARAJU</t>
  </si>
  <si>
    <t>BUSINESS &amp; AGRICULTURE</t>
  </si>
  <si>
    <t>JAYALAKSHIMI M</t>
  </si>
  <si>
    <t>#501 B Block, 2nd Cross, JP Nagar, Mysore</t>
  </si>
  <si>
    <t>Mysore</t>
  </si>
  <si>
    <t>Karnataka</t>
  </si>
  <si>
    <t>MARIMALLAPPA'S HIGH SCHOOL</t>
  </si>
  <si>
    <t>KARNATAKA SCHOOL EXAMINATION AND ASSESSMENT BOARD, KARNATAKA</t>
  </si>
  <si>
    <t>2013-Jun</t>
  </si>
  <si>
    <t>2014-Apr</t>
  </si>
  <si>
    <t>MARIMALLAPPA'S PU COLLEGE</t>
  </si>
  <si>
    <t>DEPARTMENT OF PRE-UNIVERSITY EDUCATION, KARNATAKA</t>
  </si>
  <si>
    <t>VISVESVARAYA TECHNOLOGICAL UNIVERSITY</t>
  </si>
  <si>
    <t>VIDYAVARDHAKA COLLEGE OF ENGINEEERING, MYSORE, KARNATAKA</t>
  </si>
  <si>
    <t>MS Office,MS Project,Primavera,Rivet Achitecture,3ds Max,AutoCAD 2D &amp; 3D, BIM, Stakeholder Management</t>
  </si>
  <si>
    <t>Godrej Properties Ltd | Contracts And Procurement Intern | Godrej Ananda, Bangalore, Karnataka | May 2026 | Jul 2026 | 8.7142857142857 Weeks | Campus Internship
VIVIDHA BUILDERS | QUANTITY SURVEYOR | MYSORE,KARNATAKA | Apr 2023 | Nov 2024 | 86.428571428571 Weeks
G9 Projects | Site Engineer | Mysore,Karnataka | Jul 2019 | Aug 2019 | 4.7142857142857 Weeks</t>
  </si>
  <si>
    <t>P25700021</t>
  </si>
  <si>
    <t>SOUVIK</t>
  </si>
  <si>
    <t>PAUL</t>
  </si>
  <si>
    <t>Souvik Paul</t>
  </si>
  <si>
    <t>souvikpaul9725@gmail.com</t>
  </si>
  <si>
    <t>p25700021@student.nicmar.ac.in</t>
  </si>
  <si>
    <t>07-Jun-2000</t>
  </si>
  <si>
    <t>English, Hindi &amp; Bengali</t>
  </si>
  <si>
    <t>5705 4799 7563</t>
  </si>
  <si>
    <t>SAJAL PAUL</t>
  </si>
  <si>
    <t>PRATIVA PAUL</t>
  </si>
  <si>
    <t>Nangi Chakraborty Para, P.O - Batanagar, Maheshtala, Dist. - South 24 PGS. , Kolkata - 700140</t>
  </si>
  <si>
    <t>South 24 Parganas</t>
  </si>
  <si>
    <t>West Bengal</t>
  </si>
  <si>
    <t>BALLYGUNGE GOVT. HIGH SCHOOL</t>
  </si>
  <si>
    <t>WEST BENGAL BOARD OF SECONDARY EDUCATION (KOLKATA)</t>
  </si>
  <si>
    <t>2015-Jan</t>
  </si>
  <si>
    <t>WEST BENGAL COUNCIL OF HIGHER SECONDARY EDUCATION (KOLKATA)</t>
  </si>
  <si>
    <t>RAMAKRISHNA MISSION SHILPAPITHA (KOLKATA)</t>
  </si>
  <si>
    <t>MAULANA ABUL KALAM AZAD UNIVERSITY OF TECHNOLOGY</t>
  </si>
  <si>
    <t>MEGHNAD SAHA INSTITUTE OF TECHNOLOGY (KOLKATA)</t>
  </si>
  <si>
    <t>2024-Aug</t>
  </si>
  <si>
    <t>AutoCAD, MS Office, MS Project, Autodesk Revit, Primavera</t>
  </si>
  <si>
    <t>Central Public Works Department (CPWD) | Project Intern – Execution &amp; Planning | Barrackpore, Kolkata, West Bengal | May 2026 | Jul 2026 | 9.5714285714286 Weeks | Campus Internship
SIMPLEX INFRASTRUCTURES LIMITED | SITE INTERN | SHUKHOBRISHTI UMIG SITE, NEW TOWN, KOLKATA - 700135 | Jul 2023 | Jul 2023 | 4 Weeks</t>
  </si>
  <si>
    <t>Python And Flask Demonstrations Practice Course
Power BI DAX
Complete Cubase Megacourse
Complete Clip Studio Paint Megacourse
Course on Revit Architecture Essential</t>
  </si>
  <si>
    <t>P25700022</t>
  </si>
  <si>
    <t>AMIT</t>
  </si>
  <si>
    <t>ANSHUMAN</t>
  </si>
  <si>
    <t>PATRA</t>
  </si>
  <si>
    <t>Amit Anshuman Patra</t>
  </si>
  <si>
    <t>chirag98amit@gmail.com</t>
  </si>
  <si>
    <t>p25700022@student.nicmar.ac.in</t>
  </si>
  <si>
    <t>01-Jan-2000</t>
  </si>
  <si>
    <t>3690 9209 9221</t>
  </si>
  <si>
    <t>BIBEKANANDA PATRA</t>
  </si>
  <si>
    <t>ANITA MALLICK</t>
  </si>
  <si>
    <t>HOUSE MAKER</t>
  </si>
  <si>
    <t>PLOT NO-570/2245, BAC HOUSE , LANE 5C_x000D_
SHREE VIHAR, PATIA</t>
  </si>
  <si>
    <t>Bhubaneswar</t>
  </si>
  <si>
    <t>ODM PUBLIC SCHOOL</t>
  </si>
  <si>
    <t>CENTRAL BOARD OF SECONDARY EDUCATION. DELHI</t>
  </si>
  <si>
    <t>2014-May</t>
  </si>
  <si>
    <t>KIIT INTERNATIONAL SCHOOL</t>
  </si>
  <si>
    <t>BIJU PATNAIK UNIVERSITY OF TECHNOLOGY, ODISHA</t>
  </si>
  <si>
    <t>INDIRA GANDHI INSTITUTE OF TECHNOLOGY, SARANG, DHENKANAL, ODISHA</t>
  </si>
  <si>
    <t>UNIVERSITY OF MANCHESTER</t>
  </si>
  <si>
    <t>Other</t>
  </si>
  <si>
    <t>2023-Sep</t>
  </si>
  <si>
    <t>2024-Sep</t>
  </si>
  <si>
    <t>AutoCAD,MS Office,MS Project,Primavera,STADD PRO,ANSYS,LAB VIEW</t>
  </si>
  <si>
    <t>Bharat Heavy Electricals Limited | Site Execution Control | Talcher, Odisha | May 2026 | Jul 2026 | 9.7142857142857 Weeks | Campus Internship
GOVERNMENT OF ODISHA, WORKS DEPARTMENT | AAPRENTICESHIP TRAINEE | BHUBANESWAR | Dec 2022 | Sep 2023 | 39.142857142857 Weeks</t>
  </si>
  <si>
    <t>Post Graduate Diploma in Structural Engineering</t>
  </si>
  <si>
    <t>P25700023</t>
  </si>
  <si>
    <t>JUSTIN</t>
  </si>
  <si>
    <t>JOSEPH</t>
  </si>
  <si>
    <t>Justin Joseph</t>
  </si>
  <si>
    <t>0602justin@gmail.com</t>
  </si>
  <si>
    <t>p25700023@student.nicmar.ac.in</t>
  </si>
  <si>
    <t>25-Jun-2001</t>
  </si>
  <si>
    <t>3612 3170 1274</t>
  </si>
  <si>
    <t>JOSEPH MATHEW</t>
  </si>
  <si>
    <t>MINIMOL THOMAS</t>
  </si>
  <si>
    <t>AYYANKARY THURAVASSERY,CHAMPAKULAM</t>
  </si>
  <si>
    <t>Alappuzha</t>
  </si>
  <si>
    <t>ST.JOSEPH'S HSS PULINCUNNOO KERALA</t>
  </si>
  <si>
    <t>ST.MARY'S HSS CHAMPAKULAM KERALA</t>
  </si>
  <si>
    <t>BOARD OF HIGHER SECONDARY EXAMINATIONS</t>
  </si>
  <si>
    <t>APJ ABDUL KALAM TECHNOLOGICAL UNIVERSITY KERALA</t>
  </si>
  <si>
    <t>SAINTGITS COLLEGE OF ENGINEERING PATHAMUTTOM KOTTAYAM KERALA</t>
  </si>
  <si>
    <t>AutoCAD,MS Office,MS Project,REVIT,BIM</t>
  </si>
  <si>
    <t>TECHNOLOGY AND GOVERNANCE SUPPORT FORUM | PROJECT ENGINEER | Alappuzha | Jun 2024 | Jun 2025 | 1Y 0M | 1.8</t>
  </si>
  <si>
    <t>Cherry Hill Interiors | Site Execution Intern | Chennai | May 2026 | Jul 2026 | 8.5714285714286 Weeks | Campus Internship
J M J DEVELOPERS | CIVIL ENGINEERING INTERN | CHANGANACHERRY | Jul 2023 | May 2024 | 46.714285714286 Weeks</t>
  </si>
  <si>
    <t>BIM Professional Cousre</t>
  </si>
  <si>
    <t>P25700024</t>
  </si>
  <si>
    <t>RAHUL</t>
  </si>
  <si>
    <t>P</t>
  </si>
  <si>
    <t>Rahul P Raju</t>
  </si>
  <si>
    <t>rahulpothiyil@gmail.com</t>
  </si>
  <si>
    <t>P2370703@student.nicmar.ac.in</t>
  </si>
  <si>
    <t>02-Feb-2002</t>
  </si>
  <si>
    <t>English, Malayalam</t>
  </si>
  <si>
    <t>Football</t>
  </si>
  <si>
    <t>4742 8347 1716</t>
  </si>
  <si>
    <t>RAJU P.M</t>
  </si>
  <si>
    <t>EX-GULF</t>
  </si>
  <si>
    <t>RASMI RAJU</t>
  </si>
  <si>
    <t>Pothiyil House
Edathirinji P.O
Thrissur</t>
  </si>
  <si>
    <t>Thrissur</t>
  </si>
  <si>
    <t>Pothiyil House_x000D_
Edathirinji P.O_x000D_
Thrissur_x000D_</t>
  </si>
  <si>
    <t>CHRIST VIDYANIKETHAN</t>
  </si>
  <si>
    <t>ICSE</t>
  </si>
  <si>
    <t>S.N.H.S.S</t>
  </si>
  <si>
    <t>STATE</t>
  </si>
  <si>
    <t>CHRIST COLLEGE OF ENGINEERING , IRINJALAKUDA , KERALA</t>
  </si>
  <si>
    <t>2024-Apr</t>
  </si>
  <si>
    <t>AutoCAD,MS Project</t>
  </si>
  <si>
    <t>Uralungal Labour Contract Co-operative Society | Site Execution | Ernakulam | May 2026 | Jul 2026 | 7.7142857142857 Weeks | Campus Internship
LSGD Palakkad | Civil Engineering Intern | Palakkad | May 2023 | May 2023 | 1.1428571428571 Weeks
LSGD Muriyad | Civil Engineering Intern | Muriyad | Mar 2024 | Apr 2024 | 4.4285714285714 Weeks
KSCSTE-NATPAC | TRAFFIC ENGINEERING INTERN | THRISSUR | Feb 2023 | Mar 2023 | 0.14285714285714 Weeks</t>
  </si>
  <si>
    <t>Sketchup and Lumion
AutoCAD</t>
  </si>
  <si>
    <t>P25700026</t>
  </si>
  <si>
    <t>SAHIL</t>
  </si>
  <si>
    <t>KUMAR</t>
  </si>
  <si>
    <t>SINHA</t>
  </si>
  <si>
    <t>Sahil Kumar Sinha</t>
  </si>
  <si>
    <t>sahilkumarsinha036@gmail.com</t>
  </si>
  <si>
    <t>p25700026@student.nicmar.ac.in</t>
  </si>
  <si>
    <t>22-Mar-2002</t>
  </si>
  <si>
    <t>9555 7148 6852</t>
  </si>
  <si>
    <t>MANOJ KUMAR SINHA</t>
  </si>
  <si>
    <t>RANJU SINHA</t>
  </si>
  <si>
    <t>Flat No 303 Kishundhari Enclave New Punaichak Patna</t>
  </si>
  <si>
    <t>D A V PUBLIC SCHOOL BSEB COLONY PATNA BIHAR</t>
  </si>
  <si>
    <t>CENTRAL BOARD OF SECONDARY EDUCATION PATNA BIHAR</t>
  </si>
  <si>
    <t>VIDYA NIKETAN PO SARAI MANER DANAPUR PATNA BIHAR</t>
  </si>
  <si>
    <t>KIIT UNIVERSITY BHUBANESWAR ODISHA</t>
  </si>
  <si>
    <t>KALINGA INSTITUTE OF INDUSTRIAL TECHNOLOGY BHUBANESWAR ODISHA</t>
  </si>
  <si>
    <t>Convenient Construction Consultancy Pvt Ltd | Planning Intern | Bhubaneswar Odisha | May 2026 | Jul 2026 | 9.7142857142857 Weeks | Campus Internship
SWASTIK INFRALOGICS PVT.LTD | Intern | AURANGABAD BIHAR | May 2023 | Jun 2023 | 4.2857142857143 Weeks
NATIONAL COUNCIL FOR CEMENT AND BUILDING MATERIALS | Intern | BHUBANESWAR ODISHA | Jun 2022 | Jul 2022 | 4.1428571428571 Weeks</t>
  </si>
  <si>
    <t>P25700027</t>
  </si>
  <si>
    <t>ADARSH</t>
  </si>
  <si>
    <t>YAPALPARVI</t>
  </si>
  <si>
    <t>Adarsh Yapalparvi</t>
  </si>
  <si>
    <t>adarsh.01y@gmail.com</t>
  </si>
  <si>
    <t>p25700027@student.nicmar.ac.in</t>
  </si>
  <si>
    <t>27-Sep-2000</t>
  </si>
  <si>
    <t>English, Hindi, Kannada, Telugu</t>
  </si>
  <si>
    <t>8802 5179 6624</t>
  </si>
  <si>
    <t>MANJUNATH</t>
  </si>
  <si>
    <t>LICENSED LAND SURVEYOR</t>
  </si>
  <si>
    <t>SHIVARANJANI</t>
  </si>
  <si>
    <t>S/O MANJUNATH YAPALPARVI_x000D_
NEAR BSNL OFFICE,_x000D_
ABOVE PATANJALI SHOP ,_x000D_
NAVALI ROAD , KARATAGI</t>
  </si>
  <si>
    <t>Koppal</t>
  </si>
  <si>
    <t>S/O Manjunath Yapalparvi, 5th Ward_x000D_
Karatagi, PO: Karatagi</t>
  </si>
  <si>
    <t>SRI VIDYANIKETAN PUBLIC SCHOOL</t>
  </si>
  <si>
    <t>CENTRAL BOARD OF SECONDARY EDUCATION, SRIRAMNAGAR/KARNATAKA</t>
  </si>
  <si>
    <t>ALVAS PRE UNIVERSITY COLLEGE</t>
  </si>
  <si>
    <t>AUTONOMOUS COLLEGE UNDER VISVESYARAYA TECHNOLOGICAL UNIVERSITY</t>
  </si>
  <si>
    <t>B M S COLLEGE OF ENGINEERING BENGALURU/KARNATAKA</t>
  </si>
  <si>
    <t>Shapoorji Pallonji Engineering and Construction | Construction Engineer | Phulbani (Odisha) and Hyderabad | Aug 2023 | Jan 2025 | 1Y 5M | 4.25</t>
  </si>
  <si>
    <t>1 Year 5 Months</t>
  </si>
  <si>
    <t>V.P. KARIKAL Engineer | Project Planning | Ganagavathi | May 2026 | Jul 2026 | 8.7142857142857 Weeks | Campus Internship
Rao Construction and Builders | Trainee | Bengaluru | Sep 2022 | Oct 2022 | 4.2857142857143 Weeks</t>
  </si>
  <si>
    <t>P25700029</t>
  </si>
  <si>
    <t>ELDHO</t>
  </si>
  <si>
    <t>V</t>
  </si>
  <si>
    <t>SLEEBA</t>
  </si>
  <si>
    <t>Eldho V Sleeba</t>
  </si>
  <si>
    <t>eldhovsleeba11@gmail.com</t>
  </si>
  <si>
    <t>p25700029@student.nicmar.ac.in</t>
  </si>
  <si>
    <t>5558 3334 8186</t>
  </si>
  <si>
    <t>SLEEBA V PAUL</t>
  </si>
  <si>
    <t>FARM OFFICER</t>
  </si>
  <si>
    <t>BIJI KURIAKOSE</t>
  </si>
  <si>
    <t>Vakkanampadathil House,_x000D_
Kureekkad P.O, Tripunithura</t>
  </si>
  <si>
    <t>KENDRIYA VIDYALAYA NO 2, NAVAL BASE, KOCHI</t>
  </si>
  <si>
    <t>CENTRAL BOARD OF SECONDARY EDUCATION - ERNAKULAM, KERALA</t>
  </si>
  <si>
    <t>MUTHOOT INSTITUTE OF TECHNOLOGY AND SCIENCE - VARIKOLI, ERNAKULAM, KERALA</t>
  </si>
  <si>
    <t>AutoCAD,MS Office,MS Project,REVIT,ETABS</t>
  </si>
  <si>
    <t>Buildit PMC Pvt Ltd. | Site Engineer | Ernakulam, Kerala | Dec 2022 | Sep 2024 | 1Y 8M | 1.8</t>
  </si>
  <si>
    <t>Cherry Hill Interiors Pvt Ltd | Site Execution - Projects | Bangalore | May 2026 | Jul 2026 | 8.5714285714286 Weeks | Campus Internship</t>
  </si>
  <si>
    <t>Etabs - Structural 3D Analysis
Revit Architecture
Foundations of Project management
Cambridge English Level 1 Certificate in ESOL International (Business Preliminary)</t>
  </si>
  <si>
    <t>P25700030</t>
  </si>
  <si>
    <t>NIHAL</t>
  </si>
  <si>
    <t>ROY</t>
  </si>
  <si>
    <t>Nihal Roy</t>
  </si>
  <si>
    <t>nihalroyhsp@gmail.com</t>
  </si>
  <si>
    <t>p25700030@student.nicmar.ac.in</t>
  </si>
  <si>
    <t>18-Aug-2000</t>
  </si>
  <si>
    <t>ENGLISH, HINDI, PUNJABI</t>
  </si>
  <si>
    <t>6551 4890 8152</t>
  </si>
  <si>
    <t>HARE RAM ROY</t>
  </si>
  <si>
    <t>BABITA KUMARI</t>
  </si>
  <si>
    <t>B-25/380A, Moh- Sunder Nagar, Po- Rahimpur</t>
  </si>
  <si>
    <t>Hoshiarpur</t>
  </si>
  <si>
    <t>ST.JOSEPH'S CONVENT SCHOOL</t>
  </si>
  <si>
    <t>HOSHIARPUR/PUNJAB</t>
  </si>
  <si>
    <t>2009-Apr</t>
  </si>
  <si>
    <t>SDS VIDYA MANDIR</t>
  </si>
  <si>
    <t>SAMASTIPUR/BIHAR</t>
  </si>
  <si>
    <t>2016-Jul</t>
  </si>
  <si>
    <t>PT.JR GOVT. POLYTECHNIC COLLEGE</t>
  </si>
  <si>
    <t>THAPAR INSTITUTE OF ENGINEERING &amp; TECHNOLOGY (DEEMED-TO-BE-UNIVERSITY)</t>
  </si>
  <si>
    <t>THAPAR INSTITUTE OF ENGINEERING AND TECHNOLOGY</t>
  </si>
  <si>
    <t>2022-Jul</t>
  </si>
  <si>
    <t>2025-Jul</t>
  </si>
  <si>
    <t>HR Builder | Intern | Ludhiana | May 2026 | Jul 2026 | 8 Weeks | Campus Internship
Angelica Developers ( A subsidiary of Bharti Realty limited ) | Intern | Aerocity, New Delhi | Jun 2024 | Dec 2024 | 26 Weeks</t>
  </si>
  <si>
    <t>P25700032</t>
  </si>
  <si>
    <t>SAI</t>
  </si>
  <si>
    <t>YEDLA</t>
  </si>
  <si>
    <t>Sai Chand Yedla</t>
  </si>
  <si>
    <t>saichandyedla@gmail.com</t>
  </si>
  <si>
    <t>p25700032@student.nicmar.ac.in</t>
  </si>
  <si>
    <t>30-Aug-2004</t>
  </si>
  <si>
    <t>English, Telugu, and Hindi</t>
  </si>
  <si>
    <t>4538 0362 3480</t>
  </si>
  <si>
    <t>SRINIVASA RAO YEDLA</t>
  </si>
  <si>
    <t>PRIVATE</t>
  </si>
  <si>
    <t>LAVANYA YEDLA</t>
  </si>
  <si>
    <t>36-13-12, KALIMIREDDY VAARI STREET, INNISPETA, RAJAHMUNDRY URBAN, EAST GODAVARI, ANDHRA PRADESH- 533101.</t>
  </si>
  <si>
    <t>East Godavari</t>
  </si>
  <si>
    <t>SRI CHAITANYA TECHNO SCHOOL MORAMPUDI</t>
  </si>
  <si>
    <t>BOARD OF SECONDARY EDUCATION ANDHRA PRADESH</t>
  </si>
  <si>
    <t>PRATHIBHA JUNIOR COLLEGE</t>
  </si>
  <si>
    <t>BOARD OF INTERMEDIATE EDUCATION ANDHRA PRADESH</t>
  </si>
  <si>
    <t>SAGI RAMA KRISHNAM RAJU ENGINEERING COLLEGE</t>
  </si>
  <si>
    <t>AutoCAD,MS Office,MS Project,Primavera,REVIT,CostX</t>
  </si>
  <si>
    <t>Rail India Technical and Economical Services Limited  | Planning Intern | Gurugram  | May 2026 | Jul 2026 | 9.7142857142857 Weeks | Campus Internship
ANDHRA PRADESH POWER GENERATION CORPORATION LIMITED | INTERN | POLAVARAM | Dec 2024 | Apr 2025 | 17.285714285714 Weeks
RASHTRIYA ISPAT NIGAM LIMITED | INTERN | VISAKHAPTNAM | Jul 2024 | Jul 2024 | 3.7142857142857 Weeks
ASCENT CS GLOBAL | INTERN | BHIMAVARAM | Jul 2023 | Sep 2023 | 8.8571428571429 Weeks</t>
  </si>
  <si>
    <t>P25700033</t>
  </si>
  <si>
    <t>HEMANTH</t>
  </si>
  <si>
    <t>GORLE</t>
  </si>
  <si>
    <t>Hemanth Kumar Gorle</t>
  </si>
  <si>
    <t>hemanthkumargorle2003@gmail.com</t>
  </si>
  <si>
    <t>P2370427@student.nicmar.ac.in</t>
  </si>
  <si>
    <t>02-Jul-2003</t>
  </si>
  <si>
    <t>English,Telugu</t>
  </si>
  <si>
    <t>8519 0266 4598</t>
  </si>
  <si>
    <t>GORLE TIRUPATI RAO</t>
  </si>
  <si>
    <t>GORLE VANAJAKSHI</t>
  </si>
  <si>
    <t>Kotta Veedhi Rajagopalapuram Palasa Srikakulam Andhra Pradesh - 532221</t>
  </si>
  <si>
    <t>Srikakulam</t>
  </si>
  <si>
    <t>SRI CHAITANYA SCHOOL</t>
  </si>
  <si>
    <t>ANDHRA STATE BOARD</t>
  </si>
  <si>
    <t>SRI VISWA JUNIOR COLLEGE</t>
  </si>
  <si>
    <t>GANDHI INSTITUTE OF TECHNOLOGY AND MANAGEMENT</t>
  </si>
  <si>
    <t>GITAM, VISAKHAPATNAM</t>
  </si>
  <si>
    <t>NAVAYUGA ENGINEERING COMPANY LTD. | PROJECT MANAGEMENT INTERN | PUNE | May 2026 | Jul 2026 | 8.7142857142857 Weeks | Campus Internship
SVS MOOKAMBIKA CONSTRUCTIONS PVT LTD | INTERN | VISAKHAPATNAM | May 2024 | Jun 2024 | 4.5714285714286 Weeks</t>
  </si>
  <si>
    <t>P25700034</t>
  </si>
  <si>
    <t>BHARATH</t>
  </si>
  <si>
    <t>KOYYA</t>
  </si>
  <si>
    <t>Bharath Koyya</t>
  </si>
  <si>
    <t>p25700034@student.nicmar.ac.in</t>
  </si>
  <si>
    <t>09-May-2004</t>
  </si>
  <si>
    <t>English, Hindi, Telugu</t>
  </si>
  <si>
    <t>8038 3840 6926</t>
  </si>
  <si>
    <t>KOYYA APPALANAIDU</t>
  </si>
  <si>
    <t>KOYYA PADMA</t>
  </si>
  <si>
    <t>14-35/2, G. Thimmapuram, Near Vignan World One School, Visakhapatnam, Andhra Pradesh.</t>
  </si>
  <si>
    <t>Visakhapatnam</t>
  </si>
  <si>
    <t>THE PRESIDENTIAL SCHOOL</t>
  </si>
  <si>
    <t>CBSE, VISAKHAPATNAM</t>
  </si>
  <si>
    <t>2013-Mar</t>
  </si>
  <si>
    <t>RAVI JUNIOR COLLEGE</t>
  </si>
  <si>
    <t>SSC, VISAKHAPATNAM</t>
  </si>
  <si>
    <t>AutoCAD,MS Office,MS Project,Primavera,CostX,Revit</t>
  </si>
  <si>
    <t>Sai Constructions &amp; Electrical Works | Intern | Hyderabad | May 2026 | Jul 2026 | 8.8571428571429 Weeks | Campus Internship
SVS MOOKAMBIKA | INTERN | VISAKHAPATNAM | May 2024 | Jun 2024 | 4.5714285714286 Weeks</t>
  </si>
  <si>
    <t>P25700035</t>
  </si>
  <si>
    <t>AKSHITA</t>
  </si>
  <si>
    <t>ARUN</t>
  </si>
  <si>
    <t>BURANDE</t>
  </si>
  <si>
    <t>Akshita Arun Burande</t>
  </si>
  <si>
    <t>akshitaburande85@gmail.com</t>
  </si>
  <si>
    <t>p25700035@student.nicmar.ac.in</t>
  </si>
  <si>
    <t>17-Jul-2000</t>
  </si>
  <si>
    <t>English, Hindi &amp; Marathi</t>
  </si>
  <si>
    <t>7033 0970 6210</t>
  </si>
  <si>
    <t>ARUN PARASHRAMJI BURANDE</t>
  </si>
  <si>
    <t>ASHA ARUN BURANDE</t>
  </si>
  <si>
    <t>283, Jaidurga Society No.1, Near Vitthal Rukmini Mandir,  Narendra Nagar, Nagpur</t>
  </si>
  <si>
    <t>R.S. MUNDLE ENGLISH SCHOOL</t>
  </si>
  <si>
    <t>SANTAJI MAHAVIDYALAYA</t>
  </si>
  <si>
    <t>2018-Feb</t>
  </si>
  <si>
    <t>SMT. MANORAMABAI MUNDLE COLLEGE OF ARCHITECTURE</t>
  </si>
  <si>
    <t>AutoCAD,MS Office,MS Project,Autodesk Revit,Rhinoceros 3D,Lumion,Sketchup,Photoshop</t>
  </si>
  <si>
    <t>Collective Praxis DPM LLP | Junior Architect | Nagpur | Jun 2024 | Jun 2025 | 0Y 11M | 1.44
SUPPOSE ARCHITECTURE STUDIO | Junior Architect | Nagpur | Oct 2023 | May 2024 | 0Y 7M | 1.2</t>
  </si>
  <si>
    <t>1 Year 7 Months</t>
  </si>
  <si>
    <t>Archi Builders and Developers Pvt. Ltd | Project Management Intern | Nagpur  | May 2026 | Jul 2026 | 8 Weeks | Campus Internship
D.Studio Architects | Intern | Nagpur | Aug 2022 | Oct 2022 | 9 Weeks
Shitesh Agrawal Architects | Intern | Pune | Feb 2022 | Jul 2022 | 25.571428571429 Weeks</t>
  </si>
  <si>
    <t>P25700036</t>
  </si>
  <si>
    <t>NAMITHA</t>
  </si>
  <si>
    <t>SHARAN</t>
  </si>
  <si>
    <t>A</t>
  </si>
  <si>
    <t>Namitha Sharan A</t>
  </si>
  <si>
    <t>namithamba2025@gmail.com</t>
  </si>
  <si>
    <t>p25700036@student.nicmar.ac.in</t>
  </si>
  <si>
    <t>05-May-2004</t>
  </si>
  <si>
    <t>English,Tamil,Hindi</t>
  </si>
  <si>
    <t>7746 8480 1756</t>
  </si>
  <si>
    <t>ALWIN GNANASEHAR.S</t>
  </si>
  <si>
    <t>ENGINEER</t>
  </si>
  <si>
    <t>HEMALATHA.A</t>
  </si>
  <si>
    <t>6/21,7TH,STREET ,NEHRU COLONY,NANGANALLUR,CHENNAI 6000114</t>
  </si>
  <si>
    <t>Chennai</t>
  </si>
  <si>
    <t>PRINCE MATRICULATION HIGHER SECONDARY SCHOOL</t>
  </si>
  <si>
    <t>COLLEGE OF ENGINEERING, GUINDY</t>
  </si>
  <si>
    <t>AutoCAD,MS Office,MS Project,Primavera,Cost X,Revit</t>
  </si>
  <si>
    <t>Address Advisors Private Limited | Intern – Corporate Real Estate Team | chennai | May 2026 | Jul 2026 | 8.1428571428571 Weeks | Campus Internship
LARSEN &amp; TOUBRO | INTERN-EDRC DEPARTMENT  | MANAPAKKAM ,CHENNAI,TAMILNADU. | Jun 2024 | Jul 2024 | 4.2857142857143 Weeks</t>
  </si>
  <si>
    <t>Finance for Non-Financial Managers
TBMs,Pile Rigs,Cranes &amp; Hauling Vehicles
Construction Equipment Maintenance &amp; Safety</t>
  </si>
  <si>
    <t>P25700037</t>
  </si>
  <si>
    <t>UTKARSH</t>
  </si>
  <si>
    <t>VILASRAO</t>
  </si>
  <si>
    <t>SATHE</t>
  </si>
  <si>
    <t>Utkarsh Vilasrao Sathe</t>
  </si>
  <si>
    <t>satheutkarsh456@gmail.com</t>
  </si>
  <si>
    <t>p25700037@student.nicmar.ac.in</t>
  </si>
  <si>
    <t>12-Feb-2000</t>
  </si>
  <si>
    <t>7056 5553 1904</t>
  </si>
  <si>
    <t>LABOUR</t>
  </si>
  <si>
    <t>NISHA</t>
  </si>
  <si>
    <t>HOUSE NO.381,WARD NO.12,SUBHASH CHOWK,GOND PLOT.</t>
  </si>
  <si>
    <t>CHANAKYA SCHOOL OF INTELLIGENCE</t>
  </si>
  <si>
    <t>MAHARASHTRA STATE BOARD OF SECONDARY AND HIGHER SECONDARY EDUCATION,WARDHA,MAHARASHTRA</t>
  </si>
  <si>
    <t>SHRI VIDYAVATI DEODIYA VIDYALAYA AND JUNIOR COLLEGE</t>
  </si>
  <si>
    <t>MAHARASHTRA STATE BOARD OF SECONDARY AND HIGHER SECONDARY EDUCATION,NAGPUR</t>
  </si>
  <si>
    <t>DR. BABASAHEB AMBEDKAR TECHNOLOGICAL UNIVERSITY,LONERE</t>
  </si>
  <si>
    <t>BAJAJ INSTITUTE OF TECHNOLOGY,WARDHA,MAHARASHTRA</t>
  </si>
  <si>
    <t>AutoCAD,MS Office,Revit-architecture</t>
  </si>
  <si>
    <t>Suryapriya Construction Pvt. Ltd. | Site Execution, QS+Billing | Bengaluru | May 2026 | Jul 2026 | 8.7142857142857 Weeks | Campus Internship
PWD | TRAINEE EXECUTION ENGINEER | SELOO, WARDHA | Feb 2022 | Jul 2022 | 25.571428571429 Weeks</t>
  </si>
  <si>
    <t>P25700038</t>
  </si>
  <si>
    <t>SANKET</t>
  </si>
  <si>
    <t>KANHERE</t>
  </si>
  <si>
    <t>Sanket Vijay Kanhere</t>
  </si>
  <si>
    <t>sanketkanhere03@gmail.com</t>
  </si>
  <si>
    <t>p25700038@student.nicmar.ac.in</t>
  </si>
  <si>
    <t>22-Feb-2003</t>
  </si>
  <si>
    <t>3298 9198 3819</t>
  </si>
  <si>
    <t>VIJAY KANHERE</t>
  </si>
  <si>
    <t>MAYA KANHERE</t>
  </si>
  <si>
    <t>Plot No. 36 S/E Railway Coloney Pratap Nagar, Nagpur</t>
  </si>
  <si>
    <t>NARAYANA VIDYALAYAM</t>
  </si>
  <si>
    <t>CBSE, NAGPUR/MAHARASHTRA</t>
  </si>
  <si>
    <t>MKH SANCHETI PUBLIC SCHOOL AND COLLEGE</t>
  </si>
  <si>
    <t>STATE BOARD , NAGPUR/MAHARASHTRA</t>
  </si>
  <si>
    <t>YESHWANTRAO CHAVAN COLLEGE OF ENGINEERING, NAGPUR/MAHARASTRA</t>
  </si>
  <si>
    <t>AutoCAD,MS Office,MS Project,Primavera,Revit,StaadPro</t>
  </si>
  <si>
    <t>Sagar Skyscrapers LLP | Junior Trainee Engineer | Manjri, Pune | May 2026 | Jun 2026 | 7.7142857142857 Weeks | Campus Internship
Siddh Constructions |  Intern- Site Execution | Nagpur  | Jan 2025 | Apr 2025 | 16.714285714286 Weeks</t>
  </si>
  <si>
    <t>P25700039</t>
  </si>
  <si>
    <t>LALNGHAKLIEN</t>
  </si>
  <si>
    <t>CHONZIK</t>
  </si>
  <si>
    <t>Joseph Lalnghaklien Chonzik</t>
  </si>
  <si>
    <t>jojochonzik@gmail.com</t>
  </si>
  <si>
    <t>p25700039@student.nicmar.ac.in</t>
  </si>
  <si>
    <t>30-Nov-1998</t>
  </si>
  <si>
    <t>English, Hindi, Assamese, Hmar</t>
  </si>
  <si>
    <t>7155 1093 1588</t>
  </si>
  <si>
    <t>CHAWNGROLIEN CHONZIK</t>
  </si>
  <si>
    <t>DOCTOR</t>
  </si>
  <si>
    <t>RACHEL CHONZIK</t>
  </si>
  <si>
    <t>3C Nirvana Enclave, Basisthapur Byelane 3, Beltola, Guwahati</t>
  </si>
  <si>
    <t>Kamrup Metropolitan</t>
  </si>
  <si>
    <t>Assam</t>
  </si>
  <si>
    <t>DON BOSCO SCHOOL</t>
  </si>
  <si>
    <t>CENTRAL BOARD OF SECONDARY EDUCATION, GUWAHATI</t>
  </si>
  <si>
    <t>SCHOOL OF PLANNING AND ARCHITECTURE</t>
  </si>
  <si>
    <t>SCHOOL OF PLANNING AND ARCHITECTURE, BHOPAL</t>
  </si>
  <si>
    <t>AutoCAD,MS Office,MS Project,Primavera,Sketchup,Photoshop</t>
  </si>
  <si>
    <t>Myriad Hues | Junior Architect | Bangalore | May 2023 | Oct 2024 | 1Y 4M | 2.16</t>
  </si>
  <si>
    <t>1 Year 4 Months</t>
  </si>
  <si>
    <t>Revespaces | Interior designer | Wakad, Pune | May 2026 | Jul 2026 | 8.7142857142857 Weeks | Campus Internship
Sustainable Organisation for Innovation and Living | Intern architect | Namchi, Sikkim | Jun 2021 | Dec 2021 | 25.857142857143 Weeks</t>
  </si>
  <si>
    <t>P25700041</t>
  </si>
  <si>
    <t>SADICHHA</t>
  </si>
  <si>
    <t>PATTNAIK</t>
  </si>
  <si>
    <t>Sadichha Pattnaik</t>
  </si>
  <si>
    <t>sadichhapattnaik@gmail.com</t>
  </si>
  <si>
    <t>p25700041@student.nicmar.ac.in</t>
  </si>
  <si>
    <t>22-Mar-1998</t>
  </si>
  <si>
    <t>English,Hindi,Odia</t>
  </si>
  <si>
    <t>7504 7167 5175</t>
  </si>
  <si>
    <t>BIBHUTI BHUSAN PATTNAIK</t>
  </si>
  <si>
    <t>SANJU PATTNAIK</t>
  </si>
  <si>
    <t>LECTURER</t>
  </si>
  <si>
    <t>PLOT.NO-317C, Infront Of The Emerald Apartment, Laxmisagar</t>
  </si>
  <si>
    <t>DAV PUBLIC SCHOOL,UNIT-VIII,BHUBANESWAR</t>
  </si>
  <si>
    <t>CENTRAL BOARD OF SECONDARY EDUCATION, BHUBANESWAR,ODISHA</t>
  </si>
  <si>
    <t>BJB JUNIOR COLLEGE, BHUBANESWAR</t>
  </si>
  <si>
    <t>COUNCIL OF HIGHER SECONDARY EDUCATION, BHUBANESWAR, ODISHA</t>
  </si>
  <si>
    <t>2013-Jul</t>
  </si>
  <si>
    <t>VEER SURENDRA SAI UNIVERSITY OF TECHNOLOGY,BURLA</t>
  </si>
  <si>
    <t>M.Tech</t>
  </si>
  <si>
    <t>AutoCAD,MS Office,MS Project,Primavera,STAAD Pro.</t>
  </si>
  <si>
    <t>Larsen &amp; Toubro Construction, B&amp;F | Intern | Cuttack, Odisha | May 2026 | Jul 2026 | 9.7142857142857 Weeks | Campus Internship
MINISTRY OF HOUSING AND URBAN AFFAIRS | TULIP INTERN at Bhubaneswar Municipal Corporation | BHUBANESWAR | Feb 2024 | Feb 2025 | 52.142857142857 Weeks
CENTRAL PUBLIC WORKS DEPARTMENT | INTERN | BHUBANESWAR | May 2019 | Jun 2019 | 4.4285714285714 Weeks
Central Tool Room and Training Center | Intern | Bhubaneswar | Jun 2019 | Jun 2019 | 4 Weeks</t>
  </si>
  <si>
    <t>P25700042</t>
  </si>
  <si>
    <t>SANJYOT</t>
  </si>
  <si>
    <t>Sanjyot S</t>
  </si>
  <si>
    <t>sanjyot1215@gmail.com</t>
  </si>
  <si>
    <t>p25700042@student.nicmar.ac.in</t>
  </si>
  <si>
    <t>15-Dec-1999</t>
  </si>
  <si>
    <t>English,Hindi, Marathi</t>
  </si>
  <si>
    <t>9863 6603 3981</t>
  </si>
  <si>
    <t>SOMESHWAR SULGADLE</t>
  </si>
  <si>
    <t>JYOTI SULGADLE</t>
  </si>
  <si>
    <t>Trupti Plot No. 66 Yogi Rajendra Nagar Vijapur Road Solapur</t>
  </si>
  <si>
    <t>SULGADLE SANJYOT SOMESHWAR</t>
  </si>
  <si>
    <t>STATE BOARD OF MAHARASHTRA</t>
  </si>
  <si>
    <t>2005-Jun</t>
  </si>
  <si>
    <t>SRI CHAITANYA JUNIOR KALASALA</t>
  </si>
  <si>
    <t>SOLAPUR UNIVERISTY</t>
  </si>
  <si>
    <t>WALCHAND INSTITUTE OF TECHNOLOGY, SOLAPUR</t>
  </si>
  <si>
    <t>SOLAPUR UNIVERSITY</t>
  </si>
  <si>
    <t>AutoCAD,MS Office,MS Project,Primavera,Staad Pro,ETABS,Navisworks</t>
  </si>
  <si>
    <t>Spec Technical Solutions Pvt Ltd | Trainee Civil Engineer  | Belapur CBD | Apr 2024 | Jun 2025 | 1Y 2M | 2.65</t>
  </si>
  <si>
    <t>Banglore Metro Rail Corporation Limited | Execution | Casting Yard, Bagluru Cross, Yelahanka, Banglore. | May 2026 | Jul 2026 | 8.7142857142857 Weeks | Campus Internship
RAJ UTTARA GROUP | SITE ENGINEER  | DHARASHIV | Apr 2023 | Mar 2024 | 51.571428571429 Weeks</t>
  </si>
  <si>
    <t>P25700043</t>
  </si>
  <si>
    <t>BHAIRAVI</t>
  </si>
  <si>
    <t>DINESH</t>
  </si>
  <si>
    <t>Bhairavi Dinesh Patil</t>
  </si>
  <si>
    <t>bhairavi.d.patil@gmail.com</t>
  </si>
  <si>
    <t>p25700043@student.nicmar.ac.in</t>
  </si>
  <si>
    <t>23-Aug-2001</t>
  </si>
  <si>
    <t>ENGLISH, HINDI, KANNADA, MARATHI</t>
  </si>
  <si>
    <t>2971 2585 9001</t>
  </si>
  <si>
    <t>DINESH V PATIL</t>
  </si>
  <si>
    <t>SELF EMPLOYED</t>
  </si>
  <si>
    <t>DEEPA D PATIL</t>
  </si>
  <si>
    <t>'Shri Mataurobindo Krupa', #10 SBI Colony, Keshav Nagar, Dharwad</t>
  </si>
  <si>
    <t>Dharwad</t>
  </si>
  <si>
    <t>KENDRIYA VIDYALAYA</t>
  </si>
  <si>
    <t>SMT. VIDYA P HANCHINMANI</t>
  </si>
  <si>
    <t>GOVERNMENT OF KARNATAKA</t>
  </si>
  <si>
    <t>KLE TECHNOLOGICAL UNIVERSITY</t>
  </si>
  <si>
    <t>KLE TECHNOLOGICAL UNIVERSITY HUBBALLI</t>
  </si>
  <si>
    <t>AutoCAD,MS Office,MS Project,Primavera,Revit,SketchUp,CostX</t>
  </si>
  <si>
    <t>Chandroo Iyer Associates | Junior Architect | Bangalore | Aug 2023 | Oct 2024 | 1Y 2M | 3.06</t>
  </si>
  <si>
    <t>Convergence Property Development Services Pvt. Ltd. | Project Management Intern | Bangalore | May 2026 | Jun 2026 | 7.5714285714286 Weeks | Campus Internship
THINKSPACE ARCHITECTS | ARCHITECTAL INTERN | HUBBALLI | Jan 2022 | May 2022 | 17.714285714286 Weeks</t>
  </si>
  <si>
    <t>P25700044</t>
  </si>
  <si>
    <t>MUKTHAR</t>
  </si>
  <si>
    <t>SAMAD</t>
  </si>
  <si>
    <t>Mukthar A Samad</t>
  </si>
  <si>
    <t>mukthar.samad02@gmail.com</t>
  </si>
  <si>
    <t>p25700044@student.nicmar.ac.in</t>
  </si>
  <si>
    <t>29-Apr-2002</t>
  </si>
  <si>
    <t>English,Malayalam</t>
  </si>
  <si>
    <t>6435 7597 6630</t>
  </si>
  <si>
    <t>C I ABDUL SAMAD</t>
  </si>
  <si>
    <t>SAFIYA SAMAD</t>
  </si>
  <si>
    <t>Fathima Manzil Pallarimangalam PO Pallarimangalam Kothamangalam</t>
  </si>
  <si>
    <t>THE VILLAGE INTERNATIONAL SCHOOL THODUPUZHA</t>
  </si>
  <si>
    <t>A. P. J. ABDUL KALAM TECHNOLOGICAL UNIVERSITY, THIRUVANANTHAPURAM</t>
  </si>
  <si>
    <t>MAR ATHANASIUS COLLEGE OF ENGINEERING KOTHAMANGALAM</t>
  </si>
  <si>
    <t>2020-Oct</t>
  </si>
  <si>
    <t>Econstruct Design &amp; Build Pvt. Ltd. | Summer Intern | Bangalore | May 2026 | Jun 2026 | 8.1428571428571 Weeks | Campus Internship
EKK INFRASTRUCTURE LIMITED | Intern | Chalakudy | May 2023 | May 2023 | 1.4285714285714 Weeks</t>
  </si>
  <si>
    <t>P25700045</t>
  </si>
  <si>
    <t>SANAD</t>
  </si>
  <si>
    <t>SHUAIB</t>
  </si>
  <si>
    <t>Sanad Shuaib</t>
  </si>
  <si>
    <t>sanadpalasseri@gmail.com</t>
  </si>
  <si>
    <t>p25700045@student.nicmar.ac.in</t>
  </si>
  <si>
    <t>03-Nov-2000</t>
  </si>
  <si>
    <t>ENGLISH ,HINDI ,MALAYALAM</t>
  </si>
  <si>
    <t>7861 5655 0668</t>
  </si>
  <si>
    <t>SHUAIB PALASSERI</t>
  </si>
  <si>
    <t>LATHEEFA SHUAIB</t>
  </si>
  <si>
    <t>Fathima Mahal, Manattiparambu, Vengara, P.O. Valiyora Malappuram 676304</t>
  </si>
  <si>
    <t>GULF ASIAN ENGLISH SCHOOL SHARJAH U.A.E</t>
  </si>
  <si>
    <t>CENTRAL BOARD OF SECONDARY EDUCATION ,SHARJAH ,U.A.E</t>
  </si>
  <si>
    <t>A.P.J. ABDUL KALAM TECHNOLOGICAL UNIVERSITY, KERALA</t>
  </si>
  <si>
    <t>MEA ENGINEERING COLLEGE, PERINTHALMANNA, MALAPPURAM, KERALA</t>
  </si>
  <si>
    <t>Bangalore Metro Rail Corporation Ltd. | Site Execution and Site Engineer |  Phase-2B/Package-2 ,Yelahanka ,Bangalore , Karnataka | May 2026 | Jul 2026 | 8.7142857142857 Weeks | Campus Internship</t>
  </si>
  <si>
    <t>AUTOCAD</t>
  </si>
  <si>
    <t>P25700046</t>
  </si>
  <si>
    <t>SWEETY</t>
  </si>
  <si>
    <t>DILIP</t>
  </si>
  <si>
    <t>DALVI</t>
  </si>
  <si>
    <t>Sweety Dilip Dalvi</t>
  </si>
  <si>
    <t>sweetydalvi11@gmail.com</t>
  </si>
  <si>
    <t>p25700046@student.nicmar.ac.in</t>
  </si>
  <si>
    <t>11-Dec-2001</t>
  </si>
  <si>
    <t>3925 4251 9174</t>
  </si>
  <si>
    <t>DILIP DALVI</t>
  </si>
  <si>
    <t>SUNITA DALVI</t>
  </si>
  <si>
    <t>HOUSE-WIFE</t>
  </si>
  <si>
    <t>Sr. No. 56/5, Samarth Nagar, Near Old Kharadi Jakat Naka, Kharadi</t>
  </si>
  <si>
    <t>ST. FRANCIS DE SALES HIGH SCHOOL</t>
  </si>
  <si>
    <t>PUNE, MAHARASHTRA</t>
  </si>
  <si>
    <t>CUSROW WADIA INSTITUTE OF TECHNOLOGY, PUNE, MAHARASHTRA</t>
  </si>
  <si>
    <t>DHOLE PATIL COLLEGE OF ENGINEERING, PUNE, MAHARASHTRA</t>
  </si>
  <si>
    <t>AutoCAD,MS Office,MS Project,Revit</t>
  </si>
  <si>
    <t>iResearch Services | Associate | Pune | Jul 2023 | Jun 2025 | 1Y 10M | 5.3</t>
  </si>
  <si>
    <t>Wani Projects and Infra Pvt. Ltd. | Project Planning Intern | Pune, Maharashtra | May 2026 | Jun 2026 | 8.1428571428571 Weeks | Campus Internship
Guru Construction | Intern | Pune | May 2022 | Jun 2022 | 4.4285714285714 Weeks</t>
  </si>
  <si>
    <t>P25700048</t>
  </si>
  <si>
    <t>Sachin Yadav</t>
  </si>
  <si>
    <t>sachinyadav6777@gmail.com</t>
  </si>
  <si>
    <t>P24702036@student.nicmar.ac.in</t>
  </si>
  <si>
    <t>01-Nov-2001</t>
  </si>
  <si>
    <t>Volleyball,Badminton,Listen music</t>
  </si>
  <si>
    <t>O-</t>
  </si>
  <si>
    <t>6318 4287 4504</t>
  </si>
  <si>
    <t>SUKHBIR SINGH</t>
  </si>
  <si>
    <t>ARMY</t>
  </si>
  <si>
    <t>POONAM DEVI</t>
  </si>
  <si>
    <t xml:space="preserve">124,LEHRODA,NARNAUL, 
</t>
  </si>
  <si>
    <t>Mahendragarh</t>
  </si>
  <si>
    <t>Haryana</t>
  </si>
  <si>
    <t>124,LEHRODA,NARNAUL,MAHENDRAGARH,HARYANA(123001)</t>
  </si>
  <si>
    <t>ARMY PUBLIC SCHOOL UDHAMPUR J&amp;K</t>
  </si>
  <si>
    <t>M R PUB SCH VILL. MITTERPURA DT MOHINDERGARH HRY</t>
  </si>
  <si>
    <t>NIMS UNIVERSITY RAJASTHAN</t>
  </si>
  <si>
    <t>AutoCAD,MS Office,MS Project,Primavera,REVIT</t>
  </si>
  <si>
    <t>DLF Home Developers Limited  | Planning and Execution | GURUGRAM | May 2026 | Jul 2026 | 8 Weeks | Campus Internship
DLF Limited | INTERN | GURUGRAM | Jun 2023 | Jul 2023 | 4.4285714285714 Weeks
KRISHNA BUILDESTATES PVT LTD | JUNIOR ENGINEER  | GURUGRAM | Apr 2025 | Jun 2025 | 10 Weeks
ULTRATECH | ASSISTANT CHEMIST | PUNE | Jan 2025 | Feb 2025 | 5.1428571428571 Weeks</t>
  </si>
  <si>
    <t>P25700049</t>
  </si>
  <si>
    <t>CHANDRALIKA</t>
  </si>
  <si>
    <t>BORAH</t>
  </si>
  <si>
    <t>Chandralika Borah</t>
  </si>
  <si>
    <t>chandralika2001@gmail.com</t>
  </si>
  <si>
    <t>p25700049@student.nicmar.ac.in</t>
  </si>
  <si>
    <t>20-Oct-2001</t>
  </si>
  <si>
    <t>ENGLISH,HINDI,ASSAMESE</t>
  </si>
  <si>
    <t>9116 7055 3856</t>
  </si>
  <si>
    <t>PUTUL KUMAR BORAH</t>
  </si>
  <si>
    <t>SWAPNALI BORAH</t>
  </si>
  <si>
    <t>B.O.C GATE, LANE NO. 3_x000D_
P.O DULIAJAN, DIST DIBRUGARH_x000D_
ASSAM</t>
  </si>
  <si>
    <t>Dibrugarh</t>
  </si>
  <si>
    <t>DELHI PUBLIC SCHOOL,DULIAJAN</t>
  </si>
  <si>
    <t>CENTRAL BOARD OF SECONDARY EDUCATION,DELHI</t>
  </si>
  <si>
    <t>ASSAM SCIENCE AND TECHNOLOGY UNIVERSITY</t>
  </si>
  <si>
    <t>GIRIJANANDA CHOWDHURY INSTITUTE OF MANAGEMENT AND TECHNOLOGY,AZARA</t>
  </si>
  <si>
    <t xml:space="preserve">AutoCAD,MS Office,MS Project, Primavera </t>
  </si>
  <si>
    <t>Shilpkar Construction Private Limited  | Project Planning and Management Intern  | DELHI-NCR | May 2026 | Jun 2026 | 8.1428571428571 Weeks | Campus Internship
OIL INDIA LIMITED, DULIAJAN | CIVIL ENGINEERING | DULIAJAN,ASSAM | Aug 2022 | Sep 2022 | 3.5714285714286 Weeks</t>
  </si>
  <si>
    <t>P25700050</t>
  </si>
  <si>
    <t>DIVYANGI</t>
  </si>
  <si>
    <t>GAUR</t>
  </si>
  <si>
    <t>Divyangi Gaur</t>
  </si>
  <si>
    <t>divyangigaur2000@gmail.com</t>
  </si>
  <si>
    <t>p25700050@student.nicmar.ac.in</t>
  </si>
  <si>
    <t>28-May-2000</t>
  </si>
  <si>
    <t>HINDI AND ENGLISH</t>
  </si>
  <si>
    <t>6856 6515 9949</t>
  </si>
  <si>
    <t>SAMEER GAUR</t>
  </si>
  <si>
    <t>KAMINI GAUR</t>
  </si>
  <si>
    <t>B5/217, Deluxe Apartment Vasundhara Enclave, New Delhi -96</t>
  </si>
  <si>
    <t>East Delhi</t>
  </si>
  <si>
    <t>Delhi</t>
  </si>
  <si>
    <t>VISHWA BHARATI PUBLIC SCHOOL</t>
  </si>
  <si>
    <t>CENTRAL BOARD OF SECONDARY EDUCATION , NOIDA/ UTTAR PRADESH</t>
  </si>
  <si>
    <t>INTEGRAL UNIVERSITY, LUCKNOW</t>
  </si>
  <si>
    <t>FACULTY OF ARCHITECTURE, PLANNING AND DESIGN, INTEGRAL UNIVERSITY, LUCKNOW</t>
  </si>
  <si>
    <t>AutoCAD,MS Excel,Sketchup,Autodesk Revit,MS Power Point,Photoshop,Lumion, MSP, Primavera, Navisworks, CostX</t>
  </si>
  <si>
    <t>Oasis Design Inc | Architect | New Delhi | Oct 2023 | Jun 2025 | 1Y 8M | 4.2</t>
  </si>
  <si>
    <t>Cushman &amp; Wakefield  | Internship | Gurgaon | May 2026 | Jul 2026 | 8.7142857142857 Weeks | Campus Internship
Edifice Consultants Pvt. Ltd. | Intern | Mumbai | Feb 2022 | May 2022 | 15.428571428571 Weeks</t>
  </si>
  <si>
    <t>Council of Architecture, Certificate of Registration</t>
  </si>
  <si>
    <t>P25700051</t>
  </si>
  <si>
    <t>VAISHNAVI</t>
  </si>
  <si>
    <t>SANJAYKUMAR</t>
  </si>
  <si>
    <t>KOKANE</t>
  </si>
  <si>
    <t>Vaishnavi Sanjaykumar Kokane</t>
  </si>
  <si>
    <t>vaishnavikokanevk@gmail.com</t>
  </si>
  <si>
    <t>p25700051@student.nicmar.ac.in</t>
  </si>
  <si>
    <t>13-Aug-2002</t>
  </si>
  <si>
    <t>5435 8671 7688</t>
  </si>
  <si>
    <t>SANJAYKUMAR KOKANE</t>
  </si>
  <si>
    <t>EXECUTIVE ENGINEER PWD</t>
  </si>
  <si>
    <t>JYOTI KOKANE</t>
  </si>
  <si>
    <t>604, The Status, Opp. CCM, Forest Colony, Parijat Nagar, Untwadi, Nashik, 422008</t>
  </si>
  <si>
    <t>SANJIVANI ACADEMY</t>
  </si>
  <si>
    <t>CBSE MAHARASHTRA</t>
  </si>
  <si>
    <t>SANJIVANI POLYTECHNIC, KOPARGAON, MAHARASHTRA</t>
  </si>
  <si>
    <t>MIT WORLD PEACE UNIVERSITY, PUNE</t>
  </si>
  <si>
    <t xml:space="preserve">Primavera P6, MS Project, Excel, AutoCAD, Revit, NavisWorks, CostX </t>
  </si>
  <si>
    <t>Masin Projects Private Limited | Intern - Delay  | Gurgaon | May 2026 | Jul 2026 | 8.7142857142857 Weeks | Campus Internship
PWD | Intern  | Ratnagiri | Aug 2024 | Jun 2025 | 43.142857142857 Weeks</t>
  </si>
  <si>
    <t>Digitalisation Tools for Sustainable and Resilient Infrastructure System, organised by IIT Jodhpur â€“ Technology, Innovation &amp; Start-up Centre.
Finance for Non-Financial Managers.
Microsoft Excel:Beginner to Advanced in animation 2025 + AI</t>
  </si>
  <si>
    <t>P25700052</t>
  </si>
  <si>
    <t>TUSHAR</t>
  </si>
  <si>
    <t>BARATE</t>
  </si>
  <si>
    <t>Tushar Barate</t>
  </si>
  <si>
    <t>tbarate641@gmail.com</t>
  </si>
  <si>
    <t>p25700052@student.nicmar.ac.in</t>
  </si>
  <si>
    <t>12-Nov-2000</t>
  </si>
  <si>
    <t>9295 1785 7805</t>
  </si>
  <si>
    <t>BHAUSAHEB</t>
  </si>
  <si>
    <t>MIRABAI</t>
  </si>
  <si>
    <t>At Waghapur , Post- Kotul , Tal- Akole, Dist- Ahmednagar</t>
  </si>
  <si>
    <t>Ahmednagar</t>
  </si>
  <si>
    <t>MOTHER MARY ENGLISH HIGH SCHOOL</t>
  </si>
  <si>
    <t>DR DEVENDRA AMRUTLAL OHARA JUNIOR COLLEGE</t>
  </si>
  <si>
    <t>DY PATIL COLLEGE OF ENGINEERING AKURDI, PUNE</t>
  </si>
  <si>
    <t>AutoCAD,MS Office,REVIT Architecture,Staad Pro</t>
  </si>
  <si>
    <t>JAGTAP INFRAVENTURES INDIA Pvt.Ltd | Site Engineer | kolhar, Tal-Rahuri, Dist- Ahmednagar | Sep 2023 | May 2025 | 1Y 8M | 3</t>
  </si>
  <si>
    <t>R.K. CONSTRUCTION Civil Engg &amp; Contractor | Intern | Sangli | Jan 2022 | Feb 2022 | 4.4285714285714 Weeks</t>
  </si>
  <si>
    <t>P25700054</t>
  </si>
  <si>
    <t>TEJAS</t>
  </si>
  <si>
    <t>JANARDHAN</t>
  </si>
  <si>
    <t>PADKONDE</t>
  </si>
  <si>
    <t>Tejas Janardhan Padkonde</t>
  </si>
  <si>
    <t>tejasjp2001@gmail.com</t>
  </si>
  <si>
    <t>p25700054@student.nicmar.ac.in</t>
  </si>
  <si>
    <t>10-Nov-2001</t>
  </si>
  <si>
    <t>English, Hindi, Marathi, Arabic</t>
  </si>
  <si>
    <t>6395 1503 8710</t>
  </si>
  <si>
    <t>RANI</t>
  </si>
  <si>
    <t>Bright Parl Apartment,Desai Nagar, Latur,Maharashtra</t>
  </si>
  <si>
    <t>INDIAN SCHOOL MULADHA</t>
  </si>
  <si>
    <t>CENTRAL BOARD OF SECONDARY EDUCATION/ MULADHA/SULTANATE OF OMAN</t>
  </si>
  <si>
    <t>PURANMAL LAHOTI GOVERNMENT POLYTECHNIC ,LATUR, MAHARASHTRA</t>
  </si>
  <si>
    <t>BRACT'S, VISHWAKARMA INSTITUTE OF INFORMATION TECHNOLOGY, PUNE, MAHARASHTRA</t>
  </si>
  <si>
    <t>2022-Sep</t>
  </si>
  <si>
    <t>2025-may</t>
  </si>
  <si>
    <t>AutoCAD,MS Office,MS Project,Primavera,SKETCH-UP,Auto level</t>
  </si>
  <si>
    <t>GRANT THORTRN BHARAT  | Transformation consultant-Digi govt intern | PUNE | Jun 2026 | Jul 2026 | 5.4285714285714 Weeks | Campus Internship
SDS SURVEYORS AND ENGINEERS PVT LTD | TRAINEE  | Office No. 12, 2nd Floor, PS Angan Society, Magarpatta South Gate, Hadapsar Pune | Jan 2025 | May 2025 | 20 Weeks</t>
  </si>
  <si>
    <t>P25700055</t>
  </si>
  <si>
    <t>MANIDEEP</t>
  </si>
  <si>
    <t>BASA</t>
  </si>
  <si>
    <t>Manideep Basa</t>
  </si>
  <si>
    <t>basamanideep45@gmail.com</t>
  </si>
  <si>
    <t>p25700055@student.nicmar.ac.in</t>
  </si>
  <si>
    <t>24-Jul-2003</t>
  </si>
  <si>
    <t>ENGLISH, TELUGU, HINDI</t>
  </si>
  <si>
    <t>2794 7250 2516</t>
  </si>
  <si>
    <t>PAVAN KUMAR</t>
  </si>
  <si>
    <t>GOVT.EMPLOYEE</t>
  </si>
  <si>
    <t>SHOBHA RANI</t>
  </si>
  <si>
    <t>9-6-70, RAMNAGAR, KARIMNAGAR, 505001</t>
  </si>
  <si>
    <t>Karimnagar</t>
  </si>
  <si>
    <t>MILLENNIUM HIGH SCHOOL</t>
  </si>
  <si>
    <t>HANUMAKONDA, WARANGAL, TELANGANA</t>
  </si>
  <si>
    <t>GOVENMENT POLYTECHNIC, HUSNABAD(636), HUSNABAD, SIDDIPET</t>
  </si>
  <si>
    <t>JAWAHARLAL NEHRU TECHNOLOGICAL UNIVERSITY HYDERABAD</t>
  </si>
  <si>
    <t>SREENIDHI INSTITUTE OF SCIENCE AND TECHNOLOGY, YAMNAMPET, GHATKESHAR, HYDERABAD</t>
  </si>
  <si>
    <t>2022-Oct</t>
  </si>
  <si>
    <t>AutoCAD,MS Office,MS Project,REVIT</t>
  </si>
  <si>
    <t>Bhate and Raje Construction Co.Pvt.Ltd | QA/QC Intern | Navi Mumbai,Airoli | May 2026 | Jul 2026 | 8.5714285714286 Weeks | Campus Internship</t>
  </si>
  <si>
    <t>NPTEL German-1 Online Course</t>
  </si>
  <si>
    <t>P25700056</t>
  </si>
  <si>
    <t>PRITHVI</t>
  </si>
  <si>
    <t>ANANTHA</t>
  </si>
  <si>
    <t>AKIRI</t>
  </si>
  <si>
    <t>Prithvi Anantha Akiri</t>
  </si>
  <si>
    <t>rprithvi552@gmail.com</t>
  </si>
  <si>
    <t>p25700056@student.nicmar.ac.in</t>
  </si>
  <si>
    <t>10-Apr-1999</t>
  </si>
  <si>
    <t>6636 7652 5887</t>
  </si>
  <si>
    <t>AKIRI CHAKRADHAR</t>
  </si>
  <si>
    <t>AKIRI SWARNALATHA</t>
  </si>
  <si>
    <t>Dhanush Enclave FF3 Beside Y2K Park Srilakshmi Nagar_x000D_
Sujatha Nagar Visakhapatnam 530051</t>
  </si>
  <si>
    <t>LITTLE ROCK INDIAN SCHOOL</t>
  </si>
  <si>
    <t>KARNATAKA</t>
  </si>
  <si>
    <t>SRI CHAITANYA JUNIOR COLLEGE</t>
  </si>
  <si>
    <t>ANDHRA PRADESH</t>
  </si>
  <si>
    <t>PRIST UNIVERSITY</t>
  </si>
  <si>
    <t>PRIST UNIVERSITY, THANJAVUR</t>
  </si>
  <si>
    <t>MS Office</t>
  </si>
  <si>
    <t>Megha Engineering and Infrastructure Limited | Graduate Engineer Trainee | Kasaragod, Kerala | Jan 2023 | Jan 2024 | 0Y 11M | 2.24
Vishwa Samudra Engineering Pvt Ltd | Junior Engineer | Kollam, Kerala | Feb 2024 | Sep 2024 | 0Y 6M | 4.15
Rithwik Projects Pvt Ltd | Engineer | Navi Mumbai, Maharashtra  | Oct 2024 | Jul 2025 | 0Y 8M | 4.2</t>
  </si>
  <si>
    <t>2 Years 3 Months</t>
  </si>
  <si>
    <t>Jyoti Structures Limited | Intern | Bhuj, Gujarat | May 2026 | Jul 2026 | 8.7142857142857 Weeks | Campus Internship</t>
  </si>
  <si>
    <t>P25700057</t>
  </si>
  <si>
    <t>DHARSHAN</t>
  </si>
  <si>
    <t>R</t>
  </si>
  <si>
    <t>Dharshan R</t>
  </si>
  <si>
    <t>rd8610373247@gmail.com</t>
  </si>
  <si>
    <t>p25700057@student.nicmar.ac.in</t>
  </si>
  <si>
    <t>11-Sep-2003</t>
  </si>
  <si>
    <t>Tamil, Telugu, English</t>
  </si>
  <si>
    <t>5097 9251 8036</t>
  </si>
  <si>
    <t>S RAJENDRAN</t>
  </si>
  <si>
    <t>GOVERNMENT STAFF</t>
  </si>
  <si>
    <t>R MAHALAKSHMI</t>
  </si>
  <si>
    <t>2/1580, J, VELAMMAL NAGAR, SIVAKASI.</t>
  </si>
  <si>
    <t>Virudhunagar</t>
  </si>
  <si>
    <t>SRI SHENBAGA VINAYAGAR MATRIC HR. SEC. SCHOOL</t>
  </si>
  <si>
    <t>STATE BOARD, TAMILNADU</t>
  </si>
  <si>
    <t>ANNA UNIVERSITY, CHENNAI.</t>
  </si>
  <si>
    <t>R.M.K. ENGINEERING COLLEGE, KAVARAIPETTAI, THIRUVALLUR DISTRICT, TAMILNADU.</t>
  </si>
  <si>
    <t>Sobha Limited  | Planning Intern  | Bengaluru | May 2026 | Jul 2026 | 9 Weeks | Campus Internship
Sri Maaligaa Constructions | Site Supervision  | Sivakasi | Jul 2023 | Jul 2023 | 4.1428571428571 Weeks</t>
  </si>
  <si>
    <t>P25700058</t>
  </si>
  <si>
    <t>ANUSHKA</t>
  </si>
  <si>
    <t>JADHAV</t>
  </si>
  <si>
    <t>Anushka Vishnu Jadhav</t>
  </si>
  <si>
    <t>rujutajadhav25@gmail.com</t>
  </si>
  <si>
    <t>p25700058@student.nicmar.ac.in</t>
  </si>
  <si>
    <t>25-Dec-2002</t>
  </si>
  <si>
    <t>Marathi, Hindi,English</t>
  </si>
  <si>
    <t>6990 6090 6399</t>
  </si>
  <si>
    <t>VISHNU JADHAV</t>
  </si>
  <si>
    <t>ARUNA JADHAV</t>
  </si>
  <si>
    <t>Block No-9,Plot No-71,Hari Om Darshan Chs ,_x000D_
Gandhinagar Dombivli East</t>
  </si>
  <si>
    <t>Mumbai City</t>
  </si>
  <si>
    <t>TILAK NAGAR VIDYA MANDIR</t>
  </si>
  <si>
    <t>MAHARASHTRA STATE OF BOARD OF SECONDARY AND HIGHER SECONDARY EDUCATION PUNE</t>
  </si>
  <si>
    <t>GOVERNMENT POLYTECHNIC THANE</t>
  </si>
  <si>
    <t>2022-Mar</t>
  </si>
  <si>
    <t>SHIVAJI UNIVERSITY</t>
  </si>
  <si>
    <t>DEPARMENT OF TECHNOLOGY ,KOLHAPUR</t>
  </si>
  <si>
    <t>2022-Nov</t>
  </si>
  <si>
    <t>Godrej Properties  | Operation Department  | Godrej Horizon Wadala  | Jun 2026 | Jul 2026 | 4.2857142857143 Weeks | Campus Internship</t>
  </si>
  <si>
    <t>P25700059</t>
  </si>
  <si>
    <t>ROHIT</t>
  </si>
  <si>
    <t>LOKHANDE</t>
  </si>
  <si>
    <t>Rohit Arjun Lokhande</t>
  </si>
  <si>
    <t>rohitlokhande183@gmail.com</t>
  </si>
  <si>
    <t>p25700059@student.nicmar.ac.in</t>
  </si>
  <si>
    <t>08-Feb-2002</t>
  </si>
  <si>
    <t>5888 7116 3867</t>
  </si>
  <si>
    <t>ARCHANA</t>
  </si>
  <si>
    <t>VEDANT SOCIETY B, FLAT NO 8, GUNJALWADI, SANGAMNER, AHILYANAGAR,MAHARSHTRA.</t>
  </si>
  <si>
    <t>Mali Galli, Shevgaon</t>
  </si>
  <si>
    <t>DR. B.G. DERE ENGLISH MEDIUM SCHOOL, SANGAMNER</t>
  </si>
  <si>
    <t>STATE BOARD OF MAHARASHTRA, MAHARASHTRA</t>
  </si>
  <si>
    <t>DR. D.A. OHRA JUNIOR COLLEGE, SANGAMNER</t>
  </si>
  <si>
    <t>SAVITRIBAI PHULE PUNE UNIVERSITY, PUNE</t>
  </si>
  <si>
    <t>AMRUTVAHINI COLLEGE OF ENGINEERING, SANGAMNER, MAHARASHTRA</t>
  </si>
  <si>
    <t>AutoCAD,MS Office,MS Project,Primavera,MSExcel, Revit, Navisworks, ETABS</t>
  </si>
  <si>
    <t>Plansquare Procon Private Limited | Planning Engineer | Nashik | Aug 2024 | Jul 2025 | 0Y 11M | 1.8</t>
  </si>
  <si>
    <t>Masin Projects Private Limited | Summer Intern - Delay/Quantum | Navi Mumbai | May 2026 | Jul 2026 | 8.7142857142857 Weeks | Campus Internship
ARL Enterprises | Construction Site Supervisor | Nilwande Dam, Akole, Ahilyanagar Maharashtra. | Jan 2024 | Mar 2024 | 12.857142857143 Weeks</t>
  </si>
  <si>
    <t>Primavera P6 Professional Project Management</t>
  </si>
  <si>
    <t>P25700060</t>
  </si>
  <si>
    <t>D SREE</t>
  </si>
  <si>
    <t>BALAJI</t>
  </si>
  <si>
    <t>D Sree Balaji</t>
  </si>
  <si>
    <t>sreebalajidommadi@gmail.com</t>
  </si>
  <si>
    <t>p25700060@student.nicmar.ac.in</t>
  </si>
  <si>
    <t>29-Dec-2001</t>
  </si>
  <si>
    <t>English, Telugu, Hindi, Tamil</t>
  </si>
  <si>
    <t>8649 3251 5377</t>
  </si>
  <si>
    <t>D PURUSHOTHAM REDDY</t>
  </si>
  <si>
    <t>D GUNA SUNDARI</t>
  </si>
  <si>
    <t>7-32, SESACHALAPURAM (V), MAPAKSHI PART</t>
  </si>
  <si>
    <t>Chittoor</t>
  </si>
  <si>
    <t>KESHAVAREDDY EM HS</t>
  </si>
  <si>
    <t>BOARD OF SECONDARY EDUCATION CHITTOOR/ANDHRA PRADESH</t>
  </si>
  <si>
    <t>SRI VIVEKANANDA JUNIOR COLLEGE</t>
  </si>
  <si>
    <t>BOARD OF INTERMEDIATE EDUCATION CHITTOOR/ANDHRA PRADESH</t>
  </si>
  <si>
    <t>PERI INSTITUTE OF TECHNOLOGY CHENNAI/TAMIL NADU</t>
  </si>
  <si>
    <t>AutoCAD,MS Office,MS Project,Primavera,STAAD PRO</t>
  </si>
  <si>
    <t>MA CONSULTING SERVICES PVT. LTD | Graduate Engineer Trainee | HYDERABAD | Jun 2024 | Jun 2025 | 1Y 0M | 3.38</t>
  </si>
  <si>
    <t>TRUBOARD PARTNERS | Asset Managment | Mumbai | May 2026 | Jun 2026 | 8.1428571428571 Weeks | Campus Internship
MA CONSULTING SERVICES PVT LTD. | INTERN | HYDERABAD,TELANGANA | Jan 2024 | May 2024 | 21.142857142857 Weeks</t>
  </si>
  <si>
    <t>P25700061</t>
  </si>
  <si>
    <t>GOWDA M R</t>
  </si>
  <si>
    <t>Rahul Gowda M R</t>
  </si>
  <si>
    <t>armrg15@gmail.com</t>
  </si>
  <si>
    <t>p25700061@student.nicmar.ac.in</t>
  </si>
  <si>
    <t>15-Dec-2002</t>
  </si>
  <si>
    <t>Kannada ,English ,Hindi</t>
  </si>
  <si>
    <t>8212 0477 6115</t>
  </si>
  <si>
    <t>M.RANGANATH</t>
  </si>
  <si>
    <t>SAVITHA DEVI .T</t>
  </si>
  <si>
    <t>#214/55,Sri Ranga Nilaya ,Shantinagar, Arshinakunte ,Nelamangala ,Bangalore Rural-562123</t>
  </si>
  <si>
    <t>Bangalore Rural</t>
  </si>
  <si>
    <t>ST MARY'S HIGH SCHOOL</t>
  </si>
  <si>
    <t>KARNATAKA SECONDARY EDUCATION EXAMINATION BOARD</t>
  </si>
  <si>
    <t>VIDYA MANDIR INDEPENDENT PU COLLEGE</t>
  </si>
  <si>
    <t>DEPARTMENT OF PRE-UNIVERSITY EDUCATION, BANGALORE.</t>
  </si>
  <si>
    <t>VISVESVARAYA TECHNOLOGICAL UNIVERSITY ,BELAGAVI ,KARNATAKA</t>
  </si>
  <si>
    <t>SJB SCHOOL OF ARCHITECTURE AND PLANNING ,BANGALORE</t>
  </si>
  <si>
    <t>AutoCAD,Sketchup,Lumion,Enscape,Photoshop,Revit,VN,D5,Ms office,Ms Projects,Primavera,Costx</t>
  </si>
  <si>
    <t>STAR INFRATECH | Civil Engineering Intern | TUMAKURU | May 2026 | Jul 2026 | 9.2857142857143 Weeks | Campus Internship
SDEG | ARCHITECTURE | BENGALURU | Dec 2024 | Apr 2025 | 17.428571428571 Weeks</t>
  </si>
  <si>
    <t>UDL Photoshop Masterclass
Designing for Greater Efficiency</t>
  </si>
  <si>
    <t>P25700063</t>
  </si>
  <si>
    <t>POONAM</t>
  </si>
  <si>
    <t>PURSHOTTAM</t>
  </si>
  <si>
    <t>KANADE</t>
  </si>
  <si>
    <t>Poonam Purshottam Kanade</t>
  </si>
  <si>
    <t>poonampkn95@gmail.com</t>
  </si>
  <si>
    <t>p25700063@student.nicmar.ac.in</t>
  </si>
  <si>
    <t>ENGLISH, MARATHI(MT), HINDI</t>
  </si>
  <si>
    <t>3220 1623 8737</t>
  </si>
  <si>
    <t>SHIVAJI</t>
  </si>
  <si>
    <t>.</t>
  </si>
  <si>
    <t>JAYASHREE</t>
  </si>
  <si>
    <t>4,37 DEEPAK APPARTMENT 75/D TARDEO ROAD MUMBAI 400034</t>
  </si>
  <si>
    <t>K.S.L.R SHINDE HIGHSCHOOL ARNYESHWAR PUNE 411009</t>
  </si>
  <si>
    <t>MAHARASHTRA STATE BOARD OF SECONDARY AND HIGHER SECONDARY EDUCATION</t>
  </si>
  <si>
    <t>GOVERNMENT POLYTECHNIC MUMBAI</t>
  </si>
  <si>
    <t>2010-Aug</t>
  </si>
  <si>
    <t>2014-Jan</t>
  </si>
  <si>
    <t>MUMBAI UNIVERCITY</t>
  </si>
  <si>
    <t>VIDYAVARDHINIS COLLEGE OF ENGINEERING AND TECHNOLOGY</t>
  </si>
  <si>
    <t>AutoCAD,MS Office,SAP PP</t>
  </si>
  <si>
    <t>MCON RASAYAN PVT LTD | ASSISTANT TECHNICAL MANAGER | MUMBAI | Aug 2019 | Jan 2023 | 3Y 4M | 2.4
NEURAL SECURE SERVICES PVT LTD | ACCOUNT MANAGER SPECIAL ACCOUNTS | MUMBAI | Feb 2023 | May 2025 | 2Y 3M | 7.2</t>
  </si>
  <si>
    <t>5 Years 8 Months</t>
  </si>
  <si>
    <t>Archcon Structural Pvt Ltd | Business Development Intern | Mumbai | May 2026 | Jul 2026 | 8.5714285714286 Weeks | Campus Internship</t>
  </si>
  <si>
    <t>P25700064</t>
  </si>
  <si>
    <t>TANUSH</t>
  </si>
  <si>
    <t>KUNDAN</t>
  </si>
  <si>
    <t>GANDHI</t>
  </si>
  <si>
    <t>Tanush Kundan Gandhi</t>
  </si>
  <si>
    <t>tanushgandhi1@gmail.com</t>
  </si>
  <si>
    <t>p25700064@student.nicmar.ac.in</t>
  </si>
  <si>
    <t>12-Oct-2003</t>
  </si>
  <si>
    <t>8517 7523 8468</t>
  </si>
  <si>
    <t>HARSHALI</t>
  </si>
  <si>
    <t>699/1 Plot No.34/37 Vishwakarma Housing Society , Chile Colony , Jawahar Nagar , Kolhapur.</t>
  </si>
  <si>
    <t>Kolhapur</t>
  </si>
  <si>
    <t>TAVANAPPA PATNE HIGH SCHOOL</t>
  </si>
  <si>
    <t>GOVERNMENT POLYTECHNIC KOLHAPUR</t>
  </si>
  <si>
    <t>KOLHAPUR INSTITUTE OF TECHNOLOGY'S COLLEGE OF ENGINEERING, KOLHAPUR</t>
  </si>
  <si>
    <t>Padam Interiors | Intern | Mumbai | May 2026 | Jul 2026 | 8.7142857142857 Weeks | Campus Internship
SAMVARDHAN ENVIRO PROJECTS | INTERN | KOLHAPUR | Feb 2025 | Apr 2025 | 8.4285714285714 Weeks</t>
  </si>
  <si>
    <t>P25700065</t>
  </si>
  <si>
    <t>SUSHIN</t>
  </si>
  <si>
    <t>J</t>
  </si>
  <si>
    <t>Sushin J</t>
  </si>
  <si>
    <t>sushinjerald@gmail.com</t>
  </si>
  <si>
    <t>p25700065@student.nicmar.ac.in</t>
  </si>
  <si>
    <t>15-Apr-2002</t>
  </si>
  <si>
    <t>ENGLISH TAMIL HINDI</t>
  </si>
  <si>
    <t>9366 8720 6851</t>
  </si>
  <si>
    <t>P JERALD</t>
  </si>
  <si>
    <t>EX SERVICEMEN</t>
  </si>
  <si>
    <t>J RESILINA</t>
  </si>
  <si>
    <t>NO 4 8TH STREET JYOTHI NAGAR CARSHED COMPLEX POWERLINE ROAD ANNANUR</t>
  </si>
  <si>
    <t>Tiruvallur</t>
  </si>
  <si>
    <t>VELAMMAL VIDHYASHRAM SURAPET</t>
  </si>
  <si>
    <t>VELAMMAL VIDHYASHRAM SURAPET CHENNAI TAMILNADU</t>
  </si>
  <si>
    <t>RAJALAKSHMI ENGINEERINGCOLLEGE</t>
  </si>
  <si>
    <t>Colliers International (India) Property Services Private Limited | Trainee | Chennai | Jul 2023 | Aug 2023 | 2.1428571428571 Weeks</t>
  </si>
  <si>
    <t>P25700066</t>
  </si>
  <si>
    <t>SWAGAT</t>
  </si>
  <si>
    <t>BHANJA DEO</t>
  </si>
  <si>
    <t>Swagat Kumar Bhanja Deo</t>
  </si>
  <si>
    <t>swagatbhanjadeo@gmail.com</t>
  </si>
  <si>
    <t>p25700066@student.nicmar.ac.in</t>
  </si>
  <si>
    <t>30-Aug-2000</t>
  </si>
  <si>
    <t>English, Hindi and Odia</t>
  </si>
  <si>
    <t>A-ve</t>
  </si>
  <si>
    <t>4550 8544 9895</t>
  </si>
  <si>
    <t>SATYANARAYAN BHANJADEO</t>
  </si>
  <si>
    <t>GOVERNMENT SECTOR</t>
  </si>
  <si>
    <t>M BHARATEE</t>
  </si>
  <si>
    <t>Sambhunagar Pada, Block 2, East Lane 03, Bhawanipatna</t>
  </si>
  <si>
    <t>Kalahandi</t>
  </si>
  <si>
    <t>VIMALA CONVENT SCHOOL</t>
  </si>
  <si>
    <t>INDIAN CERTIFICATE OF SECONDARY EDUCATION / BHAWANIPATNA, ODISHA</t>
  </si>
  <si>
    <t>2006-May</t>
  </si>
  <si>
    <t>GOURI SHANKAR RESIDENTIAL ENGLISH MEDIUM SCHOOL</t>
  </si>
  <si>
    <t>CENTRAL BOARD OF SECONDARY EDUCATION, BHUBANESWAR, ODISHA</t>
  </si>
  <si>
    <t>SIKSHA 'O' ANUSANDHAN</t>
  </si>
  <si>
    <t>INSTITUTE OF TECHNICAL EDUCATION AND RESEARCH, BHUBANESWAR, ODISHA</t>
  </si>
  <si>
    <t>AutoCAD,MS Office,MS Project,STAAD.Pro</t>
  </si>
  <si>
    <t>Convenient Construction Consultancy Private Limited | Site Execution and Control Intern | Bhubaneswar | May 2026 | Jul 2026 | 9.7142857142857 Weeks | Campus Internship</t>
  </si>
  <si>
    <t>AutoCAD (Civil)
Finance for Non-Financial Managers</t>
  </si>
  <si>
    <t>P25700067</t>
  </si>
  <si>
    <t>DHARAMTHOK</t>
  </si>
  <si>
    <t>Sanket Raju Dharamthok</t>
  </si>
  <si>
    <t>dharamthoksanket@gmail.com</t>
  </si>
  <si>
    <t>p25700067@student.nicmar.ac.in</t>
  </si>
  <si>
    <t>17-Nov-1999</t>
  </si>
  <si>
    <t>8229 9683 9399</t>
  </si>
  <si>
    <t>RAJASHREE</t>
  </si>
  <si>
    <t>NARAHARI NAGAR BEHIND TAPAR HOSTEL RAJAPETH AMRAVATI</t>
  </si>
  <si>
    <t>MANIBAI GUJRATHI ENGLISH HIGH SCHOOL</t>
  </si>
  <si>
    <t>MAHARASHTRA STATE BOARD OF SECONDARY AND HIGHER SECONDARY EDUCATION,PUNE,MAHARASHTRA</t>
  </si>
  <si>
    <t>SHRI SHIVAJI SCIENCE COLLEGE</t>
  </si>
  <si>
    <t>SIPNA COLLEGE OF ENGINEERING AND TECHNOLOGY/AMRAVATI/MAHARASHTRA</t>
  </si>
  <si>
    <t>AutoCAD,MS Office,MS Project,REVIT,NAVISWORKS</t>
  </si>
  <si>
    <t>AASHI SOLUTIONS PVT. LTD. | TRAINEE ENGINEER  | PUNE | May 2024 | Jun 2025 | 1Y 1M | 2.37</t>
  </si>
  <si>
    <t>Basil Decor LLP  | Project Management Intern | Pune | May 2026 | Jul 2026 | 9.2857142857143 Weeks | Campus Internship
BLUEPRINTS DESIGN CONSULTING SERVICES PVT. LTD. | BIM INTERN | PUNE | Sep 2023 | Dec 2023 | 12.714285714286 Weeks
CIVIL (Engg) CAD CENTRE | CIVIL ENGINEERING INTERN | AMRAVATI | Jun 2019 | Jul 2019 | 6.5714285714286 Weeks</t>
  </si>
  <si>
    <t>BIM PROFESSIONAL COURSE
AUTODESK CERTIFIED USER "REVIT FOR ARCHITECTURE"
AUTOCAD</t>
  </si>
  <si>
    <t>P25700068</t>
  </si>
  <si>
    <t>SUDHARSHAN</t>
  </si>
  <si>
    <t>Sudharshan V</t>
  </si>
  <si>
    <t>sudharshanvenkat007@gmail.com</t>
  </si>
  <si>
    <t>p25700068@student.nicmar.ac.in</t>
  </si>
  <si>
    <t>07-Oct-2003</t>
  </si>
  <si>
    <t>Tamil, English</t>
  </si>
  <si>
    <t>O-ve</t>
  </si>
  <si>
    <t>5999 1755 2021</t>
  </si>
  <si>
    <t>VENKATACHALAPATHY R</t>
  </si>
  <si>
    <t>CIVIL ENGINEER &amp; PROPRIETOR</t>
  </si>
  <si>
    <t>PARAMESHWARI</t>
  </si>
  <si>
    <t>24, 2nd Cross, Nehru Nagar, Thengaithittu, Mudaliyarpet</t>
  </si>
  <si>
    <t>Puducherry</t>
  </si>
  <si>
    <t>PETIT SEMINARE HIGHER SECONDARY SCHOOL</t>
  </si>
  <si>
    <t>TAMIL NADU BOARD OF SECONDARY EDUCATION,  PUDUCHERRY</t>
  </si>
  <si>
    <t>VELLORE INSTITUTE OF TECHNOLOGY , VELLORE</t>
  </si>
  <si>
    <t>AutoCAD, MS Office, MS Project, Primavera, arcGIS,  Revit</t>
  </si>
  <si>
    <t>Larsen &amp; Toubro | Project Management intern | Chennai  | May 2026 | Jul 2026 | 8.7142857142857 Weeks | Campus Internship
Chennai Metro Rail Limited | Civil Engineering Trainee | Chennai | Aug 2023 | Sep 2023 | 4.2857142857143 Weeks</t>
  </si>
  <si>
    <t>KPMG Lean Six Sigma Green Belt</t>
  </si>
  <si>
    <t>P25700069</t>
  </si>
  <si>
    <t>VIKRAM</t>
  </si>
  <si>
    <t>Atul Vikram Singh</t>
  </si>
  <si>
    <t>atulofficial7395@gmail.com</t>
  </si>
  <si>
    <t>p25700069@student.nicmar.ac.in</t>
  </si>
  <si>
    <t>05-Sep-2002</t>
  </si>
  <si>
    <t>English , Hindi</t>
  </si>
  <si>
    <t>7459 1075 0370</t>
  </si>
  <si>
    <t>MANISH KUMAR SINGH</t>
  </si>
  <si>
    <t>CLERK</t>
  </si>
  <si>
    <t>REEMA SINGH</t>
  </si>
  <si>
    <t>NEW COLONY MISHRAULIYA RAUZA GHAZIPUR</t>
  </si>
  <si>
    <t>Vill- Bharatpur , Post- Gadaipur</t>
  </si>
  <si>
    <t>MAHATAMA JYOTI RAO PHULE PUBLIC SCHOOL GHAZIPUR</t>
  </si>
  <si>
    <t>CENTRAL BOARD OF SECONDARY EDUCATION  GHAZIPUR</t>
  </si>
  <si>
    <t>DR. A.P.J. ABDUL KALAM TECHNICAL UNIVERSITY UP</t>
  </si>
  <si>
    <t>SHRI RAM SWAROOP MEMORIAL COLLEGE OF ENGG. AND MANAGEMENT , LUCKNOW</t>
  </si>
  <si>
    <t>DEE VEE PROJECTS LIMITED | JR ENGINEER | SGTBSGMC , PANJUPUR YAMUNA NAGAR HARYANA | Feb 2025 | Jun 2025 | 0Y 4M | 1.68</t>
  </si>
  <si>
    <t>0 Years 4 Months</t>
  </si>
  <si>
    <t>Sobha Ltd. | Project Management Intern | Gurugram | May 2026 | Jul 2026 | 9 Weeks | Campus Internship
UTTAR PRADESH JAL NIGAM | TRAINEE | GOMTI NAGAR LUCKNOW | Jun 2022 | Jul 2022 | 4.1428571428571 Weeks</t>
  </si>
  <si>
    <t>AutoCad</t>
  </si>
  <si>
    <t>P25700070</t>
  </si>
  <si>
    <t>ABHISHEK</t>
  </si>
  <si>
    <t>SANJAY</t>
  </si>
  <si>
    <t>SHINDE</t>
  </si>
  <si>
    <t>Abhishek Sanjay Shinde</t>
  </si>
  <si>
    <t>01abhinicmar@gmail.com</t>
  </si>
  <si>
    <t>p25700070@student.nicmar.ac.in</t>
  </si>
  <si>
    <t>21-May-2001</t>
  </si>
  <si>
    <t>6544 1747 0620</t>
  </si>
  <si>
    <t>SANJAY SHINDE</t>
  </si>
  <si>
    <t>PRAMILA SHINDE</t>
  </si>
  <si>
    <t>Akola Naka, Kata Road, Behind Dr. Aahale Hospital, Washim</t>
  </si>
  <si>
    <t>Washim</t>
  </si>
  <si>
    <t>LIONS VIDYA NIKETAN, WASHIM</t>
  </si>
  <si>
    <t>MAHARASHTRA STATE BOARD, WASHIM</t>
  </si>
  <si>
    <t>GOVERNMENT POLYTECHNIC WASHIM.</t>
  </si>
  <si>
    <t>2017-Oct</t>
  </si>
  <si>
    <t>D. Y. PATIL COLLEGE OF ENGINEERING, AKURDI, PUNE.</t>
  </si>
  <si>
    <t>AutoCAD, MS Office, MS Project, Primavera, STAAD Pro Connect  Edition  (Beginner), STAAD  Foundation (Beginner), MSCIT Certification, Revit (BIM)</t>
  </si>
  <si>
    <t>Maruti Suzuki Arena, Wonder Cars Pvt. Ltd. | Relationship Manager  | Pimpri, Pune | Dec 2024 | Feb 2025 | 0Y 2M | 2.16
Knest Aluform Pvt. Ltd | Design Engineer  | Pimpri, Pune | Jul 2023 | Nov 2023 | 0Y 4M | 3</t>
  </si>
  <si>
    <t>0 Years 7 Months</t>
  </si>
  <si>
    <t>Ernst &amp; Young LLP | Business Risk Consultant | Mumbai - Dadar  | May 2026 | Jul 2026 | 8.2857142857143 Weeks | Campus Internship
UNIQUE CONTRACTS PVT. LTD. | SITE ENGINEER  | AKURDI, PUNE | Feb 2025 | Jul 2025 | 20 Weeks
SHARANGDHAR ASSOCIATES | CONSTRUCTION ENGINEERING INTERN (OFFICE &amp; SITE) | WASHIM | Nov 2020 | May 2021 | 28.428571428571 Weeks</t>
  </si>
  <si>
    <t>Business Analysis Foundation
Finance for Non-Financial Managers, Emory University
Oracle Primavera P6 Professional Project Management
AI Usage and Data - Driven Thinking by Harvard Business Impact 
EY Artificial Intelligence – Applied AI – Bronze Learning (2026) badge</t>
  </si>
  <si>
    <t>P25700071</t>
  </si>
  <si>
    <t>NAKULAN</t>
  </si>
  <si>
    <t>Nakulan A</t>
  </si>
  <si>
    <t>nakulan.ar@outlook.com</t>
  </si>
  <si>
    <t>p25700071@student.nicmar.ac.in</t>
  </si>
  <si>
    <t>31-Dec-2002</t>
  </si>
  <si>
    <t>TAMIL, ENGLISH</t>
  </si>
  <si>
    <t>5794 1218 7398</t>
  </si>
  <si>
    <t>M ARUNACHALAM</t>
  </si>
  <si>
    <t>BUISNESS</t>
  </si>
  <si>
    <t>S RUBA GAYATHRI</t>
  </si>
  <si>
    <t>3/86, Gandhi Nagar,_x000D_
Malaipalayam Road Opp Bank Of Baroda,_x000D_
Senjerimalai</t>
  </si>
  <si>
    <t>Coimbatore</t>
  </si>
  <si>
    <t>BVM GLOBAL @ KARPAGAM CAMPUS</t>
  </si>
  <si>
    <t>CENTRAL BOARD OF SECONDARY EDUCATION, COIMBATORE, TAMIL NADU</t>
  </si>
  <si>
    <t>VIDHYA NIKETAN PUBLIC SCHOOL</t>
  </si>
  <si>
    <t>PSG COLLEGE OF TECHNOLOGY, COIMBATORE, TAMIL NADU</t>
  </si>
  <si>
    <t xml:space="preserve">AutoCAD,MS Office,MS Project,Primavera,STADD Pro,IITPAVE,KENPAVE </t>
  </si>
  <si>
    <t>J Kumar Infraprojects LTD. | Management Intern | Chennai | May 2026 | Jul 2026 | 9.7142857142857 Weeks | Campus Internship</t>
  </si>
  <si>
    <t>Pavement Construction Technology
Finance for Non-Financial Managers</t>
  </si>
  <si>
    <t>P25700072</t>
  </si>
  <si>
    <t>NIRMAL</t>
  </si>
  <si>
    <t>BHARADWAJ</t>
  </si>
  <si>
    <t>Nirmal Bharadwaj</t>
  </si>
  <si>
    <t>bharadwajnirmal@gmail.com</t>
  </si>
  <si>
    <t>renu.dalal@NCR.nicmar.ac.in</t>
  </si>
  <si>
    <t>10-Apr-1994</t>
  </si>
  <si>
    <t>Listening Music</t>
  </si>
  <si>
    <t>8926 9319 0264</t>
  </si>
  <si>
    <t>GOVIND PRASAD</t>
  </si>
  <si>
    <t>PVT CONTRACT JOB</t>
  </si>
  <si>
    <t>SUNITA SHARMA</t>
  </si>
  <si>
    <t>KRISHNA COLONY, NEAR YADAV HOTEL,
BARI ROAD, DHOLPUR</t>
  </si>
  <si>
    <t>Dholpur</t>
  </si>
  <si>
    <t>Rajasthan</t>
  </si>
  <si>
    <t>JAWAHAR NAVODAYA VIDHALAYA, DHOLPUR</t>
  </si>
  <si>
    <t>CENTRAL BOARD OF SECONDARY EDUCATION NEW DELHI</t>
  </si>
  <si>
    <t>2007-Apr</t>
  </si>
  <si>
    <t>2008-May</t>
  </si>
  <si>
    <t>SANATAN DHARM SHIKSHA SADAN SR SEC SCHOOL DHOLPUR</t>
  </si>
  <si>
    <t>BOARD OF SECONDARY EDUCATION RAJASTHAN</t>
  </si>
  <si>
    <t>DR. A.P.J. ABDUL KALAM TECHNICAL UNIVERSITY, LUCKNOW, U.P.</t>
  </si>
  <si>
    <t>KAMLA NEHRU INSTITUTE OF TECHNOLOGY, SULTANPUR (U.P.)</t>
  </si>
  <si>
    <t xml:space="preserve">AutoCAD, MS Office, MS Project, Primavera, SAP/ERP, CostX, BIM, Revit, Candy, Staad Pro, MX Roads, Power BI, Data Analysis, Quality Assurance &amp; Control, EVM-CPI/SPI/EAC, EPC Turnkey &amp; EPCM Frameworks, FIDIC Suite Contracts </t>
  </si>
  <si>
    <t>Bigzen Developers Private Limited | Project Manager (Civil) | Gurugram-Haryana | Oct 2022 | Dec 2024 | 2Y 2M | 20
National Highways Infrastructure Development Corporation Limited (outsourced contract) | Manager (Project) | Leh-Ladakh | Dec 2020 | Sep 2022 | 1Y 9M | 14
Civil Mantra Infracon Private Limited | Design Engineer Highway &amp; Tunnel | Gurugram-Haryana | Dec 2019 | Dec 2020 | 1Y 0M | 8.4
National Highways Infrastructure Development Corporation Limited (outsourced contract) | Graduate Engineer (Gr-II) | New Delhi | Nov 2016 | Nov 2019 | 3Y 0M | 7.2
Ansal Properties &amp; Infrastructure Limited | Project Engineer (Civil) | Ajmer-Rajasthan | Jun 2015 | Nov 2016 | 1Y 5M | 4</t>
  </si>
  <si>
    <t>9 Years 6 Months</t>
  </si>
  <si>
    <t>Chuan Lim Engineering Pte Ltd (CLE) | Advanced Construction Management (ACM) Intern | Singapore | May 2026 | Jul 2026 | 8.8571428571429 Weeks | Campus Internship
PNC-TRG (JV) | Trainee | Dholpur | Jun 2014 | Jul 2014 | 4.1428571428571 Weeks
PNC-TRG (JV) | Trainee | Dholpur | Jun 2013 | Jun 2013 | 3.8571428571429 Weeks</t>
  </si>
  <si>
    <t>ONE YEAR ADVANCED DIPLOMA IN DRAFTING, NEGOTIATION AND  ENFORCEMENT OF CONTRACTS
AI Foundations for Business Professionals by Said Business School (Oxford University)
Introduction to Model Context Protocol &amp; Advance Course by Anthropic AI
Retrieval Augmented Generation (RAG)- by Deeplearning.AI
Lean Six Sigma-Green Belt (KPMG)
Indian Green Building Council-Accredited  Professional
International Business by The University of New Mexico
Operations Management by IESE Business School, University of Navarra
Building Smarter: BIM in Practice by L&amp;T Edutech
Construction Management full course series-Columbia University
Ethics in Engineering Practice by IIT Kharagpur
Construction Equipment Maintenance &amp; Safety by L&amp;TEdutech</t>
  </si>
  <si>
    <t>P25700073</t>
  </si>
  <si>
    <t>DASHRATH</t>
  </si>
  <si>
    <t>DHUMAL</t>
  </si>
  <si>
    <t>Vaibhav Dashrath Dhumal</t>
  </si>
  <si>
    <t>vaibhavdhumal100@gmail.com</t>
  </si>
  <si>
    <t>H2470082@student.nicmar.ac.in</t>
  </si>
  <si>
    <t>13-Jan-2003</t>
  </si>
  <si>
    <t>MARATHI, HINDI, ENGLISH</t>
  </si>
  <si>
    <t>Cooking</t>
  </si>
  <si>
    <t>3832 4063 5382</t>
  </si>
  <si>
    <t>Retired</t>
  </si>
  <si>
    <t>SEEMA</t>
  </si>
  <si>
    <t>12/701, Vijay Park, Kasarvadavali, Ghodbunder Road, Thane (west), Maharashtra- 400615.</t>
  </si>
  <si>
    <t>PAWAR PUBLIC SCHOOL, BHANDUP (W), MUMBAI</t>
  </si>
  <si>
    <t>COUNCIL FOR THE INDIAN SCHOOL CERTIFICATE EXAMINATIONS, NEW DELHI</t>
  </si>
  <si>
    <t>CHANDRABHAN SHARMA JUNIOR COLLEGE OF SCIENCE AND COMMERCE, POWAI, MUMBAI</t>
  </si>
  <si>
    <t>MS Project, Primavera, RIB CostX, MS Office</t>
  </si>
  <si>
    <t>K E Infrastructure Pvt. Ltd. | INTERN | THANE | May 2026 | Jun 2026 | 8.5714285714286 Weeks | Campus Internship
JAGDALE INFRASTRUCTURE PRIVATE LIMITED | INTERN | THANE | Jun 2023 | Jul 2023 | 4.2857142857143 Weeks</t>
  </si>
  <si>
    <t>P25700074</t>
  </si>
  <si>
    <t>MD KASHIF</t>
  </si>
  <si>
    <t>NADEEM</t>
  </si>
  <si>
    <t>Md Kashif Nadeem</t>
  </si>
  <si>
    <t>nadeem.kashif1011@gmail.com</t>
  </si>
  <si>
    <t>p25700074@student.nicmar.ac.in</t>
  </si>
  <si>
    <t>11-Oct-1993</t>
  </si>
  <si>
    <t>ENGLISH,HINDI,URDU</t>
  </si>
  <si>
    <t>6456 2595 4396</t>
  </si>
  <si>
    <t>MD WAKEEL AHMAD ANSARI</t>
  </si>
  <si>
    <t>RETIRED GOVERNMENT PRINCIPAL</t>
  </si>
  <si>
    <t>AZMATI KHATOON</t>
  </si>
  <si>
    <t>FLAT NO-304, ASSISTANT PROFESSOR APARTMENT, GOVERNMENT ENGINEERING COLLEGE, NAWADA, NEAR BUDHAUL BUS STAND, DIST-NAWADA, BIHAR</t>
  </si>
  <si>
    <t>Nawada</t>
  </si>
  <si>
    <t>HARRAKH COLONY, WARD NO-12, INFRONT OF KABRISTAN MAIN GATE, DIST-BEGUSARAI, BIHAR</t>
  </si>
  <si>
    <t>Begusarai</t>
  </si>
  <si>
    <t>ST.PAUL'S SCHOOL, BEGUSARAI</t>
  </si>
  <si>
    <t>INDIAN CERTIFICATE OF SECONDARY EDUCATION EXAMINATION, NEW DELHI</t>
  </si>
  <si>
    <t>2009-May</t>
  </si>
  <si>
    <t>RAMMOHAN ROY SEMINARY +2, PATNA</t>
  </si>
  <si>
    <t>BIHAR SCHOOL EXAMINATION BOARD, PATNA</t>
  </si>
  <si>
    <t>RAJIV GANDHI PROUDYOGIKI VISHWAVIDYALAYA, BHOPAL</t>
  </si>
  <si>
    <t>JAI NARAIN COLLEGE OF TECHNOLOGY &amp; SCIENCE, BHOPAL</t>
  </si>
  <si>
    <t>2019-Dec</t>
  </si>
  <si>
    <t>AutoCAD,MS Office,MS Project,Primavera, Revit &amp; Navisworks (BIM Basic),Civil 3D,CostX</t>
  </si>
  <si>
    <t>GOVERNMENT ENGINEERING COLLEGE, NAWADA | ASSISTANT PROFESSOR | NAWADA | May 2021 | Nov 2022 | 1Y 6M | 6</t>
  </si>
  <si>
    <t>VSL INDIA PRIVATE LTD | Project Intern | PATNA | May 2026 | Jul 2026 | 8.7142857142857 Weeks | Campus Internship
CSIR- CENTRAL ROAD RESEARCH INSTITUTE | POST GRADUATE RESEARCH SCHOLAR | NEW DELHI | Dec 2018 | Dec 2019 | 51.857142857143 Weeks
NATIONAL HIGHWAY AUTHORITY OF INDIA | Industrial Training | Muzzafarpur | Jun 2015 | Jun 2015 | 2.5714285714286 Weeks</t>
  </si>
  <si>
    <t>Application of Primavera Software
Ethics in Engineering Practice by NPTEL
Project Admin (Scholar) by digiQC
Construction Equipment Maintenance &amp; Safety  by L&amp;T EduTech</t>
  </si>
  <si>
    <t>P25700075</t>
  </si>
  <si>
    <t>Ashutosh Yadav</t>
  </si>
  <si>
    <t>ashudev955@gmail.com</t>
  </si>
  <si>
    <t>p25700075@student.nicmar.ac.in</t>
  </si>
  <si>
    <t>22-Aug-2002</t>
  </si>
  <si>
    <t>9818 1176 8755</t>
  </si>
  <si>
    <t>RAM BILASH SINGH YADAV</t>
  </si>
  <si>
    <t>ASSISTANT GENERAL MANAGER</t>
  </si>
  <si>
    <t>SUSHILA YADAV</t>
  </si>
  <si>
    <t>PHULLANPUR,SHIV NAGAR COLONY,GHAZIPUR,UTTAR PRADESH-233001</t>
  </si>
  <si>
    <t>Vill-Devkhatiya,PO:Belwa Urf Rasulpur,DIST:Ghazipur,Uttar Pradesh-233305</t>
  </si>
  <si>
    <t>DR A I MEMO SUNBEAM SCHOOL ROHANIA VARANASI UP</t>
  </si>
  <si>
    <t>CENTRAL BOARD OF SECONDARY EDUCATION /UTTAR PRADESH</t>
  </si>
  <si>
    <t>CHANDIGARH UNIVERSITY MOHALI/PUNJAB</t>
  </si>
  <si>
    <t>AutoCAD,MS Office,MS Project,Primavera,PLAXIS 3D,STAAD.Pro,Abaqus,REVIT</t>
  </si>
  <si>
    <t>Arvind Technocrats &amp; Engineers LLP | internship trainee | BELGAUM  | Jun 2023 | Jul 2023 | 6.1428571428571 Weeks</t>
  </si>
  <si>
    <t>P25700076</t>
  </si>
  <si>
    <t>ANIL</t>
  </si>
  <si>
    <t>RAKHONDE</t>
  </si>
  <si>
    <t>Tejas Anil Rakhonde</t>
  </si>
  <si>
    <t>tejasrakhonde@gmail.com</t>
  </si>
  <si>
    <t>p25700076@student.nicmar.ac.in</t>
  </si>
  <si>
    <t>14-May-2000</t>
  </si>
  <si>
    <t>4868 5582 7489</t>
  </si>
  <si>
    <t>SAVITA</t>
  </si>
  <si>
    <t>772, Khadse Nagar, Sancheti Plot, Nandura, Dist- Buldhana, Maharashtra Pin - 443404.</t>
  </si>
  <si>
    <t>SCHOOL OF SCHOLARS, AKOLA</t>
  </si>
  <si>
    <t>GOVERNMENT COLLEGE OF ENGINEERING, YAVATMAL</t>
  </si>
  <si>
    <t>SINDHIKAR ENGINEERS, JALGAON | SITE CIVIL ENGINEEER | JALGAON | Jan 2023 | Mar 2024 | 1Y 2M | 2.4</t>
  </si>
  <si>
    <t>1 Year 3 Months</t>
  </si>
  <si>
    <t>Embassy Developments Limited | Construction - intern | mumbai | May 2026 | Jul 2026 | 8.2857142857143 Weeks | Campus Internship
MUNICIPAL COUNCIL &amp;  MAHARASHTRA JEEVAN PRADHIKARAN, AMRAVATI. | TRAINEE ENGINEER | AMRAVATI | Jan 2022 | Jun 2022 | 25.714285714286 Weeks
MUNICIPAL COUNCIL, NANDURA. | TRAINEE ENGINEER | NANDURA | Aug 2021 | Aug 2021 | 4.2857142857143 Weeks
SINDHIKAR ENGINEERS, JALGAON | TRAINEE ENGINEER | Jalgaon | Jun 2019 | Jun 2019 | 4.1428571428571 Weeks</t>
  </si>
  <si>
    <t>AUTOCAD
Finance for Non-Financial Managers
TBMs,Pile Rigs,Cranes &amp; Hauling Vehicles
IGBC Accredited Professional (AP) - Associate
Lean Six Sigma Green Belt Certification
Construction Equipment Maintenance &amp; Safety
Six Sigma and the Organization (Advanced)
Construction Project Management</t>
  </si>
  <si>
    <t>P25700077</t>
  </si>
  <si>
    <t>NISHANT</t>
  </si>
  <si>
    <t>GUPTA</t>
  </si>
  <si>
    <t>Nishant Manoj Gupta</t>
  </si>
  <si>
    <t>nishantg987@gmail.com</t>
  </si>
  <si>
    <t>p25700077@student.nicmar.ac.in</t>
  </si>
  <si>
    <t>23-Dec-2000</t>
  </si>
  <si>
    <t>9612 6931 8910</t>
  </si>
  <si>
    <t>MANOJ GUPTA</t>
  </si>
  <si>
    <t>RITA GUPTA</t>
  </si>
  <si>
    <t>E-52, JHAROKHA 2, AKURLI ROAD, KANDIVALI EAST</t>
  </si>
  <si>
    <t>Mumbai Suburban</t>
  </si>
  <si>
    <t>Shop No 2, M.D. Road, Shinde Chawl, Kandivali East</t>
  </si>
  <si>
    <t>CHILDREN'S ACADEMY</t>
  </si>
  <si>
    <t>SECONDARY SCHOOL CERTIFICATE (SSC), MAHARASHTRA STATE</t>
  </si>
  <si>
    <t>THAKUR COLLEGE OF SCIENCE AND COMMERCE</t>
  </si>
  <si>
    <t>HIGHER SECONDARY CERTIFICATE (HSC), MAHARASHTRA STATE</t>
  </si>
  <si>
    <t>THAKUR POLYTECHNIC, MAHARASHTRA</t>
  </si>
  <si>
    <t>THAKUR COLLEGE OF ENGINEERING AND TECHNOLOGY</t>
  </si>
  <si>
    <t>Kalpataru | Execution | Mumbai | Jan 2024 | Jun 2025 | 1Y 5M | 3.53</t>
  </si>
  <si>
    <t>Shreeji Sharan | Project Controls | Mumbai | May 2026 | Jul 2026 | 9 Weeks | Campus Internship
Shreeji Sharan | Project Intern | Mumbai | Dec 2022 | Dec 2022 | 3.2857142857143 Weeks
Shreeji Sharan | Project Intern | Mumbai | Jun 2022 | Jun 2022 | 4.1428571428571 Weeks
Shraddha Enterprises | Project Intern | Mumbai | May 2019 | Jun 2019 | 5.8571428571429 Weeks</t>
  </si>
  <si>
    <t>Autodesk Certified Professional: AutoCAD for Design and Drafting Exam Prep</t>
  </si>
  <si>
    <t>P25700078</t>
  </si>
  <si>
    <t>ROHAN</t>
  </si>
  <si>
    <t>RAMESH</t>
  </si>
  <si>
    <t>KSHIRSAGAR</t>
  </si>
  <si>
    <t>Rohan Ramesh Kshirsagar</t>
  </si>
  <si>
    <t>kshirsagarrohan1811@gmail.com</t>
  </si>
  <si>
    <t>p25700078@student.nicmar.ac.in</t>
  </si>
  <si>
    <t>18-Nov-2002</t>
  </si>
  <si>
    <t>MARATHI,ENGLISH,HINDI</t>
  </si>
  <si>
    <t>7509 8976 6570</t>
  </si>
  <si>
    <t>SUNITA</t>
  </si>
  <si>
    <t>2/B Abhimanshree Nagar Marathi Peth Solapur</t>
  </si>
  <si>
    <t>HARIBHAI DEVKARAN PRASHALA SOLAPUR,MAHARASHTRA</t>
  </si>
  <si>
    <t>SOLAPUR/ MAHARASHTRA</t>
  </si>
  <si>
    <t>SES POLYTECHNIC SOLAPUR/ MAHARASHTRA</t>
  </si>
  <si>
    <t>SAVITRIBAI PHULE UNIVERSITY PUNE</t>
  </si>
  <si>
    <t>SINHGAD INSTITUTE OF TECHNOLOGY AND SCIENCE NARHE PUNE / MAHARASHTRA</t>
  </si>
  <si>
    <t>Sairaj Engineering &amp; Constructions LLP | Junior Civil Engineer | Solapur | May 2024 | May 2025 | 1Y 0M | 1.5</t>
  </si>
  <si>
    <t>BG Shirke Construction Technology Pvt. Ltd. | Engineering Intern | Pune | May 2026 | Jul 2026 | 8.5714285714286 Weeks | Campus Internship
Synergy SKL Infradevelopment | Engineering Intern | Pune | Jan 2023 | Feb 2023 | 3.1428571428571 Weeks</t>
  </si>
  <si>
    <t>Revit
AutoCAD
Finance for Non-Financial Managers
MSP
MEP
Living with climate change and Water Management
Project Admin (Scholar)</t>
  </si>
  <si>
    <t>P25700079</t>
  </si>
  <si>
    <t>SARJERAO</t>
  </si>
  <si>
    <t>SOLUNKE</t>
  </si>
  <si>
    <t>Tejas Sarjerao Solunke</t>
  </si>
  <si>
    <t>tejassolunke5021@gmail.com</t>
  </si>
  <si>
    <t>p25700079@student.nicmar.ac.in</t>
  </si>
  <si>
    <t>23-Feb-2003</t>
  </si>
  <si>
    <t>MARATHI,HINDI,ENGLISH</t>
  </si>
  <si>
    <t>6132 9613 0979</t>
  </si>
  <si>
    <t>BANER</t>
  </si>
  <si>
    <t>Malunje Khurd</t>
  </si>
  <si>
    <t>ASHTVINAYAK ENGLISH MEDIUM SCHOOL</t>
  </si>
  <si>
    <t>TRIMURTI ARTS,COMMERCE &amp; SCIENCE COLLEGE</t>
  </si>
  <si>
    <t>2021-Apr</t>
  </si>
  <si>
    <t>PIMPRI CHINCHWAD COLLEGE OF ENGINEERING,PUNE</t>
  </si>
  <si>
    <t>AutoCAD,MS Office,MS Project,Primavera,Staad Pro</t>
  </si>
  <si>
    <t>Box Office Space | Execution Intern | Pune | May 2026 | Jul 2026 | 8.7142857142857 Weeks | Campus Internship
Mudra Realities | Site Engineer | Shrirampur | Jun 2024 | Jul 2024 | 4.2857142857143 Weeks</t>
  </si>
  <si>
    <t>P25700080</t>
  </si>
  <si>
    <t>AMAN</t>
  </si>
  <si>
    <t>MADANMOHAN</t>
  </si>
  <si>
    <t>Aman Madanmohan Singh</t>
  </si>
  <si>
    <t>aman.rcoem@gmail.com</t>
  </si>
  <si>
    <t>p25700080@student.nicmar.ac.in</t>
  </si>
  <si>
    <t>06-Jun-2001</t>
  </si>
  <si>
    <t>ENGLISH, HINDI, MARATHI, MAITHILI AND BHOJPURI</t>
  </si>
  <si>
    <t>6574 1937 2904</t>
  </si>
  <si>
    <t>JYOTILATA</t>
  </si>
  <si>
    <t>70/71 Kachore Colony, Chinchbhawan Wardha Road</t>
  </si>
  <si>
    <t>MONTFORT SR SEC. SCHOOL</t>
  </si>
  <si>
    <t>CENTRAL BOARD OF SECONDARY EDUCATION, NAGPUR/MAHARASHTRA</t>
  </si>
  <si>
    <t>2006-Jun</t>
  </si>
  <si>
    <t>BHAVANS B P VIDYA MANDIR</t>
  </si>
  <si>
    <t>RAMDEOBABA COLLEGE OF ENGINEERING AND MANAGEMENT, NAGPUR/MAHARASHTRA</t>
  </si>
  <si>
    <t>Claude, ChatGPT, LLM, AutoCAD,MS Office,MS Project,Primavera,Bluebeam Revu,On Screen Takeoff,Autodesk Construction Cloud,Procore,Planswift,Bim360,Navisworks,CostX,Revit,BEAM AI,Power BI</t>
  </si>
  <si>
    <t>VConstruct India Pvt Ltd | Associate Project Engineer | Pune | Apr 2023 | Apr 2024 | 1Y 0M | 4.75
Modeledge BIM Solutions | Senior Engineer | Nagpur | May 2024 | Nov 2024 | 0Y 6M | 8.2
7 Petals Horticulture | Executive Engineer - Planning &amp; Coordination | Mumbai | Dec 2024 | Jul 2025 | 0Y 7M | 10.28</t>
  </si>
  <si>
    <t>2 Years 2 Months</t>
  </si>
  <si>
    <t>Chuan lim Engineering Pte Ltd | Summer Intern | Singapore (remote) | May 2026 | Jul 2026 | 8.8571428571429 Weeks | Campus Internship
MINISTRY OF ROAD TRANSPORT AND HIGHWAY | SITE ENGINEER INTERN | SONAMARG - J&amp;K | Dec 2022 | Mar 2023 | 13.285714285714 Weeks</t>
  </si>
  <si>
    <t>Generative AI : Introduction and Applications
Model Context Protocol: Anthropic Advanced
GenAI for Contract Managers Automating CLM
Finance for Non-Financial Managers
Auditing I : Conceptual Foundations of Auditing
Operations Management: Quality and Supply Chain
Construction Project Management
Construction Management Field Operations and Admin Tools
Six Sigma Green Belt
Architectural Design ( AutoCAD 2D, Revit Arch &amp; 3D Max)
Project Delivery in Business Analysis and Capstone Project
Project Execution and Control
Python for Absolute Begineers
Python Basics for Data Science
American Society of Civil Engineers
Corporate Sales Fundamentals
Digital Marketing Fundamentals
Six Sigma Yellow Belt
Practical Application of Generative AI for Project Managers</t>
  </si>
  <si>
    <t>P25700081</t>
  </si>
  <si>
    <t>NANDAMOORI</t>
  </si>
  <si>
    <t>Nandamoori Balaji</t>
  </si>
  <si>
    <t>nandamooribalaji@gmail.com</t>
  </si>
  <si>
    <t>p25700081@student.nicmar.ac.in</t>
  </si>
  <si>
    <t>23-Sep-2001</t>
  </si>
  <si>
    <t>9594 3322 1728</t>
  </si>
  <si>
    <t>NANDAMOORI SUBRAMANYAM VENKATESULU</t>
  </si>
  <si>
    <t>LABOUR CONTRACTOR</t>
  </si>
  <si>
    <t>NANDAMOORI LAKSHMI</t>
  </si>
  <si>
    <t>D.no:8-49, S.N Puram, Tirupati</t>
  </si>
  <si>
    <t>SRIVIDYANIKETHAN EM SCHOOL</t>
  </si>
  <si>
    <t>BOARD OF SECONDARY EDUCATION, ANDHRA PRADESH</t>
  </si>
  <si>
    <t>SRI CHAITANYA JR COLLEGE</t>
  </si>
  <si>
    <t>BOARD OF INTERMEDIATE EDUCATION, ANDHRA PRADESH</t>
  </si>
  <si>
    <t>JAWAHARLAL NEHRU TECHNOLOGICAL UNIVERSITY ANANTAPUR</t>
  </si>
  <si>
    <t>SRI VENKATESWARA COLLEGE OF ENGINEERING, TIRUPATI</t>
  </si>
  <si>
    <t>AutoCAD,MS Office,MS Project,Primavera,Construction Planning &amp; control,Contract review &amp; commercial analysis using ai,Claims fundamentals and delay analysis,Project risk identification and mitigation,Financial feasibility review,Advanced MS excel,Quantity</t>
  </si>
  <si>
    <t>NBCC | Intern | Greater noida | May 2026 | Jul 2026 | 9.5714285714286 Weeks | Campus Internship
VAMSIRAM PRUDHVI BUILDERS LLP | INTERN | TIRUPATI | Jan 2024 | Jun 2024 | 25.714285714286 Weeks
SAMSKRUTHI HOMES | INTERN | TIRUPATI | Jan 2025 | Jun 2025 | 25.714285714286 Weeks</t>
  </si>
  <si>
    <t>BIM
Ethics in Engineering Practice
GenAI for contract managers
GenAI for contract drafting basics
AutoCAD
Accounting &amp; Finance
Microsoft project 2021</t>
  </si>
  <si>
    <t>P25700082</t>
  </si>
  <si>
    <t>KANNAN</t>
  </si>
  <si>
    <t>RAJAPANDIAN S</t>
  </si>
  <si>
    <t>Kannan Rajapandian S</t>
  </si>
  <si>
    <t>kannanrajapandian22@gmail.com</t>
  </si>
  <si>
    <t>p25700082@student.nicmar.ac.in</t>
  </si>
  <si>
    <t>22-Aug-2003</t>
  </si>
  <si>
    <t>ENGLISH,TAMIL</t>
  </si>
  <si>
    <t>2865 1643 6029</t>
  </si>
  <si>
    <t>R SUNDARALINGA VIVEKANANTHAN</t>
  </si>
  <si>
    <t>S SASIKALA</t>
  </si>
  <si>
    <t>POST OFFICE, 25/1, NICMAR UNIVERSITY, N.I.A, BALEWADI RD, RAM NAGAR, BANER.</t>
  </si>
  <si>
    <t>4/184,Rajam Nagar Main Road,s.kolathur,kovilambakkam,_x000D_
Chennai</t>
  </si>
  <si>
    <t>SUNSHINE CHENNAI SENIOR SECONDARY SCHOOL</t>
  </si>
  <si>
    <t>CENTRAL BOARD OF SECONDARY EDUCATION ,CHENNAI/TAMIL NADU</t>
  </si>
  <si>
    <t>SRI SIVASUBRAMANIYA NADAR COLLEGE OF ENGINEERING,CHENNAI/TAMIL NADU</t>
  </si>
  <si>
    <t>AutoCAD,MS Office,MS Project,Stadd pro,Cost x, Primavera.</t>
  </si>
  <si>
    <t>Goa State Infrastructure Development Corporation Limited | Site execution Engineer | Goa | May 2026 | Jul 2026 | 8.7142857142857 Weeks | Campus Internship
JAIN HOUSING &amp; CONSTRUCTION LTD. | SITE ENGINEER  | CHENNAI | Jun 2024 | Jul 2024 | 4.2857142857143 Weeks
HANU HOMES | PROJECTS &amp; DESIGN DEPARTMENT | CHENNAI | Jan 2025 | Mar 2025 | 12.714285714286 Weeks</t>
  </si>
  <si>
    <t>P25700083</t>
  </si>
  <si>
    <t>DARSHANIK</t>
  </si>
  <si>
    <t>REWATKAR</t>
  </si>
  <si>
    <t>Darshanik Prakash Rewatkar</t>
  </si>
  <si>
    <t>drewatkar248@gmail.com</t>
  </si>
  <si>
    <t>p25700083@student.nicmar.ac.in</t>
  </si>
  <si>
    <t>10-Apr-2002</t>
  </si>
  <si>
    <t>2866 3552 4972</t>
  </si>
  <si>
    <t>GOVERNMENT SERVANT</t>
  </si>
  <si>
    <t>PRAJAKTA</t>
  </si>
  <si>
    <t>Plot No. 48-G, Behind S.D. Hospital, Ganesh Nagar, Nagpur</t>
  </si>
  <si>
    <t>PANDIT BACHHARAJ VYAS VIDYALAYA &amp; JUNIOR COLLEGE</t>
  </si>
  <si>
    <t>MAHARASHTRA STATE BOARD OF SECONDARY AND HIGHER SECONDARY EDUCATION, PUNE, MAHARASHTRA</t>
  </si>
  <si>
    <t>PRERNA JUNIOR COLLEGE, VIHIRGAON</t>
  </si>
  <si>
    <t>GOVERNMENT POLYTECHNIC, NAGPUR</t>
  </si>
  <si>
    <t>AJEENKYA D.Y. PATIL SCHOOL OF ENGINEERING, LOHEGAON, PUNE</t>
  </si>
  <si>
    <t>2024-Oct</t>
  </si>
  <si>
    <t>AutoCAD,MS Office,MS Project,Primavera,Revit,Lumion,SketchUp</t>
  </si>
  <si>
    <t>Sobha Limited | Project Management | Gurugram | May 2026 | Jul 2026 | 9 Weeks | Campus Internship
OM SAI RAM BUILDERS &amp; DEVELOPERS | JUNIOR ENGINEER, SUPERVISOR | NAGPUR | Feb 2023 | Mar 2023 | 4.1428571428571 Weeks
OM SAI RAM BUILDERS &amp; DEVELOPERS | JUNIOR ENGINEER (SITE INTERN) | NAGPUR | Nov 2020 | Nov 2020 | 1 Weeks
OM SAI RAM BUILDERS &amp; DEVELOPERS | SITE ENGINEER, SUPERVISOR | NAGPUR | Jul 2024 | May 2025 | 47.714285714286 Weeks</t>
  </si>
  <si>
    <t>P25700084</t>
  </si>
  <si>
    <t>ROHITH</t>
  </si>
  <si>
    <t>M J</t>
  </si>
  <si>
    <t>Rohith M J</t>
  </si>
  <si>
    <t>mjrohith2000@gmail.com</t>
  </si>
  <si>
    <t>p25700084@student.nicmar.ac.in</t>
  </si>
  <si>
    <t>13-Nov-2000</t>
  </si>
  <si>
    <t>ENGLISH, MALAYALAM, HINDI</t>
  </si>
  <si>
    <t>5739 4159 5418</t>
  </si>
  <si>
    <t>JAYAN M R</t>
  </si>
  <si>
    <t>DIVISIONAL MANAGER AT AT LIC OF INDIA</t>
  </si>
  <si>
    <t>JYOTHI K P</t>
  </si>
  <si>
    <t>2B MRG Shivapriya_x000D_
Kottekkad Road, Viyyur</t>
  </si>
  <si>
    <t>KENDRIYA VIDYALAYA  PURANATTUKKARA THRISSUR, KERALA</t>
  </si>
  <si>
    <t>APJ ABDUL KALAM KERALA TECHNOLOGICAL UNIVERSITY</t>
  </si>
  <si>
    <t>SCMS SCHOOL OF ENGINEERING AND TECHNOLOGY, KARUKUTTY, KERALA</t>
  </si>
  <si>
    <t>AutoCAD,MS Office,MS Project,PowerBI</t>
  </si>
  <si>
    <t>Asian Paints Limited | Sales Engineering: Waterproofing (SE)    | Coimbatore | May 2026 | Jul 2026 | 8.7142857142857 Weeks | Campus Internship</t>
  </si>
  <si>
    <t>P25700085</t>
  </si>
  <si>
    <t>ATHARVA</t>
  </si>
  <si>
    <t>MAHANTESH</t>
  </si>
  <si>
    <t>KOKALKI</t>
  </si>
  <si>
    <t>Atharva Mahantesh Kokalki</t>
  </si>
  <si>
    <t>kokalkiatharva@gmail.com</t>
  </si>
  <si>
    <t>p25700085@student.nicmar.ac.in</t>
  </si>
  <si>
    <t>03-Apr-2000</t>
  </si>
  <si>
    <t>ENGLISH HINDI MARATHI</t>
  </si>
  <si>
    <t>8903 2822 7635</t>
  </si>
  <si>
    <t>MAHANTESH RAJSHEKHAR KOKALKI</t>
  </si>
  <si>
    <t>ARCHITECT</t>
  </si>
  <si>
    <t>ANURADHA MAHANTESH KOKALKI</t>
  </si>
  <si>
    <t>55 New Industrial Estate Near Night College, Ichalkaranji-416115</t>
  </si>
  <si>
    <t>LITERA VALLEY ZEE SCHOOL</t>
  </si>
  <si>
    <t>2016-Jan</t>
  </si>
  <si>
    <t>MANERE HIGH SCHOOL AND JUNIOR COLLEGE</t>
  </si>
  <si>
    <t>KLS GOGTE INSTITUE OF TECHNOLOGY</t>
  </si>
  <si>
    <t>AutoCAD,MS Office,BIM,StaddPro</t>
  </si>
  <si>
    <t>Prathamesh Construction | Junior Civil Engineer | Ichalkaranji | Jul 2023 | Sep 2024 | 1Y 2M | 1.8</t>
  </si>
  <si>
    <t>Synergy School of Business Skills | BIM | Belagavi | Sep 2021 | Oct 2021 | 8.5714285714286 Weeks</t>
  </si>
  <si>
    <t>Cambridge Assessment English
Course on ETBAS Essential
Synergy School of Business Skills
Wipo Academy</t>
  </si>
  <si>
    <t>P25700086</t>
  </si>
  <si>
    <t>DEEPAK</t>
  </si>
  <si>
    <t>TAMBATKAR</t>
  </si>
  <si>
    <t>Shivam Deepak Tambatkar</t>
  </si>
  <si>
    <t>shivamtambatkar384@gmail.com</t>
  </si>
  <si>
    <t>p25700086@student.nicmar.ac.in</t>
  </si>
  <si>
    <t>23-Oct-2001</t>
  </si>
  <si>
    <t>MARATHI , HINDI , ENGLISH</t>
  </si>
  <si>
    <t>8036 8814 5317</t>
  </si>
  <si>
    <t>DEEPAK TAMBATKAR</t>
  </si>
  <si>
    <t>WORKER</t>
  </si>
  <si>
    <t>SUWARNA TAMBATKAR</t>
  </si>
  <si>
    <t>PRAKALP PRIDE, NEAR BANER ROAD HIGHWAY, PUNE 411045</t>
  </si>
  <si>
    <t>Telecom Colony, Near T-point , Karanja (Lad), Dist. Washim 444105</t>
  </si>
  <si>
    <t>JD CHAWARE VIDYAMANDIR KARANJA (LAD), DIST. WASHIM 444105</t>
  </si>
  <si>
    <t>AMRAVATI DIVISIONAL BOARD , MAHARASHTRA STATE BOARD (SSC)</t>
  </si>
  <si>
    <t>SWA.VITTHALRAO ADHAO JR. COLLEGE , MANORA</t>
  </si>
  <si>
    <t>MAHARSHTRA STATE BOARD (HSC)</t>
  </si>
  <si>
    <t>G H RAISONI COLLEGE OF ENGINEERING AND MANAGEMENT , PUNE</t>
  </si>
  <si>
    <t>AutoCAD,MS Office,MS Project,Primavera,Revit Structure,BIM,Navisworks</t>
  </si>
  <si>
    <t>Shreeji Infrastructure India  | Summer Intern | Bhopal, Madhya Pradesh | May 2026 | Jun 2026 | 8 Weeks | Campus Internship
Global Business Solutions | Trainee Engineer | Ramwadi ,Pune  | Jun 2023 | Dec 2023 | 29.142857142857 Weeks</t>
  </si>
  <si>
    <t>Civil CAD  (PDCC)</t>
  </si>
  <si>
    <t>P25700087</t>
  </si>
  <si>
    <t>NIMISH</t>
  </si>
  <si>
    <t>MAHESH</t>
  </si>
  <si>
    <t>BHOIR</t>
  </si>
  <si>
    <t>Nimish Mahesh Bhoir</t>
  </si>
  <si>
    <t>nimishbhoir023@gmail.com</t>
  </si>
  <si>
    <t>p25700087@student.nicmar.ac.in</t>
  </si>
  <si>
    <t>ENGLISH, MARATHI, HINDI</t>
  </si>
  <si>
    <t>4081 1428 9372</t>
  </si>
  <si>
    <t>JYOTI</t>
  </si>
  <si>
    <t>Shree Krupa CHS, Plot-71, Room No-501, Sector-21, Kharghar, Navi Mumbai</t>
  </si>
  <si>
    <t>ST. JOSEPH'S HIGH SCHOOL, NEW PANVEL</t>
  </si>
  <si>
    <t>MAHARASHTRA STATE BOARD OF SECONDARY AND HIGHER SECONDARY EDUCATION, MUMBAI DIVISIONAL BOARD</t>
  </si>
  <si>
    <t>CHANGU KANA THAKUR JR. COLLEGE, NEW PANVEL</t>
  </si>
  <si>
    <t>TERNA ENGINEERING COLLEGE, NERUL, MAHARASHTRA</t>
  </si>
  <si>
    <t>AutoCAD,MS Office,MS Project,Primavera,ETABS,REVIT,STAAD PRO,BBS</t>
  </si>
  <si>
    <t>M.G. CONSTRUCTION | Trainee Civil Engineer | REGD. OFFICE: SHOP NO. 4, SHREEJI DHAM CO-OP, HSG. SOC. LTD., PLOT NO.-18/19, SECTOR-50, SEAWOODS, NERUL, NAVI MUMBAI- 400706. | Oct 2023 | Mar 2025 | 1Y 5M | 1.8</t>
  </si>
  <si>
    <t>1 Year 6 Months</t>
  </si>
  <si>
    <t>New Consolidated Construction Company Limited | PLANNING INTERN | JUINAGAR, NAVI MUMBAI | May 2026 | Jul 2026 | 8.5714285714286 Weeks | Campus Internship
CITY AND INDUSTRIAL DEVELOUPMENT CORPORATION OF MAHARASHTRA LIMITED | INTERN | BAMANDONGRI STATION, KHARKOPAR STATION(WEST), KHARKOPAR (EAST) AND TALOJA SECTOR 39, NAVI MUMBAI | Dec 2021 | Jan 2022 | 4.2857142857143 Weeks</t>
  </si>
  <si>
    <t>A Complete BIM Course with Revit, Dynamo and Navisworks
SAP Certified Application Associate- Business Foundation &amp; Integration with SAP ERP 6.07</t>
  </si>
  <si>
    <t>P25700088</t>
  </si>
  <si>
    <t>VARAD</t>
  </si>
  <si>
    <t>VINOD</t>
  </si>
  <si>
    <t>SAWARDEKAR</t>
  </si>
  <si>
    <t>Varad Vinod Sawardekar</t>
  </si>
  <si>
    <t>varads1917@gmail.com</t>
  </si>
  <si>
    <t>p25700088@student.nicmar.ac.in</t>
  </si>
  <si>
    <t>26-Jan-2000</t>
  </si>
  <si>
    <t>4335 3038 7451</t>
  </si>
  <si>
    <t>VEENA</t>
  </si>
  <si>
    <t>506, Shanti Niwas, Fitwala Road, Prabhadevi West</t>
  </si>
  <si>
    <t>DR.ANTONIO DA SILVA HIGH SCHOOL</t>
  </si>
  <si>
    <t>MAHARASHTRA STATE BOARD OF SECONDARY AND HIGHER SECONDARY EDUCATION/ MUMBAI DIVISIONAL BOARD</t>
  </si>
  <si>
    <t>GOVERNMENT POLYTECHNIC, MUMBAI / MAHARASHTRA</t>
  </si>
  <si>
    <t>SARDAR PATEL COLLEGE OF ENGINEERING, MUMBAI / MAHARASHTRA</t>
  </si>
  <si>
    <t>AutoCAD,MS Office,MS Project,Primavera,Power Bi,revit structure,shallow foundation,MS Excel</t>
  </si>
  <si>
    <t>Lodha Developers | Site Engineer | Mumbai | Aug 2021 | May 2025 | 3Y 9M | 6.72</t>
  </si>
  <si>
    <t>3 Years 9 Months</t>
  </si>
  <si>
    <t>Deloitte | Intern- Audit and assuarance | Mumbai | May 2026 | Jul 2026 | 8.5714285714286 Weeks | Campus Internship
Rajasthan Construction Pvt.Ltd | Intern | Mumbai | Dec 2019 | Jan 2020 | 3.4285714285714 Weeks
M/S ROYAL COMBINE | INTERN | MUMBAI | Jun 2017 | Jun 2017 | 2 Weeks</t>
  </si>
  <si>
    <t>P25700089</t>
  </si>
  <si>
    <t>KAUSHAL</t>
  </si>
  <si>
    <t>Kaushal Mahesh Shinde</t>
  </si>
  <si>
    <t>shindekaushal2002@gmail.com</t>
  </si>
  <si>
    <t>p25700089@student.nicmar.ac.in</t>
  </si>
  <si>
    <t>05-Nov-2002</t>
  </si>
  <si>
    <t>7210 2048 3590</t>
  </si>
  <si>
    <t>MAHESH DINKARRAO SHINDE</t>
  </si>
  <si>
    <t>SUSHMA MAHESH SHINDE</t>
  </si>
  <si>
    <t>1182/107, Damodar Residency, E Ward, Mali Colony, Kolhapur.</t>
  </si>
  <si>
    <t>DR. D. Y. PATIL'S SHANTINIKETAN</t>
  </si>
  <si>
    <t>CENTRAL BOARD OF SECONDARY EDUCATION DELHI</t>
  </si>
  <si>
    <t>ALL INDIA SHRI SHIVAJI MEMORIAL SOCIETY COLLEGE OF ENGINEERING</t>
  </si>
  <si>
    <t>AutoCAD,MS Office,MS Project,Primavera,CostX,Revit Architecture</t>
  </si>
  <si>
    <t>Chaphalkar Karandikar Developers | Jr. Site Engineer  | Shivajinagar, Pune  | Aug 2024 | Jun 2025 | 0Y 10M | 2.64</t>
  </si>
  <si>
    <t>Goel Ganga Group  | Summer Intern | Pune | May 2026 | Jul 2026 | 9.7142857142857 Weeks | Campus Internship</t>
  </si>
  <si>
    <t>P25700090</t>
  </si>
  <si>
    <t>BODDU</t>
  </si>
  <si>
    <t>Rohith Boddu</t>
  </si>
  <si>
    <t>rohithboddu8779@gmail.com</t>
  </si>
  <si>
    <t>p25700090@student.nicmar.ac.in</t>
  </si>
  <si>
    <t>09-Sep-2003</t>
  </si>
  <si>
    <t>TELUGU,ENGLISH,HINDI</t>
  </si>
  <si>
    <t>6750 9472 8415</t>
  </si>
  <si>
    <t>BODDU NAGESWARA RAO</t>
  </si>
  <si>
    <t>BODDU SATYAVENI</t>
  </si>
  <si>
    <t>5-32Aa, KAALUVA VEEDHI,NIMMAKAYALA KOTTHAPALLI,UPPALAGUPTAM MANDAL,EASTGODAVARI,ANDHRA PRADHESH</t>
  </si>
  <si>
    <t>TIRMULA PROACTIVE (EM) HIGH SCHOOL</t>
  </si>
  <si>
    <t>ANDHRAPRADHESH BOARD OF SECONDARY EDUCATION</t>
  </si>
  <si>
    <t>TIRMULA JUNIOR COLLEGE</t>
  </si>
  <si>
    <t>ANDHRA PRADESH BOARD OF INTERMEDIATE EDUCATION</t>
  </si>
  <si>
    <t>JAWAHARLAL NEHRU TECHNOLOGICAL UNIVERSITY ,KAKINADA</t>
  </si>
  <si>
    <t>GAYATRI VIDYA PARISHAD COLLEGE OF ENGINEERING(AUTONOMOUS)  ,VISAKHAPATNAM</t>
  </si>
  <si>
    <t>AutoCAD, MS Office, MS Project, Primavera, STAAD Pro</t>
  </si>
  <si>
    <t>SOBHA LTD  | COSTING INTERN | KERALA  | May 2026 | Jul 2026 | 9 Weeks | Campus Internship
INTERNSHALA | INTERN TRAINEE | INTERN SHALA TRAININGS ONLINE MODE | Aug 2022 | Oct 2022 | 6.1428571428571 Weeks
PANCHAYAT RAJ  (PRI) SUB DIVISON | INTERN TRAINEE  | AMALAPURAM | Jun 2023 | Jul 2023 | 4.2857142857143 Weeks</t>
  </si>
  <si>
    <t>P25700091</t>
  </si>
  <si>
    <t>GANESH</t>
  </si>
  <si>
    <t>DHANRAJ</t>
  </si>
  <si>
    <t>KODNANI</t>
  </si>
  <si>
    <t>Ganesh Dhanraj Kodnani</t>
  </si>
  <si>
    <t>kodnaniganesh@gmail.com</t>
  </si>
  <si>
    <t>p25700091@student.nicmar.ac.in</t>
  </si>
  <si>
    <t>18-Jun-2003</t>
  </si>
  <si>
    <t>HINDI, ENGLISH, MARATHI</t>
  </si>
  <si>
    <t>5416 0759 7364</t>
  </si>
  <si>
    <t>Plot 261, Sector 25, Pradhikaran, Nigdi, Pune - 411044.</t>
  </si>
  <si>
    <t>ST. URSULA HIGH SCHOOL</t>
  </si>
  <si>
    <t>CITY PRIDE JUNIOR COLLEGE</t>
  </si>
  <si>
    <t>PIMPRI CHINCHWAD COLLEGE OF ENGINEERING, PUNE</t>
  </si>
  <si>
    <t>GreenSpace Realty | Project Management Intern | Pune | May 2026 | Jul 2026 | 8.7142857142857 Weeks | Campus Internship
ANP Corp. | Site Engineer | Pune | Jun 2024 | Jul 2024 | 5 Weeks</t>
  </si>
  <si>
    <t>P25700092</t>
  </si>
  <si>
    <t>ADWAITH</t>
  </si>
  <si>
    <t>SHAJI</t>
  </si>
  <si>
    <t>Adwaith Shaji</t>
  </si>
  <si>
    <t>adwaithshaji07@gmail.com</t>
  </si>
  <si>
    <t>D2470007@student.nicmar.ac.in</t>
  </si>
  <si>
    <t>04-Nov-2002</t>
  </si>
  <si>
    <t>ENGLISH, HINDI, MALAYALAM, TAMIL</t>
  </si>
  <si>
    <t>6112 8717 4758</t>
  </si>
  <si>
    <t>SHAJIMON R</t>
  </si>
  <si>
    <t>BINDU C K</t>
  </si>
  <si>
    <t>Andumadam House, 
Kappadu P.O, Kanjirappally,
Kottayam, Kerala</t>
  </si>
  <si>
    <t>Kottayam</t>
  </si>
  <si>
    <t>AKJM HIGHER SECONDARY SCHOOL KANJIRAPPALLY</t>
  </si>
  <si>
    <t>GOVERNMENT OF KERALA, GENERAL EDUCATION DEPARTMENT, KANJIRAPPALLY, KERALA</t>
  </si>
  <si>
    <t>GOVERNMENT OF KERALA, BOARD OF HIGHER SECONDARY EXAMINATION</t>
  </si>
  <si>
    <t>APJ ABDUL KALAM TECHNOLOGICAL UNIVERSITY, TRIVANDRUM, KERALA, INDIA</t>
  </si>
  <si>
    <t>AMAL JYOTHI COLLEGE OF ENGINEERING, KANJIRAPPALLY, KERALA</t>
  </si>
  <si>
    <t>AutoCAD,MS Office,MS Project,Primavera,IMOS,PYTHA</t>
  </si>
  <si>
    <t>DLife Interiors | Junior Quantity Analyst | Vyttila, Eranakulam | Nov 2024 | May 2025 | 0Y 6M | 2.24</t>
  </si>
  <si>
    <t>Sobha Limited  | Management Intern | Bangalore | May 2026 | Jul 2026 | 9 Weeks | Campus Internship
Kerala State Public Works Department | Site Engineer Intern | Kottayam | May 2023 | May 2023 | 0.57142857142857 Weeks</t>
  </si>
  <si>
    <t>National Service Scheme Volunteer
Student Member of Indian Concrete Institute</t>
  </si>
  <si>
    <t>P25700093</t>
  </si>
  <si>
    <t>MUSTAFA</t>
  </si>
  <si>
    <t>KHAN</t>
  </si>
  <si>
    <t>Mustafa Khan</t>
  </si>
  <si>
    <t>mustafakhan12102002@gmail.com</t>
  </si>
  <si>
    <t>p25700093@student.nicmar.ac.in</t>
  </si>
  <si>
    <t>12-Oct-2002</t>
  </si>
  <si>
    <t>HINDI,ENGLISH,RUSSIAN</t>
  </si>
  <si>
    <t>5107 5094 6454</t>
  </si>
  <si>
    <t>HAMID KHAN</t>
  </si>
  <si>
    <t>KULSUM KHAN</t>
  </si>
  <si>
    <t>HOUSEMAKER</t>
  </si>
  <si>
    <t>B-251, Florence Elite Sushant Lok-3, Sector-57</t>
  </si>
  <si>
    <t>Gurugram</t>
  </si>
  <si>
    <t>ST. PBN PUBLIC SCHOOL</t>
  </si>
  <si>
    <t>CENTRAL BOARD OF SECONDARY EDUCATION, HARYANA</t>
  </si>
  <si>
    <t>SURAJ SCHOOL</t>
  </si>
  <si>
    <t>AMITY UNIVERSITY</t>
  </si>
  <si>
    <t>AMITY SCHOOL OF ENGINEERING &amp; TECHNOLOGY, GURUGRAM</t>
  </si>
  <si>
    <t>AutoCAD,MS Office,MS Project,Primavera,CostX</t>
  </si>
  <si>
    <t>JKUMAR INFRAPROJECTS LIMITED | Project Intern | NOIDA, UTTAR PRADESH | May 2026 | Jul 2026 | 9.7142857142857 Weeks | Campus Internship
ABR INFRASOLUTIONS PRIVATE LIMITED | JR. CIVIL ENGINEER | GREATER NOIDA | Feb 2024 | Nov 2024 | 43 Weeks
UMANG ENGINEERS | INTERN  | TAPUKARA | Dec 2022 | Feb 2023 | 8.8571428571429 Weeks</t>
  </si>
  <si>
    <t>AutoCAD Civil Arch.</t>
  </si>
  <si>
    <t>P25700094</t>
  </si>
  <si>
    <t>MAULI</t>
  </si>
  <si>
    <t>SUDHAKAR</t>
  </si>
  <si>
    <t>RUDRAWAR</t>
  </si>
  <si>
    <t>Mauli Sudhakar Rudrawar</t>
  </si>
  <si>
    <t>maulirudrawar@gmail.com</t>
  </si>
  <si>
    <t>p25700094@student.nicmar.ac.in</t>
  </si>
  <si>
    <t>24-Jun-2001</t>
  </si>
  <si>
    <t>5002 7410 0856</t>
  </si>
  <si>
    <t>SANGITA</t>
  </si>
  <si>
    <t>VTP LEONARA ,PUNE</t>
  </si>
  <si>
    <t>'Sant Krupa', Padma Nagar, Near Sai Baba Temple</t>
  </si>
  <si>
    <t>SHRI KESHAVRAJ MADHYAMIK VIDYALAYA</t>
  </si>
  <si>
    <t>SECONDARY SCHOOL CERTIFICATE ,LATUR, MAHARASHTRA</t>
  </si>
  <si>
    <t>SANT TUKARAM NATIONAL MODEL SCHOOL</t>
  </si>
  <si>
    <t>CENTRAL BOARD OF SECONDARY EDUCATION LATUR MAHARASHTRA</t>
  </si>
  <si>
    <t>COLLEGE OF ENGINEERING PUNE, PUNE , MAHARASHTRA</t>
  </si>
  <si>
    <t>AutoCAD,MS Office,MS Project,Primavera,MS Excel,Revit,Power BI</t>
  </si>
  <si>
    <t>Manisha Group Pvt. Ltd. | Billing Engineer | Pune | Sep 2023 | Feb 2024 | 0Y 5M | 1.8</t>
  </si>
  <si>
    <t>0 Years 5 Months</t>
  </si>
  <si>
    <t>New Consolidated Construction Company Ltd (NCCCL) | Planning and Execution Intern | Dombivli, Mumbai | May 2026 | Jul 2026 | 8.7142857142857 Weeks | Campus Internship</t>
  </si>
  <si>
    <t>Staad Pro
Project Planning using MSP
QS and Billing using MS Excel</t>
  </si>
  <si>
    <t>P25700095</t>
  </si>
  <si>
    <t>SREEHARI</t>
  </si>
  <si>
    <t>Sreehari V</t>
  </si>
  <si>
    <t>sreehariv181@gmail.com</t>
  </si>
  <si>
    <t>p25700095@student.nicmar.ac.in</t>
  </si>
  <si>
    <t>18-Jan-2000</t>
  </si>
  <si>
    <t>4065 8415 5943</t>
  </si>
  <si>
    <t>O.P.ANANDHAKRISHNAN</t>
  </si>
  <si>
    <t>BUILDING SUPER</t>
  </si>
  <si>
    <t>SAI GEETHA .V</t>
  </si>
  <si>
    <t>INDIRALAYAM(HOUSE),ARANGOTTUKARA(P/O),THRISSUR(DIST),KERALA</t>
  </si>
  <si>
    <t>SREE MAHARSHI VIDYALAYA</t>
  </si>
  <si>
    <t>CBSE - KERALA</t>
  </si>
  <si>
    <t>CBSE-KERALA</t>
  </si>
  <si>
    <t>THEJUS ENGINEERING COLLEGE  ,KERALA</t>
  </si>
  <si>
    <t>AutoCAD,MS Office,REVIT ARCHITECTURE,REVIT STRUCTURE</t>
  </si>
  <si>
    <t>SAM BUILDERS | Site engineer | palakkad | Jun 2023 | Oct 2024 | 1Y 4M | 1.2</t>
  </si>
  <si>
    <t>JYOTI STRUCTURES LTD. | Student Intern | GUJARAT | May 2026 | Jun 2026 | 8.1428571428571 Weeks | Campus Internship
SUPREME DESIGNERS | SITE ENGINEER | THRISSUR | May 2022 | Apr 2023 | 51.571428571429 Weeks</t>
  </si>
  <si>
    <t>P25700096</t>
  </si>
  <si>
    <t>PRANAY</t>
  </si>
  <si>
    <t>BHANUDAS</t>
  </si>
  <si>
    <t>SUTAR</t>
  </si>
  <si>
    <t>Pranay Bhanudas Sutar</t>
  </si>
  <si>
    <t>pranaybsutar@gmail.com</t>
  </si>
  <si>
    <t>p25700096@student.nicmar.ac.in</t>
  </si>
  <si>
    <t>14-Feb-1998</t>
  </si>
  <si>
    <t>2098 7983 9337</t>
  </si>
  <si>
    <t>BHANUDAS SUTAR</t>
  </si>
  <si>
    <t>SUREKHA SUTAR</t>
  </si>
  <si>
    <t>403 Varadvinayak Apt. House No.408/475 Shiravane Sector 1 Nerul Navi Mumbai 400706</t>
  </si>
  <si>
    <t>ST. XAVIER'S HIGH SCHOOL</t>
  </si>
  <si>
    <t>2002-Jun</t>
  </si>
  <si>
    <t>AGNEL POLYTECHNIC VASHI MAHARASHTRA</t>
  </si>
  <si>
    <t>PILLAI HOC COLLEGE OF ENGINEERING AND TECHNOLOGY</t>
  </si>
  <si>
    <t>Indrayani Developers | Site Engineer | Mumbai Goa hwy, near karnala bird sanctuary Panvel | May 2021 | Apr 2023 | 1Y 11M | 2.2</t>
  </si>
  <si>
    <t>Shrikrupa Enterprises | Project intern | Nerul,NaviMumbai | Jul 2023 | Dec 2023 | 26.142857142857 Weeks
City and Industrial Development Corporation  (CIDCO) | Trainee | Navi Mumbai metro Rail 1 | Jun 2019 | Jul 2019 | 2.8571428571429 Weeks
Ajwani Infrastructure private Ltd. | Trainee engineer | NaviMumbai | May 2016 | Jun 2016 | 4.4285714285714 Weeks</t>
  </si>
  <si>
    <t>NON destructive test on Concrete: An innovative Approach
ISRO's Remote sensing and Digital Image analysis
MACQUARIE University's EXCEl skills for Business : Essentials.
GOOGLE's Foundation of Project Management
Business Foundation &amp; Integration with SAP ERP 6.07
Planning &amp; Control with  Oracle Primavera PPM  Professional
Primavera P6 - Project Setup and Basic Management
Construction Cost Estimation and cost Control (Columbia University)
Data Driven Decisions With Power BI
Google's Agile Project Management Certificate
Google's Project Management Professional Certificate (PMP)</t>
  </si>
  <si>
    <t>P25700097</t>
  </si>
  <si>
    <t>SARTHAK</t>
  </si>
  <si>
    <t>Sarthak Sharma</t>
  </si>
  <si>
    <t>sarthak.sharma.ce@gmail.com</t>
  </si>
  <si>
    <t>p25700097@student.nicmar.ac.in</t>
  </si>
  <si>
    <t>9545 2500 6303</t>
  </si>
  <si>
    <t>VIRENDER KUMAR SHARMA</t>
  </si>
  <si>
    <t>POOJA SHARMA</t>
  </si>
  <si>
    <t>153/3, Jail Road, Mandi</t>
  </si>
  <si>
    <t>Mandi</t>
  </si>
  <si>
    <t>Himachal Pradesh</t>
  </si>
  <si>
    <t>OUR LADY OF THE SNOWS HIGH SCHOOL</t>
  </si>
  <si>
    <t>INDIAN CERTIFICATE OF SECONDARY EDUCATION, KULLU, HIMACHAL PRADESH</t>
  </si>
  <si>
    <t>2006-Mar</t>
  </si>
  <si>
    <t>HIM ACADEMY PUBLIC SCHOOL</t>
  </si>
  <si>
    <t>CENTRAL BOARD OF SECONDARY EDUCATION, HAMIRPUR, HIMACHAL PRADESH</t>
  </si>
  <si>
    <t>SRM INSTITUTE OF SCIENCE AND TECHNOLOGY</t>
  </si>
  <si>
    <t>SRM INSTITUTE OF SCIENCE AND TECHNOLOGY, KATTANKULATHUR, TAMIL NADU</t>
  </si>
  <si>
    <t xml:space="preserve">AutoCAD, MS Excel, MS Project, CostX, STAAD.Pro, Oracle Primavera P6, MS Office, SQL, JAVA </t>
  </si>
  <si>
    <t>Geoquest India Private Limited | Operations Intern | Delhi | May 2026 | Jun 2026 | 8 Weeks | Campus Internship
Patel Engineering Ltd. | Civil Engineering Intern | Kinnaur, Himachal Pradesh | Jun 2023 | Jul 2023 | 4.1428571428571 Weeks</t>
  </si>
  <si>
    <t>Combat Sports
VIT
IZNIK
NPTEL
Six Sigma - Green Belt (KPMG)
German A1 (NPTEL)
Ethics in Engineering Practice (NPTEL)
Finlatics Equity Markets Analyst
Plastic Waste Management (NPTEL)
Finance for Non-Financial Managers (Emory University)
Fundamentals of JAVA Programming (Board Infinity)
Oracle Primavera P6 – Project Setup and Basic Management (Packt)
Construction Management (Columbia University)
Google Project Management (Google)
Project Management Essentials (Howard University)
Construction Equipment Maintenance &amp; Safety (L&amp;T EduTech)
TBMs,Pile Rigs,Cranes &amp; Hauling Vehicles (L&amp;T EduTech)
Data Analysis (S.P. Jain Institute of Management and Research)
Excel Skills for Business: Intermediate I (Macquarie University)
Karate Black Belt (Goju-Ryu)</t>
  </si>
  <si>
    <t>P25700098</t>
  </si>
  <si>
    <t>KARTHIK</t>
  </si>
  <si>
    <t>BABU</t>
  </si>
  <si>
    <t>KORUBOTHU</t>
  </si>
  <si>
    <t>Karthik Babu Korubothu</t>
  </si>
  <si>
    <t>karthikkorubothu29@gmail.com</t>
  </si>
  <si>
    <t>p25700098@student.nicmar.ac.in</t>
  </si>
  <si>
    <t>29-Jun-2003</t>
  </si>
  <si>
    <t>ENGLISH, HINDI &amp; TELUGU</t>
  </si>
  <si>
    <t>5985 8110 4209</t>
  </si>
  <si>
    <t>KORUBOTHU KRISHNA</t>
  </si>
  <si>
    <t>KORUBOTHU SUWARNA</t>
  </si>
  <si>
    <t>1-1/52 Kondapur Village, Ghatkesar Mandal</t>
  </si>
  <si>
    <t>Medchal</t>
  </si>
  <si>
    <t>MINERVA GRAMMAR SCHOOL</t>
  </si>
  <si>
    <t>BOARD OF SECONDARY EDUCATION TELANGANA</t>
  </si>
  <si>
    <t>SAMSKRUTI COLLEGE OF ENGINEERING AND TECHNOLOGY</t>
  </si>
  <si>
    <t>MS Project,Primavera,BIM,AutoCAD,MS Office,</t>
  </si>
  <si>
    <t>Goa State Infrastructure Development Corporation GSIDC | Intern Site Execution | Bambolim GOA | May 2026 | Jul 2026 | 8.7142857142857 Weeks | Campus Internship
Ministry Of Road Transport &amp; Highways | Intern | Uppal, Hyderabad | Aug 2023 | Nov 2023 | 13.142857142857 Weeks
Irrigation &amp; CAD Department | Intern | Choppadandi(V), Karminagar | May 2023 | May 2023 | 2.5714285714286 Weeks</t>
  </si>
  <si>
    <t>P25700099</t>
  </si>
  <si>
    <t>AFRIDHEEN</t>
  </si>
  <si>
    <t>SHAIK</t>
  </si>
  <si>
    <t>Afridheen Shaik</t>
  </si>
  <si>
    <t>afridheenshaik1019@gmail.com</t>
  </si>
  <si>
    <t>p25700099@student.nicmar.ac.in</t>
  </si>
  <si>
    <t>23-Aug-2002</t>
  </si>
  <si>
    <t>ENGLISH,HINDI, TELUGU, URDU</t>
  </si>
  <si>
    <t>3876 7039 0842</t>
  </si>
  <si>
    <t>SHAIK ANJAIAH</t>
  </si>
  <si>
    <t>BUSSINESMAN</t>
  </si>
  <si>
    <t>SHAIK MASTAN BEE</t>
  </si>
  <si>
    <t>2-54,kakanipalem, Addanki, Addanki Mandal, Addanki(North)(u) Bapatla District, Andhra Pradesh-523201</t>
  </si>
  <si>
    <t>Bapatla</t>
  </si>
  <si>
    <t>SRI CHAITANYA TECHNO SCHOOL</t>
  </si>
  <si>
    <t>JAWAHARLAL NEHRU TECHNOLOGICAL UNIVERSITY KAKINADA</t>
  </si>
  <si>
    <t>S.R.K.R ENGINEERING COLLEGE,BHIMAVARAM</t>
  </si>
  <si>
    <t>AutoCAD,MS Office,MS Project,Primavera,ETABS,Revit</t>
  </si>
  <si>
    <t>SOBHA Limited | Planning Intern | Thrissur,Kerala | May 2026 | Jul 2026 | 9 Weeks | Campus Internship
Municipal Administration Department | Intern | Bhimavaram | Dec 2024 | Apr 2025 | 17.285714285714 Weeks
ASCENT CS GLOBAL | INTERN | HYDERABAD | Jul 2023 | Sep 2023 | 8.8571428571429 Weeks
Skill Dzire | Intern | Hyderabad | Dec 2024 | Apr 2025 | 17.285714285714 Weeks</t>
  </si>
  <si>
    <t>P25700100</t>
  </si>
  <si>
    <t>DNYANESHWAR</t>
  </si>
  <si>
    <t>GIRI</t>
  </si>
  <si>
    <t>Dnyaneshwar Shivaji Giri</t>
  </si>
  <si>
    <t>710giri30102002@gmail.com</t>
  </si>
  <si>
    <t>p25700100@student.nicmar.ac.in</t>
  </si>
  <si>
    <t>30-Oct-2002</t>
  </si>
  <si>
    <t>4416 8923 7103</t>
  </si>
  <si>
    <t>SHARDA</t>
  </si>
  <si>
    <t>Tuljabhawani Coloney Nagzari Road, Ambajogai</t>
  </si>
  <si>
    <t>Beed</t>
  </si>
  <si>
    <t>YOGESHWARI NUTAN VIDHALAYA AMBAJOGAI</t>
  </si>
  <si>
    <t>MAHARASHTRA</t>
  </si>
  <si>
    <t>YOGESHWARI POLYTECHNIC COLLEGE AMBAJOGAI</t>
  </si>
  <si>
    <t>D.K.T.E TEXTILE AND ENGINEERING INSTITUTE ICHALKARANJI</t>
  </si>
  <si>
    <t>AutoCAD,MS Office,MS Project,Primavera,Revit,Staddpro,CostX</t>
  </si>
  <si>
    <t>Rohan Builders Pune | Graduate Engineer Trainee (GET) | pune | Jul 2024 | Oct 2024 | 0Y 3M | 3.18
Infra Market | Graduate Engineer Trainee (Technical) | pune | Oct 2024 | Jan 2025 | 0Y 2M | 4</t>
  </si>
  <si>
    <t xml:space="preserve"> Badiyani Constructions | Summer Intern-Design Coordination+Exectution | pune | May 2026 | Jul 2026 | 9.7142857142857 Weeks | Campus Internship
UNIQUE UHPC INFRA LLP | Site Engineer Intern | Satara | Dec 2022 | Jan 2023 | 3.1428571428571 Weeks</t>
  </si>
  <si>
    <t>Research Paper publication
Rohan Skill Development Centre
REVIT
AUTOCAD</t>
  </si>
  <si>
    <t>P25700101</t>
  </si>
  <si>
    <t>TANISH</t>
  </si>
  <si>
    <t>SAMNERKAR</t>
  </si>
  <si>
    <t>Tanish Prashant Samnerkar</t>
  </si>
  <si>
    <t>tsamnerkar@gmail.com</t>
  </si>
  <si>
    <t>p25700101@student.nicmar.ac.in</t>
  </si>
  <si>
    <t>17-Apr-2003</t>
  </si>
  <si>
    <t>AB-ve</t>
  </si>
  <si>
    <t>5716 6794 5840</t>
  </si>
  <si>
    <t>PRASHANT BHIKA WANI</t>
  </si>
  <si>
    <t>MANISHA PRASHANT WANI</t>
  </si>
  <si>
    <t>11,'Prashant' Bunglow, Indraprastha Colony, Upnagar, Nashik-6</t>
  </si>
  <si>
    <t>SACRED HEART CONVENT HIGH SCHOOL</t>
  </si>
  <si>
    <t>GURU GOBIND SINGH POLYTECHNIC, NASHIK</t>
  </si>
  <si>
    <t>GOKHALE EDUCATION SOCIETY'S R. H. SAPAT COLLEGE OF ENGINEERING, MANAGEMENT STUDIES AND RESEARCH, NASHIK</t>
  </si>
  <si>
    <t>Fortune Group  | Construction Management Intern | Nashik | May 2026 | Jul 2026 | 7.8571428571429 Weeks | Campus Internship
RACHANA GROUP | SITE ENGINEER | NASHIK | Jan 2024 | Mar 2024 | 6.5714285714286 Weeks</t>
  </si>
  <si>
    <t>AutoCad
Professional Estimation and Costing Course
Professional Billing Course
Internship training in construction skill development</t>
  </si>
  <si>
    <t>P25700103</t>
  </si>
  <si>
    <t>Karthik K S</t>
  </si>
  <si>
    <t>karthikgeena678@gmail.com</t>
  </si>
  <si>
    <t>p25700103@student.nicmar.ac.in</t>
  </si>
  <si>
    <t>30-Aug-2002</t>
  </si>
  <si>
    <t>ENGLISH,MALAYALAM</t>
  </si>
  <si>
    <t>5610 6450 4723</t>
  </si>
  <si>
    <t>K U SUBRAMANIAN</t>
  </si>
  <si>
    <t>KERALA COOPERATIVE BANK MANAGER</t>
  </si>
  <si>
    <t>GEENA C M</t>
  </si>
  <si>
    <t>RET. GOVERNMENT EMPLOYEE</t>
  </si>
  <si>
    <t>KAIPPULLY HOUSE MEDICAL COLLEGE PO THRISSUR</t>
  </si>
  <si>
    <t>CHINMAYA VIDYALAYA KOLAZHY</t>
  </si>
  <si>
    <t>VIVEKODAYAM BOYS HIGHER SECONDARY SCHOOL</t>
  </si>
  <si>
    <t>GOVERNMENT OF KERALA BOARD OF HIGHER SECONDARY EXAMINATIONS</t>
  </si>
  <si>
    <t>JYOTHI ENGINEERING COLLEGE THRISSUR</t>
  </si>
  <si>
    <t>ACC LIMITED | HELP BIKE ENGINEER | Thrissur | Oct 2024 | Feb 2025 | 0Y 4M | 3</t>
  </si>
  <si>
    <t>Uralungal Labour Contract Co-Operative Society Ltd (ULCCS Ltd) | Site Execution | ERNAKULAM | May 2026 | Jul 2026 | 7.7142857142857 Weeks | Campus Internship
THRISSUR BUILDERS PRIVATE LIMITED | INTERN | THRISSUR | Feb 2024 | Mar 2024 | 1.7142857142857 Weeks
PUBLIC WORK DEPARTMENTS KERALA | INTERN | WADDAKKANCHERRY | May 2023 | May 2023 | 1 Weeks</t>
  </si>
  <si>
    <t>P25700104</t>
  </si>
  <si>
    <t>RUTWIK</t>
  </si>
  <si>
    <t>SATISHRAO</t>
  </si>
  <si>
    <t>BHOGE</t>
  </si>
  <si>
    <t>Rutwik Satishrao Bhoge</t>
  </si>
  <si>
    <t>bhogerutwik2002@gmail.com</t>
  </si>
  <si>
    <t>p25700104@student.nicmar.ac.in</t>
  </si>
  <si>
    <t>23-Feb-2002</t>
  </si>
  <si>
    <t>9514 6997 3421</t>
  </si>
  <si>
    <t>SATISH K. BHOGE</t>
  </si>
  <si>
    <t>HARSHIKA S. BHOGE</t>
  </si>
  <si>
    <t>Ramnagar Bhagat Singh Chowk, C/o Sandip Bhandwalkar House, Wardha</t>
  </si>
  <si>
    <t>SUSHIL HIMATSINGAKA VIDYALAYA WARDHA</t>
  </si>
  <si>
    <t>MAHARASHTRA STATE BOARD OF SECONDARY AND HIGHER SECONDARY EDUCATION, PUNE , MAHARASHTRA</t>
  </si>
  <si>
    <t>2012-May</t>
  </si>
  <si>
    <t>ACHARYA SHRIMANNARAYAN POLYTECHNIC, PIPRI (MEGHE), WARDHA</t>
  </si>
  <si>
    <t>DR. BABASAHEB AMBEDKAR TECHNOLOGICAL UNIVERSITY LONERE - RAIGAD, MAHARASHTRA</t>
  </si>
  <si>
    <t>BAJAJ INSTITUTE OF TECHNOLOGY, WARDHA</t>
  </si>
  <si>
    <t>AutoCAD,MS Office,MS Project,Primavera,ESTIMATION,Revit,ETabs</t>
  </si>
  <si>
    <t>HonarAI Pvt Ltd | Graduate Engineer Trainee | Nashik | Jan 2024 | Mar 2025 | 1Y 2M | 2.4</t>
  </si>
  <si>
    <t>K Raheja Corp | Management Intern | pune | May 2026 | Jul 2026 | 8.5714285714286 Weeks | Campus Internship</t>
  </si>
  <si>
    <t>P25700105</t>
  </si>
  <si>
    <t>NARESH</t>
  </si>
  <si>
    <t>RAJPUT</t>
  </si>
  <si>
    <t>Ashutosh Naresh Rajput</t>
  </si>
  <si>
    <t>rajputashu5514@gmail.com</t>
  </si>
  <si>
    <t>p25700105@student.nicmar.ac.in</t>
  </si>
  <si>
    <t>29-Jul-2000</t>
  </si>
  <si>
    <t>2929 4828 6064</t>
  </si>
  <si>
    <t>NARESH PRABHAKAR RAJPUT</t>
  </si>
  <si>
    <t>MAYA PRABHAKAR RAJPUT</t>
  </si>
  <si>
    <t>AT POST BULDHANA NEAR SARASWATI COLLEGE CHIKALI ROAD</t>
  </si>
  <si>
    <t>ST. JOSEPH'S ENGLISH HIGH SCHOOL BULDHANA</t>
  </si>
  <si>
    <t>MAHARASHTRA STATE BOARD OF SECONDARY AND HIGHER SECONDARY EDUCATION PUNE</t>
  </si>
  <si>
    <t>RAMBHAU LINGADE POLYTECHNIC COLLEGE BULDHANA</t>
  </si>
  <si>
    <t>DR. D.Y. PATIL COLLEGE OF ENGINEERING AKURDI, PUNE</t>
  </si>
  <si>
    <t>ABHIJEET INFRASERV PVT LTD | Site Engineer | CHIKHALI | May 2026 | Jun 2026 | 8 Weeks | Campus Internship
SHIVPRABHU CONSTRUCTION | SITE ENGINEER  | BULDHANA | Oct 2025 | Feb 2025 | -34.571428571429 Weeks</t>
  </si>
  <si>
    <t>P25700106</t>
  </si>
  <si>
    <t>NITISH</t>
  </si>
  <si>
    <t>BARUAH</t>
  </si>
  <si>
    <t>Nitish Baruah</t>
  </si>
  <si>
    <t>nitishbaruah724@gmail.com</t>
  </si>
  <si>
    <t>p25700106@student.nicmar.ac.in</t>
  </si>
  <si>
    <t>19-Dec-1999</t>
  </si>
  <si>
    <t>ENGLISH, HINDI, ASSAMESE</t>
  </si>
  <si>
    <t>6134 7282 7525</t>
  </si>
  <si>
    <t>ROHINI KUMAR BARUAH</t>
  </si>
  <si>
    <t>ACCOUNTS OFFICER, ASSAM SECRETARIAT (RETIRED)</t>
  </si>
  <si>
    <t>HIRAMONI BARUAH</t>
  </si>
  <si>
    <t>Kharghuli Road, Near Subham Residency, Kharghuli</t>
  </si>
  <si>
    <t>DON BOSCO SCHOOL GUWHATI ASSAM</t>
  </si>
  <si>
    <t>CENTRAL BOARD OF SECONDARY EDUCATION, GUWAHATI, ASSAM</t>
  </si>
  <si>
    <t>TEZPUR UNIVERSITY ( A CENTRAL UNIVERSITY ), TEZPUR, ASSAM</t>
  </si>
  <si>
    <t>2022-Dec</t>
  </si>
  <si>
    <t>AutoCAD,MS Office,MS Project,Primavera,Revit,STAAD Pro</t>
  </si>
  <si>
    <t>MaRS Planning &amp; Engineering Services Pvt. Ltd.  | Internship Trainee | Balighat, Simaluguri Town ( Nazira), Sivasagar District , Assam | May 2026 | Jul 2026 | 8.7142857142857 Weeks | Campus Internship
Construction Industry Development Council, New Delhi | Intern (online) | Guwahati | Jun 2021 | Jul 2021 | 4.1428571428571 Weeks
OFFICE OF THE EXECUTIVE ENGINEER, DUDHNOI AND GOALPARA EAST TERRITORIAL ROAD DIVISION, GOALPARA, ASSAM (Public Works Department Government of Assam) | Intern | Goalpara, Assam | Dec 2020 | Jan 2021 | 4.4285714285714 Weeks</t>
  </si>
  <si>
    <t>AUTOCAD
STAAD Pro
Revit</t>
  </si>
  <si>
    <t>P25700107</t>
  </si>
  <si>
    <t>DELVIN</t>
  </si>
  <si>
    <t>DAVIS</t>
  </si>
  <si>
    <t>C</t>
  </si>
  <si>
    <t>Delvin Davis C</t>
  </si>
  <si>
    <t>delvindavis97@gmail.com</t>
  </si>
  <si>
    <t>p25700107@student.nicmar.ac.in</t>
  </si>
  <si>
    <t>27-Jun-1997</t>
  </si>
  <si>
    <t>ENGLISH, MALAYALAM,  HINDI</t>
  </si>
  <si>
    <t>5055 8012 2559</t>
  </si>
  <si>
    <t>DAVIS C J</t>
  </si>
  <si>
    <t>RETD. POSTAL ASSISTANT</t>
  </si>
  <si>
    <t>LINET</t>
  </si>
  <si>
    <t>Chemmannur House Thiroor, Behind St.Thomas Church, Mulagunnathukavu P.O, Thrissur.</t>
  </si>
  <si>
    <t>2004-Jun</t>
  </si>
  <si>
    <t>JYOTHI ENGINEERING COLLEGE THRISSUR/KERALA</t>
  </si>
  <si>
    <t>AutoCAD,MS Office,MS Project,Primavera,Planswift,MS Excel</t>
  </si>
  <si>
    <t>PROGRAMME IMPLEMENTATION UNIT, LSGD | SITE ENGINEER | Thrissur | Nov 2024 | Jun 2025 | 0Y 7M | 3
USHUS PROPERTIES AND INFRASTRUCTURE PVT.LTD. (TBPL) | SITE ENGINEER TRAINEE | Thrissur | Sep 2022 | Feb 2023 | 0Y 5M | 0.96</t>
  </si>
  <si>
    <t>SOBHA Limited | Planning Engineer | Marina One, Kochi, Kerala | May 2026 | Jul 2026 | 9 Weeks | Campus Internship</t>
  </si>
  <si>
    <t>Fundamentals of project planning and management
Quantity Surveying 
NPTEL/Ethics in Engineering Practice
Finance for Non-Financial Managers</t>
  </si>
  <si>
    <t>P25700108</t>
  </si>
  <si>
    <t>KOUNAIN</t>
  </si>
  <si>
    <t>Kounain Khan</t>
  </si>
  <si>
    <t>kounain422@gmail.com</t>
  </si>
  <si>
    <t>p25700108@student.nicmar.ac.in</t>
  </si>
  <si>
    <t>02-Feb-2003</t>
  </si>
  <si>
    <t>5619 3286 5986</t>
  </si>
  <si>
    <t>NAWAB ALI</t>
  </si>
  <si>
    <t>TASLEEMUNNISA</t>
  </si>
  <si>
    <t>Plot No. 2/B/8, Shivaji Nagar, Govandi</t>
  </si>
  <si>
    <t>ENFANT INDIA ENGLISH SCHOOL</t>
  </si>
  <si>
    <t>SECONDARY SCHOOL CERTIFICATE, MUMBAI/ MAHARASHTRA</t>
  </si>
  <si>
    <t>VIVEKANAND EDUCATION SOCIETY'S POLYTECHNIC COLLEGE, MUMBAI/ MAHARASHTRA</t>
  </si>
  <si>
    <t>MAHATMA GANDHI MISSION'S COLLEGE OF ENGINEERING &amp; TECHNOLOGY, NAVI MUMBAI/ MAHARASHTRA</t>
  </si>
  <si>
    <t>Aakar Abhinav Consultants Pvt Ltd | Site Engineer | Mumbai, Maharashtra | Oct 2024 | Jul 2025 | 0Y 8M | 2.88</t>
  </si>
  <si>
    <t>Jkumar Infraprojects Limited | Summer Intern | Navi Mumbai, Maharashtra | May 2026 | Jul 2026 | 9.7142857142857 Weeks | Campus Internship</t>
  </si>
  <si>
    <t>P25700109</t>
  </si>
  <si>
    <t>SUBINIT</t>
  </si>
  <si>
    <t>NANDI</t>
  </si>
  <si>
    <t>Subinit Nandi</t>
  </si>
  <si>
    <t>nandisubinit@gmail.com</t>
  </si>
  <si>
    <t>p25700109@student.nicmar.ac.in</t>
  </si>
  <si>
    <t>09-Apr-1999</t>
  </si>
  <si>
    <t>BENGALI, ENGLISH, HINDI</t>
  </si>
  <si>
    <t>7619 4311 3106</t>
  </si>
  <si>
    <t>SIBAMOY NANDI</t>
  </si>
  <si>
    <t>RETIRED AXEN, NF RAILWAYS</t>
  </si>
  <si>
    <t>PAPRI NANDI</t>
  </si>
  <si>
    <t>B-14/13, KALYANI, NADIA, WEST BENGAL</t>
  </si>
  <si>
    <t>Nadia</t>
  </si>
  <si>
    <t>PANNALAL INSTITUTION</t>
  </si>
  <si>
    <t>WEST BENGAL BOARD OF SECONDARY EDUCATION WEST BENGAL</t>
  </si>
  <si>
    <t>WEST BENGAL COUNCIL OF HIGHER SECONDARY EDUCATION  WEST BENGAL</t>
  </si>
  <si>
    <t>HOOGHLY ENGINEERING &amp;TECHNOLOGY COLLEGE  WEST BENGAL</t>
  </si>
  <si>
    <t xml:space="preserve">AutoCAD, MS Office, MS Project, Primavera, BIM, CostX, </t>
  </si>
  <si>
    <t>VENSAR CONSTRUCTIONS COMPANY LIMITED | Graduate Trainee Engineer  | NAGALAND | Aug 2024 | Jun 2025 | 0Y 10M | 2.16</t>
  </si>
  <si>
    <t>Larsen &amp; Toubro Limited  | PLANNING AND EXECUTION | KALYANI, NADIA, WEST BENGAL | May 2026 | Jul 2026 | 8.7142857142857 Weeks | Campus Internship
Northeast Frontier Railway | INTERN | Maligaon, Guwahati | Jul 2022 | Aug 2022 | 4.1428571428571 Weeks</t>
  </si>
  <si>
    <t>WIND ENERGY</t>
  </si>
  <si>
    <t>P25700110</t>
  </si>
  <si>
    <t>ADITYA</t>
  </si>
  <si>
    <t>Aditya Sarjerao Kshirsagar</t>
  </si>
  <si>
    <t>kshirsagaraditya2411@gmail.com</t>
  </si>
  <si>
    <t>p25700110@student.nicmar.ac.in</t>
  </si>
  <si>
    <t>24-Nov-2001</t>
  </si>
  <si>
    <t>4287 7810 1763</t>
  </si>
  <si>
    <t>SARJERAO B KSHIRSAGAR</t>
  </si>
  <si>
    <t>MEERA S KSHIRSAGAR</t>
  </si>
  <si>
    <t>Om Sadan, 71/1/2/197, Krushna Chowk Road ,near Samarth Vihar, New Sangavi Pune</t>
  </si>
  <si>
    <t>DAV PUBLIC SCHOOL AUNDH, PUNE</t>
  </si>
  <si>
    <t>CENTRAL BOARD OF SECONDARY EDUCATION (CBSE) PUNE, MAHARASHTRA</t>
  </si>
  <si>
    <t>2005-Feb</t>
  </si>
  <si>
    <t>A I S S M S POLYTECHNIC PUNE</t>
  </si>
  <si>
    <t>DR. D. Y. PATIL INSTITUTE OF TECHNOLOGY PUNE</t>
  </si>
  <si>
    <t>AutoCAD,MS Office,MS Project,Primavera,Staad pro,Ideastatica,RAM CONNECTIONS,CostX,Revit</t>
  </si>
  <si>
    <t>Partik Constructions | Site Engineer | Hinjawadi | Jun 2023 | Dec 2023 | 0Y 6M | 2.16
Antarkar Consulting Engineers | Structural Engineer | Bavdhan | Mar 2024 | Mar 2025 | 1Y 0M | 2.48</t>
  </si>
  <si>
    <t>Reliance Industries Limited, New Energy Business | Management Intern | Reliance Corporate Park, Ghansoli, Navi Mumbai | May 2026 | Jul 2026 | 8.5714285714286 Weeks | Campus Internship
RESONIC CONSTRUCTION | JUNIOR ENGINEER | PUNE | Dec 2023 | Feb 2024 | 8 Weeks
MAHARASHTRA METRO RAIL CORPORATION LIMITE, PUNE METRO | JUNIOR SITE ENGINEER INTERN | PUNE | Dec 2021 | Jan 2022 | 4.2857142857143 Weeks
ZILLA PARISHAD PUNE | JUNIOR ENGINEER | PUNE | May 2019 | Jun 2019 | 6 Weeks</t>
  </si>
  <si>
    <t>MSCIT
Information Technology
STAAD.PRO CONNECT edition
Finance for Non-Financial Managers</t>
  </si>
  <si>
    <t>P25700111</t>
  </si>
  <si>
    <t>DEVANSHU</t>
  </si>
  <si>
    <t>KODHEY</t>
  </si>
  <si>
    <t>Devanshu Dilip Kodhey</t>
  </si>
  <si>
    <t>devanshukodhey@gmail.com</t>
  </si>
  <si>
    <t>p25700111@student.nicmar.ac.in</t>
  </si>
  <si>
    <t>20-Jul-2003</t>
  </si>
  <si>
    <t>8857 6565 3854</t>
  </si>
  <si>
    <t>DILIP VITTHALRAO KODHEY</t>
  </si>
  <si>
    <t>RETIRED OFFICER</t>
  </si>
  <si>
    <t>VARSHA DILIP KODHEY</t>
  </si>
  <si>
    <t>FLAT NO. 1708, R16 - A BUILDING LIFE REPUBLIC MULSHI PUNE MARUNJI</t>
  </si>
  <si>
    <t>Plot No.459, New Subhedar Lay-out Near NIT Garden Nagpur</t>
  </si>
  <si>
    <t>SANJUBA HIGH SCHOOL</t>
  </si>
  <si>
    <t>MAHARASHTRA STATE BOARD OF SECONDARY AND HIGHER SECONDARY EDUCATION, PUNE  MAHARASHTRA</t>
  </si>
  <si>
    <t>G. H. RAISONI POLYTECHNIC, NAGPUR</t>
  </si>
  <si>
    <t>2019-Oct</t>
  </si>
  <si>
    <t>PRIYADARSHANI COLLEGE OF ENGINEERING, NAGPUR MAHARASHTRA.</t>
  </si>
  <si>
    <t>KUKREJA INFRASTRUCTURE | Management Intern (Planning, Business Development)  | Nagpur | May 2026 | Jul 2026 | 9.2857142857143 Weeks | Campus Internship
NABHA POWER LIMITED - Owned by L&amp;T | Trainee | Rajpura, Punjab. | Jun 2024 | Jul 2024 | 3 Weeks
PREETEE Builder | Trainee Engineer | Nagpur | Jul 2023 | Jul 2023 | 2.7142857142857 Weeks</t>
  </si>
  <si>
    <t>P25700113</t>
  </si>
  <si>
    <t>PARMAR</t>
  </si>
  <si>
    <t>KIRPALSINH</t>
  </si>
  <si>
    <t>NARENDRASINH</t>
  </si>
  <si>
    <t>Parmar Kirpalsinh Narendrasinh</t>
  </si>
  <si>
    <t>parmarkirpal4189@gmail.com</t>
  </si>
  <si>
    <t>p25700113@student.nicmar.ac.in</t>
  </si>
  <si>
    <t>20-Dec-2002</t>
  </si>
  <si>
    <t>GUJARATI, HINDI AND ENGLISH</t>
  </si>
  <si>
    <t>6102 0358 9494</t>
  </si>
  <si>
    <t>NARENDRASINH PARMAR</t>
  </si>
  <si>
    <t>TALUKA HEALTH SUPERVISOR</t>
  </si>
  <si>
    <t>BHAVNABEN PARMAR</t>
  </si>
  <si>
    <t>A7 Shastri Park Society, Nava Bajar, Karjan</t>
  </si>
  <si>
    <t>Vadodara</t>
  </si>
  <si>
    <t>PRAMUKH SWAMI VIDHYALAYA</t>
  </si>
  <si>
    <t>GUJARAT SECONDARY &amp; HIGHER SECONDARY EDUCATION BOARD, GUJARAT</t>
  </si>
  <si>
    <t>SARDAR VALLBHBHAI NATIONAL INSTITUTE OF TECHNOLOGY</t>
  </si>
  <si>
    <t>SARDAR VALLBHBHAI NATIONAL INSTITUTE OF TECHNOLOGY, SURAT</t>
  </si>
  <si>
    <t>ANP Shelter LLP | INTERNSHIP TRAINEE | Pune | May 2026 | Jul 2026 | 8.7142857142857 Weeks | Campus Internship
GUJARAT ALKALIES AND CHEMICALS LIMITED | APPRENTICE GRADUATE ENGINEER | DAHEJ | Apr 2025 | Jun 2025 | 12.714285714286 Weeks
NATIONAL HIGHWAY AUTHORITY OF INDIA, PIU-SURAT | INTERNSHIP TRAINEE | SURAT | Jan 2024 | Apr 2024 | 14.714285714286 Weeks</t>
  </si>
  <si>
    <t>P25700114</t>
  </si>
  <si>
    <t>Aditya Krishna R</t>
  </si>
  <si>
    <t>adityakrishnar2002@gmail.com</t>
  </si>
  <si>
    <t>p25700114@student.nicmar.ac.in</t>
  </si>
  <si>
    <t>ENGLISH , MALAYALAM , HINDI</t>
  </si>
  <si>
    <t>4053 8309 4194</t>
  </si>
  <si>
    <t>P M REJIMON</t>
  </si>
  <si>
    <t>GOVERNMENT  SERVANT</t>
  </si>
  <si>
    <t>NIMMI DAMODHARAN</t>
  </si>
  <si>
    <t>REJI BHAVAN , MANIYAM KUNNU , POONJAR THEKKEKKARA , POONJAR THEKKEKKARA</t>
  </si>
  <si>
    <t>HOLY SPIRIT PUB SCH PAYYANITHOTTAM KOTTAYAM KL</t>
  </si>
  <si>
    <t>S M V HSS</t>
  </si>
  <si>
    <t>GOVERNMENT OF KERALA BOARD OF HIGHER SECONDARY EDUCATION</t>
  </si>
  <si>
    <t>A P J ABDUL KALAM TECHNOLOGICAL UNIVERSITY , THIRUVANANTHAPURAM , KERALA</t>
  </si>
  <si>
    <t>AMAL JYOTHI COLLEGE OF ENGINEERING , KANJIRAPPALLY , KERALA</t>
  </si>
  <si>
    <t>Silpi Global Pvt. Ltd. | Site Engineer | KOCHI | Jul 2024 | Jun 2025 | 0Y 10M | 2.34</t>
  </si>
  <si>
    <t>Rodic Consultants Pvt. Ltd. | Operations Intern | New Delhi | May 2026 | Jul 2026 | 8.5714285714286 Weeks | Campus Internship
Kerala State Public Works Department | Site Engineer Intern | KOTTAYAM  | May 2023 | May 2023 | 0.57142857142857 Weeks</t>
  </si>
  <si>
    <t>Introduction to AutoCAD</t>
  </si>
  <si>
    <t>P25700115</t>
  </si>
  <si>
    <t>KADAM</t>
  </si>
  <si>
    <t>Yash Santosh Kadam</t>
  </si>
  <si>
    <t>yk.yashkadam@gmail.com</t>
  </si>
  <si>
    <t>p25700115@student.nicmar.ac.in</t>
  </si>
  <si>
    <t>11-Feb-2003</t>
  </si>
  <si>
    <t>3916 9932 3288</t>
  </si>
  <si>
    <t>SANTOSH KADAM</t>
  </si>
  <si>
    <t>DIKSHA KADAM</t>
  </si>
  <si>
    <t>Dharma Apartments, Near Baal Gopal School, Pimpri Pune 411017.</t>
  </si>
  <si>
    <t>JAI HIND HIGH SCHOOL</t>
  </si>
  <si>
    <t>PIMPRI CHINCHWAD POLYTECHNIC, PUNE, MAHARASHTRA</t>
  </si>
  <si>
    <t>SYMBIOSIS SKILLS &amp; OPEN UNIVERSITY</t>
  </si>
  <si>
    <t>SYMBIOSIS SKILLS &amp; PROFESSIONAL UNIVERSITY, PUNE, MAHARASHTRA.</t>
  </si>
  <si>
    <t>P25700116</t>
  </si>
  <si>
    <t>DWITESH</t>
  </si>
  <si>
    <t>Dwitesh Dilip Pawar</t>
  </si>
  <si>
    <t>dwiteshpawar@gmail.com</t>
  </si>
  <si>
    <t>p25700116@student.nicmar.ac.in</t>
  </si>
  <si>
    <t>28-Jun-2002</t>
  </si>
  <si>
    <t>2250 9931 9141</t>
  </si>
  <si>
    <t>DILIP VISHRAM PAWAR</t>
  </si>
  <si>
    <t>SERVICE IN B.E.S.T</t>
  </si>
  <si>
    <t>DAKSHATA DILIP PAWAR</t>
  </si>
  <si>
    <t>201/7- Ravi Chintan, Ravi Chintan 7-8 CHS LTD., Gaurav Sankalp Phase-1, Next To Shanti Vidya Nagari, Near GCC Club, Hatkesh, Mira Road (E), Mira Bhayander Road, Thane</t>
  </si>
  <si>
    <t>VEDANT INTERNATIONAL HIGH SCHOOL</t>
  </si>
  <si>
    <t>ZAGDU SINGH CHARITABLE TRUST'S THAKUR POLYTECHNIC, KANDIVALI (E), MUMBAI, MAHARASHTRA.</t>
  </si>
  <si>
    <t>THAKUR COLLEGE OF ENGINEERING AND TECHNOLOGY, KANDIVALI (E), MUMBAI, MAHARASHTRA.</t>
  </si>
  <si>
    <t>AutoCAD, MS Office, MS Project, Primavera, Revit, SmartPLS</t>
  </si>
  <si>
    <t>Ajmera Group of Companies | Construction Management Intern  | Mumbai | May 2026 | Jun 2026 | 7.8571428571429 Weeks | Campus Internship
INDIAN KNOWLEDGE SYSTEM DIVISION MINISTRY OF EDUCATION, GOVERNMENT OF INDIA | RESEARCH INTERN | MUMBAI | Aug 2023 | Oct 2023 | 8.7142857142857 Weeks
MINISTRY OF HOUSING AND URBAN AFFAIRS | RESEARCH INTERN | MUMBAI | Jul 2022 | Aug 2022 | 5 Weeks</t>
  </si>
  <si>
    <t>P25700117</t>
  </si>
  <si>
    <t>Utkarsh Singh</t>
  </si>
  <si>
    <t>singhu381@gmail.com</t>
  </si>
  <si>
    <t>p25700117@student.nicmar.ac.in</t>
  </si>
  <si>
    <t>01-Oct-2001</t>
  </si>
  <si>
    <t>ENGLISH &amp; HINDI</t>
  </si>
  <si>
    <t>7155 4007 3416</t>
  </si>
  <si>
    <t>VIMLESH</t>
  </si>
  <si>
    <t>AUDIT OFFICER</t>
  </si>
  <si>
    <t>LEENA ANANT</t>
  </si>
  <si>
    <t>House No.1, Adarsh Street 3, Adarsh Nagar, Mowa, Raipur</t>
  </si>
  <si>
    <t>Raipur</t>
  </si>
  <si>
    <t>Chhattisgarh</t>
  </si>
  <si>
    <t>GYAN GANGA EDUCATIONAL ACADEMY</t>
  </si>
  <si>
    <t>CENTRAL BOARD OF SECONDARY EDUCATION (RAIPUR,CHATTISGARH)</t>
  </si>
  <si>
    <t>CHHATTISGARH SWAMI VIVEKANAND TECHNICAL UNIVERSITY, BHILAI, CHATTISSGARH</t>
  </si>
  <si>
    <t>SHRI SHANKARACHARYA INSTITUTE OF PROFESSIONAL MANAGEMENT AND TECHNOLOGY, RAIPUR ,CHATTISSGARH</t>
  </si>
  <si>
    <t>AutoCAD,MS Office,MS Project,Primavera,MS EXCEL,MS POWERPOINT,POWER BI</t>
  </si>
  <si>
    <t>RITES LIMITED | Project Management Intern | GURUGRAM | May 2026 | Jul 2026 | 9 Weeks | Campus Internship
NAVA RAIPUR ATAL NAGAR SMART CITY CORPORATION LIMITED | SITE INTERN | RAIPUR | Feb 2023 | Aug 2023 | 25.714285714286 Weeks
CAD BRAIN | Design and Analyst Intern | Raipur | Jul 2022 | Jul 2022 | 1.7142857142857 Weeks</t>
  </si>
  <si>
    <t>REVIT
AUTOCAD</t>
  </si>
  <si>
    <t>P25700118</t>
  </si>
  <si>
    <t>PALASH</t>
  </si>
  <si>
    <t>BHAGAT</t>
  </si>
  <si>
    <t>Palash Bhagat</t>
  </si>
  <si>
    <t>palash.bhagat04@gmail.com</t>
  </si>
  <si>
    <t>p25700118@student.nicmar.ac.in</t>
  </si>
  <si>
    <t>04-Aug-2000</t>
  </si>
  <si>
    <t>9007 0678 2351</t>
  </si>
  <si>
    <t>RAVINDRA NATH BHAGAT</t>
  </si>
  <si>
    <t>PROFESSOR</t>
  </si>
  <si>
    <t>ASHA BHAGAT</t>
  </si>
  <si>
    <t>E-601,JAI VIJAY , KOLTE PATIL_x000D_
VILE PARLE,MUMBAI</t>
  </si>
  <si>
    <t>Unit D, Sector 4, Row House 9_x000D_
Row House 9</t>
  </si>
  <si>
    <t>Ranchi</t>
  </si>
  <si>
    <t>Jharkhand</t>
  </si>
  <si>
    <t>DELHI PUBLIC SCHOOL,SAIL TOWNSHIP DHURWA,RANCHI,JH</t>
  </si>
  <si>
    <t>SUSHANT UNIVERSITY , GURUGRAM</t>
  </si>
  <si>
    <t>SCHOOL OF ART AND ARCHITECTURE , GURUGRAM</t>
  </si>
  <si>
    <t>AutoCAD,MS Office,MS Project,Primavera,ARCHICAD,PHOTOSHOP,SKETCHUP,LUMION</t>
  </si>
  <si>
    <t>DESIGNERS GROUP | ARCHITECT | Mumbai | May 2024 | Jul 2025 | 1Y 2M | 3</t>
  </si>
  <si>
    <t>Cherry Hill Interiors Pvt. Ltd. | Project Management Intern – Interior Fit-Out | New Delhi | May 2026 | Jul 2026 | 8.2857142857143 Weeks | Campus Internship
We Design | Intern Architect | Delhi | Jun 2022 | Dec 2022 | 26.142857142857 Weeks</t>
  </si>
  <si>
    <t>P25700119</t>
  </si>
  <si>
    <t>AHMED</t>
  </si>
  <si>
    <t>SHEIKH</t>
  </si>
  <si>
    <t>Sahil Ahmed Sheikh</t>
  </si>
  <si>
    <t>sahil2b23@gmail.com</t>
  </si>
  <si>
    <t>p25700119@student.nicmar.ac.in</t>
  </si>
  <si>
    <t>27-Aug-1999</t>
  </si>
  <si>
    <t>ENGLISH , HINDI</t>
  </si>
  <si>
    <t>7827 7817 6531</t>
  </si>
  <si>
    <t>SHAKIR AHMED SHEIKH</t>
  </si>
  <si>
    <t>SHAMINA PARVIN SHEIKH</t>
  </si>
  <si>
    <t>G193/1-c ,near Church, Behind Lucky Palace, Bhopal Pura Road , Bhilwara</t>
  </si>
  <si>
    <t>Bhilwara</t>
  </si>
  <si>
    <t>SH ADARSH VIDYA NIKETAN SR. SEC. SCHOOL</t>
  </si>
  <si>
    <t>BOARD OF SECONDARY EDUCATION , RAJASTHAN</t>
  </si>
  <si>
    <t>SANGAM UNIVERSITY, BHILWARA, RAJASTHAN</t>
  </si>
  <si>
    <t>SANGAM UNIVERSITY</t>
  </si>
  <si>
    <t>Aditi Constructions | Site Engineer | BHILWARA, RAJASTHAN | Jul 2021 | Jun 2022 | 0Y 11M | 2.4
AL RAZA CONSTRUCTION COMPANY | Site Engineer (Civil) | Bhilwara | Jul 2022 | Apr 2025 | 2Y 9M | 3.6</t>
  </si>
  <si>
    <t>SRI VAARAHI Real Assets | Real Estate Advisor  | Hyderabad | May 2026 | Jul 2026 | 8.7142857142857 Weeks | Campus Internship
GARUDA DEVELOPERS | INTERN | KUDASAN, GANDHINAGAR, GUJARAT | Jan 2021 | Jun 2021 | 24 Weeks</t>
  </si>
  <si>
    <t>AutoCAD / "Introduction to CAD"</t>
  </si>
  <si>
    <t>P25700121</t>
  </si>
  <si>
    <t>DEVGAONKAR</t>
  </si>
  <si>
    <t>Devgaonkar Yash Santosh</t>
  </si>
  <si>
    <t>ydevgaonkar@gmail.com</t>
  </si>
  <si>
    <t>p25700121@student.nicmar.ac.in</t>
  </si>
  <si>
    <t>3256 8722 9996</t>
  </si>
  <si>
    <t>SANTOSH DEVGAONKAR</t>
  </si>
  <si>
    <t>POOJA</t>
  </si>
  <si>
    <t>Rashin, Taluka: Karjat, District: Ahmednagar</t>
  </si>
  <si>
    <t>DYNAMIC ENGLISH SCHOOL</t>
  </si>
  <si>
    <t>KOTA MENTORS COLLEGE, KARJAT</t>
  </si>
  <si>
    <t>BHARTI VIDYAPEETH DEEMED UNIVERSITY PUNE</t>
  </si>
  <si>
    <t>BHARTI VIDYAPEETH COLLEGE OF ENGINEERING PUNE ,MAHARASHTRA</t>
  </si>
  <si>
    <t>Pune Metro Rail Corporation Limited (PMRCL)  | Civil, Construction Intern | Phugewadi Metro station, Pune | May 2026 | Jul 2026 | 9.7142857142857 Weeks | Campus Internship
PAVETECH CONSULTANTS PUNE | INTERN | PUNE | Jun 2024 | Aug 2024 | 8.7142857142857 Weeks</t>
  </si>
  <si>
    <t>P25700122</t>
  </si>
  <si>
    <t>MANISHA</t>
  </si>
  <si>
    <t>HADIMANI</t>
  </si>
  <si>
    <t>Manisha M Hadimani</t>
  </si>
  <si>
    <t>hadimanimanisha@gmail.com</t>
  </si>
  <si>
    <t>p25700122@student.nicmar.ac.in</t>
  </si>
  <si>
    <t>14-Dec-2002</t>
  </si>
  <si>
    <t>2294 7071 2810</t>
  </si>
  <si>
    <t>M M HADIMANI</t>
  </si>
  <si>
    <t>POLICE DEPT</t>
  </si>
  <si>
    <t>ANUMATI</t>
  </si>
  <si>
    <t>#16, Shakti Colony, NEAR Water Tank, Sub Jail, Hubli, Karnataka</t>
  </si>
  <si>
    <t>Hubli</t>
  </si>
  <si>
    <t>KENDRIYA VIDYALAYA NO. 1</t>
  </si>
  <si>
    <t>VIDYANIKETHAN SC PU COLLEGE</t>
  </si>
  <si>
    <t>PRELIMINARY UNIVERSITY EDUCATION, HUBLI, KARNATAKA</t>
  </si>
  <si>
    <t>KLE TECHNOLOGICAL UNIVERSITY ( BVB), HUBLI KARNATAKA</t>
  </si>
  <si>
    <t>KLE TECHNOLOGICAL UNIVERSITY (BVB), HUBLI KARNATAKA</t>
  </si>
  <si>
    <t>AutoCAD,MS Office,MS Project,Primavera,Sap2000,Revit,Etabs,Surfer,Python,Matlab</t>
  </si>
  <si>
    <t>Ahluwalia contracts (india) ltd | Intern | Bengaluru Karnataka | May 2026 | Jul 2026 | 8.7142857142857 Weeks | Campus Internship
N B Hiremath | Project Intern | H.No. 7, 3rd cross, Hosur, HUBLI- 580021 | Jan 2024 | Mar 2024 | 8.5714285714286 Weeks</t>
  </si>
  <si>
    <t>P25700123</t>
  </si>
  <si>
    <t>PREETHIKA</t>
  </si>
  <si>
    <t>KUNDURU</t>
  </si>
  <si>
    <t>Preethika Kunduru</t>
  </si>
  <si>
    <t>kundurupreethika@gmail.com</t>
  </si>
  <si>
    <t>p25700123@student.nicmar.ac.in</t>
  </si>
  <si>
    <t>07-Aug-2002</t>
  </si>
  <si>
    <t>ENGLISH, HINDI, TELUGU</t>
  </si>
  <si>
    <t>7039 0680 7357</t>
  </si>
  <si>
    <t>SRINIVASULU KUNDURU</t>
  </si>
  <si>
    <t>UDAYASRI KUNDURU</t>
  </si>
  <si>
    <t>Flat No. 502, Sai Mayuri Residency,_x000D_
H No. 1-1-538/1/502,_x000D_
Near Andhra Cafe,_x000D_
Gandhi Nagar, New Bakaram</t>
  </si>
  <si>
    <t>Hyderabad</t>
  </si>
  <si>
    <t>FIITJEE WORLD SCHOOL</t>
  </si>
  <si>
    <t>NARAYANA JUNIOR COLLEGE</t>
  </si>
  <si>
    <t>TELANGANA STATE BOARD OF INTERMEDIATE EDUCATION</t>
  </si>
  <si>
    <t>OSMANIA UNIVERSITY</t>
  </si>
  <si>
    <t>METHODIST COLLEGE OF ENGINEERING AND TECHNOLOGY, TELANGANA</t>
  </si>
  <si>
    <t>MS Office,MS Project,Tableau,Power BI</t>
  </si>
  <si>
    <t>Rodic Consultants Pvt Ltd.  | Operations - Intern  | Delhi | May 2026 | Jul 2026 | 8.7142857142857 Weeks | Campus Internship
Imarat Consulting Services | Intern | Hyderabad | Oct 2021 | Nov 2021 | 4.4285714285714 Weeks
TURINGMINDS.AI | DATA SCIENTIST  | HYDERABAD | Oct 2022 | May 2023 | 31.857142857143 Weeks</t>
  </si>
  <si>
    <t>P25700124</t>
  </si>
  <si>
    <t>SONAWANE</t>
  </si>
  <si>
    <t>RUTUJA</t>
  </si>
  <si>
    <t>PRAVIN</t>
  </si>
  <si>
    <t>Sonawane Rutuja Pravin</t>
  </si>
  <si>
    <t>sonawanerutuja72@gmail.com</t>
  </si>
  <si>
    <t>p25700124@student.nicmar.ac.in</t>
  </si>
  <si>
    <t>ENGLISH , HINDI , MARATHI</t>
  </si>
  <si>
    <t>5031 4442 1144</t>
  </si>
  <si>
    <t>PRAVIN DAMU SONAWANE</t>
  </si>
  <si>
    <t>MALTI PRAVIN SONAWANE</t>
  </si>
  <si>
    <t>More Nagar,Satana , Nashik .</t>
  </si>
  <si>
    <t>BEST ENGLISH MEDIUM SCHOOL</t>
  </si>
  <si>
    <t>MAHARASHTRA STATE BOARD OF SECONDARY AND HIGHER SECONDARY EDUCATION , PUNE</t>
  </si>
  <si>
    <t>SIDDHI INTERNATIONAL SCHOOL AND JUNIOR COLLEGE</t>
  </si>
  <si>
    <t>ALL INDIA SHRI SHIVAJI MEMORIAL SOCIETY COLLEGE OF ENGINEERING, PUNE</t>
  </si>
  <si>
    <t>AutoCAD, MS Office, MS Project ,Primavera , Revit</t>
  </si>
  <si>
    <t>Tirumala Enterprises Engineers and Contractors | Construction Management Trainee | Pune | May 2026 | Jul 2026 | 8.7142857142857 Weeks | Campus Internship
KRUSHNARANG DEVELOPERS | Site Engineer | Pune | Dec 2022 | Jan 2023 | 4 Weeks</t>
  </si>
  <si>
    <t>P25700125</t>
  </si>
  <si>
    <t>SUBHASH</t>
  </si>
  <si>
    <t>WATADE</t>
  </si>
  <si>
    <t>Shraddha Subhash Watade</t>
  </si>
  <si>
    <t>shraddhawatade@gmail.com</t>
  </si>
  <si>
    <t>p25700125@student.nicmar.ac.in</t>
  </si>
  <si>
    <t>06-Aug-2000</t>
  </si>
  <si>
    <t>MARATHI, ENGLISH, HINDI</t>
  </si>
  <si>
    <t>8696 1844 8185</t>
  </si>
  <si>
    <t>SUBHASH WATADE</t>
  </si>
  <si>
    <t>CHEMICAL ENGINEER</t>
  </si>
  <si>
    <t>ASHA WATADE</t>
  </si>
  <si>
    <t>R.C.F. Colony,_x000D_
Type 3B, Bldg No. 36, Room No. 408, Landmark R.C.F. Sports Complex, _x000D_
Chembur, Mumbai 400074.</t>
  </si>
  <si>
    <t>LORETO CONVENT SCHOOL</t>
  </si>
  <si>
    <t>MAHATMA GANDHI MISSION'S COLLEGE OF ENGINEERING AND TECHNOLOGY</t>
  </si>
  <si>
    <t>AutoCAD,MS Office,MS Project,Primavera,Lean 6 Sigma Green Belt</t>
  </si>
  <si>
    <t>Geeta Enterprises | Civil Engineer | Chembur, Mumbai | Jan 2024 | Jun 2025 | 1Y 5M | 2.4</t>
  </si>
  <si>
    <t>Agami Realty | Business Development | Bandra, Mumbai | May 2026 | Jul 2026 | 8.7142857142857 Weeks | Campus Internship
A K Associates Engineer &amp; Contractors | Civil Engineer | Mumbai | Oct 2022 | Sep 2023 | 51.571428571429 Weeks</t>
  </si>
  <si>
    <t>Supply Chain &amp; Operation Management
Project Management with Primavera p6
General Management - Leadership &amp; Function of Management</t>
  </si>
  <si>
    <t>P25700126</t>
  </si>
  <si>
    <t>SRI VANI</t>
  </si>
  <si>
    <t>GAJJALAKONDA</t>
  </si>
  <si>
    <t>Sri Vani Gajjalakonda</t>
  </si>
  <si>
    <t>srivanigajjalakonda@gmail.com</t>
  </si>
  <si>
    <t>p25700126@student.nicmar.ac.in</t>
  </si>
  <si>
    <t>14-Aug-2001</t>
  </si>
  <si>
    <t>ENGLISH,HINDI,TELUGU</t>
  </si>
  <si>
    <t>2624 3757 6330</t>
  </si>
  <si>
    <t>G VENKATARAO</t>
  </si>
  <si>
    <t>DAILY WORKER</t>
  </si>
  <si>
    <t>G JAYA LAKSHMI</t>
  </si>
  <si>
    <t>ASHA WORKER</t>
  </si>
  <si>
    <t>70-1-12,6/1 BAVAJI NAGAR, I.P.D COLONY, SANGADIGUNTA</t>
  </si>
  <si>
    <t>Guntur</t>
  </si>
  <si>
    <t>Block No:C10,Flat No:F1,AP Tidco House,Adavitakkellapadu,Guntur West</t>
  </si>
  <si>
    <t>SRI SATYA SAI VIDYA VIHAR PRIMARY SCHOOL, SAI BOMMIDALA NAGAR, GUNTUR</t>
  </si>
  <si>
    <t>M.B.T.S.GOVT. POLYTECHNIC-GUNTUR</t>
  </si>
  <si>
    <t>JAWAHARLAL NEHRU TECHNOLOGICAL UNIVERSITY, KAKINADA</t>
  </si>
  <si>
    <t>SAGI RAMA KRISHNAM RAJU ENGINEERING COLLEGE (AUTONOMOUS), ANDHRA PRADESH</t>
  </si>
  <si>
    <t>AutoCAD, STAAD Pro(Structural Analysis), MS Project, Primavera P6, CostX(Quantity Takeoff &amp; Cost Estimation), Autodesk Revit(BIM Modeling), Autodesk Navisworks(Clash Detection &amp; Model Coordination), Microsoft Excel &amp; PowerPoint, SmartPLS</t>
  </si>
  <si>
    <t>FORTRESS INFRACON LIMITED | INTERN(Infrastructure Advisory &amp; Project Consulting) | AMARAVATHI | May 2026 | Jul 2026 | 8.7142857142857 Weeks | Campus Internship
HENOTIC TECHNOLOGY PVT LTD | Internship Trainee | HYDERABAD | Jul 2022 | Sep 2022 | 8.7142857142857 Weeks
ROADS AND BUILDINGS DEPARTMENT, KAKINADA | SITE ENGINEER TRAINEE | EAST GODAVARI, AP | Jun 2023 | Jul 2023 | 8.5714285714286 Weeks
TATA PROJECTS LIMITED | STRUCTURAL ANALYSIS AND DESIGN INTERN | SECUNDERABAD | Dec 2023 | Mar 2024 | 15.428571428571 Weeks</t>
  </si>
  <si>
    <t>P25700127</t>
  </si>
  <si>
    <t>ARPITA</t>
  </si>
  <si>
    <t>RITESH</t>
  </si>
  <si>
    <t>DESHMUKH</t>
  </si>
  <si>
    <t>Arpita Ritesh Deshmukh</t>
  </si>
  <si>
    <t>arpitadeshmukh0501@gmail.com</t>
  </si>
  <si>
    <t>p25700127@student.nicmar.ac.in</t>
  </si>
  <si>
    <t>05-Jan-2001</t>
  </si>
  <si>
    <t>6712 4245 3895</t>
  </si>
  <si>
    <t>RITESH DESHMUKH</t>
  </si>
  <si>
    <t>GOVERNMENT EMPLOYEE (MSRDC)</t>
  </si>
  <si>
    <t>VAISHALI DESHMUKH</t>
  </si>
  <si>
    <t>Shree Laxmi Milestone Apartment, Kirti Nagar, Dighori, Nagpur</t>
  </si>
  <si>
    <t>RELIANCE FOUNDATION SCHOOL, DAHALI MOUDA, NAGPUR</t>
  </si>
  <si>
    <t>2007-Jun</t>
  </si>
  <si>
    <t>NUTAN BHARAT VIDHYALAYA &amp; JR. COLLEGE</t>
  </si>
  <si>
    <t>PRIYADARSHINI INSTITUTE OF ARCHITECTURE AND DESIGN STUDIES, NAGPUR, MAHARASHTRA</t>
  </si>
  <si>
    <t>AutoCAD,MS Office,MS Project,Sketch up,Lumion,Enscape,Photoshop,Revit</t>
  </si>
  <si>
    <t>Pidilite Industries limited  | Summer Intern | Dr. Cipy office, Pune | May 2026 | Jun 2026 | 7.5714285714286 Weeks | Campus Internship
Saptak Patel Architects | Architectural Intern | Ahmedabad | Dec 2023 | Apr 2024 | 15.857142857143 Weeks</t>
  </si>
  <si>
    <t>Certified Associate in  Project Management  (CAPM)</t>
  </si>
  <si>
    <t>P25700128</t>
  </si>
  <si>
    <t>RAKSHITHA</t>
  </si>
  <si>
    <t>G R</t>
  </si>
  <si>
    <t>Rakshitha G R</t>
  </si>
  <si>
    <t>rakshitha.gondkar@gmail.com</t>
  </si>
  <si>
    <t>p25700128@student.nicmar.ac.in</t>
  </si>
  <si>
    <t>19-Jun-2000</t>
  </si>
  <si>
    <t>ENGLISH, HINDI, KANNADA, TAMIL, MARATHI</t>
  </si>
  <si>
    <t>4978 7619 0376</t>
  </si>
  <si>
    <t>RAJESH G L</t>
  </si>
  <si>
    <t>DEPUTY MANAGER, BHARAT ELECTRONICS LIMITED,BENGALURU</t>
  </si>
  <si>
    <t>AARATHI K</t>
  </si>
  <si>
    <t>ASSISTANT ADMINISTRATIVE OFFICER, DEFENCE ESTATES OFFICE,GOA</t>
  </si>
  <si>
    <t>1366, 5TH MAIN, E BLOCK, 2ND STAGE, RAJAJINAGAR, BENGALURU-560010</t>
  </si>
  <si>
    <t>Bangalore Urban</t>
  </si>
  <si>
    <t>SRI VANI PUBLIC SCHOOL, BANGALORE</t>
  </si>
  <si>
    <t>MES KISHORA KENDRA PU COLLEGE, BANGALORE</t>
  </si>
  <si>
    <t>B.M.S COLLEGE OF ARCHITECTURE, BENGALURU</t>
  </si>
  <si>
    <t>AutoCAD,MS Office,MS Project,Primavera,SKETCHUP,VRAY,PHOTOSHOP,ENSCAPE,LUMION</t>
  </si>
  <si>
    <t>Int-Hab - Architecture + Design Studio | JUNIOR ARCHITECT | BENGALURU | Sep 2023 | Dec 2024 | 1Y 3M | 2.04</t>
  </si>
  <si>
    <t>Cushman &amp; Wakefield - Commercial Real Estate Services | Project Management Intern | Bengaluru | May 2026 | Jul 2026 | 8.5714285714286 Weeks | Campus Internship
THE DESIGN FIRM | INTERN ARCHITECT | BENGALURU | Aug 2022 | Dec 2022 | 15.714285714286 Weeks</t>
  </si>
  <si>
    <t>Construction Equipment Maintenance &amp; Safety-Coursera
Finance for Non-Financial Managers-Coursera
Data Analysis-Coursera
TBMs,Pile Rigs,Cranes &amp; Hauling Vehicles</t>
  </si>
  <si>
    <t>P25700129</t>
  </si>
  <si>
    <t>ANEENA</t>
  </si>
  <si>
    <t>JOHNSON</t>
  </si>
  <si>
    <t>Aneena Johnson</t>
  </si>
  <si>
    <t>aneenajohnsonpanokkaran@gmail.com</t>
  </si>
  <si>
    <t>p25700129@student.nicmar.ac.in</t>
  </si>
  <si>
    <t>14-Feb-2003</t>
  </si>
  <si>
    <t>ENGLISH,MALAYALAM,HINDI</t>
  </si>
  <si>
    <t>4844 6087 4025</t>
  </si>
  <si>
    <t>JOHNSON P L</t>
  </si>
  <si>
    <t>RETIRED SENIOR SUPERINTENDENT,KSEB</t>
  </si>
  <si>
    <t>JASMINE JACOB</t>
  </si>
  <si>
    <t>ASSISTANT MANAGER,KSFE</t>
  </si>
  <si>
    <t>Panokkaran House,Kovilakaparambu,Ayyanthole,Thrissur,_x000D_
Kerala,680003</t>
  </si>
  <si>
    <t>DEVAMATHA CMI PUBLIC SCHOOL THIRUVAMBADY THRISSUR KL</t>
  </si>
  <si>
    <t>CENTRAL BOARD OF SECONDARY EDUCATION, KERALA</t>
  </si>
  <si>
    <t>VIDYA ACADEMY OF SCIENCE AND TECHNOLOGY, THRISSUR</t>
  </si>
  <si>
    <t>AutoCAD,REVIT,MS Project,Primavera,STAAD Pro</t>
  </si>
  <si>
    <t>KABI &amp; ASSOCIATES-ARBITRATION CHAMBERS | Contracts and Claims Management Intern | New Delhi | May 2026 | Jul 2026 | 8.7142857142857 Weeks | Campus Internship
PUBLIC WORKS DEPARTMENT BUILDINGS SECTION NO.2 AYYANTHOLE, THRISSUR | INTERN | AYYANTHOLE,THRISSUR,KERALA | Jul 2024 | Jul 2024 | 0.57142857142857 Weeks
KOCHI METRO RAIL LIMITED (KMRL) | INTERN | KOCHI,KERALA | May 2023 | May 2023 | 1 Weeks</t>
  </si>
  <si>
    <t>P25700130</t>
  </si>
  <si>
    <t>PRANJAL</t>
  </si>
  <si>
    <t>ANNASAHEB</t>
  </si>
  <si>
    <t>KAJABE</t>
  </si>
  <si>
    <t>Pranjal Annasaheb Kajabe</t>
  </si>
  <si>
    <t>ar.pranjalkajabe@gmail.com</t>
  </si>
  <si>
    <t>p25700130@student.nicmar.ac.in</t>
  </si>
  <si>
    <t>03-Jul-2001</t>
  </si>
  <si>
    <t>7833 7849 9653</t>
  </si>
  <si>
    <t>BEBI</t>
  </si>
  <si>
    <t>ANURAG APARTMENT , FALT NO.-4 , FLOOR-2ND , NEAR  NAVSHANTI NIKETAN SOCIETY</t>
  </si>
  <si>
    <t>RUTUGANDHA BUNGLOW,NEAR BANJ NOF MAHARASHTRA ALE, AT POST ALEPHATA</t>
  </si>
  <si>
    <t>R.B.D.VIDYALAYA WADGAON ANAND</t>
  </si>
  <si>
    <t>SPPU PUNE</t>
  </si>
  <si>
    <t>DYANMANDIR JUNIOR COLLEGE ,ALE</t>
  </si>
  <si>
    <t>SPPU</t>
  </si>
  <si>
    <t>D.Y. PATIL COLLEGE OF ARCHITECTURE AKURDI,PUNE</t>
  </si>
  <si>
    <t>AutoCAD,MS Office,MS Project,Primavera,SKETCHUP,PHOTOSHOP,LUMION,WORLD,ENSCAPE,REVIT</t>
  </si>
  <si>
    <t>ECAS.CO | Founder's office intern | Pune | May 2026 | Jul 2026 | 8.7142857142857 Weeks | Campus Internship
ARVIND VAIDYA &amp; ASOCCIATES | INTERN - ARCHITECTURE&amp; DESIGN | SANGAMNER | Jul 2023 | Dec 2023 | 21.285714285714 Weeks</t>
  </si>
  <si>
    <t>P25700131</t>
  </si>
  <si>
    <t>PRAGATHY</t>
  </si>
  <si>
    <t>S P</t>
  </si>
  <si>
    <t>Pragathy S P</t>
  </si>
  <si>
    <t>pragathysp123@gmail.com</t>
  </si>
  <si>
    <t>p25700131@student.nicmar.ac.in</t>
  </si>
  <si>
    <t>07-Mar-2000</t>
  </si>
  <si>
    <t>3431 3233 8679</t>
  </si>
  <si>
    <t>PRASANNA KUMAR S K</t>
  </si>
  <si>
    <t>SUMA S</t>
  </si>
  <si>
    <t>GOVERMENT EMPLOYEE</t>
  </si>
  <si>
    <t>Prasadam, AGRA 33L, Aiswarya Gardens, Vazhayila, Peroorkada P.O, Thiruvananthapuram, 695005</t>
  </si>
  <si>
    <t>Thiruvananthapuram</t>
  </si>
  <si>
    <t>GOVERNMENT HIGHER SECONDARY SCHOOL FOR GIRLS, COTTON HILL</t>
  </si>
  <si>
    <t>KERALA BOARD OF PUBLIC EXAMINATIONS, KERALA</t>
  </si>
  <si>
    <t>GOVERNMENT GIRLS HIGHER SECONDARY SCHOOL, PEROORKADA</t>
  </si>
  <si>
    <t>BOARD OF HIGHER SECONDARY EDUCATION, KERALA</t>
  </si>
  <si>
    <t>LAL BAHADUR SHASTRI INSTITUTE OF TECHNOLOGY FOR WOMEN, POOJAPPURA, KERALA</t>
  </si>
  <si>
    <t>AutoCAD,MS Project,Primavera,Revit Architecture,3DS Max,STAAD Pro,V-Ray,CostX</t>
  </si>
  <si>
    <t>CAD DESK, Trivandrum, Kerala | CAD Engineer - Civil | Thampanoor, Thiruvananthapuram, Kerala | Apr 2024 | May 2025 | 1Y 0M | 1.47</t>
  </si>
  <si>
    <t>Suryapriya Constructions Private Limited | Project Co-Ordinater | Bangalore | May 2026 | Jul 2026 | 8.7142857142857 Weeks | Campus Internship
PUBLIC WORKS DEPARTMENT, SPECIAL BUILDINGS SECTION NO.VI, THIRUVANATHAPURAM | INTERN | THIRUVANATHAPURAM, KERALA | Oct 2021 | Oct 2021 | 0.85714285714286 Weeks</t>
  </si>
  <si>
    <t>Master Diploma in Civil CAD
Computer Hardware and Networking</t>
  </si>
  <si>
    <t>P25700132</t>
  </si>
  <si>
    <t>PURVA</t>
  </si>
  <si>
    <t>INGOLE</t>
  </si>
  <si>
    <t>Purva Ramesh Ingole</t>
  </si>
  <si>
    <t>purvaingole1112@gmail.com</t>
  </si>
  <si>
    <t>p25700132@student.nicmar.ac.in</t>
  </si>
  <si>
    <t>06-Jun-2003</t>
  </si>
  <si>
    <t>4119 6025 6858</t>
  </si>
  <si>
    <t>SHITAL</t>
  </si>
  <si>
    <t>Nikita Appt Flat No. 1, Near Jagruti Vidyalay Ranpise Nagar, Akola, 444001</t>
  </si>
  <si>
    <t>VIVEKANAND ENGLISH HIGH SCHOOL, AKOLA</t>
  </si>
  <si>
    <t>MAHARASHTRA STATE BOARD  OF SECONDARY AND HIGHER SECONDARY EDUCATION, PUNE</t>
  </si>
  <si>
    <t>SHREE SAMARTH JR. COLLAGE OF SCIENCE, AKOLA</t>
  </si>
  <si>
    <t>COLLEGE OF ENGINEERING AND TECHNOLOGY AKOLA/ MAHARASHTRA</t>
  </si>
  <si>
    <t>Majestic Realties  | Sales, Site Execution, Project Management  | Pune  | May 2026 | Jun 2026 | 7.7142857142857 Weeks | Campus Internship
Atal Real Tech LTD | Site - Intern | Akola | Jun 2024 | Jul 2024 | 2.2857142857143 Weeks</t>
  </si>
  <si>
    <t>P25700133</t>
  </si>
  <si>
    <t>DISHA</t>
  </si>
  <si>
    <t>AVINASH</t>
  </si>
  <si>
    <t>KAMBLE</t>
  </si>
  <si>
    <t>Disha Avinash Kamble</t>
  </si>
  <si>
    <t>dishaavinashkamble@gmail.com</t>
  </si>
  <si>
    <t>p25700133@student.nicmar.ac.in</t>
  </si>
  <si>
    <t>02-Oct-2001</t>
  </si>
  <si>
    <t>6569 0736 5931</t>
  </si>
  <si>
    <t>AVINASH BALKRISHNA KAMBLE</t>
  </si>
  <si>
    <t>OTHERS</t>
  </si>
  <si>
    <t>SUCHETA AVINASH KAMBLE</t>
  </si>
  <si>
    <t>Build No 230 Room No 8975 Kannamwarnagar 1 Vikhroli East</t>
  </si>
  <si>
    <t>ST JOSEPH'S HIGH SCHOOL</t>
  </si>
  <si>
    <t>MAHARASHTRA STATE BOARD MUMBAI/MAHARAHSTRA</t>
  </si>
  <si>
    <t>VIDYA NIKETAN JUNIOR COLLEGE OF COMMERCE AND SCIENCE</t>
  </si>
  <si>
    <t>MAHARASHTRA STATE BOARD MUMBAI/MAHARASHTRA</t>
  </si>
  <si>
    <t>DATTA MEGHE COLLEGE OF ENGINEERING, NAVI MUMBAI MAHARASHTRA</t>
  </si>
  <si>
    <t>AHLUWALIA CONTRACTS | Summer Intern | MUMBAI  | May 2026 | Jun 2026 | 8.1428571428571 Weeks | Campus Internship
GEO INFO TECH | GIS INTERN | NAVI MUMBAI | Jun 2022 | Jul 2022 | 4.5714285714286 Weeks
BHABHA ATOMIC RESEARCH CENTRE (BARC) | STRUCTURAL DESIGN INTERN | MUMBAI  | Dec 2021 | Jan 2022 | 6.8571428571429 Weeks
INDIAN INSTITUTE OF TECHNOLOGY BOMBAY (IIT BOMBAY) | PROJECT ASSOCIATE | POWAI MUMBAI | Jul 2023 | Dec 2024 | 77.428571428571 Weeks</t>
  </si>
  <si>
    <t>STAAD PRO
PRIMAVERA
MSP PROJECT
AUTOCAD 2D</t>
  </si>
  <si>
    <t>P25700134</t>
  </si>
  <si>
    <t>SANGEETHA</t>
  </si>
  <si>
    <t>S S</t>
  </si>
  <si>
    <t>Sangeetha S S</t>
  </si>
  <si>
    <t>sangeethasskmr@gmail.com</t>
  </si>
  <si>
    <t>p25700134@student.nicmar.ac.in</t>
  </si>
  <si>
    <t>05-Jan-1998</t>
  </si>
  <si>
    <t>6291 3257 0765</t>
  </si>
  <si>
    <t>SASIKUMARAN.M</t>
  </si>
  <si>
    <t>RETIRED MECHANICAL SUPERVISOR</t>
  </si>
  <si>
    <t>SINDHU.S</t>
  </si>
  <si>
    <t>TC 51/2127 Saraswathy Vilasam Pappanamcode, Industrial Estate</t>
  </si>
  <si>
    <t>CARMEL E. M. GIRLS H.S.S. VAZHUTHACAUD</t>
  </si>
  <si>
    <t>STATE, THIRUVANANTHAPURAM</t>
  </si>
  <si>
    <t>LBS INSTITUTE OF TECHNOLOGY FOR WOMEN, POOJAPURA</t>
  </si>
  <si>
    <t>AutoCAD,MS Project,Primavera,3ds Max,Revit,Costx</t>
  </si>
  <si>
    <t>Econstruct Design &amp; Build Pvt. Ltd. | Project Management Intern | Bangalore | May 2026 | Jun 2026 | 8.1428571428571 Weeks | Campus Internship
Spangeo Consultancy &amp; Engineering Pvt.Ltd. | Assistant Project Engineer | Thiruvananthapuram, Kerala  | Aug 2023 | May 2024 | 42.142857142857 Weeks</t>
  </si>
  <si>
    <t>Autocad 3D
Project Management certification by Google on Coursera
Ethics in Engineering Practice
Certified Associate in Project Management (CAPM) Specialization-Packt (via Coursera)</t>
  </si>
  <si>
    <t>P25700135</t>
  </si>
  <si>
    <t>ANJALY</t>
  </si>
  <si>
    <t>FEROSE</t>
  </si>
  <si>
    <t>Anjaly Ferose</t>
  </si>
  <si>
    <t>feroseanjaly2000@gmail.com</t>
  </si>
  <si>
    <t>p25700135@student.nicmar.ac.in</t>
  </si>
  <si>
    <t>03-Jun-2000</t>
  </si>
  <si>
    <t>ENGLISH, MALAYALAM, HINDI, TAMIL</t>
  </si>
  <si>
    <t>9517 2221 2520</t>
  </si>
  <si>
    <t>FEROSE M G</t>
  </si>
  <si>
    <t>SATHY FEROSE</t>
  </si>
  <si>
    <t>SOPANAM, MULLAMPARAMBIL(H)_x000D_
ARAKULAM WEST_x000D_
P.O KODUNGALLUR</t>
  </si>
  <si>
    <t>HOLY GRACE ACADEMY, MALA</t>
  </si>
  <si>
    <t>SCMS SCHOOL OF ENGINEERING AND TECHNOLOGY, KERALA</t>
  </si>
  <si>
    <t>Econstruct Design &amp; Build Pvt. Ltd. | Management Intern | Kudlu, Bengaluru, Karnataka | May 2026 | Jun 2026 | 8.1428571428571 Weeks | Campus Internship
STEEL INDUSTRIALS KERALA LIMITED | APPRENTICE ENGINEER | OTTAPALAM, KERALA | Nov 2022 | Nov 2023 | 52 Weeks</t>
  </si>
  <si>
    <t>P25700136</t>
  </si>
  <si>
    <t>PARAMITA</t>
  </si>
  <si>
    <t>SAHA</t>
  </si>
  <si>
    <t>Paramita Saha</t>
  </si>
  <si>
    <t>paramitasaha601@gmail.com</t>
  </si>
  <si>
    <t>p25700136@student.nicmar.ac.in</t>
  </si>
  <si>
    <t>19-Apr-1996</t>
  </si>
  <si>
    <t>ENGLISH, HINDI &amp; BENGALI</t>
  </si>
  <si>
    <t>9386 1228 5580</t>
  </si>
  <si>
    <t>LATE SIB PRASAD SAHA</t>
  </si>
  <si>
    <t>EX. EXECUTIVE ENGINEER PWD</t>
  </si>
  <si>
    <t>PRITI SAHA</t>
  </si>
  <si>
    <t>Bl-II, Venketesh Heights, 5th Floor, Dumdum Canyonment</t>
  </si>
  <si>
    <t>Kolkata</t>
  </si>
  <si>
    <t>NALANDA VIDYAPITH</t>
  </si>
  <si>
    <t>WEST BENGAL BOARD OF SECONDARY EDUCATION</t>
  </si>
  <si>
    <t>2011-Jun</t>
  </si>
  <si>
    <t>BALURGHAT LALIT MOHAN ADARSHA UCHHA VIDYALAYA</t>
  </si>
  <si>
    <t>WEST BENGAL COUNCIL OF HIGHER SECONDARY EDUCATION</t>
  </si>
  <si>
    <t>DURGAPUR DR. B.C.ROY ENGINEERING COLLEGE</t>
  </si>
  <si>
    <t>AutoCAD,MS Office,MS Power Point,MS Excel</t>
  </si>
  <si>
    <t>Govt. Of West Bengal PWD | Clerk | Kolkata | Mar 2023 | Jun 2025 | 2Y 3M | 2.62
RITES Ltd. | Graduate Apprentice | Kolkata | Jan 2020 | Dec 2020 | 0Y 11M | 1.68</t>
  </si>
  <si>
    <t>3 Years 3 Months</t>
  </si>
  <si>
    <t>Sobha Ltd | Costing Management Intern | Gurgaon | May 2026 | Jul 2026 | 9 Weeks | Campus Internship
Shivarth Design And Consultancy Pvt. Ltd | Asst. Estimator | Jharkhand | Jan 2021 | Jan 2023 | 104.28571428571 Weeks</t>
  </si>
  <si>
    <t>P25700137</t>
  </si>
  <si>
    <t>TAUFIQ</t>
  </si>
  <si>
    <t>Taufiq A</t>
  </si>
  <si>
    <t>taufiqsajitha@gmail.com</t>
  </si>
  <si>
    <t>p25700137@student.nicmar.ac.in</t>
  </si>
  <si>
    <t>01-Apr-2002</t>
  </si>
  <si>
    <t>7698 6111 3723</t>
  </si>
  <si>
    <t>AJI BASHEER</t>
  </si>
  <si>
    <t>DEPUTY TOWN PLANNER</t>
  </si>
  <si>
    <t>SAJITHA P</t>
  </si>
  <si>
    <t>ASSOCIATE PROFESSOR</t>
  </si>
  <si>
    <t>JAMILATH RNRA-31,RESMI NAGAR,MUTTADA PO,TVM</t>
  </si>
  <si>
    <t>ST THOMAS RESIDENTIAL SCHOOL</t>
  </si>
  <si>
    <t>COUNCIL FOR THE INDIAN SCHOOL CERTIFICATE EXAMINATION, NEW DELHI</t>
  </si>
  <si>
    <t>GOVERNMENT ENGINEERING COLLEGE BARTON HILL, KERALA</t>
  </si>
  <si>
    <t>MS Office,MS Project</t>
  </si>
  <si>
    <t>TRV (KERALA) INTERNATIONAL AIRPORT LIMITED | CIVIL ENGINEERING APPRENTICE | TRIVANDRUM | Oct 2024 | Jun 2025 | 0Y 8M | 1.08</t>
  </si>
  <si>
    <t>Confident Group | Summer Intern | Trivandrum | May 2026 | Jun 2026 | 8.1428571428571 Weeks | Campus Internship</t>
  </si>
  <si>
    <t>P25700138</t>
  </si>
  <si>
    <t>KRISHNAKANT</t>
  </si>
  <si>
    <t>DUBEY</t>
  </si>
  <si>
    <t>Krishnakant Dubey</t>
  </si>
  <si>
    <t>krishnakantdubey963@gmail.com</t>
  </si>
  <si>
    <t>p25700138@student.nicmar.ac.in</t>
  </si>
  <si>
    <t>02-Jan-2002</t>
  </si>
  <si>
    <t>2629 6471 3986</t>
  </si>
  <si>
    <t>CHANDRA SHEKHAR DUBEY</t>
  </si>
  <si>
    <t>ALKA DUBEY</t>
  </si>
  <si>
    <t>1871,New Ram Nagar, Orai</t>
  </si>
  <si>
    <t>Jalaun</t>
  </si>
  <si>
    <t>V S B EDUCATION CENTRE ORAI JALAUN UP</t>
  </si>
  <si>
    <t>S R PUB SCH KALPI ROAD ORAI JALAUN UP</t>
  </si>
  <si>
    <t>GLA UNIVERSITY, MATHURA U.P</t>
  </si>
  <si>
    <t>AutoCAD,MS Office,MS Project,Primavera,RIB CostX,AutodeskRevit,StaadPro</t>
  </si>
  <si>
    <t>KEC International ltd. | Engineer | Noida | Aug 2023 | Sep 2024 | 1Y 1M | 4</t>
  </si>
  <si>
    <t>New Consolidated Construction Co. Ltd  | Intern Planning  | Lodha, Alibaug  | May 2026 | Jul 2026 | 8.5714285714286 Weeks | Campus Internship</t>
  </si>
  <si>
    <t>Project Planning: Putting it All Together authorized by Google
Foundations of Project management authorized by Google
Project Initiation: Starting a Successful Project Authorized by Google
Finance for Non-Financial Manager Authorized by Emory University and offered through Coursera</t>
  </si>
  <si>
    <t>P25700139</t>
  </si>
  <si>
    <t>GOKUL</t>
  </si>
  <si>
    <t>SONWANE</t>
  </si>
  <si>
    <t>Aditya Gokul Sonwane</t>
  </si>
  <si>
    <t>adgsonwane02@gmail.com</t>
  </si>
  <si>
    <t>p25700139@student.nicmar.ac.in</t>
  </si>
  <si>
    <t>20-Feb-2002</t>
  </si>
  <si>
    <t>ENGLISH, MARATHI AND HINDI</t>
  </si>
  <si>
    <t>7555 5410 9852</t>
  </si>
  <si>
    <t>PRATIBHA</t>
  </si>
  <si>
    <t>FLAT NO. 303, SHIVAANI RESIDENCY, NEAR AMAR TECH PARK, BALEWADI ROAD, BALEWADI, PUNE</t>
  </si>
  <si>
    <t>Plot No. 5(B), Survey No. 226/1, Behind Jolly Petrol Pump, K.N.P.N Nagar, Bhusawal, Jalgaon</t>
  </si>
  <si>
    <t>SHIRIN DINYAR IRANI LEARNERS ACADEMY</t>
  </si>
  <si>
    <t>MAHARASHTRA STATES BOARDS OF SECONDARY AND HIGHER SECONDARY EDUCATION</t>
  </si>
  <si>
    <t>VIDYAVARDHINI'S BHAUSAHEB VARTAK POLYTECHNIC, VASAI ROAD</t>
  </si>
  <si>
    <t>SHREE L.R. TIWARI COLLEGE OF ENGINEERING, MIRA ROAD</t>
  </si>
  <si>
    <t>AutoCAD,MS Office,MS Project,Primavera,Staad Pro,Excel-based BOQs &amp; BBS</t>
  </si>
  <si>
    <t>Fortress Infracon | Intern – Project Management (Project Controls &amp; PMC) | Thane | May 2026 | Jul 2026 | 8.7142857142857 Weeks | Campus Internship
YMS Consulting Engineers | Civil &amp; Structural Design Engineer | Borivali | Jun 2024 | Oct 2024 | 17.857142857143 Weeks
Imperial Lifestyle Private Limited | Site Engineer | Vasai | May 2022 | Jul 2022 | 8.8571428571429 Weeks
Jay Jyotirling Construction Company | Site Engineer | Madh Island (Mumbai) | Jun 2023 | Jul 2023 | 5.2857142857143 Weeks</t>
  </si>
  <si>
    <t>Master Diploma in Project Planning and Management
Proficient in Staad Pro
Proficient in Autocad for Civil Engineers and Architects</t>
  </si>
  <si>
    <t>P25700140</t>
  </si>
  <si>
    <t>VEDANT</t>
  </si>
  <si>
    <t>KAILAS</t>
  </si>
  <si>
    <t>Vedant Kailas Patil</t>
  </si>
  <si>
    <t>vedantkpatil08@gmail.com</t>
  </si>
  <si>
    <t>p25700140@student.nicmar.ac.in</t>
  </si>
  <si>
    <t>08-Apr-2003</t>
  </si>
  <si>
    <t>ENGLISH,Hindi,Marathi</t>
  </si>
  <si>
    <t>Rubik's cube</t>
  </si>
  <si>
    <t>9735 5127 5569</t>
  </si>
  <si>
    <t>KAILAS PATIL</t>
  </si>
  <si>
    <t>FINANCIAL ADVISOR</t>
  </si>
  <si>
    <t>NILIMA PATIL</t>
  </si>
  <si>
    <t>STATIONERY BUSINESS</t>
  </si>
  <si>
    <t>Plot 59, Ved, Trimurti Chowk, Durga Nagar, Cidco</t>
  </si>
  <si>
    <t>POST OFFICE, 25/1, NICMAR, N.I.A., BALEWADI RD, RAM NAGAR, BANER</t>
  </si>
  <si>
    <t>FRAVASHI ACADEMY</t>
  </si>
  <si>
    <t>COUNCIL FOR THE INDIAN SCHOOL CERTIFICATE EXAMINATIONS, NASHIK, MAHARASHTRA</t>
  </si>
  <si>
    <t>MATOSHRI JUNIOR COLLEGE</t>
  </si>
  <si>
    <t>MAHARASHTRA STATE BOARD OF SECONDARY AND HIGHER SECONDARY EDUCATION, NASHIK, MAHARASHTRA</t>
  </si>
  <si>
    <t>KARMAVEER KAKASAHEB WAGH INSTITUTE OF ENGINEERING EDUCATION &amp; RESEARCH, NASHIK, MAHARASHTRA</t>
  </si>
  <si>
    <t>AutoCAD, MS Project, Primavera, Revit, MS office</t>
  </si>
  <si>
    <t>Maharashtra Metro Rail Corporation Limited | Project Management Intern | Pimpri-Chinchwad, Maharashtra | May 2026 | Jul 2026 | 9.7142857142857 Weeks | Campus Internship
MAHARASHTRA ENGINEERING RESEARCH INSTITUTE | INTERN | NASHIK | Dec 2023 | Jan 2024 | 4.1428571428571 Weeks</t>
  </si>
  <si>
    <t>Primavera P6
AutoCAD 2D</t>
  </si>
  <si>
    <t>P25700141</t>
  </si>
  <si>
    <t>GOWRI</t>
  </si>
  <si>
    <t>Gowri Krishna V</t>
  </si>
  <si>
    <t>gowrikv8080@gmail.com</t>
  </si>
  <si>
    <t>p25700141@student.nicmar.ac.in</t>
  </si>
  <si>
    <t>16-Jan-2001</t>
  </si>
  <si>
    <t>2687 7445 2833</t>
  </si>
  <si>
    <t>VINOD.S</t>
  </si>
  <si>
    <t>LAKSHMI VINOD</t>
  </si>
  <si>
    <t>Kanjirathu Parambu ,chathanad Ward,North Of Kochukalappura Temple Aryad South,Avalukkunnu, Alappuzha</t>
  </si>
  <si>
    <t>ST MARY'S RESIDENTIAL CENTRAL SCHOOL</t>
  </si>
  <si>
    <t>SAINTGITS COLLEGE OF ENGINEERING</t>
  </si>
  <si>
    <t>AutoCAD,Revit</t>
  </si>
  <si>
    <t>Econstruct Design &amp; Build Pvt.Ltd | management intern  | Bangalore | May 2026 | Jun 2026 | 8.1428571428571 Weeks | Campus Internship
JayArc Construction | intern | online | Jun 2021 | Jun 2021 | 0.57142857142857 Weeks
Kerala State Electronics Development Corporation Ltd | Intern | Kochi | Dec 2021 | Jan 2022 | 0.85714285714286 Weeks</t>
  </si>
  <si>
    <t>P25700142</t>
  </si>
  <si>
    <t>ANVESH</t>
  </si>
  <si>
    <t>Anvesh Roy</t>
  </si>
  <si>
    <t>anveshroy007@gmail.com</t>
  </si>
  <si>
    <t>p25700142@student.nicmar.ac.in</t>
  </si>
  <si>
    <t>29-Jun-1999</t>
  </si>
  <si>
    <t>ENGLISH AND HINDI.</t>
  </si>
  <si>
    <t>5737 0717 0721</t>
  </si>
  <si>
    <t>SHIV KUMAR</t>
  </si>
  <si>
    <t>RETIRED GOVERNMENT EMPLOYEE</t>
  </si>
  <si>
    <t>SUMAN KUMARI</t>
  </si>
  <si>
    <t>House Number 5  Sector 14 Vikas Nagar .</t>
  </si>
  <si>
    <t>CITY MONTESSORI SCHOOL</t>
  </si>
  <si>
    <t>INDIAN CERTIFICATE OF SECONDARY EDUCATION , DELHI</t>
  </si>
  <si>
    <t>CENTRAL ACADEMY</t>
  </si>
  <si>
    <t>SRM INSTITUTE OF SCIENCE AND TECHNOLOGY , TAMIL NADU</t>
  </si>
  <si>
    <t>Kamal Construction Company | Civil Engineer  | Bharatpur (Rajasthan) | Oct 2022 | Jan 2025 | 2Y 3M | 2.16</t>
  </si>
  <si>
    <t>2 Years 4 Months</t>
  </si>
  <si>
    <t>Rodic consultants | Business Development | New Delhi  | May 2026 | Jul 2026 | 8.5714285714286 Weeks | Campus Internship
Shiv shakti Infravision pvt ltd | Intern | Lucknow | Jun 2019 | Jun 2019 | 4.1428571428571 Weeks</t>
  </si>
  <si>
    <t>P25700143</t>
  </si>
  <si>
    <t>KIRTI</t>
  </si>
  <si>
    <t>SIHOTE</t>
  </si>
  <si>
    <t>Kirti Sihote</t>
  </si>
  <si>
    <t>kirtisihote0304@gmail.com</t>
  </si>
  <si>
    <t>p25700143@student.nicmar.ac.in</t>
  </si>
  <si>
    <t>03-Apr-1998</t>
  </si>
  <si>
    <t>9572 3223 7532</t>
  </si>
  <si>
    <t>RAVI SIHOTE</t>
  </si>
  <si>
    <t>ADMINISTRATIVE OFFICER</t>
  </si>
  <si>
    <t>KALPANA SIHOTE</t>
  </si>
  <si>
    <t>House No. 36, Krishna Vihar Colony</t>
  </si>
  <si>
    <t>Ujjain</t>
  </si>
  <si>
    <t>Madhya Pradesh</t>
  </si>
  <si>
    <t>BAL BHARTI SCHOOL</t>
  </si>
  <si>
    <t>2013-Apr</t>
  </si>
  <si>
    <t>CENTRAL BOARD OF SECONDARY EDUCATION, REWA, MADHYA PRADESH</t>
  </si>
  <si>
    <t>POORNIMA UNIVERSITY, JAIPUR, RAJASTHAN</t>
  </si>
  <si>
    <t>AutoCAD,MS Office,MS Project,Photoshop,Enscape,Sketchup,Revit</t>
  </si>
  <si>
    <t>LIVSPACE | DESIGNER | BANGLORE | Dec 2021 | Mar 2023 | 1Y 3M | 3.7
Design Cafe | Lead Designer | Bangalore | Jun 2023 | Jun 2025 | 2Y 0M | 7.2</t>
  </si>
  <si>
    <t>3 Years 4 Months</t>
  </si>
  <si>
    <t>ManAssure  Advisory &amp; Consultancy | Research &amp; Market Intelligence Intern | Hyderabad | May 2026 | Jul 2026 | 8.5714285714286 Weeks | Campus Internship
Designers Forum | Junior Architect | Panchkula | Jan 2020 | Mar 2020 | 10.714285714286 Weeks</t>
  </si>
  <si>
    <t>P25700144</t>
  </si>
  <si>
    <t>MANDALE</t>
  </si>
  <si>
    <t>ABHISHREE</t>
  </si>
  <si>
    <t>JAYESH</t>
  </si>
  <si>
    <t>Mandale Abhishree Jayesh</t>
  </si>
  <si>
    <t>abhishreemandale054@gmail.com</t>
  </si>
  <si>
    <t>p25700144@student.nicmar.ac.in</t>
  </si>
  <si>
    <t>06-Apr-2000</t>
  </si>
  <si>
    <t>Writing,Cooking</t>
  </si>
  <si>
    <t>7990 1052 8968</t>
  </si>
  <si>
    <t>Jayesh Mandale</t>
  </si>
  <si>
    <t>Business</t>
  </si>
  <si>
    <t>Pravina Mandale</t>
  </si>
  <si>
    <t>Teacher</t>
  </si>
  <si>
    <t xml:space="preserve">201/133, Shri Sai Gajanan appt., RBI Colony, Jaiprakash Nagar, Nagpur. </t>
  </si>
  <si>
    <t>Plot No 35, "Annapurna", Wardha Road, Ganguli Layout, Somalwada, Khamla, Nagpur</t>
  </si>
  <si>
    <t>T.B.R.A.N' S. MUNDLE ENGLISH MEDIUM SCHOOL, NAGPUR,MAHARASHTRA</t>
  </si>
  <si>
    <t>MAHARASHTRA STATE BOARD OF SECONDARY &amp; HIGHER SECONDARY EDUCATION, PUNE, MAHARASHTRA</t>
  </si>
  <si>
    <t>MAJOR HEMANT JAKATE VIDYANIKETAN INSTITUTE OF SCIENCE &amp; COMMERCE, NAGPUR, MAHARASHTRA</t>
  </si>
  <si>
    <t>RASHTRASANT TUKDOJI MAHARAJ NAGPUR UNIVERSITY, NAGPUR, MAHARASHTRA</t>
  </si>
  <si>
    <t>AutoCAD, Revit, MS Office, MS Project, Primavera, Sketchup, Lumion, Photoshop</t>
  </si>
  <si>
    <t>Neilsoft Ltd. | Jr. Architect | Hinjewadi, Pune  | Jul 2023 | Jan 2025 | 1Y 6M | 3.68</t>
  </si>
  <si>
    <t>Medigence Solutions Pvt. Ltd.  | Project Coordination Intern | Ahmedabad, Gujarat  | May 2026 | Jul 2026 | 8.7142857142857 Weeks | Campus Internship
Design Co-ordinates, Nagpur | Architectural Intern | Nagpur  | Jan 2022 | Sep 2022 | 34.571428571429 Weeks</t>
  </si>
  <si>
    <t>NPTEL | Ethics of Engineering |</t>
  </si>
  <si>
    <t>P25700145</t>
  </si>
  <si>
    <t>KORRAPATI</t>
  </si>
  <si>
    <t>Balaji Korrapati</t>
  </si>
  <si>
    <t>korrapati2001@gmail.com</t>
  </si>
  <si>
    <t>p25700145@student.nicmar.ac.in</t>
  </si>
  <si>
    <t>13-Apr-2001</t>
  </si>
  <si>
    <t>TELUGU, ENGLISH, HINDI</t>
  </si>
  <si>
    <t>2337 7947 6396</t>
  </si>
  <si>
    <t>KORRAPATI SUDHAKAR</t>
  </si>
  <si>
    <t>INSURANCE ADVISOR</t>
  </si>
  <si>
    <t>KORRAPATI PUSHPA</t>
  </si>
  <si>
    <t>15-75/1, Tholimitta Street, Venkatagiri.</t>
  </si>
  <si>
    <t>Sri Balaji</t>
  </si>
  <si>
    <t>KENDRIYA VIDYALAYA SANGATHAN</t>
  </si>
  <si>
    <t>CENTRAL BOARD OF SECONDARY EDUCATION ANDHRA PRADESH</t>
  </si>
  <si>
    <t>RAJIV GANDHI UNIVERSITY OF KNOWLEDGE TECHNOLOGIES</t>
  </si>
  <si>
    <t>RAJIV KNOWLEDGE VALLEY ANDHRA PRADESH</t>
  </si>
  <si>
    <t>AutoCAD, MS Office, MS Project, Primavera, Basics of BIM, Costex</t>
  </si>
  <si>
    <t>Pidilite Industries | Marketing Intern B2B  | Bangalore | May 2026 | Jun 2026 | 7.5714285714286 Weeks | Campus Internship</t>
  </si>
  <si>
    <t>Financial and Non-Financial Managers
NPTEL online course on German-1</t>
  </si>
  <si>
    <t>P25700146</t>
  </si>
  <si>
    <t>MALAVIKA</t>
  </si>
  <si>
    <t>Malavika S Nair</t>
  </si>
  <si>
    <t>malavikasnair07@gmail.com</t>
  </si>
  <si>
    <t>p25700146@student.nicmar.ac.in</t>
  </si>
  <si>
    <t>11-May-2001</t>
  </si>
  <si>
    <t>ENGLISH, HINDI,MALAYALAM</t>
  </si>
  <si>
    <t>3244 5087 2053</t>
  </si>
  <si>
    <t>SAJEEV KUMAR R</t>
  </si>
  <si>
    <t>ASSISTANT MANAGER MECHANICAL, FACT</t>
  </si>
  <si>
    <t>SANDYA P</t>
  </si>
  <si>
    <t>TEACHER, MINISTRY OF EDUCATION, MALDIVES</t>
  </si>
  <si>
    <t>MANASA, C K ROAD, Manjummel P.O, Eloor</t>
  </si>
  <si>
    <t>MODEL TECHNICAL HIGHER SECONDARY SCHOOL, KALOOR</t>
  </si>
  <si>
    <t>KERALA BOARD OF PUBLIC EXAMINATION</t>
  </si>
  <si>
    <t>BOARD OF SECONDARY EXAMINATIONS, KERALA</t>
  </si>
  <si>
    <t>FEDERAL INSTITUTE OF SCIENCE AND TECHNOLOGY, ANGAMALY</t>
  </si>
  <si>
    <t>AutoCAD,MS Office,MS Project,TEKLA</t>
  </si>
  <si>
    <t>CLAYSYS LIFESTYLE PVT LTD | CIVIL ENGINEER- L1 | INFOPARK,KAKKANAD,KOCHI | May 2024 | May 2025 | 1Y 0M | 1.92</t>
  </si>
  <si>
    <t>Rodic Consultants Pvt Ltd | Operations Intern | Work from home | May 2026 | Jul 2026 | 8.5714285714286 Weeks | Campus Internship
FERTILIZERS AND CHEMICALS TRAVANCORE LIMITED | DESIGN TEAM | UDOGAMANDAL ELOOR | Sep 2022 | Sep 2022 | 0.85714285714286 Weeks</t>
  </si>
  <si>
    <t>P25700147</t>
  </si>
  <si>
    <t>SHUBHAM</t>
  </si>
  <si>
    <t>GOPAL</t>
  </si>
  <si>
    <t>CHOMWAL</t>
  </si>
  <si>
    <t>Shubham Gopal Chomwal</t>
  </si>
  <si>
    <t>shubhamchomwal@gmail.coom</t>
  </si>
  <si>
    <t>p25700147@student.nicmar.ac.in</t>
  </si>
  <si>
    <t>14-Mar-2000</t>
  </si>
  <si>
    <t>ENGLISH, HINDI AND MARATHI</t>
  </si>
  <si>
    <t>3910 7685 1338</t>
  </si>
  <si>
    <t>SWATI</t>
  </si>
  <si>
    <t>Chamunda Bunglow B-2  Near Swami Samarth Mandir, SBI Colony No 5, Umari Akola</t>
  </si>
  <si>
    <t>HOLY CROSS CONVENT HIGH SCHOOL AKOLA</t>
  </si>
  <si>
    <t>MAHARASHTRA SATE BOARD OF SECONDARY AND HIGHER SECONDARY EDUCATION</t>
  </si>
  <si>
    <t>SHRI SAMARTH JUNIOR COLLEGE OF SCIENCE, AKOLA</t>
  </si>
  <si>
    <t>COLLEGE OF ENGINEERING AND TECHNOLOGY AKOLA</t>
  </si>
  <si>
    <t>AutoCAD,MS Project,Primavera</t>
  </si>
  <si>
    <t>Medigence Solutions Pvt. Ltd. | Project Management Intern | Ahmedabad | May 2026 | Jul 2026 | 8.7142857142857 Weeks | Campus Internship
Ragita Constructions Pvt Ltd | Site Engineer | Akola | Mar 2024 | Jul 2025 | 66.857142857143 Weeks</t>
  </si>
  <si>
    <t xml:space="preserve"> NPTEL course "Ethics in Engineering Practice" by Indian Institute of Technology Kharagpur. 
Financial and Non Financial Managers</t>
  </si>
  <si>
    <t>P25700148</t>
  </si>
  <si>
    <t>HARI</t>
  </si>
  <si>
    <t>MANIKANTA</t>
  </si>
  <si>
    <t>YATHAM</t>
  </si>
  <si>
    <t>Hari Manikanta Yatham</t>
  </si>
  <si>
    <t>hariyatham2k3@gmail.com</t>
  </si>
  <si>
    <t>p25700148@student.nicmar.ac.in</t>
  </si>
  <si>
    <t>18-Jan-2003</t>
  </si>
  <si>
    <t>8889 7953 0027</t>
  </si>
  <si>
    <t>SRINIVASU</t>
  </si>
  <si>
    <t>NAGA LAKSHMI</t>
  </si>
  <si>
    <t>H No 7-24/2, P.V Road, Vadali, Penugonda Mandal</t>
  </si>
  <si>
    <t>West Godavari</t>
  </si>
  <si>
    <t>DR.K.K.R'S GOWTHAM (EM) SCHOOL</t>
  </si>
  <si>
    <t>SASI JUNIOR COLLEGE</t>
  </si>
  <si>
    <t>SAGI RAMA KRISHNAM RAJU ENGINEERING COLLEGE, BHIMAVARAM</t>
  </si>
  <si>
    <t>AutoCAD,MS Office,MS Project,Primavera,Power BI,CostX</t>
  </si>
  <si>
    <t>ZYETA PRIVATE LIMITED | PROJECT MANAGEMENT INTERN | Bangalore | May 2026 | Jul 2026 | 8.5714285714286 Weeks | Campus Internship
GKC PROJECTS LTD | PROJECT MANAGEMENT INTERN  | HYDERABAD | Dec 2024 | Apr 2025 | 17.285714285714 Weeks
LARSEN &amp; TOUBRO (L&amp;T) | PROJECT MONITORING INTERN  | ANAND, GUJRAT | Jun 2024 | Jun 2024 | 4.1428571428571 Weeks</t>
  </si>
  <si>
    <t>P25700150</t>
  </si>
  <si>
    <t>MANISH</t>
  </si>
  <si>
    <t>SHEDE</t>
  </si>
  <si>
    <t>Manish Mahesh Shede</t>
  </si>
  <si>
    <t>manishshede22@gmail.com</t>
  </si>
  <si>
    <t>p25700150@student.nicmar.ac.in</t>
  </si>
  <si>
    <t>18-Oct-2002</t>
  </si>
  <si>
    <t>8040 7465 6581</t>
  </si>
  <si>
    <t>NILAM</t>
  </si>
  <si>
    <t>At Post Sakharpa, Bhandarwadi</t>
  </si>
  <si>
    <t>Ratnagiri</t>
  </si>
  <si>
    <t>SHRIMAN TUKARAM GANSHET GANDHI VIDYALAY  KONDGAON</t>
  </si>
  <si>
    <t>KONKAN DIVISIONAL BOARD ,RATNAGIRI</t>
  </si>
  <si>
    <t>GOVERNMENT POLYTECHNIC KARAD , KARAD/MAHARASHTRA</t>
  </si>
  <si>
    <t>ZEAL COLLEGE OF ENGINEERING &amp; RESEARCH PUNE , PUNE/MAHARASHTRA</t>
  </si>
  <si>
    <t>B.G. SHIRKE CONSTRUCTION TECHNOLOGY PRIVATE LIMITED | Site Execution | Mumbai  | May 2026 | Jul 2026 | 8.7142857142857 Weeks | Campus Internship</t>
  </si>
  <si>
    <t>P25700151</t>
  </si>
  <si>
    <t>PRANAV</t>
  </si>
  <si>
    <t>MENON</t>
  </si>
  <si>
    <t>Pranav Menon V</t>
  </si>
  <si>
    <t>menonpranavv@gmail.com</t>
  </si>
  <si>
    <t>p25700151@student.nicmar.ac.in</t>
  </si>
  <si>
    <t>29-Oct-2002</t>
  </si>
  <si>
    <t>4010 5844 2004</t>
  </si>
  <si>
    <t>VIJAYAKUMAR PP</t>
  </si>
  <si>
    <t>DIVYA M</t>
  </si>
  <si>
    <t>Parakkal Puthiyaveedu,P O MANKAVU,Mankavu S O,Kozhikode,Kerala</t>
  </si>
  <si>
    <t>Kozhikode</t>
  </si>
  <si>
    <t>BHARATIYA VIDYA BHAVAN</t>
  </si>
  <si>
    <t>CENTRAL BOARD OF SECONDARY EDUCATION, KOZHIKODE, KERALA</t>
  </si>
  <si>
    <t>SCMS SCHOOL OF ENGINEERING AND TECHNOLOGY, ERNAKULAM, KERALA</t>
  </si>
  <si>
    <t>Goa State Infrastructure Development  | Site Execution | Bambolim , Ga | May 2026 | Jul 2026 | 8.7142857142857 Weeks | Campus Internship
TC ONE PROPERTIES AND PROJECTS PVT.LTD | SITE ENGINEER TRAINEE | KOZHIKODE | Jan 2025 | Jun 2025 | 24 Weeks</t>
  </si>
  <si>
    <t>P25700152</t>
  </si>
  <si>
    <t>NIRAJ</t>
  </si>
  <si>
    <t>LAXMIKANT</t>
  </si>
  <si>
    <t>PATANGE</t>
  </si>
  <si>
    <t>Niraj Laxmikant Patange</t>
  </si>
  <si>
    <t>nirajpatange15@gmail.com</t>
  </si>
  <si>
    <t>p25700152@student.nicmar.ac.in</t>
  </si>
  <si>
    <t>15-Sep-2002</t>
  </si>
  <si>
    <t>English, Marathi, Hindi</t>
  </si>
  <si>
    <t>9296 5043 1935</t>
  </si>
  <si>
    <t>MADHAVI</t>
  </si>
  <si>
    <t>HOUSEWIVE</t>
  </si>
  <si>
    <t>Prabhat Colony, Keshavnagar Chinchwad</t>
  </si>
  <si>
    <t>MANORAM PRIMARY SCHOOL</t>
  </si>
  <si>
    <t>PIMPRI CHINCHWAD POLYTECHNIC PUNE</t>
  </si>
  <si>
    <t>RAJARSHI SHAHU COLLEGE OF ENGINEERING PUNE</t>
  </si>
  <si>
    <t>Pavetech Consultants  | Site Execution and planning management  | Pimpri Chinchwad  | May 2026 | Jul 2026 | 9.4285714285714 Weeks | Campus Internship
Infraking consulting engineers pvt. ltd. | Site trainee engineer | pimpri chinchwad | Dec 2024 | Jun 2025 | 26 Weeks</t>
  </si>
  <si>
    <t>P25700153</t>
  </si>
  <si>
    <t>KARTHIK VIJAY VARMA</t>
  </si>
  <si>
    <t>NIDADAVOLU</t>
  </si>
  <si>
    <t>Karthik Vijay Varma Nidadavolu</t>
  </si>
  <si>
    <t>karthik.nidadavolu@gmail.com</t>
  </si>
  <si>
    <t>p25700153@student.nicmar.ac.in</t>
  </si>
  <si>
    <t>09-Jul-2001</t>
  </si>
  <si>
    <t>8193 6038 9728</t>
  </si>
  <si>
    <t>NIDADAVOLU SITARAMA RAJU</t>
  </si>
  <si>
    <t>NONE</t>
  </si>
  <si>
    <t>NIDADAVOLU BHAVANI DEVI</t>
  </si>
  <si>
    <t>TAILOR</t>
  </si>
  <si>
    <t>3-4/7, Ramakrishna Nagar, Vakalapudi, Kakinada Rural.</t>
  </si>
  <si>
    <t>Kakinada</t>
  </si>
  <si>
    <t>KRISHNAVENI TALENT SCHOOL</t>
  </si>
  <si>
    <t>BOARD OF SECONDARY EDUCATION TELANGANA STATE, INDIA</t>
  </si>
  <si>
    <t>JNTUA COLLEGE OF ENGINEERING KALIKIRI</t>
  </si>
  <si>
    <t>AutoCAD,MS Project,Primavera,Power BI,CostX,MS Excel</t>
  </si>
  <si>
    <t>Asian Paints Limited | Intern - Sales Engineer | Vishakapatnam | May 2026 | Jul 2026 | 8.7142857142857 Weeks | Campus Internship
S&amp;P Constructions | Management Intern-QS | Hyderabad | Jul 2024 | Jan 2025 | 26.285714285714 Weeks</t>
  </si>
  <si>
    <t>Finance for Non-Financial Managers</t>
  </si>
  <si>
    <t>P25700154</t>
  </si>
  <si>
    <t>Ayush Kumar</t>
  </si>
  <si>
    <t>ayush2003august@gmail.com</t>
  </si>
  <si>
    <t>p25700154@student.nicmar.ac.in</t>
  </si>
  <si>
    <t>4347 3845 9960</t>
  </si>
  <si>
    <t>PANKAJ KUMAR</t>
  </si>
  <si>
    <t>MENKA KUMARI</t>
  </si>
  <si>
    <t>Sr No 279/1/1A Plot No-113 Kutwal Colon, Sathe Wasti , Lohaegaon, Pune 411047</t>
  </si>
  <si>
    <t>MOUNT ST.PATRICK ACADEMY</t>
  </si>
  <si>
    <t>RAO JUNIOR COLLEGE OF SCIENCE, PUNE</t>
  </si>
  <si>
    <t>SHREE HARE KRISHNA INFRA | EXECUTION INTERN | PUNE | May 2026 | Jul 2026 | 8.7142857142857 Weeks | Campus Internship
HAARDIK IMPULSE DEVELOPERS LLP | Estimation &amp; Documentation Intern | Moshi pune  | Dec 2023 | Jan 2024 | 4.4285714285714 Weeks</t>
  </si>
  <si>
    <t>Finance for non financial managers</t>
  </si>
  <si>
    <t>P25700155</t>
  </si>
  <si>
    <t>SARABJIT</t>
  </si>
  <si>
    <t>Sarabjit Yadav</t>
  </si>
  <si>
    <t>ysarabjit88@gmail.com</t>
  </si>
  <si>
    <t>p25700155@student.nicmar.ac.in</t>
  </si>
  <si>
    <t>17-Feb-2000</t>
  </si>
  <si>
    <t>ENGLISH,HINDI AND BENGALI</t>
  </si>
  <si>
    <t>6331 3758 6605</t>
  </si>
  <si>
    <t>BHIKHU YADAV</t>
  </si>
  <si>
    <t>SUGANTI DEVI</t>
  </si>
  <si>
    <t>TEXMACO DARWAN GARAD, BELGHARIA, KAMARHATI M 4 NO RAIL GATE</t>
  </si>
  <si>
    <t>North 24 Parganas</t>
  </si>
  <si>
    <t>BHOLANANDA NATIONAL VIDYALAYA</t>
  </si>
  <si>
    <t>CENTRAL BOARD OF SECONDARY EDUCATION,  NEW DELHI</t>
  </si>
  <si>
    <t>BARRACKPORE CANTONMENT VIDYAPITH (HIGH SCHOOL)</t>
  </si>
  <si>
    <t>WEST BENGAL COUNCIL OF HIGHER SECONDARY EDUCATION KOLKATA</t>
  </si>
  <si>
    <t>MAULANA ABUL KALAM AZAD UNIVERSITY OF TECHNOLOGY, WEST BENGAL</t>
  </si>
  <si>
    <t>NETAJI SUBHASH ENGINEERING COLLEGE KOLKATA</t>
  </si>
  <si>
    <t>AutoCAD,MS Office,MS Project,EXCEL,BAR BENDING SCHEDULE</t>
  </si>
  <si>
    <t>ICICI BANK | ASSISTANT MANAGER  | Kolkata | Mar 2023 | May 2023 | 0Y 1M | 3.21
MEGHA ENGINEERING AND INFRASTRUCTURE LIMITED | ENGINEER - STRCS | JAMMU AND KASHMIR | May 2023 | Jun 2025 | 2Y 1M | 3.48</t>
  </si>
  <si>
    <t>VSL INDIA PRIVATE LIMITED | PROJECT INTERN | PATNA | May 2026 | Jul 2026 | 8.7142857142857 Weeks | Campus Internship
WIPRO | TRAINEE | KOLKATA | Apr 2022 | Jul 2022 | 11.857142857143 Weeks
KOLKATA CENTRAL HEALTH DIVISION PWD | TRAINEE | KOLKATA | Aug 2021 | Sep 2021 | 3 Weeks</t>
  </si>
  <si>
    <t>P25700156</t>
  </si>
  <si>
    <t>Devendra</t>
  </si>
  <si>
    <t>Vikas</t>
  </si>
  <si>
    <t>Kulkarni</t>
  </si>
  <si>
    <t>Devendra Vikas Kulkarni</t>
  </si>
  <si>
    <t>devendrakulkarni001@gmail.com</t>
  </si>
  <si>
    <t>p25700156@student.nicmar.ac.in</t>
  </si>
  <si>
    <t>11-Mar-2000</t>
  </si>
  <si>
    <t>3626 9859 8523</t>
  </si>
  <si>
    <t>VIKAS</t>
  </si>
  <si>
    <t>SERVICE (RETIRED )</t>
  </si>
  <si>
    <t>LATE</t>
  </si>
  <si>
    <t>Vaishnavi, Namrata Hsg. Soc. Nakhate Nagar Behind Dhangarbaba Mandir Thergaon</t>
  </si>
  <si>
    <t>SHREE FATTECHAND JAIN VIDYALAYA AND JR. COLLAGE CHINCHWAD</t>
  </si>
  <si>
    <t>CUSROW WADIA INSTITUTE OF TECHNOLOGY PUNE</t>
  </si>
  <si>
    <t>TSSMS PADMABHUSHAN VASANT DADA PATIL INSTITUTE OF TECHNOLOGY BAVADHAN</t>
  </si>
  <si>
    <t>A A PMC AND ENGINERRING LLP | Junior Engineer | Taloja phase 2 Navi Mumbai | Mar 2022 | Jun 2025 | 3Y 3M | 5.06</t>
  </si>
  <si>
    <t>Sribal Construction Company  | Intern  | Bidadi Banglore  | May 2026 | Jul 2026 | 8.7142857142857 Weeks | Campus Internship
Legacy Life spaces LLP | Trainee engineer | Rahatni Pimpri | May 2017 | Jun 2017 | 3.7142857142857 Weeks</t>
  </si>
  <si>
    <t>P25700157</t>
  </si>
  <si>
    <t>SAMEER</t>
  </si>
  <si>
    <t>Sameer Satish Jadhav</t>
  </si>
  <si>
    <t>jadhavsameer.work@gmail.com</t>
  </si>
  <si>
    <t>p25700157@student.nicmar.ac.in</t>
  </si>
  <si>
    <t>9150 3564 3561</t>
  </si>
  <si>
    <t>SATISH JADHAV</t>
  </si>
  <si>
    <t>MANISHA JADHAV</t>
  </si>
  <si>
    <t>4, Navalkar Building, Ram Maruti Road, Dadar [West] Mumbai - 400028</t>
  </si>
  <si>
    <t>IES MODERN ENGLISH SCHOOL, DADAR (WEST) MUMBAI</t>
  </si>
  <si>
    <t>MAHARASHTRA STATE BOARD OF SECONDARY AND HIGHER EDUCATION, PUNE</t>
  </si>
  <si>
    <t>M.H. SABOO SIDDIK POLYTECHNIC, BYCULLA, MUMBAI</t>
  </si>
  <si>
    <t>DATTA MEGHE COLLEGE OF ENGINEERING, AIROLI, NAVI MUMBAI</t>
  </si>
  <si>
    <t>MS Project, Primavera, REVIT, AutoCAD</t>
  </si>
  <si>
    <t>Kolte-Patil Developers Limited | Construction &amp; Operations Intern | Pune, Maharashtra | May 2026 | Jul 2026 | 9.7142857142857 Weeks | Campus Internship
CIDCO, BELAPUR, NAVI MUMBAI | INTERN | ULWE, NAVI MUMBAI | Dec 2023 | Jan 2024 | 3.5714285714286 Weeks</t>
  </si>
  <si>
    <t>Foundations of Project Management - Google (Coursera)
PMI® Kickoff™ Predictive – Project Management Institute (PMI)
Project Management: Initiation and Planning – L&amp;T EduTech (Coursera)</t>
  </si>
  <si>
    <t>P25700158</t>
  </si>
  <si>
    <t>HIMANSHU</t>
  </si>
  <si>
    <t>RATHOD</t>
  </si>
  <si>
    <t>Himanshu Vijay Rathod</t>
  </si>
  <si>
    <t>himanshu.rathodhr1998@gmail.com</t>
  </si>
  <si>
    <t>p25700158@student.nicmar.ac.in</t>
  </si>
  <si>
    <t>09-Feb-1998</t>
  </si>
  <si>
    <t>3857 3629 1015</t>
  </si>
  <si>
    <t>VIJAY RATHOD</t>
  </si>
  <si>
    <t>ANITA RATHOD</t>
  </si>
  <si>
    <t>73, Chandrabhaga Nagar Hudkeshwar Road Nagpur</t>
  </si>
  <si>
    <t>SOUTH POINT SCHOOL</t>
  </si>
  <si>
    <t>SHIVAJI SCIENCE COLLEGE</t>
  </si>
  <si>
    <t>YESHWANTRAO CHAVAN COLLEGE OF ENGINEERING NAGPUR</t>
  </si>
  <si>
    <t>AutoCAD,MS Project,Primavera,Advanced Excel,Power BI,Business Analytics</t>
  </si>
  <si>
    <t>Orange city water Pvt Ltd | Junior Engineer | Nagpur | Jul 2020 | Oct 2021 | 1Y 2M | 2.52</t>
  </si>
  <si>
    <t>Kalpataru limited  | Projects Department  | Mumbai | May 2026 | Jul 2026 | 8.4285714285714 Weeks | Campus Internship
NAGPUR MUNCIPAL CORPORATION NAGPUR | JUNIOR ENGINEER TRAINEE | NAGPUR | Aug 2024 | Jun 2025 | 43.428571428571 Weeks
Maharashtra metro rail corporation limited | Intern | Nagpur | May 2018 | Jun 2018 | 1.5714285714286 Weeks
L&amp;T REALTY MUMBAI | TRAINEE ENGINEER | MUMBAI | Jun 2023 | Feb 2024 | 34.714285714286 Weeks</t>
  </si>
  <si>
    <t>Finance for Non-Financial Managers
STAADPRO
Autocad</t>
  </si>
  <si>
    <t>P25700159</t>
  </si>
  <si>
    <t>PRATIK</t>
  </si>
  <si>
    <t>BHIMRAJ</t>
  </si>
  <si>
    <t>SUDRIK</t>
  </si>
  <si>
    <t>Pratik Bhimraj Sudrik</t>
  </si>
  <si>
    <t>pratiksudrikofficial2002@gmail.com</t>
  </si>
  <si>
    <t>p25700159@student.nicmar.ac.in</t>
  </si>
  <si>
    <t>24-Apr-2002</t>
  </si>
  <si>
    <t>MARATHI, ENGLISH &amp; HINDI</t>
  </si>
  <si>
    <t>7843 0709 6484</t>
  </si>
  <si>
    <t>PRIVATE SERVICE</t>
  </si>
  <si>
    <t>ROHINI SUDRIK</t>
  </si>
  <si>
    <t>404,06 BUILDING NO, AMARANTE SOCITY,KALAMBOLI ROADPALI, NAVI MUMBAI, PLOT 04, SEC 9 E</t>
  </si>
  <si>
    <t>A37/4, PUSHPAK HOUSING SOCIETY,_x000D_
NEAR GANESH MANDIR, VENUNAGAR, WAKAD.</t>
  </si>
  <si>
    <t>CREATIVE PUBLIC SCHOOL, RAVET</t>
  </si>
  <si>
    <t>MAHARASHTRA STATE BORD OF SECONDARY AND HIGHER SECONDARY EDUCATION.</t>
  </si>
  <si>
    <t>FR. AGNEL POLYTECHNIC, VASHI</t>
  </si>
  <si>
    <t>MAHATMA GANDHI MISSION'S COLLEGE OF ENGINEERING AND TECHNOLOGY, KAMOTHE, NAVI MUMBAI</t>
  </si>
  <si>
    <t>CAPACITE INFRAPROJECTS LTD | QUANTITY SURVEY &amp; BILLING GRADUATE ENGINEER TRAINEE | RAYMOND, RAYMOND ROAD, THANE, BEHIND VIVIANA MALL. | Jan 2025 | Jun 2025 | 0Y 5M | 2.52</t>
  </si>
  <si>
    <t>Embassy Development limited | Intern - Construction | Navi-Mumbai | May 2026 | Jul 2026 | 8.2857142857143 Weeks | Campus Internship
NAVI MUMBAI MUNICIPAL COPORATION | INTERN | BELAPUR WARD, SECTOR 11 | Jun 2023 | Jul 2023 | 3.5714285714286 Weeks</t>
  </si>
  <si>
    <t>P25700160</t>
  </si>
  <si>
    <t>AMITKUMAR</t>
  </si>
  <si>
    <t>Pranav Amitkumar Patil</t>
  </si>
  <si>
    <t>pranavpatil949529@gmail.com</t>
  </si>
  <si>
    <t>p25700160@student.nicmar.ac.in</t>
  </si>
  <si>
    <t>29-Apr-2003</t>
  </si>
  <si>
    <t>7150 6982 0121</t>
  </si>
  <si>
    <t>255/B WARD Plot No 39 Tararani Colony Sambhaji Nagar Kolhapur</t>
  </si>
  <si>
    <t>NEW ENGLISH MEDIUM SCHOOL</t>
  </si>
  <si>
    <t>MAHARAHTRA STATE BOARD OF SECONDARY AND HIGHER SECONDARY EDUCATION PUNE</t>
  </si>
  <si>
    <t>SHIVAJI UNIVERSITY KOLHAPUR</t>
  </si>
  <si>
    <t>DY PATIL COLLEGE OF ENGINEEERING AND TECHNOLOGY KOLHAPUR</t>
  </si>
  <si>
    <t>AutoCAD,MS Office,MS Project,Primavera,Revit</t>
  </si>
  <si>
    <t>Kolte-Patil Developers Ltd. | Management Intern - Construction &amp; Operations | Pune, Maharashtra | May 2026 | Jul 2026 | 9.7142857142857 Weeks | Campus Internship</t>
  </si>
  <si>
    <t>Certificate Program in Contract Management (CPCM)
Excel Skills for Business : Essentials</t>
  </si>
  <si>
    <t>P25700161</t>
  </si>
  <si>
    <t>ISHWAR</t>
  </si>
  <si>
    <t>MALAGI</t>
  </si>
  <si>
    <t>Ishwar Malagi</t>
  </si>
  <si>
    <t>malagiishwar529@gmail.com</t>
  </si>
  <si>
    <t>p25700161@student.nicmar.ac.in</t>
  </si>
  <si>
    <t>28-Jul-2001</t>
  </si>
  <si>
    <t>ENGLISH, HINDI, KANNADA AND TELUGU</t>
  </si>
  <si>
    <t>4651 4137 3877</t>
  </si>
  <si>
    <t>DYAVAPPA</t>
  </si>
  <si>
    <t>HANAMAVVA</t>
  </si>
  <si>
    <t>S/O Dyavappa, Muttalageri_x000D_
Po:Muttalageri, Dist:Bagalkot, Karnataka-587201</t>
  </si>
  <si>
    <t>Bagalkot</t>
  </si>
  <si>
    <t>SHRI SWAMI VIVEKANANDA ENGLISH MEDIUM HIGH SCHOOL, CHALUKYANAGAR, BADAMI</t>
  </si>
  <si>
    <t>VAGDEVI INDP PU COLLEGE, SHIGIKERI B-R BYEPASS RD, BAGALKOT</t>
  </si>
  <si>
    <t>DEPARTMENT OF PRE-UNIVERSITY EDUCATION</t>
  </si>
  <si>
    <t>KLS GOGTE INSTITUTE OF TECHNOLOGY, BELAGAVI</t>
  </si>
  <si>
    <t>BELAGAVI</t>
  </si>
  <si>
    <t>AutoCAD,MS Office,MS Project,ERP Software,Project Management Software</t>
  </si>
  <si>
    <t>Nina Percept Pvt Ltd, Subsidiary of Pidilite Industries. | Engineer - QAQC | Bengaluru | Aug 2023 | Jun 2025 | 1Y 9M | 3.6</t>
  </si>
  <si>
    <t>Rodic Consultants Pvt. Ltd | Business Development | New Delhi | May 2026 | Jul 2026 | 8.5714285714286 Weeks | Campus Internship
Indian Institute of Technology, Madras | Student Intern - Ambient Air Quality Monitoring and Analysis. | Chennai | Aug 2022 | Oct 2022 | 7.4285714285714 Weeks</t>
  </si>
  <si>
    <t>Plastic Waste Management
Intellectual Property Rights and Competition Law
English Language for Competitive Exams</t>
  </si>
  <si>
    <t>P25700162</t>
  </si>
  <si>
    <t>SHARIKA</t>
  </si>
  <si>
    <t>Sharika S S</t>
  </si>
  <si>
    <t>sharikasshyna@gmail.com</t>
  </si>
  <si>
    <t>p25700162@student.nicmar.ac.in</t>
  </si>
  <si>
    <t>7616 0952 1875</t>
  </si>
  <si>
    <t>SALIMRAJ P R</t>
  </si>
  <si>
    <t>SENIOR TECHNICIAN AT BPCL PUBLIC LIMITED</t>
  </si>
  <si>
    <t>SHYNA SALIMRAJ</t>
  </si>
  <si>
    <t>ACCOUNTANT AT A PRIVATE FIRM</t>
  </si>
  <si>
    <t>LEOS QUARTET APARTMENT, HOUSE NO 3, JAWAHAR NAGAR ROAD, THIRUVANKULAM P.O ERNAKULAM</t>
  </si>
  <si>
    <t>Kottakkattu Veedu, Keezhattingal, P.O Trivandrum</t>
  </si>
  <si>
    <t>COCHIN REFINERIES SCHOOL AMBALAMUGAL</t>
  </si>
  <si>
    <t>CENTRAL BOARD OF SECONDARY EDUCATION KOCHI</t>
  </si>
  <si>
    <t>RAJAGIRI SCHOOL OF ENGINEERING AND TECHNOLOGY</t>
  </si>
  <si>
    <t>NeST Hi-Tek Park Private Limited | Civil Engineer Trainee | Kalamassery , Ernakulam, Kerala | Dec 2023 | May 2025 | 1Y 4M | 2.4</t>
  </si>
  <si>
    <t>Uralungal Labour Contract Co-operative Society(ULCCS) | Intern | Varkala, Kerala | May 2026 | Jul 2026 | 8 Weeks | Campus Internship
KEC International Limited | Intern | Kochi | Oct 2022 | Oct 2022 | 0.57142857142857 Weeks</t>
  </si>
  <si>
    <t>P25700163</t>
  </si>
  <si>
    <t>KHUSHI</t>
  </si>
  <si>
    <t>KHANNA</t>
  </si>
  <si>
    <t>Khushi Khanna</t>
  </si>
  <si>
    <t>khannakhushi43@gmail.com</t>
  </si>
  <si>
    <t>p25700163@student.nicmar.ac.in</t>
  </si>
  <si>
    <t>23-Mar-2002</t>
  </si>
  <si>
    <t>4376 0748 5575</t>
  </si>
  <si>
    <t>SANJAY KHANNA</t>
  </si>
  <si>
    <t>MAYA KHANNA</t>
  </si>
  <si>
    <t>KD-122, Kavinagar, D Block</t>
  </si>
  <si>
    <t>Ghaziabad</t>
  </si>
  <si>
    <t>THE DPS-G INTERNATIONAL HINDON NGR GHAZIABAD UP</t>
  </si>
  <si>
    <t>CBSE GHAZIABAD/UTTAR PRADESH</t>
  </si>
  <si>
    <t>2012-Apr</t>
  </si>
  <si>
    <t>MANIPAL UNIVERSITY JAIPUR</t>
  </si>
  <si>
    <t>MANIPAL UNIVERSITY JAIPUR/ RAJASTHAN</t>
  </si>
  <si>
    <t>AutoCAD,MS Office,MS Project,SketchUp,Revit,Lumion,Photoshop,Illustrator</t>
  </si>
  <si>
    <t>Ecofirst Services Limited | Architect Trainee | Navi Mumbai | Aug 2024 | Jan 2025 | 0Y 5M | 4.5</t>
  </si>
  <si>
    <t>Deloitte Touche Tohmatsu India LLP | Intern | Delhi | May 2026 | Jul 2026 | 8.5714285714286 Weeks | Campus Internship
BIPOLAR DESIGNS LLP | INTERN | DELHI | Jan 2023 | Apr 2023 | 15.571428571429 Weeks</t>
  </si>
  <si>
    <t>Internation Studies in Vernacular Architecture</t>
  </si>
  <si>
    <t>P25700164</t>
  </si>
  <si>
    <t>SURYA</t>
  </si>
  <si>
    <t>SRIVATSAV</t>
  </si>
  <si>
    <t>GOLLAPALLI</t>
  </si>
  <si>
    <t>Surya Srivatsav Gollapalli</t>
  </si>
  <si>
    <t>gollapallisuryasrivatsav@gmail.com</t>
  </si>
  <si>
    <t>p25700164@student.nicmar.ac.in</t>
  </si>
  <si>
    <t>10-Jun-2003</t>
  </si>
  <si>
    <t>ENGLISH , TELUGU, HINDI</t>
  </si>
  <si>
    <t>3416 1119 3649</t>
  </si>
  <si>
    <t>SRINIVASA RAO GOLLAPALLI</t>
  </si>
  <si>
    <t>CONTRACTOR</t>
  </si>
  <si>
    <t>LALITHA SUNDARI GOLLAPALLI</t>
  </si>
  <si>
    <t>DEMISED</t>
  </si>
  <si>
    <t>Mig 2 Block No 16 F3, Visweswaraya Nagar, Autonagar D Block Extn. BHPV Post</t>
  </si>
  <si>
    <t>DE PAUL SCHOOL</t>
  </si>
  <si>
    <t>COUNCIL FOR THE INDIAN SCHOOL CERTIFICATE EXAMINATIONS, VISAKHAPATNAM</t>
  </si>
  <si>
    <t>2006-Jul</t>
  </si>
  <si>
    <t>BOARD OF INTERMEDIATE EDUCATION,KAKINADA</t>
  </si>
  <si>
    <t>GITAM INSTITUTE OF TECHNOLOGY AND MANAGEMENT</t>
  </si>
  <si>
    <t>GITAM UNIVERSITY , VISAKHAPATNAM</t>
  </si>
  <si>
    <t>NAVAYUGA ENGINEERING COMPANY LTD. | Project Management Intern | PUNE  | May 2026 | Jul 2026 | 8.7142857142857 Weeks | Campus Internship
NHAI | Site intern | visakhapatnam | May 2024 | Jun 2024 | 4.5714285714286 Weeks</t>
  </si>
  <si>
    <t>P25700165</t>
  </si>
  <si>
    <t>RAGHVENDRA</t>
  </si>
  <si>
    <t>Raghvendra Singh</t>
  </si>
  <si>
    <t>raghvendrasinghnagar@gmail.com</t>
  </si>
  <si>
    <t>p25700165@student.nicmar.ac.in</t>
  </si>
  <si>
    <t>19-Sep-2001</t>
  </si>
  <si>
    <t>6656 7928 0086</t>
  </si>
  <si>
    <t>RAVINDER NAGAR</t>
  </si>
  <si>
    <t>DIMPLE NAGAR</t>
  </si>
  <si>
    <t>III-A/87, Nehru Nagar III, Ghaziabad</t>
  </si>
  <si>
    <t>DELHI PUBLIC SCHOOL INDIRAPURAM GHAZIABAD UP</t>
  </si>
  <si>
    <t>CENTRAL BOARD OF SECONDARY EDUCATION, GHAZIABAD UP</t>
  </si>
  <si>
    <t>SHIV NADAR (INSTITUTE OF EMINENCE DEEMED TO BE UNIVERSITY)</t>
  </si>
  <si>
    <t>SHIV NADAR (INSTITUTE OF EMINENCE DEEMED TO BE UNIVERSITY), GREATER NOIDA, UP</t>
  </si>
  <si>
    <t>AutoCAD,MS Office,MS Project,ANSYS</t>
  </si>
  <si>
    <t>EMBASSY DEVELOPMENTS LIMITED | INTERN - CENTRAL MONITORING TEAM (CMT) | Mumbai | May 2026 | Jul 2026 | 8.2857142857143 Weeks | Campus Internship
NAGAR BUILDERS | CONSTRUCTION PROJECT TRAINEE | GHAZIABAD | Nov 2024 | Mar 2025 | 18 Weeks
Indian Road Safety Campaign in association with Transport Department, Uttar Pradesh and Ministry of Road Transport and Highways | Traffic Survey and Road Safety Intern | Dadri | Jan 2022 | Mar 2022 | 12.714285714286 Weeks</t>
  </si>
  <si>
    <t>P25700166</t>
  </si>
  <si>
    <t>SARFARAZ</t>
  </si>
  <si>
    <t>KAZI</t>
  </si>
  <si>
    <t>Mihir Sarfaraz Kazi</t>
  </si>
  <si>
    <t>mihirkazi2430@gmail.com</t>
  </si>
  <si>
    <t>p25700166@student.nicmar.ac.in</t>
  </si>
  <si>
    <t>6466 1405 3773</t>
  </si>
  <si>
    <t>SARFARAZ KAZI</t>
  </si>
  <si>
    <t>MAKASUDA KAZI</t>
  </si>
  <si>
    <t>SILVER STONE SOCIETY HANDEWADI</t>
  </si>
  <si>
    <t>Kazi Galli Mangalvedhe</t>
  </si>
  <si>
    <t>SINHGAD CITY SCHOOL</t>
  </si>
  <si>
    <t>CYGNET PUBLIC SCHOOL</t>
  </si>
  <si>
    <t>HIGHER SECONDARY CERTIFICATE EXAMINATION</t>
  </si>
  <si>
    <t>VISHWAKARMA INSTITUTE OF INFORMATION TECHNOLOGY , KONDHWA BK , PUNE</t>
  </si>
  <si>
    <t>Diamond Industries Infra Pvt,Ltd. | Site Execution  | Solapur  | May 2026 | Jul 2026 | 8.7142857142857 Weeks | Campus Internship
Sanskruti Contech Pvt.Ltd | Site Execution  | Pune , Maharashtra  | Jan 2025 | May 2025 | 19.714285714286 Weeks</t>
  </si>
  <si>
    <t>P25700167</t>
  </si>
  <si>
    <t>BASIREDDY</t>
  </si>
  <si>
    <t>KARTHIKEYA</t>
  </si>
  <si>
    <t>Basireddy Karthikeya</t>
  </si>
  <si>
    <t>basireddykarthikeya29@gmail.com</t>
  </si>
  <si>
    <t>p25700167@student.nicmar.ac.in</t>
  </si>
  <si>
    <t>29-Jun-2004</t>
  </si>
  <si>
    <t>ENGLISH,TELUGU,HINDI,KANNADA,</t>
  </si>
  <si>
    <t>7545 4147 1048</t>
  </si>
  <si>
    <t>JAYARAMIREDDY</t>
  </si>
  <si>
    <t>JYOTHI</t>
  </si>
  <si>
    <t>ASSISTANT PROFESSOR</t>
  </si>
  <si>
    <t>45-201/16-4,BALAJI NAGAR, CHEMMUMIYAPETA</t>
  </si>
  <si>
    <t>Kadapa</t>
  </si>
  <si>
    <t>BASIREDDY KARTHIKEYA</t>
  </si>
  <si>
    <t>NEW HORIZON COLLEGE OF ENGINEERING ,BENGALURU</t>
  </si>
  <si>
    <t>REPPLEN PROJECTS PRIVATE LIMITED | Project Planning Intern | Alibag | May 2026 | Jun 2026 | 8.1428571428571 Weeks | Campus Internship
S V CONSTRUCTIONS | SITE ENGINEER INTERN  | VIJAYAPURA, KARNATAKA | Feb 2025 | Jul 2025 | 21.142857142857 Weeks
M.V.V SATYANARRAYANA |  INTERN | BENGALURU | Aug 2023 | Oct 2023 | 9.2857142857143 Weeks</t>
  </si>
  <si>
    <t>P25700168</t>
  </si>
  <si>
    <t>THOTA</t>
  </si>
  <si>
    <t>SAI NITHISH ROYAL</t>
  </si>
  <si>
    <t>Thota Sai Nithish Royal</t>
  </si>
  <si>
    <t>nithishroyal369@gmail.com</t>
  </si>
  <si>
    <t>p25700168@student.nicmar.ac.in</t>
  </si>
  <si>
    <t>13-Sep-2002</t>
  </si>
  <si>
    <t>ENGLISH,TELUGU,HINDI,KANNADA</t>
  </si>
  <si>
    <t>7861 8605 7800</t>
  </si>
  <si>
    <t>THOTA GIRIDHAR</t>
  </si>
  <si>
    <t>BUSINESS,POLITICIAN</t>
  </si>
  <si>
    <t>THOTA SUNITHA</t>
  </si>
  <si>
    <t>Mulakalacheruvu, Chittor Dst, MBT Road, Opposite Market Yard</t>
  </si>
  <si>
    <t>S P V B HIGH SCHOOL</t>
  </si>
  <si>
    <t>BOARD OF SECONDARY EDUCATION , CHITTOR /ANDHRA PRADESH</t>
  </si>
  <si>
    <t>VEMU JUNIOR COLLEGE</t>
  </si>
  <si>
    <t>BOARD OF INTERMEDIATE EDUCATION , P KOTHAKOTA / ANDHRA PRADESH</t>
  </si>
  <si>
    <t>VTU BELAGAVI</t>
  </si>
  <si>
    <t>NEW HORIZON COLLAGE OF ENGINEERING , BENGALURU / KARNATAKA</t>
  </si>
  <si>
    <t>AutoCAD,MS Office,MS Project,Primavera,REVIT,SKETCHUP</t>
  </si>
  <si>
    <t>Kattu | Project Management Intern | Bengaluru | May 2026 | Jul 2026 | 8.7142857142857 Weeks | Campus Internship
SBR Group | Intern | Bengaluru | Aug 2024 | Dec 2024 | 17.285714285714 Weeks</t>
  </si>
  <si>
    <t>P25700169</t>
  </si>
  <si>
    <t>MITALI</t>
  </si>
  <si>
    <t>HANUMANDAS</t>
  </si>
  <si>
    <t>CHANDAK</t>
  </si>
  <si>
    <t>Mitali Hanumandas Chandak</t>
  </si>
  <si>
    <t>mitalichandak22@gmail.com</t>
  </si>
  <si>
    <t>p25700169@student.nicmar.ac.in</t>
  </si>
  <si>
    <t>22-Apr-2001</t>
  </si>
  <si>
    <t>2603 5496 8570</t>
  </si>
  <si>
    <t>Shri Nagar Colony, Nachangaon Road, Pulgaon</t>
  </si>
  <si>
    <t>GANDHI CITY PUBLIC SCHOOL</t>
  </si>
  <si>
    <t>CENTRAL BOARD OF SECONDARY EDUCATION, WARDHA</t>
  </si>
  <si>
    <t>M.P.DEO MEMORIAL DHARAMPETH SCIENCE COLLEGE</t>
  </si>
  <si>
    <t>MAHARASHTRA STATE BOARD, NAGPUR</t>
  </si>
  <si>
    <t>SMT MANORAMABAI MUNDLE COLLEGE OF ARCHITECTURE, NAGPUR</t>
  </si>
  <si>
    <t>MS Office,MS Project,Primavera,Adobe Revit, CostX, AutoCAD, Adobe photoshop,Project Coordination,Stakeholder and client management,Powerpoint,Cost estimation,MS Excel</t>
  </si>
  <si>
    <t>N.Z.Associates | Architectural designer | Nagpur | Aug 2023 | Jun 2025 | 1Y 9M | 2.16</t>
  </si>
  <si>
    <t>Architect Rushikesh H | Project Management Intern | Pune | May 2026 | Jul 2026 | 9.5714285714286 Weeks | Campus Internship
Ambience Design | Architectural Intern | Ahmedabad | Jun 2022 | Sep 2022 | 17.285714285714 Weeks</t>
  </si>
  <si>
    <t>DigiQC
Coursera - Finance for Non-finance Manager
Coursera - Construction Equipment Maintenance &amp; Safety</t>
  </si>
  <si>
    <t>P25700170</t>
  </si>
  <si>
    <t>PRATEEK</t>
  </si>
  <si>
    <t>Prateek Sharma</t>
  </si>
  <si>
    <t>ps2555061@gmail.com</t>
  </si>
  <si>
    <t>p25700170@student.nicmar.ac.in</t>
  </si>
  <si>
    <t>15-Aug-2002</t>
  </si>
  <si>
    <t>8881 0094 5337</t>
  </si>
  <si>
    <t>MADAN LAL SHARMA</t>
  </si>
  <si>
    <t>PRIVATE SECTOR</t>
  </si>
  <si>
    <t>ANITA SHARMA</t>
  </si>
  <si>
    <t>EDUCATION DEPARTMENT</t>
  </si>
  <si>
    <t>Om Bhawan Lane 15, Sector 4, Phase 2 Near Dav School New Shimla</t>
  </si>
  <si>
    <t>Shimla</t>
  </si>
  <si>
    <t>DAV PUBLIC SCHOOL NEW SHIMLA</t>
  </si>
  <si>
    <t>JCB PUBLIC SCHOOL NEW SHIMLA</t>
  </si>
  <si>
    <t>JAYPEE UNIVERSITY OF INFORMATION TECHNOLOGY</t>
  </si>
  <si>
    <t>JAYPEE UNIVERSITY OF INFORMATION TECHNOLOGY , SOLAN</t>
  </si>
  <si>
    <t>Adani | Project Management Trainee | Chandrapur, Maharashtra | May 2026 | Jul 2026 | 8.5714285714286 Weeks | Campus Internship
AMBUJA CEMENTS | INTERNSHIP TRAINEE | AMBUJA PLANT DARLAGHAT | Jun 2023 | Jul 2023 | 6.2857142857143 Weeks
SPC INFRA PROJECTS | CIVIL ENGINEER (INTERN) | CHANDRAPUR, MAHARASHTRA  | Aug 2024 | Feb 2025 | 30.142857142857 Weeks</t>
  </si>
  <si>
    <t>P25700171</t>
  </si>
  <si>
    <t>DHIMAN</t>
  </si>
  <si>
    <t>DAS</t>
  </si>
  <si>
    <t>Dhiman Das</t>
  </si>
  <si>
    <t>dhimandas9@gmail.com</t>
  </si>
  <si>
    <t>p25700171@student.nicmar.ac.in</t>
  </si>
  <si>
    <t>16-Mar-1995</t>
  </si>
  <si>
    <t>ENGLISH, HINDI, BENGALI AND GERMANY(A1)</t>
  </si>
  <si>
    <t>3081 9739 3862</t>
  </si>
  <si>
    <t>KRISHNAGOPAL DAS</t>
  </si>
  <si>
    <t>BIDULA DAS</t>
  </si>
  <si>
    <t>Chunavati Village Road, Near School Math, Uttar Podrah, P.O. Podrah, P.S. Sankrail</t>
  </si>
  <si>
    <t>Howrah</t>
  </si>
  <si>
    <t>MARIA'S DAY SCHOOL</t>
  </si>
  <si>
    <t>S.E.R.MIXED HIGH SCHOOL (E.M.)</t>
  </si>
  <si>
    <t>2011-Apr</t>
  </si>
  <si>
    <t>MEGHNAD SAHA INSTITUTE OF TECHNOLOGY, KOLKATA</t>
  </si>
  <si>
    <t>AutoCAD,MS Office,MS Project,Primavera,Power BI,Excel,Staad Pro,Staad Foundation,Revit</t>
  </si>
  <si>
    <t>Korus Engineering Solutions Pvt Ltd | Project Monitoring Engineer | Tatanagar, Jamshedpur, India | Nov 2023 | Oct 2024 | 0Y 11M | 1.62
Simplex Infrastructures Limited | Assistant Engineer | Kolkata, West Bengal, India | Aug 2017 | Aug 2019 | 2Y 0M | 3.18
B.K.Ray &amp; Associates | Valuation Surveyor | Kolkata, West Bengal, India | Aug 2021 | Sep 2023 | 2Y 1M | 0.6</t>
  </si>
  <si>
    <t>5 Years 1 Month</t>
  </si>
  <si>
    <t>Cemindia Projects Limited | Intern | Powai, Mumbai | May 2026 | Jul 2026 | 9.5714285714286 Weeks | Campus Internship
ITD Cementation India Limited | Trainee | Kolkata, West Bengal. India | Dec 2015 | Jan 2016 | 4.1428571428571 Weeks
BCE Design Services LLP | Intern | Kolkata, West Bengal. India | Apr 2017 | May 2017 | 7.2857142857143 Weeks
Simplex Infrastructures Limited | Trainee | Kolkata | Jul 2016 | Aug 2016 | 4.2857142857143 Weeks</t>
  </si>
  <si>
    <t>Primavera P6 Project Planning and Scheduling Masterclass
Goethe Certificate A1</t>
  </si>
  <si>
    <t>P25700172</t>
  </si>
  <si>
    <t>NIYATEE</t>
  </si>
  <si>
    <t>Niyatee Bhanudas Patil</t>
  </si>
  <si>
    <t>niyateep7777@gmail.com</t>
  </si>
  <si>
    <t>p25700172@student.nicmar.ac.in</t>
  </si>
  <si>
    <t>26-Jan-2002</t>
  </si>
  <si>
    <t>5407 5205 2713</t>
  </si>
  <si>
    <t>BHANUDAS PATIL</t>
  </si>
  <si>
    <t>RUPALI PATIL</t>
  </si>
  <si>
    <t>701, NEW SADHANA CHS, PANDURANG WADI, DOMBIVLI EAST</t>
  </si>
  <si>
    <t>NACHIKETAS HIGH SCHOOL &amp; JR. COLLEGE</t>
  </si>
  <si>
    <t>MAHARASHTRA STATE BOARD KOLHAPUR DIVISIONAL</t>
  </si>
  <si>
    <t>SHRI BHASKARACHARYA PRATISHTAN</t>
  </si>
  <si>
    <t>MAHARASHTRA STATE BOARD AURANGABAD DIVISIONAL</t>
  </si>
  <si>
    <t>DR. VISHWANATH KARAD MIT-WORLD PEACE UNIVERSITY</t>
  </si>
  <si>
    <t>DR. VISHWANATH KARAD MIT-WORLD PEACE UNIVERSITY PUNE</t>
  </si>
  <si>
    <t>AutoCAD,MS Office,MS Project,Primavera,REVIT,POWER BI</t>
  </si>
  <si>
    <t>Unique Pest Control Service | Civil Engineer | Mumbai | Dec 2023 | Mar 2024 | 0Y 3M | 3</t>
  </si>
  <si>
    <t>0 Years 3 Months</t>
  </si>
  <si>
    <t>Pidilite Industries | Summer Intern | Mumbai | May 2026 | Jun 2026 | 7.5714285714286 Weeks | Campus Internship
Maharashtra Metro Rail Corporation Limited | Project Management Engineer Trainee | Pune | Dec 2021 | Jan 2022 | 4.2857142857143 Weeks
Meera Cleanfuels Limited | Jr. Project Engineer Trainee | Mumbai | Oct 2022 | Apr 2023 | 28.142857142857 Weeks</t>
  </si>
  <si>
    <t>REVIT</t>
  </si>
  <si>
    <t>P25700174</t>
  </si>
  <si>
    <t>DHOLAY</t>
  </si>
  <si>
    <t>GULABRAO</t>
  </si>
  <si>
    <t>Dholay Vaishnavi Gulabrao</t>
  </si>
  <si>
    <t>vdholay@gmail.com</t>
  </si>
  <si>
    <t>p25700174@student.nicmar.ac.in</t>
  </si>
  <si>
    <t>29-Dec-1996</t>
  </si>
  <si>
    <t>Gardening</t>
  </si>
  <si>
    <t>3558 8275 6556</t>
  </si>
  <si>
    <t>GULABRAO SOMNATH DHOLAY</t>
  </si>
  <si>
    <t>LATIKA GULABRAO DHOLAY</t>
  </si>
  <si>
    <t>Dhole Vasti, Near Daulat Petrol Pump, Akole Road Kasara Dumala, Sangamner 422605</t>
  </si>
  <si>
    <t>B 804, JEEVAN,  YASHWIN JEEVAN &amp; ORCHID, YASHWIN ROAD, NEAR VIBGYOR SCHOOL, SUS, PUNE</t>
  </si>
  <si>
    <t>2012-Mar</t>
  </si>
  <si>
    <t>FERGUSSON COLLEGE, PUNE</t>
  </si>
  <si>
    <t>2014-Feb</t>
  </si>
  <si>
    <t>SINHGAD COLLEGE OF ARCHITECTURE</t>
  </si>
  <si>
    <t>AutoCAD,MS Office,MS Project,Sketch up,Lumion,V-ray</t>
  </si>
  <si>
    <t>Mind Manifestation Design | Assistant Architect | Pune | Mar 2021 | Mar 2023 | 2Y 0M | 3
Kabra Architects | Architect | Pune | Apr 2023 | May 2025 | 2Y 1M | 3.36</t>
  </si>
  <si>
    <t>4 Years 2 Months</t>
  </si>
  <si>
    <t>Planhigh Architects and Project Management Consultants | Project Coordinator | Thane | May 2026 | Jul 2026 | 8.5714285714286 Weeks | Campus Internship
Avinash Nawathe  Architects | Internship Trainee | Pune | May 2019 | Nov 2019 | 25.857142857143 Weeks</t>
  </si>
  <si>
    <t>P25700175</t>
  </si>
  <si>
    <t>ANUSHA</t>
  </si>
  <si>
    <t>MATH</t>
  </si>
  <si>
    <t>Anusha R Math</t>
  </si>
  <si>
    <t>anushamath01@gmail.com</t>
  </si>
  <si>
    <t>p25700175@student.nicmar.ac.in</t>
  </si>
  <si>
    <t>21-Jul-2001</t>
  </si>
  <si>
    <t>English, Hindi, Kannada</t>
  </si>
  <si>
    <t>7283 3989 2176</t>
  </si>
  <si>
    <t>RAJIV MATH</t>
  </si>
  <si>
    <t>GAYATRI R MATH</t>
  </si>
  <si>
    <t>H.NO 1-1495/40_x000D_
PLT.NO 24_x000D_
GODUTAI COLONY 2ND CROSS OPP TO YASH KOTHARI _x000D_
GULBARGA_x000D_
2ND CROSS</t>
  </si>
  <si>
    <t>Gulbarga</t>
  </si>
  <si>
    <t>11-1624/2_x000D_
Vidya Nagar_x000D_
Bahamanipura_x000D_
Gulbarga Karnataka - 585103</t>
  </si>
  <si>
    <t>CHANDRAKANT PATIL ENGLISH MEDIUM SCHOOL CBSE</t>
  </si>
  <si>
    <t>CBSE, KALABURGI</t>
  </si>
  <si>
    <t>GURUKUL INDEPENDENT PU COLLEGE</t>
  </si>
  <si>
    <t>KARNATAKA BOARD OF THE PRE-UNIVERSITY EDUCATION,KALABURGI</t>
  </si>
  <si>
    <t>VISVESVARAYA TECHNOLOGICAL UNIVERSITY (VTU), BELAGAVI</t>
  </si>
  <si>
    <t>POOJYA DODDAPPA APPA COLLEGE OF ENGINEERING, KALABURGI</t>
  </si>
  <si>
    <t>AutoCAD,MS Office,MS Project,AutoCAD,Lumion,3DS Max,Photoshop,Sketchup</t>
  </si>
  <si>
    <t>Architect Rushikesh H | Project Management Intern | Mumbai | May 2026 | Jul 2026 | 8.8571428571429 Weeks | Campus Internship
shobha and mahesh associates | Architectural Intern | bengaluru | Jun 2023 | Oct 2023 | 17.714285714286 Weeks</t>
  </si>
  <si>
    <t>Ethics in Engineering Practice
Finance for Non-Financial Managers</t>
  </si>
  <si>
    <t>P25700176</t>
  </si>
  <si>
    <t>VEDITH</t>
  </si>
  <si>
    <t>N</t>
  </si>
  <si>
    <t>Vedith N Rai</t>
  </si>
  <si>
    <t>vedithrai57@gmail.com</t>
  </si>
  <si>
    <t>p25700176@student.nicmar.ac.in</t>
  </si>
  <si>
    <t>17-Apr-2002</t>
  </si>
  <si>
    <t>ENGLISH,HINDI,KANNADA,</t>
  </si>
  <si>
    <t>6039 6056 8662</t>
  </si>
  <si>
    <t>NAVEEN RAI N</t>
  </si>
  <si>
    <t>DIVYA RAI</t>
  </si>
  <si>
    <t>S/O Naveen Rai N Behind N E S Colony Vedhavathi NIlaya Hunsur</t>
  </si>
  <si>
    <t>TALENT PUBLIC SCHOOL</t>
  </si>
  <si>
    <t>CENTRAL BOARD OF SECONDARY EDUCATION,HUNSUR/KARNATAKA</t>
  </si>
  <si>
    <t>TALENT PRE UNIVERSITY COLLEGE</t>
  </si>
  <si>
    <t>DEPARTMENT OF PRE UNIVERSITY EDUCATION</t>
  </si>
  <si>
    <t>JSS SCIENCE AND TECHNOLOGY UNIVERSITY</t>
  </si>
  <si>
    <t>JSS SCIENCE AND TECHNOLOGY UNIVERSITY,MYSORE/KARNATAKA</t>
  </si>
  <si>
    <t>AutoCAD,MS Office,MS Project,Primavera,Sketch-up,Revit,Lumion</t>
  </si>
  <si>
    <t>Stiffeners Property Valuers &amp; Consultants India Pvt. Ltd | Valuation Intern | Bangalore | May 2026 | Jul 2026 | 9.5714285714286 Weeks | Campus Internship
Naksha | Civil Intern | Mysore | Sep 2024 | Feb 2025 | 23.285714285714 Weeks
M.S Construction Engineers And Builders | Civil Intern | Mysore | Mar 2025 | Jun 2025 | 14.142857142857 Weeks</t>
  </si>
  <si>
    <t>P25700177</t>
  </si>
  <si>
    <t>NIMIT</t>
  </si>
  <si>
    <t>BHAVESH</t>
  </si>
  <si>
    <t>SHAH</t>
  </si>
  <si>
    <t>Nimit Bhavesh Shah</t>
  </si>
  <si>
    <t>nimitshah2001@gmail.com</t>
  </si>
  <si>
    <t>p25700177@student.nicmar.ac.in</t>
  </si>
  <si>
    <t>27-Aug-2001</t>
  </si>
  <si>
    <t>ENGLISH, HINDI, GUJRATI</t>
  </si>
  <si>
    <t>7242 6748 7992</t>
  </si>
  <si>
    <t>BHAVESH RAMNIKLAL SHAH</t>
  </si>
  <si>
    <t>HETAL BHAVESH SHAH</t>
  </si>
  <si>
    <t>FLAT NO. 602, TATVASHILA BUILDING, KASTURBA ROAD, MULUND WEST, MUMBAI - 400080</t>
  </si>
  <si>
    <t>SHETH KARAMSHI KANJI ENGLISH SCHOOL, MUMBAI</t>
  </si>
  <si>
    <t>K. J. SOMAIYA POLYTECHNIC, MUMBAI</t>
  </si>
  <si>
    <t>DATTA MEGHE COLLEGE OF ENGINEERING, NAVI MUMBAI</t>
  </si>
  <si>
    <t>AutoCAD,MS Office,MS Project,Primavera,ETABS,Revit,STAAD</t>
  </si>
  <si>
    <t>J. Kumar Infraprojects Ltd  | Intern  | Mumbai  | May 2026 | Jul 2026 | 9.7142857142857 Weeks | Campus Internship
RRC Ventures Private Limited | Construction Supervisor Intern | Mumbai | Dec 2022 | Jan 2023 | 4.4285714285714 Weeks
CITY AND INDUSTRIAL DEVELOPMENT CORPORATION OF MAHARASHTRA LIMITED (CIDCO) | Construction Supervisor Intern | Navi Mumbai | Jun 2022 | Jul 2022 | 7 Weeks
ACE Properties | Junior Site Engineer | Thane | Jul 2024 | Feb 2025 | 34.571428571429 Weeks</t>
  </si>
  <si>
    <t>MahaRERA Real Estate Agent Training and Examination</t>
  </si>
  <si>
    <t>P25700178</t>
  </si>
  <si>
    <t>RISHIKESH</t>
  </si>
  <si>
    <t>REDDY</t>
  </si>
  <si>
    <t>PADIDAM</t>
  </si>
  <si>
    <t>Rishikesh Reddy Padidam</t>
  </si>
  <si>
    <t>rishikesh13reddy@gmail.com</t>
  </si>
  <si>
    <t>p25700178@student.nicmar.ac.in</t>
  </si>
  <si>
    <t>13-Nov-2003</t>
  </si>
  <si>
    <t>7285 3447 9290</t>
  </si>
  <si>
    <t>PADIDAM RAM MOHAN REDDY</t>
  </si>
  <si>
    <t>GOVT. DEGREE COLLEGE PRINCIPAL</t>
  </si>
  <si>
    <t>SRILEKHA MAMILLA</t>
  </si>
  <si>
    <t>11-1-1927/1a/1, Street No-9, Road No-4, Gangastan Phase-1, Kanteshwar, Nizamabad, Telangana-503002</t>
  </si>
  <si>
    <t>Nizamabad</t>
  </si>
  <si>
    <t>VELOCITY HIGH SCHOOL</t>
  </si>
  <si>
    <t>BOARD OF SECONDARY EDUCATION TELANGANA STATE</t>
  </si>
  <si>
    <t>NARAYANA JR COLLEGE</t>
  </si>
  <si>
    <t>JAWAHARLAL NEHRU TECHNOLOGICAL UNIVERSITY HYDERABAD (JNTUH)</t>
  </si>
  <si>
    <t>VNR VIGNANA JOTHI INSTITUTE OF ENGINEERING &amp; TECHNOLOGY, HYDERABAD</t>
  </si>
  <si>
    <t>AutoCAD,MS Office,MS Project,Primavera,Revit, Navisworks, CostX</t>
  </si>
  <si>
    <t>HBS Infra Engineers India Pvt Ltd | Management Intern | Hyderabad | May 2026 | Jul 2026 | 8.7142857142857 Weeks | Campus Internship
A Right Builders Pvt. Ltd. | Intern-Supervision of Residential Project | Khammam, Telangana, India | May 2024 | May 2024 | 3.4285714285714 Weeks
NATIONAL INSTITUTE OF TECHNOLOGY, WARANGAL | INTERN | WARANGAL, TELANGANA,INDIA | Jun 2023 | Jun 2023 | 2.8571428571429 Weeks</t>
  </si>
  <si>
    <t>Plastic Waste Management
Plumbing Design and Fire Fighting
Finance for Non-Financial Managers</t>
  </si>
  <si>
    <t>P25700179</t>
  </si>
  <si>
    <t>SPOORTHI</t>
  </si>
  <si>
    <t>Spoorthi M</t>
  </si>
  <si>
    <t>spoorthimahesh39@gmail.com</t>
  </si>
  <si>
    <t>p25700179@student.nicmar.ac.in</t>
  </si>
  <si>
    <t>28-Jul-2002</t>
  </si>
  <si>
    <t>ENGLISH, HINDI AND KANNADA</t>
  </si>
  <si>
    <t>8543 2459 4563</t>
  </si>
  <si>
    <t>MAHESH B R</t>
  </si>
  <si>
    <t>OUT SOURSE EMPLYEE CMC SAGAR</t>
  </si>
  <si>
    <t>LATHA MAHESH</t>
  </si>
  <si>
    <t>#123 Kuttira, Near Govt Ladies Hostel, Jambagaru</t>
  </si>
  <si>
    <t>Shimoga</t>
  </si>
  <si>
    <t>SRI RAMAKRISHNA ENG.MED HIGH SCHOOL SAGAR</t>
  </si>
  <si>
    <t>MES CHAITHANYA PU COLLEGE, COLLEGE ROAD SIRSI</t>
  </si>
  <si>
    <t>REVA UNIVERSITY, BENGALURU</t>
  </si>
  <si>
    <t>AutoCAD,MS Project,Primavera,STAAD PRO 2D,ERP Oracle,cost-x</t>
  </si>
  <si>
    <t>Ahluwalia Contracts (India) Limited | Intern - Planning and Commercial | Banglore | May 2026 | Jul 2026 | 8.5714285714286 Weeks | Campus Internship
New Consolidated Construction CO. LTD. | QA/QC and EHS | Banglore | Jul 2023 | Aug 2023 | 4.4285714285714 Weeks</t>
  </si>
  <si>
    <t>P25700180</t>
  </si>
  <si>
    <t>HARIDAS</t>
  </si>
  <si>
    <t>BINGI</t>
  </si>
  <si>
    <t>Rohit Haridas Bingi</t>
  </si>
  <si>
    <t>rohitbingi0710@gmail.com</t>
  </si>
  <si>
    <t>p25700180@student.nicmar.ac.in</t>
  </si>
  <si>
    <t>07-Oct-2002</t>
  </si>
  <si>
    <t>ENGLISH, MARATHI, HINDI , TELUGU</t>
  </si>
  <si>
    <t>6315 2430 3150</t>
  </si>
  <si>
    <t>HARIDAS NARSAYYA BINGI</t>
  </si>
  <si>
    <t>TAILOR LABOUR.</t>
  </si>
  <si>
    <t>VIJAYLAXMI HARIDAS BINGI</t>
  </si>
  <si>
    <t>VIDI LABOUR</t>
  </si>
  <si>
    <t>86 A. C Falmari Paccha Peth ,Dattanagar Solapur</t>
  </si>
  <si>
    <t>KUCHAN HIGH SCHOOL</t>
  </si>
  <si>
    <t>MAHARASHTRA BOARD</t>
  </si>
  <si>
    <t>KUCHAN JR. COLLEGE</t>
  </si>
  <si>
    <t>PUNYASHLOK AHILYADEVI HOLKAR SOLAPUR UNIVERSITY,SOLAPUR</t>
  </si>
  <si>
    <t>2024-Mar</t>
  </si>
  <si>
    <t>AutoCAD,MS Office,MS Project,CostX (Beginner),Primavera P6 (Beginner),Google Sketchup,Revit</t>
  </si>
  <si>
    <t>Wani Projects and infra Pvt. Ltd. | Jr.Planning  Engineer. | Satara -Pune | Jun 2024 | Jun 2025 | 1Y 0M | 2.85</t>
  </si>
  <si>
    <t>Modulus Housing (Debrique Creative Labs Private Limited ) | Founders' Office | Chennai | May 2026 | Jul 2026 | 8.7142857142857 Weeks | Campus Internship
AK CONSTRUCTION | Intern | SOLAPUR | Aug 2023 | Aug 2023 | 2 Weeks
Vasant Vihar Realty Ltd. | Intern | Solapur | Mar 2023 | Mar 2023 | 2.2857142857143 Weeks
Wani Projects &amp; infra | Engineer Trainee (Planning &amp; Quantity Estimation) | Pune (head Office) | Dec 2023 | May 2024 | 26 Weeks</t>
  </si>
  <si>
    <t>Microsoft Project Beginners 2019
Master AutoCAD Corporate Layouts: Design &amp; Drafting Skills (EDUCBA)
Project Planning and Execution Management  (L&amp;T EduTech)</t>
  </si>
  <si>
    <t>P25700181</t>
  </si>
  <si>
    <t>ADVAITH</t>
  </si>
  <si>
    <t>JINESH</t>
  </si>
  <si>
    <t>Advaith Jinesh</t>
  </si>
  <si>
    <t>advaithjineshaj@gmail.com</t>
  </si>
  <si>
    <t>p25700181@student.nicmar.ac.in</t>
  </si>
  <si>
    <t>4022 7354 8276</t>
  </si>
  <si>
    <t>JINESH R</t>
  </si>
  <si>
    <t>POOJA JINESH</t>
  </si>
  <si>
    <t>Plot No.38_x000D_
Press Club Colony, Edappally PO, Kochi_x000D_
Edappally, KERALAÂ 682024_x000D_
India</t>
  </si>
  <si>
    <t>SARASWATHI VIDYANIKETAN PUBLIC SCHOOL ELAMAKARA COCHIN</t>
  </si>
  <si>
    <t>AMRITA VISHWA VIDYAPEETHAM: DEEMED UNIVERSITY</t>
  </si>
  <si>
    <t>AMRITA SCHOOL OF ENGINEERING, COIMBATORE</t>
  </si>
  <si>
    <t>AutoCAD,MS Project,CostX,Primavera</t>
  </si>
  <si>
    <t>Tata Projects Limited | Planning Intern | Chennai, Tamil Nadu, India | May 2026 | Jul 2026 | 8.5714285714286 Weeks | Campus Internship
L&amp;T Constructions, Chennai | Internship Trainee | Larsen and Toubro Limited, Manapakkam, Chennai, Tamil Nadu 600089 | Jun 2024 | Jul 2024 | 1.5714285714286 Weeks
National Highway Authority of India | Internship Trainee | NHAI Project of Six Laning of stretch from Thuravoor to Paravoor to  Kottukulangara in NH-66 in the State of Kerala on EPC Mode as part of Bharathmala Pariyojana | Jan 2024 | Jan 2024 | 0.57142857142857 Weeks</t>
  </si>
  <si>
    <t>P25700182</t>
  </si>
  <si>
    <t>SANSKRITI</t>
  </si>
  <si>
    <t>S Sanskriti</t>
  </si>
  <si>
    <t>sanskritisahu158@gmail.com</t>
  </si>
  <si>
    <t>p25700182@student.nicmar.ac.in</t>
  </si>
  <si>
    <t>28-Dec-2001</t>
  </si>
  <si>
    <t>7404 4108 6419</t>
  </si>
  <si>
    <t>LAXMI NARAYAN SAHU</t>
  </si>
  <si>
    <t>RETIRED GOVERNMENT SERVENT</t>
  </si>
  <si>
    <t>SWAPNA KUMARI KAR</t>
  </si>
  <si>
    <t>Ram Nagar Lane 2, Kamapalli Square, Berhampur, Odisha</t>
  </si>
  <si>
    <t>Angul</t>
  </si>
  <si>
    <t>KENDRIYA VIDYALAYA BALASORE</t>
  </si>
  <si>
    <t>GUIDANCE ENG MED SCHOOL, BHUBNESHWAR, KHORDHA OD</t>
  </si>
  <si>
    <t>ODISHA UNIVERSITY OF TECHNOLOGY AND RESEARCH</t>
  </si>
  <si>
    <t>BHUBNESHWAR</t>
  </si>
  <si>
    <t>AutoCAD,MS Office,Learned Architectural Design,Drawings,Rendering,Video Editing</t>
  </si>
  <si>
    <t>Archi Wing Studio | Architect | Hyderabad | Sep 2024 | May 2025 | 0Y 8M | 2.4</t>
  </si>
  <si>
    <t>Embassy Development Limited | Design Coordinator - Intern | Mumbai | May 2026 | Jul 2026 | 8.2857142857143 Weeks | Campus Internship
Sanil Kumar Associates Architectural Design | Architect | Bangalore | Jun 2023 | Nov 2023 | 26 Weeks
Courtyard Design Studio | Intern | Berhampur | Oct 2022 | Feb 2023 | 20.714285714286 Weeks
Ministry of Housing and Urban Affairs | Intern | Bhubneshwar | Jul 2022 | Aug 2022 | 5 Weeks</t>
  </si>
  <si>
    <t>P25700183</t>
  </si>
  <si>
    <t>OLAPU</t>
  </si>
  <si>
    <t>Raju Olapu</t>
  </si>
  <si>
    <t>rajuolapu967@gmail.com</t>
  </si>
  <si>
    <t>p25700183@student.nicmar.ac.in</t>
  </si>
  <si>
    <t>01-Jun-2000</t>
  </si>
  <si>
    <t>7590 1631 9384</t>
  </si>
  <si>
    <t>SADANANDAM</t>
  </si>
  <si>
    <t>LAXMI</t>
  </si>
  <si>
    <t>1-5 Kistapur Nallagunta (Meenajipet), Mahamutharam (Mdl.), Jayashankar Bhupalpally (Dist.)-506169, Telangana</t>
  </si>
  <si>
    <t>TELANGANA STATE MODEL SCHOOL</t>
  </si>
  <si>
    <t>BOARD OF SECONDARY EDUCATION -TELANGANA</t>
  </si>
  <si>
    <t>EKASHILA JUNIOR COLLEGE</t>
  </si>
  <si>
    <t>KAKATIYA UNIVERSITY</t>
  </si>
  <si>
    <t>KAKATIYA INSTITUTE OF TECHNOLOGY &amp; SCIENCE, WARANGAL/TELANGANA</t>
  </si>
  <si>
    <t>Primavera P6, MS Project, MS Office, COSTX, Revit, QGIS</t>
  </si>
  <si>
    <t>Aarvee Engineering Consultants Ltd. | Engineer | Hyderabad | Jun 2023 | Jun 2025 | 2Y 0M | 5</t>
  </si>
  <si>
    <t>2 Years 0 Months</t>
  </si>
  <si>
    <t>Rodic Consultants Private Limited | Project Management Intern | New Delhi | May 2026 | Jul 2026 | 8.7142857142857 Weeks | Campus Internship
AARVEE ENGINEERING CONSULTANTS LIMITED | QUALITY CONTROL AND QUALITY ASSURANCE INTERN | HYDERABAD | Jun 2022 | Aug 2022 | 8.7142857142857 Weeks</t>
  </si>
  <si>
    <t>P25700184</t>
  </si>
  <si>
    <t>AMAR</t>
  </si>
  <si>
    <t>SHIVDAS</t>
  </si>
  <si>
    <t>BHOSALE</t>
  </si>
  <si>
    <t>Amar Shivdas Bhosale</t>
  </si>
  <si>
    <t>bhosaleamar257@gmail.com</t>
  </si>
  <si>
    <t>p25700184@student.nicmar.ac.in</t>
  </si>
  <si>
    <t>25-Jun-2002</t>
  </si>
  <si>
    <t>4802 7721 4464</t>
  </si>
  <si>
    <t>ASHA</t>
  </si>
  <si>
    <t>Flat No. 05, Jyoti Darshan 1, Visawa Society, Near Taljai Busstop, Dhankawadi</t>
  </si>
  <si>
    <t>SHREE SHIVAJI PREPARATORY MILITARY SCHOOL</t>
  </si>
  <si>
    <t>SSC PUNE/MAHARASHTRA</t>
  </si>
  <si>
    <t>SMT. SUSHEELA BAHUDHANI JUNIOR COLLEGE</t>
  </si>
  <si>
    <t>HSC PUNE/MAHARASHTRA</t>
  </si>
  <si>
    <t>SAVITRABAI PHULE PUNE UNIVERSITY</t>
  </si>
  <si>
    <t>ALL INDIAN SHREE SHIVAJI MEMORIAL SOCIETY, COLLEGE OF ENGINEERING, PUNE/MAHARASHTRA</t>
  </si>
  <si>
    <t>AutoCAD,MS Office,MS Project,Primavera,CostX,Revit,BIM,Quantity Estimation,Quality Control</t>
  </si>
  <si>
    <t>Suryapriya construction pvt ltd | Planning and execution intern | Bengaluru | May 2026 | Jul 2026 | 8.7142857142857 Weeks | Campus Internship
Dhankawade Group | Intern  | Ambegaon, Pune. | Dec 2023 | Jan 2024 | 5.5714285714286 Weeks</t>
  </si>
  <si>
    <t>Lean Six Sigma Yellow Belt
Ethics in Engineering Pratice
Finance for Non-Financial Management</t>
  </si>
  <si>
    <t>P25700185</t>
  </si>
  <si>
    <t>MOKSHITHAA</t>
  </si>
  <si>
    <t>H S</t>
  </si>
  <si>
    <t>Mokshithaa H S</t>
  </si>
  <si>
    <t>mokshithaasiddappa@gmail.com</t>
  </si>
  <si>
    <t>p25700185@student.nicmar.ac.in</t>
  </si>
  <si>
    <t>24-Jul-2001</t>
  </si>
  <si>
    <t>English , Kannada , Hindi</t>
  </si>
  <si>
    <t>3377 0911 1869</t>
  </si>
  <si>
    <t>SIDDAPPA C</t>
  </si>
  <si>
    <t>SIDDAGANGAMMA C</t>
  </si>
  <si>
    <t># 303 , 3rd Cross , Maruthi Nagar , Chandra Layout , Bengaluru - 560072</t>
  </si>
  <si>
    <t>SRI SIDDAGANGA HIGHER PRIMARY SCHOOL</t>
  </si>
  <si>
    <t>KLE INDEPENDENT PU COLLEGE</t>
  </si>
  <si>
    <t>VISVESVARAYA TECHNOLOGICAL UNIVERSITY , BELAGAVI</t>
  </si>
  <si>
    <t>SJB SCHOOL OF ARCHITECTURE AND PLANNING , KENGERI / KARNATAKA</t>
  </si>
  <si>
    <t>AutoCAD,MS Office,MS Project,Sketchup,Revit,Lumion,Enscape,Adobe Photoshop</t>
  </si>
  <si>
    <t>RAINEO ARCHITECTS | JUNIOR ARCHITECT | Bengaluru  | May 2024 | Jun 2025 | 1Y 1M | 2.7</t>
  </si>
  <si>
    <t>Ashoka Builders India Private Limited (ASBL Private Limited) | Design Research and Coordination Intern | Hyderabad | May 2026 | Jul 2026 | 8.7142857142857 Weeks | Campus Internship
KENAR ARCHITECTS | INTERN  | BENGALURU | Jan 2024 | Apr 2024 | 15.714285714286 Weeks</t>
  </si>
  <si>
    <t>P25700186</t>
  </si>
  <si>
    <t>NAMDEV</t>
  </si>
  <si>
    <t>KADOLKAR</t>
  </si>
  <si>
    <t>Yash Namdev Kadolkar</t>
  </si>
  <si>
    <t>yashkadolkar99@gmail.com</t>
  </si>
  <si>
    <t>p25700186@student.nicmar.ac.in</t>
  </si>
  <si>
    <t>29-Apr-2001</t>
  </si>
  <si>
    <t>ENGLISH,HINDI AND MARATHI</t>
  </si>
  <si>
    <t>9552 1753 7296</t>
  </si>
  <si>
    <t>NAMDEV SHANKAR KADOLKAR</t>
  </si>
  <si>
    <t>OTHER</t>
  </si>
  <si>
    <t>SUVIDYA NAMDEV KADOLKAR</t>
  </si>
  <si>
    <t>Sutar Mala, Gandhi Camp,Ichalkaranji</t>
  </si>
  <si>
    <t>VYANKATRAO HIGH-SCHOOL AND JUNIOR COLLEGE</t>
  </si>
  <si>
    <t>KOLHAPUR,MAHARASTRA</t>
  </si>
  <si>
    <t>GOVINDRAO JUNIOR COLLEGE</t>
  </si>
  <si>
    <t>SHIVAJI UNIVERSITY, KOHAPUR</t>
  </si>
  <si>
    <t>D.K.T.E. SOCIETY'S TEXTILE AND ENGINEERING INSTITUTE</t>
  </si>
  <si>
    <t>AutoCAD,MS Office,MS Project,Staad Pro,costx</t>
  </si>
  <si>
    <t>Madhure Infra Pvt. Ltd. | Junior Engineer | Pune | Nov 2024 | Jun 2025 | 0Y 7M | 2.16
Rangate Associates | Junior Engineer  | Ichalkaranji  | Jul 2023 | Oct 2024 | 1Y 3M | 1.94</t>
  </si>
  <si>
    <t>Kolte -Patil Developers LTD  | Construction &amp; Operation Department | Pune | May 2026 | Jul 2026 | 9.7142857142857 Weeks | Campus Internship
Rangate Associates | Junior Engineer | Ichalkaranji | Dec 2021 | Jan 2022 | 2.8571428571429 Weeks</t>
  </si>
  <si>
    <t>P25700187</t>
  </si>
  <si>
    <t>NIKHIL</t>
  </si>
  <si>
    <t>UTTAM</t>
  </si>
  <si>
    <t>Nikhil Uttam Patil</t>
  </si>
  <si>
    <t>nikhilpat9090@gmail.com</t>
  </si>
  <si>
    <t>p25700187@student.nicmar.ac.in</t>
  </si>
  <si>
    <t>13-Dec-1999</t>
  </si>
  <si>
    <t>4665 5846 7501</t>
  </si>
  <si>
    <t>UTTAM MAHADEO PATIL</t>
  </si>
  <si>
    <t>CHEMIST</t>
  </si>
  <si>
    <t>MANISHA UTTAM PATIL</t>
  </si>
  <si>
    <t>C 304, LEO LAND HSG SOCIETY, RAJE SHIVAJI NAGAR, L And T GATE NO 7 OPP, SV ROAD, POWAI</t>
  </si>
  <si>
    <t>BOMBAY CAMBRIDGE GURUKUL ANDHERI EAST</t>
  </si>
  <si>
    <t>SECONDARY SCHOOL CERTIFICATE MUMBAI MAHARASHTRA</t>
  </si>
  <si>
    <t>2005-Jul</t>
  </si>
  <si>
    <t>PACE JUNIOR SCIENCE COLLEGE POWAI</t>
  </si>
  <si>
    <t>HIGHER SECONDARY CERTIFICATE MUMBAI MAHARASHTRA</t>
  </si>
  <si>
    <t>2015-Sep</t>
  </si>
  <si>
    <t>MIT WORLD PEACE UNIVERSITY</t>
  </si>
  <si>
    <t>MIT WORLD PEACE UNIVERSITY PUNE MAHARASHTRA</t>
  </si>
  <si>
    <t>Technoheights Constructions (I) Pvt Ltd | Asst. Project Civil Engineer | Mumbai | Sep 2023 | Jan 2025 | 1Y 4M | 4.8
Gensys Technologies Pvt Ltd | Junior Planning and Billing Engineer | Pune | Feb 2025 | Jun 2025 | 0Y 4M | 4.8</t>
  </si>
  <si>
    <t>Embassy Developments Limited | Contracts and Procurement Intern | Mumbai | May 2026 | Jul 2026 | 8.2857142857143 Weeks | Campus Internship
VM CONSULTANT (JSW STEEL PLANT, DOLVI, MH) | JR STRUCTURAL AUDITOR | DOLVI PEN MAHARASHTRA | Jun 2022 | Sep 2022 | 16.571428571429 Weeks
Vilas Javdekar | Training Engineer | Pune | Jan 2021 | Apr 2021 | 16.571428571429 Weeks
WORLEY INDIA | CSA ENGINEER | NAVI MUMBAI | Mar 2023 | Aug 2023 | 26.142857142857 Weeks</t>
  </si>
  <si>
    <t>P25700188</t>
  </si>
  <si>
    <t>HARIHARAN</t>
  </si>
  <si>
    <t>Hariharan K</t>
  </si>
  <si>
    <t>hariharank5679@gmail.com</t>
  </si>
  <si>
    <t>p25700188@student.nicmar.ac.in</t>
  </si>
  <si>
    <t>26-Apr-2004</t>
  </si>
  <si>
    <t>English, Tamil, Telugu</t>
  </si>
  <si>
    <t>9256 3548 4887</t>
  </si>
  <si>
    <t>KUMARAN K</t>
  </si>
  <si>
    <t>SRIMATHI K</t>
  </si>
  <si>
    <t>PLOT NO 9 VEERAVANJI STREET CHITLAPAKKAM CHENNAI</t>
  </si>
  <si>
    <t>Chengalpattu</t>
  </si>
  <si>
    <t>SREEVATSA VISWANATHAN VIVEKANANDA VIDYALAYA SENIOR SECONDARY SCHOOL</t>
  </si>
  <si>
    <t>SRI SIVASUBRAMANIYA NADAR COLLEGE OF ENGINEERING</t>
  </si>
  <si>
    <t xml:space="preserve">AutoCAD, MS Office, MS Project, Primavera, PLAXIS 2D </t>
  </si>
  <si>
    <t>KPMG INDIA | Project Management Intern – Major Projects Advisory (MPA) | BANGALORE | May 2026 | Jun 2026 | 7.5714285714286 Weeks | Campus Internship
VGK BUILDERS | Intern-site Engineer  | Chennai | Jul 2024 | Aug 2024 | 4.5714285714286 Weeks</t>
  </si>
  <si>
    <t>Lean Six Sigma Green Belt Certification By KPMG</t>
  </si>
  <si>
    <t>P25700189</t>
  </si>
  <si>
    <t>MACHHINDRA</t>
  </si>
  <si>
    <t>GANGADHAR</t>
  </si>
  <si>
    <t>UBALE</t>
  </si>
  <si>
    <t>Machhindra Gangadhar Ubale</t>
  </si>
  <si>
    <t>machhindraubale8@gmail.com</t>
  </si>
  <si>
    <t>p25700189@student.nicmar.ac.in</t>
  </si>
  <si>
    <t>15-Jan-2000</t>
  </si>
  <si>
    <t>Marathi,Hindi,English</t>
  </si>
  <si>
    <t>8653 5193 6749</t>
  </si>
  <si>
    <t>YAMUNABAI</t>
  </si>
  <si>
    <t>GANORI TQ PHULAMBRI AURANGABAD MAHARASHTRA - 431008</t>
  </si>
  <si>
    <t>SHREE SAINATH VIDHYALAY WALUJ</t>
  </si>
  <si>
    <t>MAHARASHTRA STATE OF SECONDARY AND HIGHER SECONDARY EDUCATION, PUNE</t>
  </si>
  <si>
    <t>MAHARASHTRA COLLEGE OF ART, COMMERCE AND SCIENCE WALUJ, AURANGABAD</t>
  </si>
  <si>
    <t>DR. BABASAHEB AMBEDKAR MARATHWADA UNIVERSITY</t>
  </si>
  <si>
    <t>INTERNATIONAL CENTER OF EXCELLENCE ENGINEERING AND MANAGEMENT AURANGABAD</t>
  </si>
  <si>
    <t>P25700190</t>
  </si>
  <si>
    <t>ABHINENDRA</t>
  </si>
  <si>
    <t>Abhinendra Pratap Singh</t>
  </si>
  <si>
    <t>abhinendrapratap800@gmail.com</t>
  </si>
  <si>
    <t>p25700190@student.nicmar.ac.in</t>
  </si>
  <si>
    <t>03-May-2001</t>
  </si>
  <si>
    <t>English, Hindi</t>
  </si>
  <si>
    <t>7410 0902 8327</t>
  </si>
  <si>
    <t>RAKESH CHANDRA</t>
  </si>
  <si>
    <t>SHASHI KALA</t>
  </si>
  <si>
    <t>House Number 306 Sitaram Kushwah Colony _x000D_
Infornt Of Circuit House Near Mangal Hotel</t>
  </si>
  <si>
    <t>EMMANUEL MISSION SENIOR SECONDARY SCHOOL</t>
  </si>
  <si>
    <t>BOARD OF SECONDAY EDUCATION RAJASTHAN</t>
  </si>
  <si>
    <t>SANATAN DHARM SIKSHA SADAN SENIOR SECONDARY SCHOOL</t>
  </si>
  <si>
    <t>SRM INSTITUE OF SCIENCE AND TECHNOLOGY</t>
  </si>
  <si>
    <t>SRM INSTITUE OF SCIENCE AND TECHNOLOGY, KATTANKULATHUR - TAMIL NADU</t>
  </si>
  <si>
    <t>AutoCAD,MS Project,Primavera,COST X,Advanced Excel,Powerpoint,Revit,Candy</t>
  </si>
  <si>
    <t>M/S Ganga Dhar Agrawal | Field Engineer | Bharatpur | Nov 2022 | Jan 2025 | 2Y 2M | 1.92</t>
  </si>
  <si>
    <t>Truboard Partners | Real Estate (Asset Management) Intern | Gurugram | May 2026 | Jun 2026 | 8.1428571428571 Weeks | Campus Internship
PUBLIC WORKS DEPARTMENT - RAJASTHAN | CIVIL ENGINEERING INTERN | DHOLPUR - RAJASTHAN | Jun 2019 | Jun 2019 | 4.1428571428571 Weeks</t>
  </si>
  <si>
    <t>Business Analytics with Excel: Elementary to Advanced -  John Hopkins University
Foundations of Project Management - Google
Project Initiation: Starting a Successful Project</t>
  </si>
  <si>
    <t>P25700191</t>
  </si>
  <si>
    <t>AKASH</t>
  </si>
  <si>
    <t>Utkarsh Akash Bhoir</t>
  </si>
  <si>
    <t>utkarshbhoir45@gmail.com</t>
  </si>
  <si>
    <t>p25700191@student.nicmar.ac.in</t>
  </si>
  <si>
    <t>14-May-2002</t>
  </si>
  <si>
    <t>5838 7523 0510</t>
  </si>
  <si>
    <t>AKASH KAMLAKAR BHOIR</t>
  </si>
  <si>
    <t>AKASHTA AKASH BHOIR</t>
  </si>
  <si>
    <t>House No. 533/1, Main Road, Juchandra, Near Railway Fatak, Naigaon East, Vasai, Palghar, Maharashtra</t>
  </si>
  <si>
    <t>Palghar</t>
  </si>
  <si>
    <t>DON BOSCO HIGH SCHOOL AND JUNIOR COLLEGE</t>
  </si>
  <si>
    <t>VIDYAVARDHINI'S BHAUSAHEB VARTAK POLYTECHNIC, VASAI, MAHARASHTRA</t>
  </si>
  <si>
    <t>THAKUR COLLEGE OF ENGINEERING AND TECHNOLOGY, KANDIVALI EAST, MUMBAI</t>
  </si>
  <si>
    <t>AutoCAD, MS Office, MS Project, Primavera, CostX, Revit</t>
  </si>
  <si>
    <t>Konark Infra | Site Engineer | Mumbai | Jun 2024 | Jun 2025 | 1Y 0M | 2.5</t>
  </si>
  <si>
    <t>New Consolidated Construction Company Limited | Planning Intern | Mahim, Mumbai | May 2026 | Jul 2026 | 8.5714285714286 Weeks | Campus Internship
Indian Knowledge system Division Ministry of Education, Govt. of India | Research Intern | Mumbai | Jul 2022 | Aug 2022 | 6.8571428571429 Weeks
Ministry of Housing and urban affairs, Government of India | Research Intern | Mumbai | Jul 2022 | Aug 2022 | 5 Weeks</t>
  </si>
  <si>
    <t>P25700192</t>
  </si>
  <si>
    <t>RAJESH</t>
  </si>
  <si>
    <t>UNARKER</t>
  </si>
  <si>
    <t>Nishant Rajesh Unarker</t>
  </si>
  <si>
    <t>nishantunarker.architect@gmail.com</t>
  </si>
  <si>
    <t>p25700192@student.nicmar.ac.in</t>
  </si>
  <si>
    <t>26-Nov-2000</t>
  </si>
  <si>
    <t>English, Hindi, Gujrati, &amp; Marathi</t>
  </si>
  <si>
    <t>2531 5568 8564</t>
  </si>
  <si>
    <t>ARCHITECT/CONTRACTOR</t>
  </si>
  <si>
    <t>RUPA</t>
  </si>
  <si>
    <t>A/504, Varun Valley, Atmaram Savant Marg, Kandivali(east), Varun Valley, Atmaram Savant Marg, Kandivali(east)</t>
  </si>
  <si>
    <t>LOKHANDWALA FOUNDATION SCHOOL</t>
  </si>
  <si>
    <t>INDIAN CERTIFICATE OF SECONDARY EDUCATION EXAMINATIONS, MUMBAI, MAHARASHTRA.</t>
  </si>
  <si>
    <t>AMRUTBEN JIVANLAL COLLEGE OF COMMERCE AND ECONOMICS</t>
  </si>
  <si>
    <t>MAHARASHTRA STATE BOARD OF SECONDARY &amp; HIGHER SECONDARY EDUCATION</t>
  </si>
  <si>
    <t>INDIAN EDUCATION SOCIETY'S COLLEGE OF ARCHITECTURE, MUMBAI-400050, MAHARASHTRA</t>
  </si>
  <si>
    <t>Studio MH02 | Jr. Architect &amp; BIM coordinator | Mumbai | Aug 2024 | Jun 2025 | 0Y 9M | 3.25
SUNIL R. KENKAREY ARCHITECT | Jr. Architect &amp; Project Coordinator | Mumbai | May 2023 | Jun 2024 | 1Y 1M | 2.4</t>
  </si>
  <si>
    <t>Kamala Farms ( kayne Bio Sciences ltd) | Project Execution Intern | Hyderabad | May 2026 | Jul 2026 | 8.7142857142857 Weeks | Campus Internship</t>
  </si>
  <si>
    <t>P25700193</t>
  </si>
  <si>
    <t>PARHAD</t>
  </si>
  <si>
    <t>YASHRAJ</t>
  </si>
  <si>
    <t>PRAMOD</t>
  </si>
  <si>
    <t>Parhad Yashraj Pramod</t>
  </si>
  <si>
    <t>yparhad.33@gmail.com</t>
  </si>
  <si>
    <t>p25700193@student.nicmar.ac.in</t>
  </si>
  <si>
    <t>06-Sep-2003</t>
  </si>
  <si>
    <t>6014 5322 1834</t>
  </si>
  <si>
    <t>PRAMOD PARHAD</t>
  </si>
  <si>
    <t>SAVITA PARHAD</t>
  </si>
  <si>
    <t>Yashshree , Vinayak Park , Awhalwadi Road , Wagholi , Pune</t>
  </si>
  <si>
    <t>PRODIGY PUBLIC SCHOOL</t>
  </si>
  <si>
    <t>DHOLE PATIL JUNIOR COLLEGE OF ARTS , COMMERCE AND SCIENCE</t>
  </si>
  <si>
    <t>HSC BOARD MAHARASHTRA</t>
  </si>
  <si>
    <t>SYMBIOSIS SKILLS AND PROFESSIONAL UNIVERSITY , PUNE</t>
  </si>
  <si>
    <t>SYMBIOSIS SKILLS AND PROFESSIONAL UNIVERSITY, PUNE - MAHARASHTRA</t>
  </si>
  <si>
    <t>Supreme infra  | Construction and Operation Intern | Pune | May 2026 | Jul 2026 | 9.7142857142857 Weeks | Campus Internship
CHINTAMANI INFRA | Site supervisor  | Pune  | Jan 2025 | May 2025 | 19.285714285714 Weeks</t>
  </si>
  <si>
    <t>P25700194</t>
  </si>
  <si>
    <t>HARSHA VARTHAN</t>
  </si>
  <si>
    <t>GURUSAMY</t>
  </si>
  <si>
    <t>Harsha Varthan Gurusamy</t>
  </si>
  <si>
    <t>ttrgharsha2001@gmail.com</t>
  </si>
  <si>
    <t>p25700194@student.nicmar.ac.in</t>
  </si>
  <si>
    <t>13-Sep-2001</t>
  </si>
  <si>
    <t>English,Telugu,Tamil</t>
  </si>
  <si>
    <t>7385 8934 6606</t>
  </si>
  <si>
    <t>GURUSAMY R</t>
  </si>
  <si>
    <t>CONDUCTOR</t>
  </si>
  <si>
    <t>SHANTHI A</t>
  </si>
  <si>
    <t>76, Main Road, Govindanagaram</t>
  </si>
  <si>
    <t>Theni</t>
  </si>
  <si>
    <t>T.K. SANGAM MATRIC HR SEC SCHOOL</t>
  </si>
  <si>
    <t>STATE BOARD OF SCHOOL EXAMINATION, TAMILNADU</t>
  </si>
  <si>
    <t>T.K.SANGAM MATRIC HR SEC SCHOOL</t>
  </si>
  <si>
    <t>STATE BOARD OF SCHOOL EXAMINATION (SEC.), TAMILNADU</t>
  </si>
  <si>
    <t>SRI KRISHNA COLLEGE OF ENGINEERING AND TECHNOLOGY</t>
  </si>
  <si>
    <t>COIMBATORE, TAMILNADU</t>
  </si>
  <si>
    <t>AutoCAD, MS Office, MS Project, Primavera, Revit, MS Excel, Power Query</t>
  </si>
  <si>
    <t>Yatzar Creations Private Limited | Junior BIM Software Developer | Coimbatore | Apr 2023 | May 2025 | 2Y 1M | 2.76</t>
  </si>
  <si>
    <t>M. Arunachalam Projects and Infrastructure Company Private Limited | Construction Project Management Intern | Chennai | May 2026 | Jul 2026 | 8.2857142857143 Weeks | Campus Internship</t>
  </si>
  <si>
    <t>AutoCAD Essential
Ethics in Engineering Practice
Introduction to Strategy Consulting (Job Simulation)</t>
  </si>
  <si>
    <t>P25700195</t>
  </si>
  <si>
    <t>BHAURAO</t>
  </si>
  <si>
    <t>AGLAWE</t>
  </si>
  <si>
    <t>Ankit Bhaurao Aglawe</t>
  </si>
  <si>
    <t>ankitaglawe1@gmail.com</t>
  </si>
  <si>
    <t>p25700195@student.nicmar.ac.in</t>
  </si>
  <si>
    <t>01-May-1998</t>
  </si>
  <si>
    <t>2940 8254 8662</t>
  </si>
  <si>
    <t>KANCHAN</t>
  </si>
  <si>
    <t>B1001, 10TH FLOOR, BEVERLY HILLS SOCIETY, DANGE CHAWK ROAD, NEAR ORRITEL HOTEL, BHATEWARA NAGAR, HINJEWADI, PIMPRI-CHINCHWAD</t>
  </si>
  <si>
    <t>At Tembhari, Near Alagondi-Borkhedi, Post Rama</t>
  </si>
  <si>
    <t>SOMALWAR HIGH SCHOOL, KHAMLA NAGPUR</t>
  </si>
  <si>
    <t>MAHARASHTRA STATE BOARD OF SECONDARY &amp; HIGHER SECONDARY EDUCATION PUNE</t>
  </si>
  <si>
    <t>GOVERNMENT POLYTECHNIC NAGPUR</t>
  </si>
  <si>
    <t>KAVAYITRI BAHINABAI CHAUDHARI NORTH MAHARASHTRA UNIVERSITY, JALGAON</t>
  </si>
  <si>
    <t>GOVERNMENT COLLEGE OF ENGINEERING JALGAON</t>
  </si>
  <si>
    <t>AutoCAD,Oracle Primavera P6 Professional,Microsoft Projects,RIB CostX,Autodesk Revit,Microsoft Excel,Microsoft Office</t>
  </si>
  <si>
    <t>Principle Security &amp; Allied Services Pvt. Lmt. | Project Engineer-Civil Works at VNIT Nagpur  | New Delhi | Aug 2022 | Jul 2024 | 1Y 11M | 5.65
K. R. Niwal &amp; Associates | Entry Level Engineer | Nagpur | Nov 2020 | Jul 2022 | 1Y 8M | 1.62</t>
  </si>
  <si>
    <t>3 Years 8 Months</t>
  </si>
  <si>
    <t>Gubbi Civil Engineers Ltd | Project Management Intern | Thane | May 2026 | Jul 2026 | 8.7142857142857 Weeks | Campus Internship
WAGHUR DAM DIVISION, JALGAON | INTERN | JALGOAN, MAHARASHTRA | Dec 2018 | Dec 2018 | 2 Weeks</t>
  </si>
  <si>
    <t>P25700196</t>
  </si>
  <si>
    <t>VINAYA</t>
  </si>
  <si>
    <t>NAWALE</t>
  </si>
  <si>
    <t>Vinaya Rajesh Nawale</t>
  </si>
  <si>
    <t>nawalevinaya070902@gmail.com</t>
  </si>
  <si>
    <t>p25700196@student.nicmar.ac.in</t>
  </si>
  <si>
    <t>8816 7019 2466</t>
  </si>
  <si>
    <t>RAJESH BHASKAR NAWALE</t>
  </si>
  <si>
    <t>ANITA RAJESH NAWALE</t>
  </si>
  <si>
    <t>C201 Raga Altis, Golden City Hospital, Near Nath Seeds, Paithan Road Itkheda, Aurangabad.</t>
  </si>
  <si>
    <t>SHRI SHARADA MANDIR KANYA PRASHALA, AURANGABAD</t>
  </si>
  <si>
    <t>DEOGIRI COLLEGE, CHHATRAPATI SAMBHAJINAGAR</t>
  </si>
  <si>
    <t>N.D.M.V.P SHARADCHANDRA PAWARJI COLLEGE OF ARCHITECTURE, NASHIK.</t>
  </si>
  <si>
    <t>AutoCAD,MS Office,MS Project,SketchUp,Revit,Photoshop,Lumion</t>
  </si>
  <si>
    <t>Medigence Solutions Pvt. Ltd | Project Management Intern | Ahmedabad  | May 2026 | Jul 2026 | 8.7142857142857 Weeks | Campus Internship
PMA Madhushala | Architectural Intern | Pune  | Jun 2024 | Nov 2024 | 24.714285714286 Weeks</t>
  </si>
  <si>
    <t>P25700197</t>
  </si>
  <si>
    <t>CHAVADI</t>
  </si>
  <si>
    <t>Vijay S Chavadi</t>
  </si>
  <si>
    <t>vijayschavadi33@gmail.com</t>
  </si>
  <si>
    <t>p25700197@student.nicmar.ac.in</t>
  </si>
  <si>
    <t>09-Dec-2003</t>
  </si>
  <si>
    <t>English,Hindi,Kannada</t>
  </si>
  <si>
    <t>3110 0304 9592</t>
  </si>
  <si>
    <t>LATE SATHYAPPA B CHAVADI</t>
  </si>
  <si>
    <t>ASSISTANT ENGINEER</t>
  </si>
  <si>
    <t>LAKSHMI S CHAVADI</t>
  </si>
  <si>
    <t>#969/13_x000D_
Shivakumar Swamy Badavane, 2nd Stage , 4th Cross</t>
  </si>
  <si>
    <t>Davanagere</t>
  </si>
  <si>
    <t>SRI TARALABALU CENTRAL SCHOOL</t>
  </si>
  <si>
    <t>CENTRAL BOARD OF SECONDARY EDUCATION(CBSE), DAVANGERE,KARNATAKA</t>
  </si>
  <si>
    <t>SIR M V PU COLLEGE</t>
  </si>
  <si>
    <t>DEPARTMENT OF PRE-UNIVERSITY EDUCATION(DPUE), DAVANGERE,KARNATAKA</t>
  </si>
  <si>
    <t>KLE  TECHNOLOGICAL UNIVERSITY, HUBBALLI,KARNATAKA</t>
  </si>
  <si>
    <t>AutoCAD,Primavera,SAP2000</t>
  </si>
  <si>
    <t>MAHALAXMI RCC CONTRACTORS | Site Execution Intern | DAVANGERE, KARNATAKA | May 2026 | Jul 2026 | 8.7142857142857 Weeks | Campus Internship
White Venture Infratech Private Limited | Intern Site Engineer | Hubballi | Jan 2025 | Mar 2025 | 7.2857142857143 Weeks</t>
  </si>
  <si>
    <t>Primavera P6</t>
  </si>
  <si>
    <t>P25700198</t>
  </si>
  <si>
    <t>ARJYA</t>
  </si>
  <si>
    <t>Arjya Aditya Raj</t>
  </si>
  <si>
    <t>arjyaadityaraj@gmail.com</t>
  </si>
  <si>
    <t>p25700198@student.nicmar.ac.in</t>
  </si>
  <si>
    <t>ENGLISH , HINDI , ODIA</t>
  </si>
  <si>
    <t>9507 0267 6679</t>
  </si>
  <si>
    <t>SATYA SANKAR RAJ</t>
  </si>
  <si>
    <t>SURAJITA RAJ</t>
  </si>
  <si>
    <t>QR. NO-D5 , Engineering School Colony , NEAR POST OFFICE ,BRAHMAPUR</t>
  </si>
  <si>
    <t>Ganjam</t>
  </si>
  <si>
    <t>INDIAN COUNSIL OF SECONDARY EDUCATION</t>
  </si>
  <si>
    <t>2007-May</t>
  </si>
  <si>
    <t>UCP ENGINEERING SCHOOL , BRAHMAPUR , ODISHA</t>
  </si>
  <si>
    <t>VEER SURENDRA SAI UNIVERSITY OF TECHNOLOGY</t>
  </si>
  <si>
    <t>VEER SURENDRA SAI UNIVERSITY OF TECHNOLOGY, ODISHA</t>
  </si>
  <si>
    <t>AutoCAD,MS Project,Primavera,MS EXCELSHEET</t>
  </si>
  <si>
    <t>SM CONSULTANTS PVT LTD | ASSISTANT ENGINEER | SECUNDERABAD | May 2024 | Jul 2025 | 1Y 1M | 2.4</t>
  </si>
  <si>
    <t>Suryapriya Constructions Pvt Ltd | Project Management Intern | Bengaluru | May 2026 | Jul 2026 | 8.7142857142857 Weeks | Campus Internship</t>
  </si>
  <si>
    <t>P25700200</t>
  </si>
  <si>
    <t>ULHAS</t>
  </si>
  <si>
    <t>Utkarsh Ulhas Bhoir</t>
  </si>
  <si>
    <t>utkarshbhoir5858@gmail.com</t>
  </si>
  <si>
    <t>p25700200@student.nicmar.ac.in</t>
  </si>
  <si>
    <t>10-Feb-2003</t>
  </si>
  <si>
    <t>2156 6640 7821</t>
  </si>
  <si>
    <t>JAYMALA</t>
  </si>
  <si>
    <t>175(1) Ekta Shopping Center, Ambadi Naka ,tal- Bhiwandi, Dist- Thane, Post - Dighashi, Pin- 421302</t>
  </si>
  <si>
    <t>Z.A MEMON ENGLISH SCHOOL</t>
  </si>
  <si>
    <t>EXPERT'S INTERNATIONAL JUNIOR COLLEGE</t>
  </si>
  <si>
    <t>THAKUR COLLEGE OF ENGINEERING AND TECHNOLOGY,KANDIVALI,MAHARASHTRA</t>
  </si>
  <si>
    <t>Fair Brothers Associates | Internship Trainee | Mumbai | Dec 2023 | Jan 2024 | 3.5714285714286 Weeks
Fair Brothers Associates | Internship Trainee | Mumbai | Dec 2024 | Jan 2025 | 3.5714285714286 Weeks</t>
  </si>
  <si>
    <t>P25700201</t>
  </si>
  <si>
    <t>STEVE</t>
  </si>
  <si>
    <t>WILSON</t>
  </si>
  <si>
    <t>Steve Wilson</t>
  </si>
  <si>
    <t>wilsonsteve149@gmail.com</t>
  </si>
  <si>
    <t>p25700201@student.nicmar.ac.in</t>
  </si>
  <si>
    <t>08-Jan-2003</t>
  </si>
  <si>
    <t>English, Hindi, Malayalam, Kannada</t>
  </si>
  <si>
    <t>7133 7894 7082</t>
  </si>
  <si>
    <t>WILSON GEORGE</t>
  </si>
  <si>
    <t>MINI THOMAS</t>
  </si>
  <si>
    <t>No 11, Palm Grove Layout, Meganahalli, Chelekere, Kalyan Nagar, Bengaluru, Karnataka. 560043</t>
  </si>
  <si>
    <t>INTERNATIONAL INDIAN SCHOOL AL KHOBAR, SAUDI ARABIA</t>
  </si>
  <si>
    <t>CENTRAL BOARD OF SECONDARY EDUCATION, AL KHOBAR SAUDI ARABIA.</t>
  </si>
  <si>
    <t>KENSRI SCHOOL BANGALORE</t>
  </si>
  <si>
    <t>CENTRAL BOARD OF SECONDARY EDUCATION, BANGALORE.</t>
  </si>
  <si>
    <t>VELLORE INSTITUTE OF TECHNOLOGY, VELLORE.</t>
  </si>
  <si>
    <t>GSIDC ltd | Site Execution  | Candolim Health Centre, GOA | May 2026 | Jul 2026 | 8.7142857142857 Weeks | Campus Internship
KOCHI METRO RAIL LTD. | INTERN | Thrippunithura, KOCHI, KERALA. | Aug 2023 | Sep 2023 | 3.8571428571429 Weeks</t>
  </si>
  <si>
    <t>P25700202</t>
  </si>
  <si>
    <t>REVANTH</t>
  </si>
  <si>
    <t>Revanth V Yadav</t>
  </si>
  <si>
    <t>revanth8gems@gmail.com</t>
  </si>
  <si>
    <t>p25700202@student.nicmar.ac.in</t>
  </si>
  <si>
    <t>20-Jun-2002</t>
  </si>
  <si>
    <t>English, Hindi, Kannada, Telugu, Tamil</t>
  </si>
  <si>
    <t>6980 1955 5914</t>
  </si>
  <si>
    <t>VASANTH</t>
  </si>
  <si>
    <t>CIVIL CONTRACTOR</t>
  </si>
  <si>
    <t>LALITHA</t>
  </si>
  <si>
    <t>#28, ANGADI THIMMAIAH LAYOUT, RMV 2ND STAGE,_x000D_
NAGASHETTIHALLY, BANGALORE-560094</t>
  </si>
  <si>
    <t>SRI SRI RAVISHANKAR VIDYA MANDIR</t>
  </si>
  <si>
    <t>CENTRAL BOARD OF SECONDARY EDUCATION, KARNATAKA</t>
  </si>
  <si>
    <t>MAHESH PU COLLEGE</t>
  </si>
  <si>
    <t>DEPARTMENT OF PRE-UNIVERSITY EDUCATION, GOVERNMENT OF KARNATAKA</t>
  </si>
  <si>
    <t>VIT UNIVERSITY</t>
  </si>
  <si>
    <t>AutoCAD,MS Office,MS Project,Primavera,QGIS,3DS MAX</t>
  </si>
  <si>
    <t>BHANIYANA CONSTRUCTION | SITE ENGINEER | JODHPUR | Jul 2024 | Feb 2025 | 0Y 7M | 4.4</t>
  </si>
  <si>
    <t>Goa State Infrastructure Development Corporation | Site Execution | Paniji, Goa | May 2026 | Jul 2026 | 8.7142857142857 Weeks | Campus Internship
BHANIYANA CONSTRUCTION | SITE ENGINEER | JODHPUR | Jan 2024 | Jun 2024 | 21.714285714286 Weeks
B&amp;B BUILDERS PVT LTD | MENS HOSEL S BLOCK | VELLORE | May 2023 | Jun 2023 | 5 Weeks</t>
  </si>
  <si>
    <t>P25700203</t>
  </si>
  <si>
    <t>NIHALAHMAD</t>
  </si>
  <si>
    <t>RIYAJ</t>
  </si>
  <si>
    <t>FARAS</t>
  </si>
  <si>
    <t>Nihalahmad Riyaj Faras</t>
  </si>
  <si>
    <t>nihalfaraz20@gmail.com</t>
  </si>
  <si>
    <t>p25700203@student.nicmar.ac.in</t>
  </si>
  <si>
    <t>07-Sep-2001</t>
  </si>
  <si>
    <t>8937 8496 3011</t>
  </si>
  <si>
    <t>RIYAJ A. FARAS</t>
  </si>
  <si>
    <t>MUMTAJ R. FARAS</t>
  </si>
  <si>
    <t>HOUSWIFE</t>
  </si>
  <si>
    <t>Madhukar Residency Near Katchi Hall Shivaji Road Flat No. T1 Miraj</t>
  </si>
  <si>
    <t>BETHESDA SCHOOL MIRAJ</t>
  </si>
  <si>
    <t>GOVERNMENT POLYTECHNIC MIRAJ</t>
  </si>
  <si>
    <t>DR. BABASAHEB AMBEDKAR TECHNOLOGICAL UNIVERSITY, LONERE,  RAIGAD. MAHARASHTRA</t>
  </si>
  <si>
    <t>PADMABHOOSHAN VASANTRAODADA PATIL INSTITUTE OF TECHNOLOGY (PVPIT), BUDHGAON, SANGLI</t>
  </si>
  <si>
    <t>AutoCAD,MS Office,MS Project,Primavera,Revit Architecture,Q-GIS</t>
  </si>
  <si>
    <t>Khilare And Associates | Site Engineer |  Sangli | Sep 2023 | Nov 2024 | 1Y 2M | 1.2</t>
  </si>
  <si>
    <t>Panchshil Realty (A2Z Online Services Private Limited) | Project Management &amp; Controls  | Pune | May 2026 | Jul 2026 | 8.7142857142857 Weeks | Campus Internship</t>
  </si>
  <si>
    <t>Construction Project Management by Columbia University
Mastering Construction/ Project Management</t>
  </si>
  <si>
    <t>P25700204</t>
  </si>
  <si>
    <t>KARTIKAY</t>
  </si>
  <si>
    <t>VASHISHTHA</t>
  </si>
  <si>
    <t>Kartikay Vashishtha</t>
  </si>
  <si>
    <t>kartikayvashishtha@gmail.com</t>
  </si>
  <si>
    <t>p25700204@student.nicmar.ac.in</t>
  </si>
  <si>
    <t>12-Aug-2002</t>
  </si>
  <si>
    <t>9433 2489 5608</t>
  </si>
  <si>
    <t>PANKAJ VASHISHTHA</t>
  </si>
  <si>
    <t>SEEMA VASHISHTHA</t>
  </si>
  <si>
    <t>A-208,Jawhar Colony,</t>
  </si>
  <si>
    <t>Jhalawar</t>
  </si>
  <si>
    <t>EDUSUCCESS,PUNE</t>
  </si>
  <si>
    <t>MAHARASHTRA BOARD OF HIGHER SECONDARY EDUCATION</t>
  </si>
  <si>
    <t>SWARAJAYA SENIOR SECONDARY SCHOOL, ALWAR</t>
  </si>
  <si>
    <t>NORTHWEST ACCREDITATION COMMISSION</t>
  </si>
  <si>
    <t>UPES</t>
  </si>
  <si>
    <t>UPES-DEHRADUN</t>
  </si>
  <si>
    <t>AHLUWALIA CONTRACTS INDIA LTD. | Project Management Intern | Head Office,Okhla Phase-1,New Delhi | May 2026 | Jul 2026 | 8.7142857142857 Weeks | Campus Internship
SPML | Graduate trainee engineer | Jaipur  | Apr 2024 | Nov 2024 | 34.714285714286 Weeks
JWIL | Civil Engineering Intern    | Isarda Dousa Water Supply Project, Rajasthan  | Jun 2023 | Jul 2023 | 8.5714285714286 Weeks</t>
  </si>
  <si>
    <t>P25700205</t>
  </si>
  <si>
    <t>VINAYCHANDRA</t>
  </si>
  <si>
    <t>BHENDAWADE</t>
  </si>
  <si>
    <t>Prateek Vinaychandra Bhendawade</t>
  </si>
  <si>
    <t>prateekbhendawade@gmail.com</t>
  </si>
  <si>
    <t>p25700205@student.nicmar.ac.in</t>
  </si>
  <si>
    <t>3350 7119 6194</t>
  </si>
  <si>
    <t>YUGANDHARA</t>
  </si>
  <si>
    <t>A/P Mangaon Tal Hatkanangale Dist Kolhapur</t>
  </si>
  <si>
    <t>MARATHI MEDIUM HIGHSCHOOL ICHALKARANJI</t>
  </si>
  <si>
    <t>YASHWANTRAO CHAVAN POLYTECHNIC ICHALKARANJI</t>
  </si>
  <si>
    <t>PUNYASHLOK AHILYADEVI HOLKAR SOLAPUR UNIVERSITY</t>
  </si>
  <si>
    <t>WALCHAND INSTITUTE OF TECHNOLOGY,SOLAPUR</t>
  </si>
  <si>
    <t>AutoCAD,MS Office,MS Project,Primavera,Quantity Estimation,Scheduling using Primavera / MS Project,Construction Planning (Academic Exposure),Project Coordination Support,WBS (Work Breakdown Structure),Earned Value Management (EVM)</t>
  </si>
  <si>
    <t>Syneteca Engineering Solutions Private Limited | Tekla Modelling Engineer | Pune | Oct 2021 | Oct 2024 | 3Y 0M | 3.6</t>
  </si>
  <si>
    <t>3 Years 1 Month</t>
  </si>
  <si>
    <t>Marathon Realty Pvt Ltd | Planning Engineer Intern | Navi Mumbai | May 2026 | Jun 2026 | 7.4285714285714 Weeks | Campus Internship</t>
  </si>
  <si>
    <t>Ethics in Engineering Practice - NPTEL
Finance For Non-Financial Managers - Coursera
Project Management Fundamentals - Microsoft Coursera</t>
  </si>
  <si>
    <t>P25700206</t>
  </si>
  <si>
    <t>Akshay Kumar</t>
  </si>
  <si>
    <t>akakshay257@gmail.com</t>
  </si>
  <si>
    <t>p25700206@student.nicmar.ac.in</t>
  </si>
  <si>
    <t>03-Apr-1996</t>
  </si>
  <si>
    <t>3582 0146 7154</t>
  </si>
  <si>
    <t>RADHA RAMAN KUMAR</t>
  </si>
  <si>
    <t>GOVT EMPLOYEE (SR.SO)</t>
  </si>
  <si>
    <t>ANAMIKA KUMARI</t>
  </si>
  <si>
    <t>305B Ramashish Apartment Kusumpuram Gola Road</t>
  </si>
  <si>
    <t>PATNA CENTRAL SCHOOL SUDARSHAN VIHAR</t>
  </si>
  <si>
    <t>CENTRAL BOARD OF SECONDARY EDUCATION PATNA/BIHAR</t>
  </si>
  <si>
    <t>BHUWNESHWARI DAYAL HIGH SCHOOL TELPA PATNA</t>
  </si>
  <si>
    <t>BIHAR SCHOOL EXAMINATION BOARD PATNA/BIHAR</t>
  </si>
  <si>
    <t>DIT UNIVERSITY</t>
  </si>
  <si>
    <t>DIT UNIVERSITY DEHRADUN/UTTARAKHAND</t>
  </si>
  <si>
    <t>JHARKHAND UNIVERSITY OF TECHNOLOGY</t>
  </si>
  <si>
    <t>2023-Oct</t>
  </si>
  <si>
    <t>AutoCAD,MS Office,MS Project,Primavera,CostX,Autodesk Revit</t>
  </si>
  <si>
    <t>RBP INFRASTRUCTURE &amp; ENGINEERING WORKS | SITE ENGINEER | GAYA, BIHAR | Jul 2019 | Aug 2021 | 2Y 1M | 1.65
M/S GAURAV CONSTRUCTION | SITE ENGINEER | Haidarnagar, Jharkhand | Dec 2023 | Jan 2025 | 1Y 1M | 2.16</t>
  </si>
  <si>
    <t>Cemindia Projects Limited | Project Intern | Karwar, Karnataka  | May 2026 | Jun 2026 | 8.1428571428571 Weeks | Campus Internship
Building Construction Department, Govt. of Bihar | Vocational Training |  M.LA Housing Patna, Bihar | May 2018 | May 2018 | 3.8571428571429 Weeks
Ranchi Smart City Corporation Limited | Intern | Ranchi, Jharkhand | Jan 2023 | Jul 2023 | 25.857142857143 Weeks</t>
  </si>
  <si>
    <t>FIDIC Red Book 2017 – Comprehensive Course</t>
  </si>
  <si>
    <t>P25700207</t>
  </si>
  <si>
    <t>BRAHMI</t>
  </si>
  <si>
    <t>Brahmi C</t>
  </si>
  <si>
    <t>bbrahmi975@gmail.com</t>
  </si>
  <si>
    <t>p25700207@student.nicmar.ac.in</t>
  </si>
  <si>
    <t>31-Jan-2003</t>
  </si>
  <si>
    <t>English,Kannada,Hindi,telugu</t>
  </si>
  <si>
    <t>7502 7320 3324</t>
  </si>
  <si>
    <t>CHANDRAMOHAN.V</t>
  </si>
  <si>
    <t>AEE IN CIVIL ENGINEER</t>
  </si>
  <si>
    <t>BHAGYALAKSHMI.M</t>
  </si>
  <si>
    <t>Opp To Rto Office,shankara Vidhyalaya School Road,siri Nilaya,murali Layout,kolar</t>
  </si>
  <si>
    <t>Kolar</t>
  </si>
  <si>
    <t>THE JAIN INTERNATIONAL SCHOOL</t>
  </si>
  <si>
    <t>CENTRAL BOARD OF EDUCATION ,DELHI</t>
  </si>
  <si>
    <t>2010-Jun</t>
  </si>
  <si>
    <t>THE VISION PU COLLEGE</t>
  </si>
  <si>
    <t>GOVERNMENT OF KARNATAKA,KARNATAKA</t>
  </si>
  <si>
    <t>MS RAMAIAH UNIVERSITY OF APPLIED SCIENCES</t>
  </si>
  <si>
    <t>MS RAMAIAH UNIVERSITY OF APPLIED SCIENCES,BANGLORE</t>
  </si>
  <si>
    <t>AutoCAD,MS Office,revit,staddpro</t>
  </si>
  <si>
    <t>Godrej properties limited  | intern operations | Banglore  | May 2026 | Jul 2026 | 8.7142857142857 Weeks | Campus Internship</t>
  </si>
  <si>
    <t>P25700208</t>
  </si>
  <si>
    <t>KB</t>
  </si>
  <si>
    <t>SANATH</t>
  </si>
  <si>
    <t>Kb Sanath Kumar</t>
  </si>
  <si>
    <t>sanathkumarkb13@gmail.com</t>
  </si>
  <si>
    <t>p25700208@student.nicmar.ac.in</t>
  </si>
  <si>
    <t>ENGLISH,KANNADA,HINDI,TELUGU,DAKHNI</t>
  </si>
  <si>
    <t>7594 2423 7978</t>
  </si>
  <si>
    <t>KB SANJEEV PRASAD</t>
  </si>
  <si>
    <t>ROJAVATHI</t>
  </si>
  <si>
    <t>#155 SANJEEVASHREE 1ST MAIN ROAD BASAVESHWARA NAGAR, BALLARI</t>
  </si>
  <si>
    <t>Bellary</t>
  </si>
  <si>
    <t>DREAM WORLD SCHOOL</t>
  </si>
  <si>
    <t>CBSE , BALLARI</t>
  </si>
  <si>
    <t>NARAYANA PU COLLEGE</t>
  </si>
  <si>
    <t>DEPARTMENT OF PRE-UNIVERSITY EDUCATION , GOVT OF KARNATAKA</t>
  </si>
  <si>
    <t>VTU</t>
  </si>
  <si>
    <t>RV COLLEGE OF ENGINEERING BENGALURU</t>
  </si>
  <si>
    <t>AutoCAD,MS Office,MS Project,Primavera,c,c++</t>
  </si>
  <si>
    <t>New Consolidated Construction Company  | Contracts Intern | Mumbai | May 2026 | Jul 2026 | 8.5714285714286 Weeks | Campus Internship
SPACE BAR ARCHITECTURE + URBANISM | Graduate Engineer | Ballari | Jul 2024 | Jul 2025 | 52.285714285714 Weeks</t>
  </si>
  <si>
    <t>P25700209</t>
  </si>
  <si>
    <t>VASUDEV</t>
  </si>
  <si>
    <t>SHIVADUTTA</t>
  </si>
  <si>
    <t>GAUTAM</t>
  </si>
  <si>
    <t>Vasudev Shivadutta Gautam</t>
  </si>
  <si>
    <t>gautamvasudev287@gmail.com</t>
  </si>
  <si>
    <t>P24700009@student.nicmar.ac.in</t>
  </si>
  <si>
    <t>28-Jul-2000</t>
  </si>
  <si>
    <t>SPORTS</t>
  </si>
  <si>
    <t>2346 6332 0446</t>
  </si>
  <si>
    <t>SHIVADUTTA GAUTAM</t>
  </si>
  <si>
    <t>SSE RAILWAYS</t>
  </si>
  <si>
    <t>ARADHANA SHIVADUTTA GAUTAM</t>
  </si>
  <si>
    <t>Unitech Westend Complex_x000D_
B/304, Periyar Bld No. 29</t>
  </si>
  <si>
    <t>SECONDARY SCHOOL CERTIFICATE (SSC) MUMBAI/MAHARASHTRA</t>
  </si>
  <si>
    <t>DIPLOMA IN MECHANICAL ENGINEERING</t>
  </si>
  <si>
    <t>VIDYAVARDHINI BHAUSAHEB VARTAK POLYTECHNIC MUMBAI/MAHARASHTRA</t>
  </si>
  <si>
    <t>THAKUR COLLEGE OF ENGINEERING &amp; TECHNOLOGY MUMBAI/MAHARASHTRA</t>
  </si>
  <si>
    <t>Dattani Estate Developers | Junior Engineer | Kandivali west, Mumbai | Jul 2023 | Jul 2025 | 2Y 0M | 2.4</t>
  </si>
  <si>
    <t>Dattani Estate Developers | Project Controls | Mumbai | May 2026 | Jul 2026 | 9 Weeks | Campus Internship</t>
  </si>
  <si>
    <t>P25700210</t>
  </si>
  <si>
    <t>JARESH</t>
  </si>
  <si>
    <t>SUNIL</t>
  </si>
  <si>
    <t>GHAG</t>
  </si>
  <si>
    <t>Jaresh Sunil Ghag</t>
  </si>
  <si>
    <t>ghagjaresh@gmail.com</t>
  </si>
  <si>
    <t>p25700210@student.nicmar.ac.in</t>
  </si>
  <si>
    <t>28-Feb-2003</t>
  </si>
  <si>
    <t>English</t>
  </si>
  <si>
    <t>8156 4838 6790</t>
  </si>
  <si>
    <t>GOVERNMENT SERVENT</t>
  </si>
  <si>
    <t>JAYSHRI</t>
  </si>
  <si>
    <t>2434 D Ward, Shukrawar Peth, Bhoi Galli, Kolhapur</t>
  </si>
  <si>
    <t>MAHARASHTRA HIGH SCHOOL, SHIVAJI PETH, KOLHAPUR</t>
  </si>
  <si>
    <t>MAHARASHTRA STATE BOARD OF SECONDARY AND HIGHER SECONDARY, PUNE</t>
  </si>
  <si>
    <t>THE NEW COLLEGE, SHIVAJI PETH, KOLHAPUR.</t>
  </si>
  <si>
    <t>SHIVAJI UNIVERSITY.</t>
  </si>
  <si>
    <t>KOLHAPUR INSTITUTE OF TECHNOLOGY COLLEGE OF ENGINEERING (AUTONOMOUS), KOLHAPUR, MAHARASHTRA.</t>
  </si>
  <si>
    <t>Kunal Group | Site Engineer | Pune | May 2026 | Jun 2026 | 7.7142857142857 Weeks | Campus Internship
Kunal Group, Balewadi, Pune. | Site Engineer | Pune | Jan 2025 | Jun 2025 | 21.571428571429 Weeks</t>
  </si>
  <si>
    <t>P25700211</t>
  </si>
  <si>
    <t>GOLI</t>
  </si>
  <si>
    <t>SAI SATVIK</t>
  </si>
  <si>
    <t>Goli Sai Satvik Reddy</t>
  </si>
  <si>
    <t>goli.satvik21@gmail.com</t>
  </si>
  <si>
    <t>p25700211@student.nicmar.ac.in</t>
  </si>
  <si>
    <t>21-Jul-2004</t>
  </si>
  <si>
    <t>Telugu,Hindi and English</t>
  </si>
  <si>
    <t>4425 3486 8219</t>
  </si>
  <si>
    <t>GOLI SARATH BABU ALIAS SARAT REDDY</t>
  </si>
  <si>
    <t>ABBURI ANITHA</t>
  </si>
  <si>
    <t>ADDITIONAL DISTRICT JUDGE</t>
  </si>
  <si>
    <t>Flat No C4 Harshas Classic, Ashok Nagar, Eluru</t>
  </si>
  <si>
    <t>FIITJEE HIGH SCHOOL</t>
  </si>
  <si>
    <t>VIJAYAWADA ANDHRA PRADESH</t>
  </si>
  <si>
    <t>FIITJEE JUNIOR COLLEGE</t>
  </si>
  <si>
    <t>NATIONAL INSTITUTE OF TECHNOLOGY, CALICUT</t>
  </si>
  <si>
    <t>KOZHIKODE/KERALA</t>
  </si>
  <si>
    <t>AutoCAD,MS Office,MS Project,Etabs</t>
  </si>
  <si>
    <t>Goa State Infrastructure Development Corporation Ltd | Site Execution | Goa | May 2026 | Jun 2026 | 8 Weeks | Campus Internship
Navayuga Engineering Company Ltd | Engineering Trainee | Kasara | May 2023 | Jun 2023 | 4.4285714285714 Weeks</t>
  </si>
  <si>
    <t>P25700212</t>
  </si>
  <si>
    <t>SHOUVIK</t>
  </si>
  <si>
    <t>MANDAL</t>
  </si>
  <si>
    <t>Shouvik Mandal</t>
  </si>
  <si>
    <t>mandalshouvik5@gmail.com</t>
  </si>
  <si>
    <t>p25700212@student.nicmar.ac.in</t>
  </si>
  <si>
    <t>03-Mar-2001</t>
  </si>
  <si>
    <t>ENGLISH, BENGALI, HINDI</t>
  </si>
  <si>
    <t>9394 0588 0859</t>
  </si>
  <si>
    <t>JAYANTA KUMAR MANDAL</t>
  </si>
  <si>
    <t>RETIRED TEACHER</t>
  </si>
  <si>
    <t>KABERI SARKAR MANDAL</t>
  </si>
  <si>
    <t>HOME-MAKER</t>
  </si>
  <si>
    <t>Lane No. - 5A, Lake Garden, Malda.</t>
  </si>
  <si>
    <t>Malda</t>
  </si>
  <si>
    <t>RAMAKRISHNA MISSION VIVEKANANDA VIDYAMANDIR, MALDA</t>
  </si>
  <si>
    <t>WEST BENGAL BOARD OF SECONDARY EDUACTION</t>
  </si>
  <si>
    <t>MEGHNAD SAHA INSTITUTE OF TECHNOLOGY WEST BENGAL</t>
  </si>
  <si>
    <t>MS Office,MS Project,Naviswork,Revit,Primavera P6,Bexel Manager,CostX,Plannerly,DigiQC,Staad Pro, AutoCAD</t>
  </si>
  <si>
    <t>Kalpataru Projects International Limited | Engineer | Allahabad, Uttar Pradesh | Oct 2023 | Jun 2025 | 1Y 7M | 5.87</t>
  </si>
  <si>
    <t>CPWD | Execution and Planning | Kolkata | May 2026 | Jul 2026 | 9.5714285714286 Weeks | Campus Internship
JMC Projects (India) LTD. | Intern | Kolkata | Aug 2022 | Aug 2022 | 4.2857142857143 Weeks</t>
  </si>
  <si>
    <t>Staad Pro
digiqc
Construction Equipment Maintenance and Safety
Finance for Non-Financial Managers
Data Analysis
Ethics in Engineering Practice 
German Language</t>
  </si>
  <si>
    <t>P25700213</t>
  </si>
  <si>
    <t>HARDIK</t>
  </si>
  <si>
    <t>ASHOK</t>
  </si>
  <si>
    <t>POKAR</t>
  </si>
  <si>
    <t>Hardik Ashok Pokar</t>
  </si>
  <si>
    <t>hardikpokar07@gmail.com</t>
  </si>
  <si>
    <t>p25700213@student.nicmar.ac.in</t>
  </si>
  <si>
    <t>30-Jul-2003</t>
  </si>
  <si>
    <t>English, Hindi, Marathi , Gujarati</t>
  </si>
  <si>
    <t>9350 7875 0319</t>
  </si>
  <si>
    <t>ASHOK RATANSHI POKAR</t>
  </si>
  <si>
    <t>BHARTI ASHOK POKAR</t>
  </si>
  <si>
    <t>Flat No. 301, Yashodeep Building, Shriram Soc., Warje, Pune 58</t>
  </si>
  <si>
    <t>RMD SINGHAD SPRING DALE SCHOOL WARJE</t>
  </si>
  <si>
    <t>CENTRAL BOARD OF SECONDARY EDUCATION, PUNE</t>
  </si>
  <si>
    <t>M.I.T. JUNIOR COLLEGE KOTHRUD</t>
  </si>
  <si>
    <t>SINHGAD COLLEGE OF ENGINEERING, PUNE</t>
  </si>
  <si>
    <t>2022-Jan</t>
  </si>
  <si>
    <t>Sai Nisarg Landmark LLP  | Planning and Execution Intern | Pimpri Chinchwad Pune | May 2026 | Jul 2026 | 9.4285714285714 Weeks | Campus Internship
SIDDHI NISARG ASSOCIATES | Site Intern - Civil Engineer | Wakad, Pune | Dec 2023 | Jan 2024 | 4.2857142857143 Weeks</t>
  </si>
  <si>
    <t>P25700214</t>
  </si>
  <si>
    <t>ABDULKADAR</t>
  </si>
  <si>
    <t>MOHAMMED ISAQ</t>
  </si>
  <si>
    <t>MUTWALLI</t>
  </si>
  <si>
    <t>Abdulkadar Mohammed Isaq Mutwalli</t>
  </si>
  <si>
    <t>abdulmutwalli7860@gmail.com</t>
  </si>
  <si>
    <t>p25700214@student.nicmar.ac.in</t>
  </si>
  <si>
    <t>09-Apr-2002</t>
  </si>
  <si>
    <t>5865 3236 2039</t>
  </si>
  <si>
    <t>MOHAMMED ISAQ MUTWALLI</t>
  </si>
  <si>
    <t>BUSSNIESS</t>
  </si>
  <si>
    <t>TAIYYABA MOHAMMEDISAQ MUTWALLI</t>
  </si>
  <si>
    <t>Darul Hamad Complex Sahara Solapur Awing 303</t>
  </si>
  <si>
    <t>INDIAN MODEL SCHOOL</t>
  </si>
  <si>
    <t>A.D JOSHI JR COLLEGE</t>
  </si>
  <si>
    <t>2020-Jan</t>
  </si>
  <si>
    <t>WALCHAND INSTITUTE OF TECHNOLOGY , SOLAPUR MAHARASHTRA</t>
  </si>
  <si>
    <t>AutoCAD,MS Office,MS Project,Revit,Lumion</t>
  </si>
  <si>
    <t>Iconic Civil Engineering and Structural Solutions ,Solapur | Eng Trainee | Solapur  | Jun 2024 | Jul 2025 | 1Y 1M | 3</t>
  </si>
  <si>
    <t>Anarock project Management and Engineering Services | Planning and Design Coordination | Bengaluru | May 2026 | Jul 2026 | 9.7142857142857 Weeks | Campus Internship
L&amp;T MUMBAI | Intern | MUMBAI ( VIRAR) | Feb 2024 | Mar 2024 | 4.1428571428571 Weeks
THAKUR&amp;THAKUR PUNE | Intern | PUNE ( SASWAD ) | Mar 2023 | Mar 2023 | 3.2857142857143 Weeks
Iconic Engineering Solutions | Eng Trainee | solapur  | Jun 2024 | Jul 2025 | 56.428571428571 Weeks</t>
  </si>
  <si>
    <t>Pregrad Bussniess Analysis
Acceleration 2022 WIT
Revit / Lumion 3d
Autocad</t>
  </si>
  <si>
    <t>P25700215</t>
  </si>
  <si>
    <t>SHITANGSHU</t>
  </si>
  <si>
    <t>SARKAR</t>
  </si>
  <si>
    <t>Shitangshu Sarkar</t>
  </si>
  <si>
    <t>arch.shitangshusarkar@gmail.com</t>
  </si>
  <si>
    <t>p25700215@student.nicmar.ac.in</t>
  </si>
  <si>
    <t>10-Oct-2000</t>
  </si>
  <si>
    <t>English, Hindi, Bengali</t>
  </si>
  <si>
    <t>5732 7546 0740</t>
  </si>
  <si>
    <t>TAPAN SARKAR</t>
  </si>
  <si>
    <t>SIPRA SARKAR</t>
  </si>
  <si>
    <t>40B/6, Upendra Chandra Banerjee Road, Kankurgachi, Kolkata - 700054, West Bengal</t>
  </si>
  <si>
    <t>PURWANCHAL VIDYAMANDIR</t>
  </si>
  <si>
    <t>COUNCIL FOR THE INDIAN SCHOOL CERTIFICATE EXAMINATIONS , KOLKATA</t>
  </si>
  <si>
    <t>AMITY UNIVERSITY , KOLKATA</t>
  </si>
  <si>
    <t>AutoCAD,MS Office,MS Project,Primavera,Photoshop,Sketchup,Lumion,Twinmotion,Revit,enscpe,Illustrator,Procreate</t>
  </si>
  <si>
    <t>Ar. Tamal Chaudhuri and Associates | Junior Architect | Kolkata | Sep 2023 | Aug 2024 | 0Y 11M | 3</t>
  </si>
  <si>
    <t>Ahluwalia Contracts India Ltd  | Planning and Coordination Intern | Kolkata  | May 2026 | Jul 2026 | 8.7142857142857 Weeks | Campus Internship
INTERSTICE STUDIO | INTERN ARCHITECT | NEW DELHI | Aug 2022 | Dec 2022 | 19.142857142857 Weeks</t>
  </si>
  <si>
    <t>Registered architect under the Council of Architecture ( COA )
Finance for Non financial Managers by Emory University through Coursera</t>
  </si>
  <si>
    <t>P25700216</t>
  </si>
  <si>
    <t>RIYA</t>
  </si>
  <si>
    <t>FALE</t>
  </si>
  <si>
    <t>Riya Fale</t>
  </si>
  <si>
    <t>faleriya92@gmail.com</t>
  </si>
  <si>
    <t>p25700216@student.nicmar.ac.in</t>
  </si>
  <si>
    <t>22-Nov-2003</t>
  </si>
  <si>
    <t>Hindi, English and marathi</t>
  </si>
  <si>
    <t>3572 0256 4917</t>
  </si>
  <si>
    <t>DILIP FALE</t>
  </si>
  <si>
    <t>TANUJA FALE</t>
  </si>
  <si>
    <t>PRIVATE JOB</t>
  </si>
  <si>
    <t>Near Buddh Vihar, Bajar Chauk Saoner, Nagpur, Maharastra</t>
  </si>
  <si>
    <t>ST. JOHN'S MISSION EDUCATION SOCIETY'S CONVENT SAONER</t>
  </si>
  <si>
    <t>GOVERNMENT POLYTECNIC NAGPUR</t>
  </si>
  <si>
    <t>RASHTRASANT TUKADOJI MAHARAJ NAGPUR UNIVERSITY, NAGPUR</t>
  </si>
  <si>
    <t>G. H. RAISONI COLLEGE OF ENGINEERING</t>
  </si>
  <si>
    <t>AutoCAD,MS Office,MS Project,MS-CIT</t>
  </si>
  <si>
    <t>New consolidated construction company pvt ltd (NCCCL) | Project management | Navi Mumbai | May 2026 | Jul 2026 | 8.7142857142857 Weeks | Campus Internship
Panacea Civil India Pvt. Ltd. | Site Engineer Intern | Pune | Jan 2025 | Jun 2025 | 25.714285714286 Weeks</t>
  </si>
  <si>
    <t>P25700217</t>
  </si>
  <si>
    <t>SAI KEERTHI</t>
  </si>
  <si>
    <t>Sai Keerthi R</t>
  </si>
  <si>
    <t>saikeerthi10301@gmail.com</t>
  </si>
  <si>
    <t>p25700217@student.nicmar.ac.in</t>
  </si>
  <si>
    <t>10-Mar-2001</t>
  </si>
  <si>
    <t>6715 7491 9682</t>
  </si>
  <si>
    <t>RANGANATH N R</t>
  </si>
  <si>
    <t>SAI DARSHAN T R</t>
  </si>
  <si>
    <t>Flat No. 408, Maruthi Enclave Apartment, Balaji Layout, Mallathahalli, Bangalore</t>
  </si>
  <si>
    <t>SRI VANI EDUCATION CENTRE</t>
  </si>
  <si>
    <t>CENTRAL BOARD OF SECONDARY EDUCATION, BANGALORE, KARNATAKA</t>
  </si>
  <si>
    <t>JAIN PU COLLEGE</t>
  </si>
  <si>
    <t>GLOBAL ACADEMY OF TECHNOLOGY, BANGALORE, KARNATAKA</t>
  </si>
  <si>
    <t>AutoCAD,MS Office,MS Project,Autodesk Revit,Primavera P6</t>
  </si>
  <si>
    <t>Ardent Constructions | Design Engineer | Bangalore | Jun 2023 | Jun 2025 | 2Y 0M | 3.27</t>
  </si>
  <si>
    <t>Cushman &amp; Wakefield | Project Management Intern | Bangalore | May 2026 | Jul 2026 | 8.7142857142857 Weeks | Campus Internship
SARVA HOMES | DESIGN ENGINEER INTERN | BANGALORE | Aug 2022 | Sep 2022 | 3.7142857142857 Weeks</t>
  </si>
  <si>
    <t>P25700218</t>
  </si>
  <si>
    <t>B</t>
  </si>
  <si>
    <t>Akash B V</t>
  </si>
  <si>
    <t>akashbenne18@gmail.com</t>
  </si>
  <si>
    <t>p25700218@student.nicmar.ac.in</t>
  </si>
  <si>
    <t>18-Dec-2002</t>
  </si>
  <si>
    <t>9517 0743 5081</t>
  </si>
  <si>
    <t>VENKATESH B R</t>
  </si>
  <si>
    <t>SUMA T R</t>
  </si>
  <si>
    <t>N0: 87 SHRINIVASA NILAYA 2ND MAIN 1ST CROSS RIGHT SAVALANGA ROAD L B S NAGARA SHIVAMOGGA KARNATAKA</t>
  </si>
  <si>
    <t>KENDRIYA VIDYALAYA SHIVAMOGGA KARNATAKA</t>
  </si>
  <si>
    <t>SHIVAMOGGA KARNATAKA</t>
  </si>
  <si>
    <t>EXCELLENT PU COLLEGE,KALLABETTU MOODBIDRI,MANGALORE TQ</t>
  </si>
  <si>
    <t>MOODBIDRI MANGALORE</t>
  </si>
  <si>
    <t>DAYANANDA SAGAR COLLEGE OF ENGINEERING</t>
  </si>
  <si>
    <t>DAYANANDA SAGAR COLLEGE OF ENGINEERING BANGALORE KARNATAKA</t>
  </si>
  <si>
    <t>VINYAS INFRA LLP ENGINEERS,BUILDERS,DEVELOPERS AND PROMOTORS | Site Engineer  | SHIVAMOGGA | Aug 2024 | Jul 2025 | 0Y 11M | 3</t>
  </si>
  <si>
    <t>Sobha Limited | Site Execution | Bengaluru | May 2026 | Jul 2026 | 9 Weeks | Campus Internship
DESIGN POINT PROJECT MANAGEMENT CONSULTANTS ARCHITECTS AND ENGINEERS | SITE ENGINEER | RICHMOND ROAD BANGALORE | Aug 2023 | Sep 2023 | 4.4285714285714 Weeks</t>
  </si>
  <si>
    <t>P25700219</t>
  </si>
  <si>
    <t>OMKAR</t>
  </si>
  <si>
    <t>Omkar Arun Bhalerao</t>
  </si>
  <si>
    <t>omkarbhalerao243@gmail.com</t>
  </si>
  <si>
    <t>P24700756@student.nicmar.ac.in</t>
  </si>
  <si>
    <t>09-Mar-2003</t>
  </si>
  <si>
    <t>7800 3509 2668</t>
  </si>
  <si>
    <t>ARUN BHALERAO</t>
  </si>
  <si>
    <t>CHANDRAKALA BHALERAO</t>
  </si>
  <si>
    <t>Room no 413 prabuddha tower A wing opp Assissi Nagar Govandi Mumbai</t>
  </si>
  <si>
    <t>MAYA SADAN, 3RD FLOOR ROOM NO 301, SECTOR  6, HOLI MAIDAN, SARSOLE VILLAGE, NERUL (WEST), NAVI MUMBAI</t>
  </si>
  <si>
    <t>OUR LADY OF PERPETUAL SUCCOUR HIGH SCHOOL</t>
  </si>
  <si>
    <t>GOVERNMENT POLYTECHNIC MUMBAI, BANDRA</t>
  </si>
  <si>
    <t>JKUMAR INFRASTRUCTURE LTD. | Construction Management Intern | PAREL, MUMBAI | May 2026 | Jul 2026 | 9.4285714285714 Weeks | Campus Internship
Jain Engineers Pvt. Ltd. | Intern | Palava Phase-2, Dombivali | Feb 2022 | Aug 2022 | 25.714285714286 Weeks</t>
  </si>
  <si>
    <t>P25700220</t>
  </si>
  <si>
    <t>YADHUNANDH</t>
  </si>
  <si>
    <t>GUNJARA</t>
  </si>
  <si>
    <t>Yadhunandh Gunjara</t>
  </si>
  <si>
    <t>gunjarayadhunandh@gmail.com</t>
  </si>
  <si>
    <t>p25700220@student.nicmar.ac.in</t>
  </si>
  <si>
    <t>15-Feb-2004</t>
  </si>
  <si>
    <t>English,Telugu,Hindi</t>
  </si>
  <si>
    <t>2296 4734 9130</t>
  </si>
  <si>
    <t>G N PRAKASH BABU</t>
  </si>
  <si>
    <t>SR.SSO-ACCOUNTS, SOUTH CENTRAL RAILWAYS</t>
  </si>
  <si>
    <t>K UMADEVI</t>
  </si>
  <si>
    <t>20/212-G-6, Icon Square Apartment, Vijaya Nagar Colony, Guntakal</t>
  </si>
  <si>
    <t>NARAYANA EM HIGH SCHOOL</t>
  </si>
  <si>
    <t>GUNTAKAL, ANDHRA PRADESH</t>
  </si>
  <si>
    <t>BOARD OF INTERMEDIATE EDUCATION, VIJAYAWADA, ANDHRA PRADESH</t>
  </si>
  <si>
    <t>VELLORE INSTITUTE OF TECHNOLOGY, VELLORE, TAMIL NADU</t>
  </si>
  <si>
    <t>Goa State Infrastructure Development Corporation Limited | Site execution Engineer | Goa | May 2026 | Jul 2026 | 8.7142857142857 Weeks | Campus Internship
Elemental Realty Private Limited | Site Engineer | Hyderbad | Sep 2023 | Oct 2023 | 4.2857142857143 Weeks</t>
  </si>
  <si>
    <t>P25700222</t>
  </si>
  <si>
    <t>SATYAM</t>
  </si>
  <si>
    <t>Satyam Sharma</t>
  </si>
  <si>
    <t>satyamsharma1420@gmail.com</t>
  </si>
  <si>
    <t>p25700222@student.nicmar.ac.in</t>
  </si>
  <si>
    <t>14-Oct-2001</t>
  </si>
  <si>
    <t>Hindi,English</t>
  </si>
  <si>
    <t>6875 0528 2484</t>
  </si>
  <si>
    <t>RAM VINOD SARASWAT</t>
  </si>
  <si>
    <t>SHASHI</t>
  </si>
  <si>
    <t>C-521, BETA-1, GREATER NOIDA</t>
  </si>
  <si>
    <t>CENTRAL BOARD OF SECONDARY EDUCATION , DELHI</t>
  </si>
  <si>
    <t>GAUTAM BUDDHA UNIVERSITY</t>
  </si>
  <si>
    <t>SCHOOL OF ENGINEERING , GREATER NOIDA UP</t>
  </si>
  <si>
    <t>Sobha Ltd. | Intern | Gurugram | May 2026 | Jul 2026 | 9 Weeks | Campus Internship
A.K.CONSTRUCTION | INTERN | LACHHIPUR,GORAKHNATH,GORAKHPUR | Jul 2023 | Dec 2023 | 26 Weeks
CENTRAL WATER COMMISSION | INTERN | IRRIGATION PLANNING(NORTH) DIRECTORATE,CENTRAL WATER COMMISSION, SEWA BHAWAN R.K.PURAM SECTOR-1 NEW DELHI 110066 | Jul 2022 | Aug 2022 | 6.2857142857143 Weeks</t>
  </si>
  <si>
    <t>Ethics in Engineering Practice</t>
  </si>
  <si>
    <t>P25700223</t>
  </si>
  <si>
    <t>GHOLAP</t>
  </si>
  <si>
    <t>Shubham Ashok Gholap</t>
  </si>
  <si>
    <t>ar.shubhamgholap2914@gmail.com</t>
  </si>
  <si>
    <t>p25700223@student.nicmar.ac.in</t>
  </si>
  <si>
    <t>29-Aug-1999</t>
  </si>
  <si>
    <t>8335 4983 1932</t>
  </si>
  <si>
    <t>ASHOK AMBADAS GHOLAP</t>
  </si>
  <si>
    <t>RETIRED CIVIL ENGINEER</t>
  </si>
  <si>
    <t>JAYSHRI ASHOK GHOLAP</t>
  </si>
  <si>
    <t>495, Kanhoba Chari No. 2, Bend Vasti, Loni Kh., Po: Loni Kh, Tal.- Rahata, Dist.- Ahmednagar, Maharashta- 413713</t>
  </si>
  <si>
    <t>RAYAT SHIKSHAN SANSTHA'S PADMASHRI DR. VITTHALRAO VIKHE PATIL VIDYALAY, LONI.</t>
  </si>
  <si>
    <t>PVP JR. COLLEGE, LONI.</t>
  </si>
  <si>
    <t>PRAVARA RURAL COLLEGE OF ARCHITECTURE, LONI.</t>
  </si>
  <si>
    <t>AutoCAD,MS Office,MS Project,Primavera,Sktech up,Lumion,Autodesk Revit,Adobe Photoshop,Adobe Illustrator,Enscape</t>
  </si>
  <si>
    <t>Ekaa Designs | Jr. Architect, Project and Liasoning Architect | Baner, Pune | Jun 2023 | Jun 2025 | 2Y 0M | 3.56</t>
  </si>
  <si>
    <t>2 Years 1 Month</t>
  </si>
  <si>
    <t>The Venturesome Engineers Pvt. Ltd. | Project Planning and Coordination | Pune | May 2026 | Jul 2026 | 8.7142857142857 Weeks | Campus Internship
Ekaa Designs | Trainee Architect | Baner, Pune | Jul 2022 | Dec 2022 | 24.714285714286 Weeks</t>
  </si>
  <si>
    <t>P25700224</t>
  </si>
  <si>
    <t>SUNDAR</t>
  </si>
  <si>
    <t>SALVE</t>
  </si>
  <si>
    <t>Rohit Sundar Salve</t>
  </si>
  <si>
    <t>salverohit001@gmail.com</t>
  </si>
  <si>
    <t>p25700224@student.nicmar.ac.in</t>
  </si>
  <si>
    <t>26-Aug-2000</t>
  </si>
  <si>
    <t>Marathi , Hindi , English</t>
  </si>
  <si>
    <t>2010 6597 5556</t>
  </si>
  <si>
    <t>SUNDAR SALVE</t>
  </si>
  <si>
    <t>BUILDING CONTRACTOR</t>
  </si>
  <si>
    <t>SHILA SALVE</t>
  </si>
  <si>
    <t>BANK CLERK</t>
  </si>
  <si>
    <t>POST OFFICE, 25/1, NICMAR UNIVERSITY, N.I.A, BALEWADI RD, RAM NAGAR, BANER, PUNE, MAHARASHTRA 411045</t>
  </si>
  <si>
    <t>Row House No.A5 , GRB Kesar Housing Society ,Sudhakar Nagar Road ,Aurangabad</t>
  </si>
  <si>
    <t>DNYANANKUR  HIGH SCHOOL, AURANGABAD, MAHARASHTRA</t>
  </si>
  <si>
    <t>DR . R. P. NATH JR. COLLEGE ARTS &amp; SCIENCE , AURANGABAD, MAHARASHTRA</t>
  </si>
  <si>
    <t>DR . BABASAHEB AMBEDKAR TECHNOLOGICAL UNIVERSITY ,LONERE , MAHARASHTRA</t>
  </si>
  <si>
    <t>MGM'S JAWAHARLAL NEHRU ENGINEERING COLLEGE, AURANGABAD, MAHARASHTRA</t>
  </si>
  <si>
    <t>Bangalore Metro Rail Corporation Limited (BMRCL) | Management | Bengaluru | May 2026 | Jul 2026 | 8.7142857142857 Weeks | Campus Internship
NEHA CONSTRUCTION | Site Engineer | Aurangabad | Dec 2023 | Apr 2025 | 68.571428571429 Weeks</t>
  </si>
  <si>
    <t>P25700225</t>
  </si>
  <si>
    <t>ANUGRAHA</t>
  </si>
  <si>
    <t>Anugraha J</t>
  </si>
  <si>
    <t>anugrahaj2002@gmail.com</t>
  </si>
  <si>
    <t>p25700225@student.nicmar.ac.in</t>
  </si>
  <si>
    <t>09-Mar-2002</t>
  </si>
  <si>
    <t>English, Malayalam, Tamil</t>
  </si>
  <si>
    <t>8821 2784 8526</t>
  </si>
  <si>
    <t>JAYAPRAKASH A</t>
  </si>
  <si>
    <t>EX - SERVICE MAN</t>
  </si>
  <si>
    <t>LATHA P</t>
  </si>
  <si>
    <t>Veettiparambil (House), Puthucode (Post), Palakkad (District),</t>
  </si>
  <si>
    <t>Palakkad</t>
  </si>
  <si>
    <t>CHERUPUSHPAM GIRLS HIGHER SECONDARY SCHOOL</t>
  </si>
  <si>
    <t>KERALA STATE BOARD OF EDUCATION</t>
  </si>
  <si>
    <t>JAWAHARLAL COLLEGE OF ENGINEERING AND TECHNOLOGY, LAKKIDI, PALAKKAD, KERALA</t>
  </si>
  <si>
    <t>AutoCAD,MS Office,MS Project,Primavera,Revit Architecture,3DS Max,SketchUp</t>
  </si>
  <si>
    <t>RISE-UP BUILDERS LLP | Junior Site Engineer | Palakkad, Kerala | Jun 2024 | Jun 2025 | 1Y 0M | 1.44</t>
  </si>
  <si>
    <t>SOBHA LIMITED | PLANNING INTERN | Bangalore | May 2026 | Jul 2026 | 9 Weeks | Campus Internship
SHAPOORJI PALLONJI AND COMPANY PRIVATE LIMITED | INTERNSHIP TRAINEE | IIT PALAKKAD, KERALA | May 2023 | May 2023 | 3 Weeks</t>
  </si>
  <si>
    <t>Navisworks
Primavera P6
3ds Max
SketchUp
Revit Architecture
Autocad 2D and 3D
Construction Equipment Maintenance and Safety
German</t>
  </si>
  <si>
    <t>P25700227</t>
  </si>
  <si>
    <t>ANKITA</t>
  </si>
  <si>
    <t>KUMARI</t>
  </si>
  <si>
    <t>Ankita Kumari Sinha</t>
  </si>
  <si>
    <t>ankitakumarisinha21@gmail.com</t>
  </si>
  <si>
    <t>p25700227@student.nicmar.ac.in</t>
  </si>
  <si>
    <t>23-Aug-1998</t>
  </si>
  <si>
    <t>2706 8302 4913</t>
  </si>
  <si>
    <t>DHIRAJ KUMAR SINGH</t>
  </si>
  <si>
    <t>ARTI KUMARI</t>
  </si>
  <si>
    <t>Sahay Sadan, Pakki Goriya, Ashok Chakra Gali, Patna City</t>
  </si>
  <si>
    <t>SATYAM INTERNATIONAL SCHOOL</t>
  </si>
  <si>
    <t>CBSE, PATNA</t>
  </si>
  <si>
    <t>GIRLS HIGH SCHOOL</t>
  </si>
  <si>
    <t>BBOSE,PATNA</t>
  </si>
  <si>
    <t>2016-Dec</t>
  </si>
  <si>
    <t>TECHNO INDIA COLLEGE OF TECHNOLOGY, KOLKATA</t>
  </si>
  <si>
    <t>AutoCAD,MS Office,MS Project,Primavera,Revit - Architecture and structure,Navisworks,Bluebeam,Autodesk Construction Cloud,K Track,Sketch up,Archicad,MS Excel</t>
  </si>
  <si>
    <t>Pinnacle Infotech Solutions | BIM Engineer | Durgapur, West Bengal | Aug 2021 | Aug 2023 | 2Y 0M | 3.6
Intec Infra Technologies Pvt. Ltd. | BIM-Architect | Gurugram, Haryana | Sep 2023 | Jul 2025 | 1Y 10M | 6.84</t>
  </si>
  <si>
    <t>3 Years 10 Months</t>
  </si>
  <si>
    <t>Ahluwalia Contracts (India) Limited  | Project Coordinator Intern - Formwork Department  | Delhi | May 2026 | Jun 2026 | 7.7142857142857 Weeks | Campus Internship</t>
  </si>
  <si>
    <t>Engineering Project Management  Time and Cost Management
Engineering Project Management: Initiating and Planning
Oil &amp; Gas Industry Operations and Markets
PMP certification
Project Admin Scholar - Digi QC
Construction Aspects of Formwork
Ethics in Engineering Practice</t>
  </si>
  <si>
    <t>P25700228</t>
  </si>
  <si>
    <t>ABHAY</t>
  </si>
  <si>
    <t>Abhay Yadav</t>
  </si>
  <si>
    <t>abhayyaduvanshi2000@gmail.com</t>
  </si>
  <si>
    <t>P24700288@student.nicmar.ac.in</t>
  </si>
  <si>
    <t>18-Oct-2000</t>
  </si>
  <si>
    <t>Gym,Trekking</t>
  </si>
  <si>
    <t>7659 5240 7408</t>
  </si>
  <si>
    <t>NEERAJ KANT YADAV</t>
  </si>
  <si>
    <t>MANOJ KUMARI</t>
  </si>
  <si>
    <t>1031, ULTIMA HOSTEL, NICMAR UNIVERSITY, RAM NAGAR, BANER</t>
  </si>
  <si>
    <t>1/250 Suhag Nagar</t>
  </si>
  <si>
    <t>Firozabad</t>
  </si>
  <si>
    <t>KIDS CORNER HAPPY SENIOR SECONDARY SCHOOL</t>
  </si>
  <si>
    <t>CBSE, FIROZABAD, UTTAR PRADESH</t>
  </si>
  <si>
    <t>KIIT UNIVERSITY</t>
  </si>
  <si>
    <t>KIIT UNIVERSITY, BHUBANESWAR, ODISHA</t>
  </si>
  <si>
    <t>Econstruct Design &amp; Build Pvt Ltd. | Intern | Bangalore | May 2026 | Jun 2026 | 8.1428571428571 Weeks | Campus Internship
Simplex Infrastructures Limited | Intern | Barabehra, Kolkata, West Bengal | Jun 2022 | Jul 2022 | 4.2857142857143 Weeks</t>
  </si>
  <si>
    <t>P25700229</t>
  </si>
  <si>
    <t>SURESH</t>
  </si>
  <si>
    <t>POPERE</t>
  </si>
  <si>
    <t>Sahil Suresh Popere</t>
  </si>
  <si>
    <t>sahilpopere18@gmail.com</t>
  </si>
  <si>
    <t>p25700229@student.nicmar.ac.in</t>
  </si>
  <si>
    <t>18-Feb-2001</t>
  </si>
  <si>
    <t>English, Hindi and Marathi</t>
  </si>
  <si>
    <t>5067 9765 1047</t>
  </si>
  <si>
    <t>SURESH VITTHAL POPERE</t>
  </si>
  <si>
    <t>KAVITA SURESH POPERE</t>
  </si>
  <si>
    <t>SARVODAYA NAGAR AMBICA APARTMENTS_x000D_
CC2 R.NO 418  NEAR JAIN MANDIR_x000D_
MULUND WEST</t>
  </si>
  <si>
    <t>Saishraddha CHS,  3/B, R. No:-305_x000D_
G. G. Road,  Near Lions Club,  Mulund (West)</t>
  </si>
  <si>
    <t>LOKMANYA TILAK ENGLISH HIGH SCHOOL</t>
  </si>
  <si>
    <t>MAHARASHTRA STATE BOARD OF SECONDARY AND HIGHER SECONDARY EDUCATION, MUMBAI, MAHARASHTRA</t>
  </si>
  <si>
    <t>MULUND VIDYA MANDIR JR COLLEGE</t>
  </si>
  <si>
    <t>TERNA ENGINEERING COLLEGE, NAVI MUMBAI, MAHARASHTRA</t>
  </si>
  <si>
    <t>AutoCAD,MS Office,MS Project,Primavera,Staad-Pro Connect Edition,Etabs</t>
  </si>
  <si>
    <t>Vishvaraj Environment Private Limited | Graduate Engineering Trainee (GET) | Mumbai and Ahmedabad | Sep 2023 | Sep 2024 | 0Y 11M | 3.07</t>
  </si>
  <si>
    <t>J Kumar Infraprojects Ltd.  | Intern – Construction Management (Civil) | Ulwe, Navi Mumbai, Maharashtra | May 2026 | Jul 2026 | 9.7142857142857 Weeks | Campus Internship
City and Industrial Development Corporation of Maharashtra Limited | Internship Trainee | Mulund | Jun 2022 | Jul 2022 | 2.7142857142857 Weeks
Neptune Ventures and Developers Pvt Ltd | Internship Trainee | Mulund | Dec 2021 | Jan 2022 | 4.1428571428571 Weeks</t>
  </si>
  <si>
    <t>Develop Soft Skills
AUTOCAD AND CONCRETE TECHNOLOGY
Staad Pro</t>
  </si>
  <si>
    <t>P25700230</t>
  </si>
  <si>
    <t>SATPUTE</t>
  </si>
  <si>
    <t>ASHWINI</t>
  </si>
  <si>
    <t>Satpute Ashwini Vijay</t>
  </si>
  <si>
    <t>satputeashwini1111@gmail.com</t>
  </si>
  <si>
    <t>p25700230@student.nicmar.ac.in</t>
  </si>
  <si>
    <t>English,  Hindi , Marathi</t>
  </si>
  <si>
    <t>7973 4119 2731</t>
  </si>
  <si>
    <t>VIJAY PANDURANG SATPUTE</t>
  </si>
  <si>
    <t>ANITA VIJAY SATPUTE</t>
  </si>
  <si>
    <t>Tilak Residency,  A2/07 , Sector No.07, Indrayaninagar, Bhosari,  Pune</t>
  </si>
  <si>
    <t>PRIYADARSHANI ENGLISH MEDIUM SCHOOL</t>
  </si>
  <si>
    <t>JAI HIND JUNIOR COLLEGE</t>
  </si>
  <si>
    <t>DR.D.Y.PATIL INSTITUTE OF TECHNOLOGY , PUNE , MAHARASHTRA</t>
  </si>
  <si>
    <t>AutoCAD,MS Office,MS Project,STADpro,MSExcel,MS Word</t>
  </si>
  <si>
    <t>Ratna Construction | Junior Engineer  | Pune  | Aug 2023 | Mar 2025 | 1Y 7M</t>
  </si>
  <si>
    <t>Bhajan Infratech Pvt Ltd | Site Execution + Control | Surat,Gujrat | May 2026 | Jun 2026 | 7.7142857142857 Weeks | Campus Internship
RATNA CONSTRUCTION | JUNIOR ENGINEER  | PUNE | Dec 2021 | Jan 2022 | 6 Weeks</t>
  </si>
  <si>
    <t>P25700231</t>
  </si>
  <si>
    <t>MANGESH</t>
  </si>
  <si>
    <t>GOVIND</t>
  </si>
  <si>
    <t>Mangesh Govind Jadhav</t>
  </si>
  <si>
    <t>jmangesh193@gmail.com</t>
  </si>
  <si>
    <t>p25700231@student.nicmar.ac.in</t>
  </si>
  <si>
    <t>20-Apr-2002</t>
  </si>
  <si>
    <t>8691 2207 7169</t>
  </si>
  <si>
    <t>CHAMANBAI</t>
  </si>
  <si>
    <t>Holi Post Pethsangvi Ta. Lohara Dist. Dharashiv</t>
  </si>
  <si>
    <t>MAHATMA GANDHI VIDHYALAYA HOLI</t>
  </si>
  <si>
    <t>GAYATRI COLLEGE OF SCIENCE CHARHOLI BK.</t>
  </si>
  <si>
    <t>SAVITRIBAI PHULE UNIVERCITY PUNE</t>
  </si>
  <si>
    <t>SINHGAD COOLEGE OF ENGINEERING VADGAON PUNE</t>
  </si>
  <si>
    <t>AutoCAD, Primavera,MS Project, Revit,</t>
  </si>
  <si>
    <t>Medigence Solutions Pvt. Ltd | Project Management Intern | Ahmedabad | May 2026 | Jul 2026 | 8.7142857142857 Weeks | Campus Internship
Maharashtra Metro Rail Corporation Limited | Intrn | Pune | Feb 2023 | Feb 2023 | 3.8571428571429 Weeks</t>
  </si>
  <si>
    <t>P25700232</t>
  </si>
  <si>
    <t>KOULASKAR</t>
  </si>
  <si>
    <t>Aditya Anand Koulaskar</t>
  </si>
  <si>
    <t>koulaskaraditya@gmail.com</t>
  </si>
  <si>
    <t>p25700232@student.nicmar.ac.in</t>
  </si>
  <si>
    <t>01-Dec-2002</t>
  </si>
  <si>
    <t>English ,Hindi,Marathi</t>
  </si>
  <si>
    <t>4666 6342 7594</t>
  </si>
  <si>
    <t>PRIVATE EMPLOYEE</t>
  </si>
  <si>
    <t>RASHMI</t>
  </si>
  <si>
    <t>H.NO 8 YASH NAGARI UNIT 4 KABRA NAGAR</t>
  </si>
  <si>
    <t>Nanded</t>
  </si>
  <si>
    <t>SANDEEPANI PUBLIC SCHOOL</t>
  </si>
  <si>
    <t>MAHARASHTRA STATE BOARD OF SECONDARY AND HIGHER  EDUCATION, PUNE</t>
  </si>
  <si>
    <t>NETAJI SUBHAS CHANDRA BOSE MAHAVIDYALA</t>
  </si>
  <si>
    <t>SAVITRI BAI PHULE PUNE UNIVERSITY,PUNE</t>
  </si>
  <si>
    <t>D. Y. PATIL COLLAGE OF ENGINEERING ,AKURDI,PUNE</t>
  </si>
  <si>
    <t xml:space="preserve">AutoCAD ,MS Office ,MS Project ,Primavera ,CostX ,Excel </t>
  </si>
  <si>
    <t>HEET INFRASTRUCTURE | SITE ENGINEER | CHANDRAPUR | Nov 2024 | Jun 2025 | 0Y 7M | 3.6</t>
  </si>
  <si>
    <t>Sribal Construction Company  | Project Management Intern | Bogapuram ,Vishakhapatnam,A.P | May 2026 | Jul 2026 | 8.7142857142857 Weeks | Campus Internship
HEMAY INFRASTRUCTURE | SITE SUPERVISOR  | AMALNER ,JALGAON | Feb 2023 | Mar 2023 | 4 Weeks</t>
  </si>
  <si>
    <t>Advance Contracts ,Tendering And Procurements.</t>
  </si>
  <si>
    <t>P25700233</t>
  </si>
  <si>
    <t>AAKANKSHA</t>
  </si>
  <si>
    <t>Aakanksha Pramod Pawar</t>
  </si>
  <si>
    <t>pawaraakanksha139@gmail.com</t>
  </si>
  <si>
    <t>p25700233@student.nicmar.ac.in</t>
  </si>
  <si>
    <t>21-Dec-2000</t>
  </si>
  <si>
    <t>9758 8013 1313</t>
  </si>
  <si>
    <t>PRAMOD PAWAR</t>
  </si>
  <si>
    <t>RETIRED COLLEGE PRINCIPAL</t>
  </si>
  <si>
    <t>KANCHAN PAWAR</t>
  </si>
  <si>
    <t>Flat No. 403, Radha Govind Apartment, Pisal Path, Shukrawar Peth</t>
  </si>
  <si>
    <t>ST. JOSEPH CONVENT SENIOR SECONDARY SCHOOL, JALGAON</t>
  </si>
  <si>
    <t>ALL INDIA SHRI SHIVAJI MEMORIAL SOCIETY'S COLLEGE OF POLYTECHNIC, PUNE</t>
  </si>
  <si>
    <t>MARATHWADA MITRA MANDAL'S COLLEGE OF ARCHITECTURE, PUNE</t>
  </si>
  <si>
    <t>AutoCAD,MS Office,MS Project,Primavera,Revit,Photoshop,Sketchup,Lumion,Autocad</t>
  </si>
  <si>
    <t>Prashant Deshmukh and Associates | Project Management/Coordination | Pune | May 2026 | Jul 2026 | 8.7142857142857 Weeks | Campus Internship
Z.P. Works Department, Sub-Division, Haveli, Pune | Intern | Khanapur, Pune | May 2019 | Jun 2019 | 6 Weeks
The Raw Project LLP | Architectural Intern | Ahmedabad, Gujrat | Jun 2024 | Sep 2024 | 16.285714285714 Weeks</t>
  </si>
  <si>
    <t>P25700234</t>
  </si>
  <si>
    <t>CHIRAG</t>
  </si>
  <si>
    <t>Chirag Roy</t>
  </si>
  <si>
    <t>chiragroy1234@gmail.com</t>
  </si>
  <si>
    <t>p25700234@student.nicmar.ac.in</t>
  </si>
  <si>
    <t>25-Aug-2002</t>
  </si>
  <si>
    <t>3809 3122 2701</t>
  </si>
  <si>
    <t>DHANANJAY ROY</t>
  </si>
  <si>
    <t>KIRAN ROY</t>
  </si>
  <si>
    <t>LAWYER</t>
  </si>
  <si>
    <t>202 Ashiyana Bld, Opp. V.N. Desai Hospital,11TH Road, Santacruz East , Mumbai 400055</t>
  </si>
  <si>
    <t>SHREE MUMBADEVI VIDYA MANDIR</t>
  </si>
  <si>
    <t>SECONDARY AND HIGHER SECONDARY EDUCATION PUNE, MUMBAI, MAHARASHTRA</t>
  </si>
  <si>
    <t>KHAR EDUCATION SOCIETY'S JUNIOR COLLEGE OF SCIENCE</t>
  </si>
  <si>
    <t>J. Kumar Infra projects Ltd | Site Execution | Ulwe , Navi Mumbai | May 2026 | Jul 2026 | 9.7142857142857 Weeks | Campus Internship
V. CHHIBBER &amp; CO | Trainee Site Engineer | Mumbai | Dec 2022 | Mar 2023 | 13 Weeks</t>
  </si>
  <si>
    <t>Fundamentals of Predictive Project  Management</t>
  </si>
  <si>
    <t>P25700235</t>
  </si>
  <si>
    <t>AJAY</t>
  </si>
  <si>
    <t>HIRASING</t>
  </si>
  <si>
    <t>Ajay Hirasing Rathod</t>
  </si>
  <si>
    <t>ajayhrathod0522@gmail.com</t>
  </si>
  <si>
    <t>p25700235@student.nicmar.ac.in</t>
  </si>
  <si>
    <t>05-Feb-2002</t>
  </si>
  <si>
    <t>3453 7090 9655</t>
  </si>
  <si>
    <t>SHOBHA</t>
  </si>
  <si>
    <t>405-ULTIMA HOSTEL NICMAR UNIVERSITY PUNE</t>
  </si>
  <si>
    <t>Umari (I) ,post Dabhadi, Tq. Arni</t>
  </si>
  <si>
    <t>Yavatmal</t>
  </si>
  <si>
    <t>SHAHID BHAGATSINGH HIGHER SECONDARY SCHOOL AND COLLEGE,ARNI</t>
  </si>
  <si>
    <t>MAHARASHTRA STATE BOARD, AMRAVATI DIVISIONAL BOARD</t>
  </si>
  <si>
    <t>SHRI,M.D. BHARTI HIGHER SECONDARY SCHOOL, ARNI</t>
  </si>
  <si>
    <t>JSPM'S IMPERIAL COLLEGE OF ENGINEERING &amp; RESEARCH, WAGHOLI ,PUNE ,MAHARASHTRA</t>
  </si>
  <si>
    <t>Site Execution, Project Coordination, Quantity Surveying, Construction Planning, BOQ Preparation, AutoCAD, MS Project, Primavera, CostX, BIM (Building Information Modeling), MS Office360</t>
  </si>
  <si>
    <t>Riseco Infra Pvt. ltd. | Junior Civil Engineer | Pune | Jan 2024 | Apr 2025 | 1Y 2M | 3.25</t>
  </si>
  <si>
    <t>Madhuri Engineers  | Project coordinator  | Pune  | May 2026 | Jul 2026 | 8.5714285714286 Weeks | Campus Internship
SAI CONSTRUCTION | TRAINEE CIVIL ENGINEER | ARNI, DIST YAVATMAL,MAHARASHTRA | Apr 2021 | Jan 2023 | 91.428571428571 Weeks</t>
  </si>
  <si>
    <t>P25700236</t>
  </si>
  <si>
    <t>KUNAL</t>
  </si>
  <si>
    <t>SARMA</t>
  </si>
  <si>
    <t>Kunal Sarma</t>
  </si>
  <si>
    <t>sarmakunal2001@gmail.com</t>
  </si>
  <si>
    <t>p25700236@student.nicmar.ac.in</t>
  </si>
  <si>
    <t>25-Oct-2002</t>
  </si>
  <si>
    <t>English, Hindi, Assamese</t>
  </si>
  <si>
    <t>9419 2245 6838</t>
  </si>
  <si>
    <t>RAJEN SARMA</t>
  </si>
  <si>
    <t>BARNALI SARMA</t>
  </si>
  <si>
    <t>MUSIC TEACHER</t>
  </si>
  <si>
    <t>H.No- 18, Laxmi Mandir Path, Barsajai, Basistha, Kamrup Metro, Assam-781029</t>
  </si>
  <si>
    <t>SANSKRITI THE GURUKUL</t>
  </si>
  <si>
    <t>GUWAHATI, ASSAM</t>
  </si>
  <si>
    <t>KALINGA INSTITUTE OF INDUSTRIAL TECHNOLOGY</t>
  </si>
  <si>
    <t>KALINGA INSTITUTE OF INDUSTRIAL TECHNOLOGY, BHUBANESWAR, ODISHA</t>
  </si>
  <si>
    <t>Goa State Infrastructure Development Corporation Limited (GSIDC) | Site Execution Engineer | Goa | May 2026 | Jul 2026 | 8.7142857142857 Weeks | Campus Internship
PWD(Govt. of Delhi) | Site Engineer Intern | Delhi | May 2024 | May 2024 | 4 Weeks
PWRD East Guwahati Territorial Road Division | Site Engineer Intern | Guwahati | May 2023 | Jun 2023 | 5.4285714285714 Weeks</t>
  </si>
  <si>
    <t>P25700237</t>
  </si>
  <si>
    <t>SALUNKHE</t>
  </si>
  <si>
    <t>Mihir Suresh Salunkhe</t>
  </si>
  <si>
    <t>a46111314@gmail.com</t>
  </si>
  <si>
    <t>p25700237@student.nicmar.ac.in</t>
  </si>
  <si>
    <t>04-Jul-2001</t>
  </si>
  <si>
    <t>3451 8337 8478</t>
  </si>
  <si>
    <t>MAHARASHTRA POLICE</t>
  </si>
  <si>
    <t>SAYALI</t>
  </si>
  <si>
    <t>5/6, Om Siddhi Vinayak Housing Society, Sarvodaya Nagar, Jogeshwari East</t>
  </si>
  <si>
    <t>ST DOMINIC SAVIO HIGH SCHOOL</t>
  </si>
  <si>
    <t>MAHARASHTRA STATE BOARD OF SECONDARY EDUCATION</t>
  </si>
  <si>
    <t>SARDAR VALLABHBHAI PATEL POLYTECHNIC MUMBAI/MAHARASHTRA</t>
  </si>
  <si>
    <t>VIVA INSTITUTE OF TECHNOLOGY VIRAR/MAHARASHTRA</t>
  </si>
  <si>
    <t>Wheel Buildwell | Junior Site Engineer | Jogeshwari East | Aug 2023 | Nov 2024 | 1Y 3M | 0.96
Nexus Builders &amp; Developers | Site Engineer | Jogeshwari | Dec 2024 | Aug 2025 | 0Y 8M | 3</t>
  </si>
  <si>
    <t>Prestige Group | Execution + Control  | Mumbai | May 2026 | Jul 2026 | 8.5714285714286 Weeks | Campus Internship</t>
  </si>
  <si>
    <t>Kohinoor Technical Institute (Electrical Wireman)</t>
  </si>
  <si>
    <t>P25700238</t>
  </si>
  <si>
    <t>JASH</t>
  </si>
  <si>
    <t>Jash Pawar</t>
  </si>
  <si>
    <t>jashpawarofficial@gmail.com</t>
  </si>
  <si>
    <t>p25700238@student.nicmar.ac.in</t>
  </si>
  <si>
    <t>04-Nov-2000</t>
  </si>
  <si>
    <t>English,Hindi,Gujarati,Marathi</t>
  </si>
  <si>
    <t>3406 9469 4126</t>
  </si>
  <si>
    <t>RAJUBHAI</t>
  </si>
  <si>
    <t>PADMABEN</t>
  </si>
  <si>
    <t>1301, JUIPTER BUILDING RAJHANS CAMPUS NEAR PAL RTO , SURAT CITY , SURAT , GUJARAT - 395009</t>
  </si>
  <si>
    <t>Surat</t>
  </si>
  <si>
    <t>80,Nandanvan Soc , Coseway Beside , Singanpore , Surat City , Surat , Gujarat-395004</t>
  </si>
  <si>
    <t>SMT.S.H GAJERA SEC. &amp; H.SEC SCHOOL</t>
  </si>
  <si>
    <t>GUJARAT SECONDARY &amp; HIGHER SECONDARY EDUCATION BOARD</t>
  </si>
  <si>
    <t>GUJARAT TECHNOLOGIAL UNIVERSITY</t>
  </si>
  <si>
    <t>L.D COLLEGE OF ENGINEERING,AHMEDABAD,GUJARAT</t>
  </si>
  <si>
    <t>AutoCAD,MS Office,MS Project,Primavera,Power BI, Advance Excel,SQL,Python</t>
  </si>
  <si>
    <t>Siddhivinayak Infrastructure | Billing Engineer | Surat,Gujarat | Aug 2022 | Jul 2024 | 1Y 11M | 2.4
Laxmi Infra Vision Private Limited | Junior Engineer | Surat,Gujarat | Aug 2024 | Jul 2025 | 0Y 11M | 3.36</t>
  </si>
  <si>
    <t>2 Years 12 Months</t>
  </si>
  <si>
    <t>SOBHA Limited | Project Management | GIFT City, Gandhinagar , Gujarat | May 2026 | Jul 2026 | 9 Weeks | Campus Internship
DECENT ENGINEERING | SITE ENGINEER | SURAT,GUJARAT | Jan 2022 | Apr 2022 | 12.857142857143 Weeks</t>
  </si>
  <si>
    <t>L&amp; T Project Management in Construction Specialization
Finance for Non-Financial Managers
Data Analysis</t>
  </si>
  <si>
    <t>P25700239</t>
  </si>
  <si>
    <t>ISHA</t>
  </si>
  <si>
    <t>RAJKUMARSINGH</t>
  </si>
  <si>
    <t>CHAUHAN</t>
  </si>
  <si>
    <t>Isha Rajkumarsingh Chauhan</t>
  </si>
  <si>
    <t>ishaachauhan1@gmail.com</t>
  </si>
  <si>
    <t>p25700239@student.nicmar.ac.in</t>
  </si>
  <si>
    <t>20-Jan-2001</t>
  </si>
  <si>
    <t>9122 9773 4733</t>
  </si>
  <si>
    <t>RAJKUMARSINGH CHAUHAN</t>
  </si>
  <si>
    <t>MEGHA R CHAUHAN</t>
  </si>
  <si>
    <t>A 105, RIVIERA, MAHALUNGE, BANER, PUNE</t>
  </si>
  <si>
    <t>Plot No 4, Behind Laxmi Devi Bajaj Hospital, Krida Square, Nagpur</t>
  </si>
  <si>
    <t>KENDRIYA VIDYALAYA AJNI, NAGPUR</t>
  </si>
  <si>
    <t>KAMLA NEHRU MAHAVIDYALAYA, NAGPUR</t>
  </si>
  <si>
    <t>MAHARASHTRA STATE BOARD OF SECODARY AND HIGHER SECONDARY EDUCATION, PUNE, MAHARASHTRA</t>
  </si>
  <si>
    <t>SMT. MANORAMABAI MUNDLE COLLEGE OF ARCHITECTURE, NAGPUR, MAHARASHTRA</t>
  </si>
  <si>
    <t>AutoCAD,MS Office,MS Project,Google Sketchup,Revit,BIM,3DS MAX,Photoshop,Illustrator,INdesign</t>
  </si>
  <si>
    <t>Base 4 | Architect | Nagpur, Maharashtra | Jun 2023 | Jul 2024 | 1Y 1M | 2.4
The Collective Praxis | Architect | Nagpur, Maharashtra | Oct 2024 | Jun 2025 | 0Y 8M | 1.44</t>
  </si>
  <si>
    <t xml:space="preserve">  Godrej Properties Limited | Operations Intern (Construction) | Maan-Hinjewadi, Pune | May 2026 | Jul 2026 | 8.7142857142857 Weeks | Campus Internship
MISA ARCHITECTS | Architectural Intern | AHMEDABAD | Jan 2022 | Sep 2022 | 35.571428571429 Weeks</t>
  </si>
  <si>
    <t>Birla Mural making competition- Handson Industry experience (consolation prize)
Ar. Sunil Toye Competition for landscape and sustainable development
Studio Layout Software Academy</t>
  </si>
  <si>
    <t>P25700240</t>
  </si>
  <si>
    <t>VISHWARAJ</t>
  </si>
  <si>
    <t>MOHAN</t>
  </si>
  <si>
    <t>MOKASHI</t>
  </si>
  <si>
    <t>Vishwaraj Mohan Mokashi</t>
  </si>
  <si>
    <t>vishwarajmokashi20@gmail.com</t>
  </si>
  <si>
    <t>p25700240@student.nicmar.ac.in</t>
  </si>
  <si>
    <t>26-Sep-2003</t>
  </si>
  <si>
    <t>5802 3796 5902</t>
  </si>
  <si>
    <t>MOHAN RAGHUNATH MOKASHI</t>
  </si>
  <si>
    <t>SUNITA MOHAN MOKASHI</t>
  </si>
  <si>
    <t>Mokashi Villa, At Post Banpuri Tal-Patan Dist-Satara</t>
  </si>
  <si>
    <t>Satara</t>
  </si>
  <si>
    <t>PATAN VALLEY ENGLISH MEDIUM SCHOLL PATAN MAHARASHTRA</t>
  </si>
  <si>
    <t>SECONDARY SCHOOL CERTIFICATE BOARD MAHARASHTRA</t>
  </si>
  <si>
    <t>GOVERNMENT POLYTECHNIC KOLHAPUR MAHARASHTRA</t>
  </si>
  <si>
    <t>JSPM'S RAJARSHI SHAHU COLLEGE OF ENGINEERING TATHAWADE,PUNE MAHARASHTRA</t>
  </si>
  <si>
    <t>AutoCAD,MS Office,MS Project,Revit Architecture,MS-Excel,MS-PowerPoint,Google Sheets,Quality Audit,Snag list preparation</t>
  </si>
  <si>
    <t>Sai Nisarg Landmark LLP | Execution and Planning Intern | Pimpri Chinchwad Pune | May 2026 | Jul 2026 | 9.4285714285714 Weeks | Campus Internship
Vilas Javdekar Developers Pune | Home Quality Inspection Intern | Wakad,Pune | Jul 2024 | Dec 2024 | 26.142857142857 Weeks</t>
  </si>
  <si>
    <t>P25700241</t>
  </si>
  <si>
    <t>LOVESON</t>
  </si>
  <si>
    <t>Jithin Joseph Loveson</t>
  </si>
  <si>
    <t>lovesonjithinjoseph@gmail.com</t>
  </si>
  <si>
    <t>p25700241@student.nicmar.ac.in</t>
  </si>
  <si>
    <t>08-Jun-2003</t>
  </si>
  <si>
    <t>English, Malayalam, Hindi</t>
  </si>
  <si>
    <t>9080 4282 9232</t>
  </si>
  <si>
    <t>LOVESON JOSEPH ARACKAL</t>
  </si>
  <si>
    <t>MARIAMMA M J</t>
  </si>
  <si>
    <t>Moozhukunnam (H), Champakulam (PO), Alappuzha, Kerala</t>
  </si>
  <si>
    <t>BISHOP KURIALACHERRY PUBLIC SCHOOL</t>
  </si>
  <si>
    <t>CENTRAL BOARD OF SECONDARY EDUCATION , ALAPPUZHA, KERALA</t>
  </si>
  <si>
    <t>ST. MARY'S HIGHER SECONDARY SCHOOL, CHAMPAKULAM</t>
  </si>
  <si>
    <t>BOARD OF HIGHER SECONDARY EDUCATION, GOVERNMENT OF KERALA</t>
  </si>
  <si>
    <t>SAINTGITS COLLEGE OF ENGINEERING, KOTTAYAM, KERALA</t>
  </si>
  <si>
    <t>AutoCAD, MS Office, MS Project, Primavera, Cost X, Revit, BIM, ETABS,Plaxis 2D, Adobe Photoshop, Canva</t>
  </si>
  <si>
    <t>SOBHA LTD. | PROJECT MANAGEMENT INTERN | Thykoodam, Kerala | May 2026 | Jul 2026 | 9 Weeks | Campus Internship
KERALA SHIPPING AND INLAND NAVIGATION CORPORATION LTD. | INTERN | Kochi, Kerala | May 2022 | May 2022 | 0.57142857142857 Weeks
NATIONAL TRANPORTATION PLANNING AND RESEARCH CENTRE | INTERN | Kottayam, Kerala | Feb 2023 | Feb 2023 | 1 Weeks
VAIKOM PUBLICS WORK DEPARTMENT | INTERN | VAIKOM, KERALA | Jul 2023 | Aug 2023 | 2.4285714285714 Weeks</t>
  </si>
  <si>
    <t>GPS Surveying
Sustainability Inquiry &amp; Investigation program on  United Nations Sustainable Development Goal 11
Construction Scheduling
Impacts of the Environment on Global Public Health Specialization
German I NPTEL
Ethics in Engineering Practice NPTEL
Construction Equipment Maintenance and Safety
Finance for Non Financial Managers
Data Analysis</t>
  </si>
  <si>
    <t>P25700242</t>
  </si>
  <si>
    <t>ANUJ</t>
  </si>
  <si>
    <t>BAISHANDER</t>
  </si>
  <si>
    <t>Anuj Baishander</t>
  </si>
  <si>
    <t>anujbaishander321@gmail.com</t>
  </si>
  <si>
    <t>p25700242@student.nicmar.ac.in</t>
  </si>
  <si>
    <t>13-Aug-2001</t>
  </si>
  <si>
    <t>4966 6123 1597</t>
  </si>
  <si>
    <t>AJAY BAISHANDER</t>
  </si>
  <si>
    <t>SUB INSPECTOR (MADHYA PRADESH POLICE)</t>
  </si>
  <si>
    <t>SUMAN BAISHANDER</t>
  </si>
  <si>
    <t>Bhagat Singh Nagar, D.D. Nagar</t>
  </si>
  <si>
    <t>Gwalior</t>
  </si>
  <si>
    <t>GREEN WOOD PUBLIC SCHOOL</t>
  </si>
  <si>
    <t>CENTRAL BOARD OF SECONDARY EDUCATION, GWALIOR, M.P.</t>
  </si>
  <si>
    <t>SUNRISE PUBLIC H.S. SCHOOL</t>
  </si>
  <si>
    <t>BOARD OF SECONDARY EDUCATION, GWALIOR, M.P.</t>
  </si>
  <si>
    <t>RAJIV GANDHI PROUDYOGIKI VISHWAVIDYALAYA</t>
  </si>
  <si>
    <t>MADHAV INSTITUTE OF TECHNOLOGY AND SCIENCE, GWALIOR, M.P.</t>
  </si>
  <si>
    <t>J. Kumar Infraprojects Ltd. | Site Execution | Noida | May 2026 | Jul 2026 | 9.7142857142857 Weeks | Campus Internship
Madhya Pradesh Public Works Department (M.P.P.W.D.) | Summer Intern | Gwalior | Jan 2024 | May 2024 | 17.285714285714 Weeks</t>
  </si>
  <si>
    <t>Air Pollution and Control
Principles of Construction Management
Introduction to Civil Engineering Profession
Data Analysis
Finance for Non-Financial Managers
Construction Equipment Maintenance &amp; Safety</t>
  </si>
  <si>
    <t>P25700243</t>
  </si>
  <si>
    <t>SHREY</t>
  </si>
  <si>
    <t>BHARAT</t>
  </si>
  <si>
    <t>Shrey Bharat Shinde</t>
  </si>
  <si>
    <t>shrey7p@gmail.com</t>
  </si>
  <si>
    <t>p25700243@student.nicmar.ac.in</t>
  </si>
  <si>
    <t>16-Mar-2001</t>
  </si>
  <si>
    <t>ENGLISH, HINDI, MARATHI, GUJARATI</t>
  </si>
  <si>
    <t>9088 6193 2895</t>
  </si>
  <si>
    <t>GOVERNMENT RETIRED, PRIVATE BUSINESS</t>
  </si>
  <si>
    <t>SEJAL</t>
  </si>
  <si>
    <t>A/6 NITI NAGAR ROW HOUSE ALTHAN CANAL ROAD BHATAR SURAT</t>
  </si>
  <si>
    <t>RADIANT ENGLISH ACADEMY</t>
  </si>
  <si>
    <t>GUJARAT TECHNOLOGICAL UNIVERSITY</t>
  </si>
  <si>
    <t>C.K. PITHAWALA COLLEGE OF ENGINEERING AND TECHNOLOGY, SURAT GUJARAT</t>
  </si>
  <si>
    <t>AutoCAD,MS Office,MS Project,REVIT3D,SKETCHUP</t>
  </si>
  <si>
    <t>WTP Cost Advisory Services India Pvt.Lmt. | SUMMER INTERN | Vikroli, Maharashtra  | May 2026 | Jun 2026 | 7.5714285714286 Weeks | Campus Internship
EARTH ARCHITECTS | INTERN | SURAT | Apr 2024 | Jun 2025 | 65 Weeks
RRASHI CONSULTANCY | INTERN | SURAT | Jun 2023 | Mar 2024 | 43.428571428571 Weeks
AADESH MAHAVEER PROJECTS (PROJECT - VEER SUPREMUS ) | INTERN | SURAT | Jan 2023 | Apr 2023 | 13.571428571429 Weeks</t>
  </si>
  <si>
    <t>P25700244</t>
  </si>
  <si>
    <t>SWAMI</t>
  </si>
  <si>
    <t>Akshay Sanjay Swami</t>
  </si>
  <si>
    <t>akshayswami1455@gmail.com</t>
  </si>
  <si>
    <t>p25700244@student.nicmar.ac.in</t>
  </si>
  <si>
    <t>28-Jun-1999</t>
  </si>
  <si>
    <t>English,Hindi,Marathi,Kannada</t>
  </si>
  <si>
    <t>6643 8265 7958</t>
  </si>
  <si>
    <t>SANJAY SWAMI</t>
  </si>
  <si>
    <t>JAGADEVI SWAMI</t>
  </si>
  <si>
    <t>36, A, Mahalaxmi Society, Shelagi, Solapur.</t>
  </si>
  <si>
    <t>SVCS HIGHSCHOOL SOLAPUR MAHARASHTRA</t>
  </si>
  <si>
    <t>AD JOSHI JUNIOR COLLEGE OF SCIENCE, SOLAPUR</t>
  </si>
  <si>
    <t>WALCHAND INSTITUTE OF TECHNOLOGY, SOLAPUR (WIT)</t>
  </si>
  <si>
    <t>AutoCAD,MS Office,MS Project,Primavera,Civil 3D</t>
  </si>
  <si>
    <t>Pushpak Infra Steel Pvt Ltd | Sales Manager | Pune | May 2024 | Jun 2025 | 1Y 1M | 4
Think &amp; Learn Pvt Ltd | Team Lead | Pune | Sep 2021 | May 2024 | 2Y 7M | 9.56</t>
  </si>
  <si>
    <t>Goa State Infrastructure Development Corporation  | Intern | Goa | May 2026 | Jul 2026 | 8.7142857142857 Weeks | Campus Internship</t>
  </si>
  <si>
    <t>P25700245</t>
  </si>
  <si>
    <t>VAIDEHI</t>
  </si>
  <si>
    <t>SHIVANKAR</t>
  </si>
  <si>
    <t>Vaidehi Suresh Shivankar</t>
  </si>
  <si>
    <t>vaidehi48a@gmail.com</t>
  </si>
  <si>
    <t>p25700245@student.nicmar.ac.in</t>
  </si>
  <si>
    <t>24-Dec-2001</t>
  </si>
  <si>
    <t>2667 8135 1124</t>
  </si>
  <si>
    <t>PROPERTY DEALER</t>
  </si>
  <si>
    <t>RANJANA</t>
  </si>
  <si>
    <t>Plot No. 61 Prabhu Nagar Kohale Layout Zingabai Takli Godhani Road Nagpur</t>
  </si>
  <si>
    <t>ST. VINCENT PALLOTTI HIGH SCHOOL NAGPUR</t>
  </si>
  <si>
    <t>CENTRAL BOARD OF SECONDARY EDUCATION NAGPUR MAHARASHTRA</t>
  </si>
  <si>
    <t>SAINT FRANCIS DE'SALES COLLEGE NAGPUR</t>
  </si>
  <si>
    <t>MAHARASHTRA STATE BOARD OF SECONDARY AND HIGHER SECONDARY EDUCATION,  MAHARASHTRA</t>
  </si>
  <si>
    <t>PRIYADARSHINI COLLEGE OF ENGINEERING NAGPUR MAHARASHTRA</t>
  </si>
  <si>
    <t>2024-Dec</t>
  </si>
  <si>
    <t>AutoCAD,MS Office,MS Project,Primavera,Excel,Power BI,Tableau,SQL,Auto-CAD,Revit,BIM,MS Word,CostX,Basics of R,Basics of python,Basics of Statistics</t>
  </si>
  <si>
    <t>Wani Projects &amp; Infra | Project Planning Intern | Pune | May 2026 | Jun 2026 | 8.1428571428571 Weeks | Campus Internship
Prayojana Construction Management Training Institute | Intern | Bengaluru | Jul 2022 | Aug 2022 | 4.4285714285714 Weeks
NSK Builders &amp; Developers | Intern | Nashik  | Jun 2024 | Dec 2024 | 26.142857142857 Weeks
ExcelR Institute | Project Intern | Pune | Nov 2024 | Aug 2025 | 39.285714285714 Weeks</t>
  </si>
  <si>
    <t>Business Analyst
REVIT
Auto-CAD
Interior texture site training program ( Asian Paints Colour company )
Advance plumbing course
Basic plumbing course
Emory University ( Finance for Non-Financial Managers) Coursera
NPTEL (Ethics in Engineering practices)</t>
  </si>
  <si>
    <t>P25700246</t>
  </si>
  <si>
    <t>Patil Jayesh Ravindra</t>
  </si>
  <si>
    <t>patiljayesh808@gmail.com</t>
  </si>
  <si>
    <t>p25700246@student.nicmar.ac.in</t>
  </si>
  <si>
    <t>2024 7468 4289</t>
  </si>
  <si>
    <t>RAVINDRA PATIL</t>
  </si>
  <si>
    <t>VAISHALI PATIL</t>
  </si>
  <si>
    <t>805 Tulip Bldg.no.8 Everest World Kolshet Road Thane West</t>
  </si>
  <si>
    <t>SRI MA VIDYALAYA, THANE WEST</t>
  </si>
  <si>
    <t>MAHARASHTRA STATE BOARD OF SECONDARY AND HIGHER SECONDARY EDUCATION, THANE</t>
  </si>
  <si>
    <t>SHUBHAMRAJE JUNIOR COLLEGE, THANE WEST</t>
  </si>
  <si>
    <t>BHARATI VIDYAPEETH (DEEMED TO BE UNIVERSITY), PUNE</t>
  </si>
  <si>
    <t>BHARATI VIDYAPEETH DEEMED UNIVERSITY COLLEGE OF ENGINEERING, PUNE</t>
  </si>
  <si>
    <t>AutoCAD,MS Office,MS Project,Market Research,Power BI</t>
  </si>
  <si>
    <t>Shreeji Properties | Site Engineer | Mumbai | Sep 2023 | Jun 2025 | 1Y 9M | 3</t>
  </si>
  <si>
    <t>Rodic Consultants Pvt. Ltd. | Operations &amp; Business Development | Delhi &amp; Mumbai | May 2026 | Jul 2026 | 8.7142857142857 Weeks | Campus Internship
PHYSICSWALLAH | Strategy Intern | MUMBAI | Mar 2023 | Aug 2023 | 20 Weeks
Raunak Group | Industrial trainee | Thane | Jul 2022 | Aug 2022 | 5.8571428571429 Weeks</t>
  </si>
  <si>
    <t>Project Management in Construction
Financial Equity Market Analyst
Municipal Solid Waste Management</t>
  </si>
  <si>
    <t>P25700247</t>
  </si>
  <si>
    <t>AISWARYA</t>
  </si>
  <si>
    <t>A J</t>
  </si>
  <si>
    <t>Aiswarya A J</t>
  </si>
  <si>
    <t>aiswaryaiverkala07@gmail.com</t>
  </si>
  <si>
    <t>P25700247@student.nicmar.ac.in</t>
  </si>
  <si>
    <t>19-Jul-2001</t>
  </si>
  <si>
    <t>Drawing,Reading Books</t>
  </si>
  <si>
    <t>2260 3641 0650</t>
  </si>
  <si>
    <t>JAYACHANDRAN PILLAI G</t>
  </si>
  <si>
    <t>KSFE SENIOR MANAGER</t>
  </si>
  <si>
    <t>ASHADEVI G</t>
  </si>
  <si>
    <t>KSFE ASSISTANT MANAGER</t>
  </si>
  <si>
    <t>SARAYU, Iverkala West North, Puthanampalam P O</t>
  </si>
  <si>
    <t>Kollam</t>
  </si>
  <si>
    <t>SARAYU Iverkala West North, Puthanampalam P O</t>
  </si>
  <si>
    <t>VIVEKANANDA H S FOR GIRLS KADAMBANAD</t>
  </si>
  <si>
    <t>VGSS AHSS NEDIYAVILA</t>
  </si>
  <si>
    <t>BOARD OF HIGHER SECONDARY EXAMINATIONS, KOLLAM</t>
  </si>
  <si>
    <t>APJ  ABDUL KALAM TECHNOLOGICAL UNIVERSITY</t>
  </si>
  <si>
    <t>MAR BASELIOS COLLEGE OF ENGINEERING AND TECHNOLOGY, TRIVANDRUM</t>
  </si>
  <si>
    <t>AutoCAD, BIM, Revit, MS Project, Primavera, CostX, Staad Pro, PTV Vissim</t>
  </si>
  <si>
    <t>Econstruct Design &amp; Build Pvt. Ltd. | Project Management Intern | Banglore | May 2026 | Jun 2026 | 8.1428571428571 Weeks | Campus Internship
Local Self Government Department | Civil Engineering Intern | Pazhakulam | Mar 2023 | Mar 2023 | 1.4285714285714 Weeks
Public Work Department | Civil Engineering Intern | Thiruvananthapuram | Oct 2022 | Oct 2022 | 1.2857142857143 Weeks
Puthenvilayil Construction | Civil Engineering Intern | Thengamam  | Sep 2023 | Sep 2023 | 1.1428571428571 Weeks</t>
  </si>
  <si>
    <t>Advanced Microsoft Excel Formulas and Functions
Introduction to Programming Fundamentals
IoT for industrial applications
NPTEL -Integrated Waste Management for a Smart City
NPTEL-Japanese Language and Culture
NPTEL-Ethics in Engineering Practice
Construction Equipment Maintenance &amp; Safety
Finance for Non-Financial Managers
Data Analysis</t>
  </si>
  <si>
    <t>P25700248</t>
  </si>
  <si>
    <t>PARMEET</t>
  </si>
  <si>
    <t>KHANUJA</t>
  </si>
  <si>
    <t>Parmeet Singh Khanuja</t>
  </si>
  <si>
    <t>sparmeet731@gmail.com</t>
  </si>
  <si>
    <t>p25700248@student.nicmar.ac.in</t>
  </si>
  <si>
    <t>08-Dec-2002</t>
  </si>
  <si>
    <t>English, Hindi, Punjabi</t>
  </si>
  <si>
    <t>9328 5504 8042</t>
  </si>
  <si>
    <t>TARANJEET SINGH KHANUJA</t>
  </si>
  <si>
    <t>HARJEET KAUR KHANUJA</t>
  </si>
  <si>
    <t>Meet Villa, Near Gurudwara Tarbahar, Sirgitti, Bilaspur Chhattisgarh</t>
  </si>
  <si>
    <t>Bilaspur</t>
  </si>
  <si>
    <t>ST FRANCIS HR SEC SCHOOL</t>
  </si>
  <si>
    <t>CENTRAL BOARD OF SECONDARY EDUCATION CHHATTISGARH</t>
  </si>
  <si>
    <t>CHHATTISGARH SWAMI VIVEKANAND TECHNICAL UNIVERSITY</t>
  </si>
  <si>
    <t>LAKHMI CHAND INSTITUTE OF TECHNOLOGY, BILASPUR</t>
  </si>
  <si>
    <t>2025-Aug</t>
  </si>
  <si>
    <t>AutoCAD,MS Office,MS Project,Tally,Python,AI Tools,CostX</t>
  </si>
  <si>
    <t>Civil Guruji | Trainee | Bhilai Chhattisgarh | Jan 2024 | Feb 2024 | 8.2857142857143 Weeks
Ravi Shankar Tripathi | Billing And Site Engineer Intern | Bilaspur Chhattisgarh | Mar 2024 | Sep 2024 | 30.428571428571 Weeks</t>
  </si>
  <si>
    <t>Done Stock Market Investment Workshop from IIT Kanpur
Done Bridge Design Workshop from IIT Kanpur
Done Skyscrapper Design Workshop from IIT Kanpur
Pursuing Advanced Certification Program in Construction Management from IIT Guwahati
Pursuing Minor in AI from IIT Ropar</t>
  </si>
  <si>
    <t>P25700249</t>
  </si>
  <si>
    <t>PRIYANSH</t>
  </si>
  <si>
    <t>PANDE</t>
  </si>
  <si>
    <t>Priyansh Jayesh Pande</t>
  </si>
  <si>
    <t>priyanshj2003@gmail.com</t>
  </si>
  <si>
    <t>p25700249@student.nicmar.ac.in</t>
  </si>
  <si>
    <t>12-May-2003</t>
  </si>
  <si>
    <t>Gujarati, Hindi, English</t>
  </si>
  <si>
    <t>5055 8663 8967</t>
  </si>
  <si>
    <t>JAYESH D PANDE</t>
  </si>
  <si>
    <t>DEPUTY DIRECTOR, NWDA, MOJS, GOVT OF INDIA.</t>
  </si>
  <si>
    <t>AARTI J PANDE</t>
  </si>
  <si>
    <t>70 Navnathnagar Society,_x000D_
Near Rameshwar School,_x000D_
Gotri Road, Vadodara, Gujarat, 390021.</t>
  </si>
  <si>
    <t>KENDRIYA VIDYALAYA NO 1 HARNI ROAD, VADODARA</t>
  </si>
  <si>
    <t>CENTRAL BOARD OF SECONDARY EDUCATION, VADODARA/GUJARAT</t>
  </si>
  <si>
    <t>THE MAHARAJA SAYAJIRAO UNIVERSITY OF BARODA</t>
  </si>
  <si>
    <t>THE MAHARAJA SAYAJIRAO UNIVERSITY OF BARODA, VADODARA/GUJARAT</t>
  </si>
  <si>
    <t>MS Office,MS Project,Primavera,Autodesk Revit,Autodesk Navisworks,CostX,GIS,Public Sector Projects</t>
  </si>
  <si>
    <t>CBRE | Research Intern | Pune, Maharashtra | May 2026 | Jul 2026 | 9.2857142857143 Weeks | Campus Internship
National Water Development Agency, Ministry of Jal Shakti, Government of India | Summer Intern | New Delhi | May 2024 | Jun 2024 | 4.4285714285714 Weeks</t>
  </si>
  <si>
    <t>NCC 'C' Certificate</t>
  </si>
  <si>
    <t>P25700250</t>
  </si>
  <si>
    <t>SHRUTI</t>
  </si>
  <si>
    <t>Shruti Tanaji Shinde</t>
  </si>
  <si>
    <t>shindeshruti1411@gmail.com</t>
  </si>
  <si>
    <t>p25700250@student.nicmar.ac.in</t>
  </si>
  <si>
    <t>18-Mar-2002</t>
  </si>
  <si>
    <t>English, Marathi and Hindi</t>
  </si>
  <si>
    <t>2449 3686 6348</t>
  </si>
  <si>
    <t>TANAJI SHINDE</t>
  </si>
  <si>
    <t>SUJATA SHINDE</t>
  </si>
  <si>
    <t>Ft No 7, Shree Ganga Heights, Hotel Quality Lodging Inn Lane, Vadgoan Bk, Pune-41</t>
  </si>
  <si>
    <t>CBSE DELHI</t>
  </si>
  <si>
    <t>SURYADATTA PUBLIC SCHOOL</t>
  </si>
  <si>
    <t>JSPM NARHE TECHNICAL CAMPUS, PUNE, MAHARASHTRA</t>
  </si>
  <si>
    <t>AutoCAD,MS Office,MS Project,Primavera,Civil 3d,CostX,Revit,MS Excel</t>
  </si>
  <si>
    <t>Godrej Properties Limited | Operations | Pune | May 2026 | Jul 2026 | 8.7142857142857 Weeks | Campus Internship
SHREE VENKATESH BUILDCON | INTERN | PUNE | Jan 2023 | Feb 2023 | 4.4285714285714 Weeks</t>
  </si>
  <si>
    <t>Microsoft Excel For Construction Management
Ethics in Engineering Practice
Finance for Non-Financial Managers</t>
  </si>
  <si>
    <t>P25700251</t>
  </si>
  <si>
    <t>kr.ayush251@gmail.com</t>
  </si>
  <si>
    <t>p25700251@student.nicmar.ac.in</t>
  </si>
  <si>
    <t>6017 8563 6291</t>
  </si>
  <si>
    <t>ARBIND KUMAR</t>
  </si>
  <si>
    <t>SUNITA DEVI</t>
  </si>
  <si>
    <t>S/O: ARBIND KUMAR, VILLAGE: ATWARPUR, POST OFFICE: KURTHOUL, POLICE STATION: PARSA BAZAR, PATNA, BIHAR</t>
  </si>
  <si>
    <t>BIHAR ENGINEERING UNIVERSITY, PATNA</t>
  </si>
  <si>
    <t>GOVERNMENT ENGINEERING COLLEGE, JEHANABAD</t>
  </si>
  <si>
    <t>J. Kumar Infraprojects Ltd. | Construction Management Intern | New Delhi | May 2026 | Jul 2026 | 9.7142857142857 Weeks | Campus Internship
BIHAR STATE BUILDING CONSTRUCTION CORPORATION LTD. | INTERN | PATNA, BIHAR | Jan 2023 | Mar 2023 | 6.1428571428571 Weeks
BIHAR RAJYA PUL NIRMAN NIGAM LIMITED | INTERN | PATNA, BIHAR | Mar 2022 | Apr 2022 | 3.8571428571429 Weeks
UPADHYAY CONSTRUCTION PVT. LTD. | Engineering Intern | MUZAFFARPUR, BIHAR | Nov 2024 | May 2025 | 30 Weeks</t>
  </si>
  <si>
    <t>P25700252</t>
  </si>
  <si>
    <t>RAHISH</t>
  </si>
  <si>
    <t>HATTARGE</t>
  </si>
  <si>
    <t>Rahish Dinesh Hattarge</t>
  </si>
  <si>
    <t>rahishhattarge@gmail.com</t>
  </si>
  <si>
    <t>p25700252@student.nicmar.ac.in</t>
  </si>
  <si>
    <t>13-Nov-2001</t>
  </si>
  <si>
    <t>English Marathi Hindi</t>
  </si>
  <si>
    <t>5721 6421 8296</t>
  </si>
  <si>
    <t>DEEPALI</t>
  </si>
  <si>
    <t>1042/C/A8,Majgavkar Nagar Near Kanerkar Nagar,Kolhapur</t>
  </si>
  <si>
    <t>PRIVATE HIGHSCHOOL</t>
  </si>
  <si>
    <t>SSC KOLHAPUR/ MAHARASHTRA</t>
  </si>
  <si>
    <t>CHATE JR COLLEGE</t>
  </si>
  <si>
    <t>HSC KOLHAPUR/ MAHARASHTRA</t>
  </si>
  <si>
    <t>TATYASAHEB KORE INSTITUTE OF ENGINEERING AND TECHNOLOGY</t>
  </si>
  <si>
    <t>Panchshil Realty - A2Z Online Services Private Limited | Projects Execution &amp; Planning Division | PUNE | May 2026 | Jul 2026 | 8.7142857142857 Weeks | Campus Internship
Shri Ganesh Builders &amp; Developers | Trainee Engineer  | Kolhapur | Jul 2023 | Aug 2024 | 57.714285714286 Weeks</t>
  </si>
  <si>
    <t>MS CIT
Scholarship Certificate Nicmar
CAD 2D &amp; 3D Certification
STAAD PRO Software Certificate</t>
  </si>
  <si>
    <t>P25700253</t>
  </si>
  <si>
    <t>GARGHATE</t>
  </si>
  <si>
    <t>Vedant Pradip Garghate</t>
  </si>
  <si>
    <t>vedantgarghate0@gmail.com</t>
  </si>
  <si>
    <t>P2370087@student.nicmar.ac.in</t>
  </si>
  <si>
    <t>02-Jul-2002</t>
  </si>
  <si>
    <t xml:space="preserve">swimming, cricket </t>
  </si>
  <si>
    <t>3539 0816 8413</t>
  </si>
  <si>
    <t>PRADIP GARGHATE</t>
  </si>
  <si>
    <t>PRANJALI</t>
  </si>
  <si>
    <t xml:space="preserve">At. Post Shankarpur, Tah Chimur, Dist Chandrapur
</t>
  </si>
  <si>
    <t>NICMAR HOSTEL, GATE NO 2,BALEWADI PUNE</t>
  </si>
  <si>
    <t>ST CLARET ENGLISH MEDIUM SCHOOL</t>
  </si>
  <si>
    <t>CENTRAL BOARD OF SECONDARY EDUCATION CHANDRAPUR</t>
  </si>
  <si>
    <t>ST PAUL JUNIOR COLLEGE</t>
  </si>
  <si>
    <t>MAHARASTRA STATE BOARD OF SECOUNDRY AND HIGHER SECOUNDRY EDUCATION,PUNE</t>
  </si>
  <si>
    <t>RASHTRASANT TUKADOJI MAHARAJ NAGPUR UNIVERSITY,NAGPUR</t>
  </si>
  <si>
    <t>GH RAISONI COLLEGE OF ENGINEERING,NAGPUR</t>
  </si>
  <si>
    <t>B.G.SHIRKE CONSTRUCTION TECHNOLOGY PVT.LTD. | Managment Trainee | Nagpur | May 2026 | Jul 2026 | 9.7142857142857 Weeks | Campus Internship
D.K Morey | Site Engineer Trainee | Chandrapur | May 2022 | Jun 2022 | 4.4285714285714 Weeks
L.G Developers and Builders | Site Engineer Trainee | Nagpur | Dec 2023 | Jun 2024 | 26.142857142857 Weeks</t>
  </si>
  <si>
    <t>Revit Architecture and Autocad</t>
  </si>
  <si>
    <t>P25700254</t>
  </si>
  <si>
    <t>MOHAMMED</t>
  </si>
  <si>
    <t>Mohammed Ahmed Deshmukh</t>
  </si>
  <si>
    <t>mohammedahmed.dma123@gmail.com</t>
  </si>
  <si>
    <t>p25700254@student.nicmar.ac.in</t>
  </si>
  <si>
    <t>01-Aug-2002</t>
  </si>
  <si>
    <t>8495 7721 5953</t>
  </si>
  <si>
    <t>MOHAMMED ASLAM DESHMUKH</t>
  </si>
  <si>
    <t>CIVIL ENGINEERING COST CONSULTANT</t>
  </si>
  <si>
    <t>MUMTAZ BEGUM DESHMUKH</t>
  </si>
  <si>
    <t>FLAT-705, BUILDING-3D, HM ROYAL SOCIETY, KONDHWA BUDRUK</t>
  </si>
  <si>
    <t>Row House B-8, Green Valley Housing Society, Near Kohinoor Lawns, Roza Baugh_x000D_</t>
  </si>
  <si>
    <t>JAIN INTERNATIONAL SCHOOL AURANGABAD MAHARASHTRA</t>
  </si>
  <si>
    <t>2017-Jan</t>
  </si>
  <si>
    <t>ARIHANT ARTS, COMMERCE &amp; SCIENCE JUNIOR COLLEGE, BAVDHAN, PUNE-21</t>
  </si>
  <si>
    <t>VELLORE INSTITUTE OF TECHNOLOGY, VELLORE-632014</t>
  </si>
  <si>
    <t>AutoCAD, MS Office, MS Project, Primavera, Revit, NavisWorks, PlanSwift, CostX</t>
  </si>
  <si>
    <t>Clancy Global - AKG Building Consultant Pvt Ltd. | Procurement and Planning | Pune | May 2026 | Jul 2026 | 9.2857142857143 Weeks | Campus Internship</t>
  </si>
  <si>
    <t>P25700255</t>
  </si>
  <si>
    <t>TATODE</t>
  </si>
  <si>
    <t>Aditya Tatode</t>
  </si>
  <si>
    <t>adityatatode26@gmail.com</t>
  </si>
  <si>
    <t>p25700255@student.nicmar.ac.in</t>
  </si>
  <si>
    <t>26-Nov-2001</t>
  </si>
  <si>
    <t>2544 2598 5963</t>
  </si>
  <si>
    <t>PURUSHOTTAM TATODE</t>
  </si>
  <si>
    <t>MEDHA TATODE</t>
  </si>
  <si>
    <t>544, Ashirwad Nagar</t>
  </si>
  <si>
    <t>BHAVAN'S B P VIDYA MANDIR WATHODA NAGPUR MR</t>
  </si>
  <si>
    <t>CENTRAL BOARD OF SECONDARY EDUCATION, NAGPUR</t>
  </si>
  <si>
    <t>M.K.H. SANCHETI PUBLIC SCHOOL &amp; JUNIOR COLLEGE</t>
  </si>
  <si>
    <t>YESHWANTRAO CHAVAN COLLEGE OF ENGINEERING, NAGPUR</t>
  </si>
  <si>
    <t>AutoCAD,Revit,Navisworks,MS Office,MS Project,Primavera,Power BI</t>
  </si>
  <si>
    <t>NFC INFRASTRUCTURES | SITE ENGINEERS | NAGPUR, MAHARASHTRA | Apr 2024 | May 2025 | 1Y 1M | 1.56</t>
  </si>
  <si>
    <t>Louis Berger International (A WSP Company) | Intern | Mumbai, Maharashtra | May 2026 | Jul 2026 | 9.7142857142857 Weeks | Campus Internship
CIVIL GURUJI PVT. LTD. | TRAINEE | NAGPUR, MAHARASHTRA | Feb 2024 | Mar 2024 | 8.1428571428571 Weeks
MANAVI CONSTRUCTION | SITE ENGINEER | NAGPUR | Jan 2024 | Apr 2024 | 17.142857142857 Weeks</t>
  </si>
  <si>
    <t>Diploma in Building Design
Corporate Training Coarse
Power BI</t>
  </si>
  <si>
    <t>P25700256</t>
  </si>
  <si>
    <t>ANIKET</t>
  </si>
  <si>
    <t>NIKAM</t>
  </si>
  <si>
    <t>Aniket Shivaji Nikam</t>
  </si>
  <si>
    <t>aninikam18@gmail.com</t>
  </si>
  <si>
    <t>p25700256@student.nicmar.ac.in</t>
  </si>
  <si>
    <t>20-Apr-2001</t>
  </si>
  <si>
    <t>Marathi, Hindi, English</t>
  </si>
  <si>
    <t>5407 2621 7628</t>
  </si>
  <si>
    <t>13/254 Dattar Mala, Ichalkaranji</t>
  </si>
  <si>
    <t>VYANKATESHWARA ENGLISH SCHOOL</t>
  </si>
  <si>
    <t>SSC, MAHARASHTRA</t>
  </si>
  <si>
    <t>SHARAD INSTITUTE OF TECHNOLOGY POLYTECHNIC, MAHARASHTRA</t>
  </si>
  <si>
    <t>SINHAGAD INSTITUTE OF TECHNOLOGY AND SCIENCE</t>
  </si>
  <si>
    <t>Aakar Architects , Interior and Landscapes Consultants | Assistant/ Junior Engineer | Ichalkaranji | Jul 2023 | Dec 2024 | 1Y 5M | 1.8</t>
  </si>
  <si>
    <t>Goa State Infrastructure Development  Corporation Ltd. (GSIDC) | Site execution | Shiroda, Goa. | May 2026 | Jul 2026 | 8.7142857142857 Weeks | Campus Internship
Omkar Enterprises | Intern  | Pune | Feb 2022 | Apr 2022 | 11.714285714286 Weeks</t>
  </si>
  <si>
    <t>P25700257</t>
  </si>
  <si>
    <t>PRASAD</t>
  </si>
  <si>
    <t>BATE</t>
  </si>
  <si>
    <t>Prasad Ashok Bate</t>
  </si>
  <si>
    <t>bateprasad2@gmail.com</t>
  </si>
  <si>
    <t>p25700257@student.nicmar.ac.in</t>
  </si>
  <si>
    <t>11-Mar-2002</t>
  </si>
  <si>
    <t>5146 9874 8873</t>
  </si>
  <si>
    <t>ASHOK BATE</t>
  </si>
  <si>
    <t>SUJATA BATE</t>
  </si>
  <si>
    <t>A 301, Dhiraj Building, Sudeep CHS, Sanyukta Nagar, Achole Cross Road, Nalasopara East</t>
  </si>
  <si>
    <t>CHANDRESH LODHA MEMORIAL HIGH SCHOOL</t>
  </si>
  <si>
    <t>A V COLLEGE OF ARTS, K M COLLEGE OF COMMERCE &amp; ES ANDRADES COLLEGE OF SCIENCE</t>
  </si>
  <si>
    <t>VIDYAVARDHINI'S COLLEGE OF ENGINEERING AND TECHNOLOGY</t>
  </si>
  <si>
    <t>Deepak Mande and Associates | Trainee Engineer | Vikhroli and Nagpur | Jul 2024 | Mar 2025 | 0Y 8M | 1.95</t>
  </si>
  <si>
    <t>Badiyani Construction | Summer Intern – Billing &amp; Execution | Vanaha Project, Pune | May 2026 | Jul 2026 | 9.7142857142857 Weeks | Campus Internship
Imperial Lifestyle | Internship Trainee | Nalasopara West | Jun 2023 | Jun 2023 | 4.1428571428571 Weeks</t>
  </si>
  <si>
    <t>P25700258</t>
  </si>
  <si>
    <t>GABULA</t>
  </si>
  <si>
    <t>Gabula Balaji</t>
  </si>
  <si>
    <t>gabulabalajibablu12345@gmail.com</t>
  </si>
  <si>
    <t>p25700258@student.nicmar.ac.in</t>
  </si>
  <si>
    <t>05-Aug-1997</t>
  </si>
  <si>
    <t>Telugu Hindi English Kannada Marathi</t>
  </si>
  <si>
    <t>2701 7808 6930</t>
  </si>
  <si>
    <t>GABULA RAMESH</t>
  </si>
  <si>
    <t>GOVT EMPLOYEE</t>
  </si>
  <si>
    <t>GABULA RANJITHA</t>
  </si>
  <si>
    <t>H.no -1-2-431 ,Shanti Nagar Colony  Rakasipet   Bodhan</t>
  </si>
  <si>
    <t>SRI VIJAYA SAI HIGH SCHOOL</t>
  </si>
  <si>
    <t>BOARD OF SECONDARY EDUCATION  NIZAMABAD / TELANGANA</t>
  </si>
  <si>
    <t>NARAYANA JUNIOR COLEEGE</t>
  </si>
  <si>
    <t>BOARD OF INTERMEDIATE EDUCATION HYDERABAD /TELANGANA</t>
  </si>
  <si>
    <t>CMR  TECHNICAL CAMPUS</t>
  </si>
  <si>
    <t>2014-Sep</t>
  </si>
  <si>
    <t>Stiffners | Valuation Engineer  | Hyderabad  | May 2026 | Jul 2026 | 9.5714285714286 Weeks | Campus Internship
SHREE ASSOCIATES | Internship Trainee | Bodhan telangana  | Apr 2024 | May 2025 | 57.857142857143 Weeks</t>
  </si>
  <si>
    <t>P25700259</t>
  </si>
  <si>
    <t>SHANKU</t>
  </si>
  <si>
    <t>RAAJASHREE</t>
  </si>
  <si>
    <t>NAYUDU</t>
  </si>
  <si>
    <t>Shanku Raajashree Nayudu</t>
  </si>
  <si>
    <t>shankuraajashree@gmail.com</t>
  </si>
  <si>
    <t>p25700259@student.nicmar.ac.in</t>
  </si>
  <si>
    <t>10-Oct-1999</t>
  </si>
  <si>
    <t>Telugu, Hindi, English</t>
  </si>
  <si>
    <t>2818 1648 0451</t>
  </si>
  <si>
    <t>THRILOK RAAJ NAYUDU</t>
  </si>
  <si>
    <t>UNEMPLOYEED</t>
  </si>
  <si>
    <t>SANGEETHA RAAJ</t>
  </si>
  <si>
    <t>4-4-81/16, FLOOR 1 , VEERA REDDY COLONY , KARTHIKEYA NAGARÂ ,500076</t>
  </si>
  <si>
    <t>3-9/46, Flat No: 304, Sharadhanagar, Ramanthapur, Hyderabad - 500013</t>
  </si>
  <si>
    <t>ANNIE BEASENT HIGH SCHOOL</t>
  </si>
  <si>
    <t>JAWAHARLAL NEHRU ARCHITECTURE AND FINE ARTS UNIVERSITY</t>
  </si>
  <si>
    <t>SRI VENKATESHWARA COLLEGE OF ARCHITECTURE</t>
  </si>
  <si>
    <t>2017-Sep</t>
  </si>
  <si>
    <t>AutoCAD,MS Office,sketchup,revit,lumion,enscape,photoshop,indesign,illlustrator</t>
  </si>
  <si>
    <t>GRANITI VICENTIA | DRAFTER  | AMEERPET | Jul 2023 | Mar 2025 | 1Y 7M | 4.2</t>
  </si>
  <si>
    <t>ManAssure  | Business Development Intern | Remote - Hyderabad | May 2026 | Jul 2026 | 8.7142857142857 Weeks | Campus Internship
L N Design | Jr. Architect  | Bowenpally  | Mar 2022 | Oct 2023 | 81.857142857143 Weeks</t>
  </si>
  <si>
    <t>P25700260</t>
  </si>
  <si>
    <t>RISHABH</t>
  </si>
  <si>
    <t>KATIYAR</t>
  </si>
  <si>
    <t>Rishabh Katiyar</t>
  </si>
  <si>
    <t>rishabhkatiyar050@gmail.com</t>
  </si>
  <si>
    <t>p25700260@student.nicmar.ac.in</t>
  </si>
  <si>
    <t>26-Mar-2001</t>
  </si>
  <si>
    <t>9379 2476 5909</t>
  </si>
  <si>
    <t>SARVESH CHANDRA KATIYAR</t>
  </si>
  <si>
    <t>SERVICEMAN</t>
  </si>
  <si>
    <t>SHASHI PRABHA KATIYAR</t>
  </si>
  <si>
    <t>1/467 Ambedkar Puram Awas Vikas-3 Kalyanpur, Kanpur</t>
  </si>
  <si>
    <t>Kanpur Nagar</t>
  </si>
  <si>
    <t>54226-GAURAV MEMO INTNL SCHOOL KALYANPUR KANPUR UP</t>
  </si>
  <si>
    <t>CENTRAL BOARD OF SECONDARY EDUCATION (CBSE), DELHI</t>
  </si>
  <si>
    <t>KAMLA NEHRU INSTITUTE OF TECHNOLOGY, SULTANPUR(UP)</t>
  </si>
  <si>
    <t>J.Kumar Infraprojects Ltd | Construction Management Intern | Noida ,Uttar Pradesh | May 2026 | Jul 2026 | 9.7142857142857 Weeks | Campus Internship
Irrigation Department | Internship Trainee | Sultanpur, Uttar Pradesh | Jul 2023 | Jul 2023 | 4.2857142857143 Weeks</t>
  </si>
  <si>
    <t>Microsoft Excel
Primavera P6</t>
  </si>
  <si>
    <t>P25700261</t>
  </si>
  <si>
    <t>YASHASVI</t>
  </si>
  <si>
    <t>SRIVASTAVA</t>
  </si>
  <si>
    <t>Yashasvi Srivastava</t>
  </si>
  <si>
    <t>yashsrivastava26999@gmail.com</t>
  </si>
  <si>
    <t>p25700261@student.nicmar.ac.in</t>
  </si>
  <si>
    <t>26-Nov-1999</t>
  </si>
  <si>
    <t>3734 7515 3283</t>
  </si>
  <si>
    <t>SANJAY KUMAR SRIVASTAVA</t>
  </si>
  <si>
    <t>SAROJ BALA SRIVASTAVA</t>
  </si>
  <si>
    <t>82, Manas Enclave Colony, Indiranagar, Cimap</t>
  </si>
  <si>
    <t>CITY MONTERSSORI SCHOOL</t>
  </si>
  <si>
    <t>INDIAN CERTIFICATE OF SECONDARY EDUCATION EXAMINATION</t>
  </si>
  <si>
    <t>INDIAN SCHOOL CERTIFICATE EXAMINATION</t>
  </si>
  <si>
    <t>SRM INSTITUTE OF SCIENCE AND TECHNOLOGY KATTANKULATHUR</t>
  </si>
  <si>
    <t>Prabha Enterprises | Site Engineer | Lucknow, Uttar Pradesh | May 2024 | Apr 2025 | 0Y 11M | 3</t>
  </si>
  <si>
    <t>Sobha Ltd. | Planning | Bengaluru  | May 2026 | Jul 2026 | 9 Weeks | Campus Internship
Uttar Pradesh Projects Corporation Ltd. | Civil Engineer | Bahraich, Uttar Pradesh | Jul 2021 | Aug 2021 | 4.2857142857143 Weeks
SF associates | Site Engineer  | Lucknow  | Apr 2023 | Jan 2024 | 40.142857142857 Weeks</t>
  </si>
  <si>
    <t>P25700262</t>
  </si>
  <si>
    <t>ANSHUL</t>
  </si>
  <si>
    <t>DIPAK</t>
  </si>
  <si>
    <t>FUNDE</t>
  </si>
  <si>
    <t>Anshul Dipak Funde</t>
  </si>
  <si>
    <t>anshulfunde1671@gmail.com</t>
  </si>
  <si>
    <t>p25700262@student.nicmar.ac.in</t>
  </si>
  <si>
    <t>16-Jul-2001</t>
  </si>
  <si>
    <t>8311 4100 8255</t>
  </si>
  <si>
    <t>TEACHER (RETIRED )</t>
  </si>
  <si>
    <t>Near Jamidar Wada, Behind Primary School, Amgaon (District- Gondia)</t>
  </si>
  <si>
    <t>Gondia</t>
  </si>
  <si>
    <t>PROGRESSIVE ENGLISH HIGH SCHOOL, GONDIA</t>
  </si>
  <si>
    <t>VIDYA NIKETAN JUNIOR COLLEGE, AMGAON</t>
  </si>
  <si>
    <t>SHRI LAXMANRAO MANKAR COLLEGE OF POLYTECHNIC, AMGAON</t>
  </si>
  <si>
    <t>G H RAISONI COLLEGE OF ENGINEERING, NAGPUR</t>
  </si>
  <si>
    <t>AutoCAD,MS Office,MS Project,Power BI</t>
  </si>
  <si>
    <t>Kalpataru Projects International Limited | PMG Intern | Nagpur | May 2026 | Jul 2026 | 8.7142857142857 Weeks | Campus Internship
Khalatkar construction Infra pvt. ltd. | Site Engineer | Nagpur | Jan 2024 | Jul 2024 | 26 Weeks</t>
  </si>
  <si>
    <t>P25700263</t>
  </si>
  <si>
    <t>SAQUIB</t>
  </si>
  <si>
    <t>SHAKIL</t>
  </si>
  <si>
    <t>DAULATABAD</t>
  </si>
  <si>
    <t>Saquib Shakil Daulatabad</t>
  </si>
  <si>
    <t>saquibdaulatabad@gmail.com</t>
  </si>
  <si>
    <t>p25700263@student.nicmar.ac.in</t>
  </si>
  <si>
    <t>09-Oct-2000</t>
  </si>
  <si>
    <t>English,Hindi &amp; Marathi</t>
  </si>
  <si>
    <t>8469 6147 8733</t>
  </si>
  <si>
    <t>SHAHENAZ</t>
  </si>
  <si>
    <t>558, New Paccha Peth, Near Pathroot Chowk, Behind Taj Medical</t>
  </si>
  <si>
    <t>SHANTI ENGLISH MEDIUM SCHOOL</t>
  </si>
  <si>
    <t>MAHARASHTRA STATE BOARD OF SECONDARY AND HIGHER SECONDARY EDUCATION, SOLAPUR</t>
  </si>
  <si>
    <t>TELANGANA STATE BOARD OF INTERMEDIATE EDUCATION, HYDERABAD</t>
  </si>
  <si>
    <t>SRI RAMASWAMY MEMORIAL (SRM) INSTITUTE OF SCIENCE AND TECHNOLOGY</t>
  </si>
  <si>
    <t>SRI RAMASWAMY MEMORIAL (SRM) INSTITUTE OF SCIENCE AND TECHNOLOGY, CHENNAI</t>
  </si>
  <si>
    <t>SOBHA Ltd. | Planning | Bangalore | May 2026 | Jul 2026 | 9 Weeks | Campus Internship</t>
  </si>
  <si>
    <t>Finance for Non-Financial Managers
NPTEL Ethics in Engineering Practice</t>
  </si>
  <si>
    <t>P25700264</t>
  </si>
  <si>
    <t>KANISHK</t>
  </si>
  <si>
    <t>SHILPI</t>
  </si>
  <si>
    <t>Kanishk Kumar Shilpi</t>
  </si>
  <si>
    <t>17kanishkkshilpi@gmail.com</t>
  </si>
  <si>
    <t>p25700264@student.nicmar.ac.in</t>
  </si>
  <si>
    <t>12-Feb-2003</t>
  </si>
  <si>
    <t>5995 1677 5547</t>
  </si>
  <si>
    <t>KANHAIYA LAL LADIA</t>
  </si>
  <si>
    <t>RAJNI LADIA</t>
  </si>
  <si>
    <t>GOVERNMENT TEACHER</t>
  </si>
  <si>
    <t>53, Aakarsh Enclave Tilhari Mandla Road , Jabalpur Madhya Pradesh 482020</t>
  </si>
  <si>
    <t>Jabalpur</t>
  </si>
  <si>
    <t>ST. ALOYSIUS SENIOR SECONDARY SCHOOL CANTT , JABALPUR</t>
  </si>
  <si>
    <t>CENTRAL BOARD OF SECONDARY EDUCATION ,  NEW DELHI</t>
  </si>
  <si>
    <t>RAJIV GANDHI PROUDYOGIKI VISHWAVIDYALAYA (R.G.P.V) BHOPAL ,MADHYA PRADESH</t>
  </si>
  <si>
    <t>MADHAV INSTITUTE OF TECHNOLOGY AND SCIENCE  GWALIOR , MADHYA PRADESH</t>
  </si>
  <si>
    <t>AutoCAD,MS Office,MS Project,MS Excel, REVIT, PrimaVera P6</t>
  </si>
  <si>
    <t>Ahluwalia Contracts (India) Limited | INTERN | Delhi | May 2026 | Jul 2026 | 8.7142857142857 Weeks | Campus Internship
NKC Projects Pvt. Ltd. | INTERN | jabalpur | Jun 2024 | Jul 2024 | 8.4285714285714 Weeks
MADHYA PRADESH PUBLIC WORKS DEPARTMENT , BRIDGE DIVISION JABALPUR | INTERN | JABALPUR | Dec 2024 | May 2025 | 19.857142857143 Weeks</t>
  </si>
  <si>
    <t>P25700265</t>
  </si>
  <si>
    <t>HARSHVARDHAN</t>
  </si>
  <si>
    <t>GEHLOT</t>
  </si>
  <si>
    <t>Harshvardhan Singh Gehlot</t>
  </si>
  <si>
    <t>harshvardhan3960@gmail.com</t>
  </si>
  <si>
    <t>p25700265@student.nicmar.ac.in</t>
  </si>
  <si>
    <t>9273 4260 0399</t>
  </si>
  <si>
    <t>SANJAY SINGH GEHLOT</t>
  </si>
  <si>
    <t>COMPUTER OPERATOR</t>
  </si>
  <si>
    <t>KALPANA GEHLOT</t>
  </si>
  <si>
    <t>ACCOUNTANT</t>
  </si>
  <si>
    <t>M2,222 Ayodhya Nagri Nanda Nagar</t>
  </si>
  <si>
    <t>Indore</t>
  </si>
  <si>
    <t>ST.JOSEPH'S SCHOOL</t>
  </si>
  <si>
    <t>CENTRAL BOARD OF SECONDARY EDUCATION, INDORE, MADHYA PRADESH</t>
  </si>
  <si>
    <t>VAISHNAV BAL MANDIR H S</t>
  </si>
  <si>
    <t>BOARD OF SECONDARY EDUCATION, INDORE, MADHYA PRADESH</t>
  </si>
  <si>
    <t>SHRI VAISHNAV VIDYAPEETH VISHWAVIDYALAYA, INDORE, MADHYA PRADESH</t>
  </si>
  <si>
    <t>SHRI VAISHNAV INSTITUTE OF TECHNOLOGY AND SCIENCE, INDORE, MADHYA PRADESH</t>
  </si>
  <si>
    <t>Sobha Limited  | Site Execution  | Bangalore, Karnataka  | May 2026 | Jul 2026 | 9 Weeks | Campus Internship
LIUGONG INDIA | GRADUATE ENGINEER TRAINEE  | PITHAMPUR (M.P) | May 2025 | Jun 2025 | 7 Weeks
SIDDIQUI DEVELOPERS | PROJECT INTERN | INDORE | Jan 2025 | Apr 2025 | 14.285714285714 Weeks</t>
  </si>
  <si>
    <t>P25700266</t>
  </si>
  <si>
    <t>WAGH</t>
  </si>
  <si>
    <t>Shruti Pravin Wagh</t>
  </si>
  <si>
    <t>shrutiwagh9722@gmail.com</t>
  </si>
  <si>
    <t>p25700266@student.nicmar.ac.in</t>
  </si>
  <si>
    <t>09-Jul-2002</t>
  </si>
  <si>
    <t>3851 9629 3669</t>
  </si>
  <si>
    <t>PRAVIN HIRAMAN WAGH</t>
  </si>
  <si>
    <t>MANISHA PRAVIN WAGH</t>
  </si>
  <si>
    <t>Plot No 18/2 Near Z B Patil College Deopur Dhule, 424002</t>
  </si>
  <si>
    <t>Dhule</t>
  </si>
  <si>
    <t>JAI HIND HIGH SCHOOL DHULE</t>
  </si>
  <si>
    <t>SECONDRY AND HIGHER SECONDARY EDUCATION ,MAHARASHTRA</t>
  </si>
  <si>
    <t>SHIKSHAN MAHARSHI DADASAHEB RAWAL GOVERNMENT POLYTECHNIC,DHULE</t>
  </si>
  <si>
    <t>DR D Y PATIL INSTITUTE OF ENGINEERING MANAGEMENT AND REASEARCH AKURDI PUNE</t>
  </si>
  <si>
    <t>AutoCAD,MS Office,MS Project,Primavera,M S Excel,Project planning &amp; scheduling,Costing &amp; Estimation,Quality &amp; safety Management,Risk Assessment &amp; Mitigation,Autodesk Revit</t>
  </si>
  <si>
    <t>GNY GROUP  | ESTIMATION AND BILLING ENGINEER  | Chatrapati sambhaji nagar | May 2026 | Jul 2026 | 8.7142857142857 Weeks | Campus Internship
PADMASHREE BUILDERS | Site Intern | DHULE | Jan 2023 | Feb 2023 | 4.1428571428571 Weeks
JOGESHWARI CONSTRUCTIONS | Site &amp; Planning Intern | DHULE | Aug 2024 | Jan 2025 | 26.142857142857 Weeks</t>
  </si>
  <si>
    <t>MSCIT Certificate
Academic excellence
REASEARCH PAPER PUBLISH
AUTOCADD</t>
  </si>
  <si>
    <t>P25700267</t>
  </si>
  <si>
    <t>CHANDRASHEKHAR</t>
  </si>
  <si>
    <t>KHAIRE</t>
  </si>
  <si>
    <t>Rohit Chandrashekhar Khaire</t>
  </si>
  <si>
    <t>rohitckhaire02@gmail.com</t>
  </si>
  <si>
    <t>p25700267@student.nicmar.ac.in</t>
  </si>
  <si>
    <t>08-Oct-2002</t>
  </si>
  <si>
    <t>2212 7119 4993</t>
  </si>
  <si>
    <t>CENTRAL GOVERNMENT SERVANT</t>
  </si>
  <si>
    <t>Savata Niwas, F-118, I.U.D.P, Manmad</t>
  </si>
  <si>
    <t>KAVI RABINDRANATH TAGORE ENGLISH MEDIUM SCHOOL, MANMAD</t>
  </si>
  <si>
    <t>MADHYA RAILWAY MADHYAMIK VIDYALAYA, MANMAD</t>
  </si>
  <si>
    <t>VISHWAKARMA INSTITUTE OF INFORMATION TECHNOLOGY, PUNE</t>
  </si>
  <si>
    <t>AutoCAD,MS Office,MS Project,Revit Architech,Revit Structure, Primavera, CostX</t>
  </si>
  <si>
    <t>Impact Infraheights PVT.LTD | Site Execution | Pune | May 2026 | Jul 2026 | 8.7142857142857 Weeks | Campus Internship
Joshi vastu consultant | Site Execution &amp; Controls | Wagholi, pune | Jan 2024 | May 2024 | 19.428571428571 Weeks</t>
  </si>
  <si>
    <t>Revit structure and architect
Autocad
Maharashtra state certificate in information technology (MS-CIT)</t>
  </si>
  <si>
    <t>P25700268</t>
  </si>
  <si>
    <t>GEETANSH</t>
  </si>
  <si>
    <t>AGNIHOTRI</t>
  </si>
  <si>
    <t>Geetansh Agnihotri</t>
  </si>
  <si>
    <t>geetansh12agni@gmail.com</t>
  </si>
  <si>
    <t>p25700268@student.nicmar.ac.in</t>
  </si>
  <si>
    <t>12-Aug-2003</t>
  </si>
  <si>
    <t>7505 3945 2007</t>
  </si>
  <si>
    <t>VIJAY AGNIHOTRI</t>
  </si>
  <si>
    <t>LOCO PILOT IN SECR</t>
  </si>
  <si>
    <t>KAJAL AGNIHOTRI</t>
  </si>
  <si>
    <t>T.G.T. TEACHER</t>
  </si>
  <si>
    <t>A 2 , Phase 2 , Sai Dham Colony, Torwa, Bilaspur , Chhattisgarh</t>
  </si>
  <si>
    <t>ST. FRANCIS HIGHER SECONDARY SCHOOL</t>
  </si>
  <si>
    <t>C.B.S.E.</t>
  </si>
  <si>
    <t>COLONELS ACADEMY OF RADIANT EDUCATION PUBLIC SCHOOL</t>
  </si>
  <si>
    <t>SRM INSTITUTE OF SCIENCE AND TECHNOLOGY , UNIVERSITY IN CHENNAI, TAMIL NADU</t>
  </si>
  <si>
    <t xml:space="preserve"> Sai Shlok Infra Pvt. Ltd. | Site Execution | Surangi | May 2026 | Jun 2026 | 8.1428571428571 Weeks | Campus Internship
Evita Construtions | Site Intern | Chennai - Oragadam | Dec 2023 | Dec 2023 | 3.7142857142857 Weeks</t>
  </si>
  <si>
    <t>Finlatics Equity Market Analyst
Revit Architecture
NPTEL Ethics in Engineering Practice
Finance for Non-Finance Managers
Foundation of Project Management
The Construction Industry: The Way Forward
Construction Finance
Construction Cost Estimating and Cost Control
Construction Scheduling
Construction Project Management
Construction Management</t>
  </si>
  <si>
    <t>P25700269</t>
  </si>
  <si>
    <t>Shubham Gupta</t>
  </si>
  <si>
    <t>shubhamgupta200058@gmail.com</t>
  </si>
  <si>
    <t>p25700269@student.nicmar.ac.in</t>
  </si>
  <si>
    <t>10-Apr-2000</t>
  </si>
  <si>
    <t>2022 0096 0869</t>
  </si>
  <si>
    <t>HARISH GUPTA</t>
  </si>
  <si>
    <t>MANJU GUPTA</t>
  </si>
  <si>
    <t>13/112, Beside Radha Krishna Temple, Kilaward, Juna Bilaspur, Bilaspur.</t>
  </si>
  <si>
    <t>MAHARISHI VIDYA MANDIR BILASPUR</t>
  </si>
  <si>
    <t>CHHATTISGARH SWAMI VIVEKANAND TECHNICAL UNIVERSITY DURG</t>
  </si>
  <si>
    <t>SHRI SHANKARACHARYA TECHNICAL CAMPUS BHILAI, CHHATTISGARH</t>
  </si>
  <si>
    <t>Savvy infrastructure pvt ltd | Cost management intern. | Gandhi Nagar, Gujarat  | May 2026 | Jul 2026 | 8.7142857142857 Weeks | Campus Internship
PUBLIC WORK DEPARTMENT | INTERN | BILASPUR CHHATTISGARH | Sep 2021 | Oct 2021 | 4.8571428571429 Weeks</t>
  </si>
  <si>
    <t>P25700270</t>
  </si>
  <si>
    <t>MANYA</t>
  </si>
  <si>
    <t>MADHU</t>
  </si>
  <si>
    <t>Manya Madhu</t>
  </si>
  <si>
    <t>manyamadhu04@gmail.com</t>
  </si>
  <si>
    <t>p25700270@student.nicmar.ac.in</t>
  </si>
  <si>
    <t>21-Jun-2003</t>
  </si>
  <si>
    <t>8757 9420 6112</t>
  </si>
  <si>
    <t>MADHU KRISHNAN</t>
  </si>
  <si>
    <t>ANITHA MADHU</t>
  </si>
  <si>
    <t>217, Shyam Nagar NX, Near Abhinandan Nagar, Shukhliya</t>
  </si>
  <si>
    <t>ST. VINCENT PALLOTTI SCHOOL</t>
  </si>
  <si>
    <t>INDORE, MADHYA PRADESH</t>
  </si>
  <si>
    <t>SICA SENIOR SECONDARY SCHOOL</t>
  </si>
  <si>
    <t>RAJIV GANDHI PROUDYOGIKI VISHWAVIDHALAYA</t>
  </si>
  <si>
    <t>IPS ACADEMY, INSTITUTE OF ENGINEERING AND SCIENCE, INDORE, M.P</t>
  </si>
  <si>
    <t>AutoCAD, MS Projects, Primavera</t>
  </si>
  <si>
    <t>Saint Gobains | Management Intern | Pune | May 2026 | Jul 2026 | 8.4285714285714 Weeks | Campus Internship
PD AGRAWAL CONSTRUCTION COMPANY INDORE | INTERN | INDORE | Jun 2023 | Jun 2023 | 4.1428571428571 Weeks
CSIR-NIIST THIRUVANANTHAPURAM | RESEARCH INTERN | THIRUVANANTHAPURAM | May 2024 | Jul 2024 | 7.2857142857143 Weeks</t>
  </si>
  <si>
    <t>P25700271</t>
  </si>
  <si>
    <t>SANSKRUTI</t>
  </si>
  <si>
    <t>Sanskruti Sanjay Jadhav</t>
  </si>
  <si>
    <t>sanskrutijadhav679@gmail.com</t>
  </si>
  <si>
    <t>p25700271@student.nicmar.ac.in</t>
  </si>
  <si>
    <t>30-Jul-2002</t>
  </si>
  <si>
    <t>2941 8530 2780</t>
  </si>
  <si>
    <t>SANJAY JADHAV</t>
  </si>
  <si>
    <t>GOLDSMITH</t>
  </si>
  <si>
    <t>VAISHALI JADHAV</t>
  </si>
  <si>
    <t>1145, 'B' Ward, Potnis Bol, Mirajkar Tikati , Mangalwar Peth, Kolhapur, 416012</t>
  </si>
  <si>
    <t>HOLY CROSS CONVENT HIGH SCHOOL, KOLHAPUR</t>
  </si>
  <si>
    <t>MAHARASHTRA STATE BOARD OF SECONDARY AND HIGHER SECONDARY EDUCATION, PUNE (KOLHAPUR DIVISIONAL BOARD)</t>
  </si>
  <si>
    <t>THE NEW COLLEGE, KOLHAPUR</t>
  </si>
  <si>
    <t>COLLEGE OF ARCHITECTURE, KOLHAPUR</t>
  </si>
  <si>
    <t>Vilas Javdekar Developers (Sankalp Contracts Pvt. Ltd.)  | Site Execution  | Pune  | May 2026 | Jun 2026 | 8.5714285714286 Weeks | Campus Internship
ENVIARCH | INTERN ARCHITECT | BANGALORE  | Jan 2024 | May 2024 | 19.571428571429 Weeks</t>
  </si>
  <si>
    <t>P25700272</t>
  </si>
  <si>
    <t>SOHAM</t>
  </si>
  <si>
    <t>RAJENDRA</t>
  </si>
  <si>
    <t>Soham Rajendra Jadhav</t>
  </si>
  <si>
    <t>sohamj2706@gmail.com</t>
  </si>
  <si>
    <t>p25700272@student.nicmar.ac.in</t>
  </si>
  <si>
    <t>20-Dec-2003</t>
  </si>
  <si>
    <t>5213 6105 2508</t>
  </si>
  <si>
    <t>RAJENDRA KRUSHNAJI JADHAV</t>
  </si>
  <si>
    <t>SMITA RAJENDRA JADHAV</t>
  </si>
  <si>
    <t>Flat No B-506 YASHWIN SOCIETY, Yashwin Rd, Shri Ram Nagar, Sus, Pune, MaharashtraÂ 411021</t>
  </si>
  <si>
    <t>ANAND NIKETAN</t>
  </si>
  <si>
    <t>STATE BOARD OF SECONDARY AND HIGHER SECONDARY EDUCATION, PUNE</t>
  </si>
  <si>
    <t>K.K.WAGH POLYTECHNIC, NASHIK</t>
  </si>
  <si>
    <t>BHARATI VIDYAPEETH'S COLLEGE OF ENGINEERING, LAVALE</t>
  </si>
  <si>
    <t>AutoCAD,MS Office,MS Project,Primavera,MS Excel,CostX,REVIT,CANVA,Power BI</t>
  </si>
  <si>
    <t>Econstruct design &amp; build pvt. ltd. | BIM and Project Management Intern |  Bangalore  | May 2026 | Jun 2026 | 8.1428571428571 Weeks | Campus Internship
Samraat group project | Intern  | Nashik  | Dec 2023 | Jan 2024 | 4.4285714285714 Weeks</t>
  </si>
  <si>
    <t>Factors affecting real estate property rates
IRJET Publication certificate</t>
  </si>
  <si>
    <t>P25700273</t>
  </si>
  <si>
    <t>SUTHIKSAN</t>
  </si>
  <si>
    <t>RAM</t>
  </si>
  <si>
    <t>J S</t>
  </si>
  <si>
    <t>Suthiksan Ram J S</t>
  </si>
  <si>
    <t>suthiksenthil@icloud.com</t>
  </si>
  <si>
    <t>p25700273@student.nicmar.ac.in</t>
  </si>
  <si>
    <t>10-Jul-2004</t>
  </si>
  <si>
    <t>English, Tamil</t>
  </si>
  <si>
    <t>6507 9914 6357</t>
  </si>
  <si>
    <t>SENTHIL C</t>
  </si>
  <si>
    <t>SAVITHA K</t>
  </si>
  <si>
    <t>76/1, Kavery Avenue, MDS Nagar, Hasthampatti, Salem- 636007</t>
  </si>
  <si>
    <t>SENTHIL PUBLIC SCHOOL</t>
  </si>
  <si>
    <t>CENTRAL BOARD OF SECONDARY EDUCATION, SALEM/TAMILNADU</t>
  </si>
  <si>
    <t>HOLYCROSS MATRICULATION HIGHER SECONDARY SCHOOL</t>
  </si>
  <si>
    <t>STATE BOARD OF SCHOOL EXAMINATIONS, SALEM/TAMILNADU</t>
  </si>
  <si>
    <t>SONA COLLEGE OF TECHNOLOGY, SALEM/TAMILNADU</t>
  </si>
  <si>
    <t>Suryapriya Constructions Private Limited | Project Management | Bengaluru | May 2026 | Jul 2026 | 8.7142857142857 Weeks | Campus Internship
RK&amp; SONS CONSTRUCTION | CONSTRUCTION OF BUFFER PARKING YARD AT CHENNAI PORT TRUST | CHENNAI PORT TRUST | Jun 2024 | Aug 2024 | 9.8571428571429 Weeks</t>
  </si>
  <si>
    <t>P25700274</t>
  </si>
  <si>
    <t>AARTI</t>
  </si>
  <si>
    <t>VITTHAL</t>
  </si>
  <si>
    <t>GANESHKAR</t>
  </si>
  <si>
    <t>Aarti Vitthal Ganeshkar</t>
  </si>
  <si>
    <t>aartiganeshkar002004@gmail.com</t>
  </si>
  <si>
    <t>p25700274@student.nicmar.ac.in</t>
  </si>
  <si>
    <t>01-Mar-2004</t>
  </si>
  <si>
    <t>6642 2600 0759</t>
  </si>
  <si>
    <t>VITTHAL SUKHADEV GANESHKAR</t>
  </si>
  <si>
    <t>AASHA VITTHAL GANESHKAR</t>
  </si>
  <si>
    <t>168 B Shreenath Colony Sadar Bazar Satara</t>
  </si>
  <si>
    <t>AADARSH VIDYAMANDIR SATARA</t>
  </si>
  <si>
    <t>YASHAVANTRAO CHAVAN INSTITUTE OF SCIENCE, SATARA</t>
  </si>
  <si>
    <t>DR. BABASAHEB AMBEDKAR TECHNOLOGICAL UNIVERSITY LONERE</t>
  </si>
  <si>
    <t>KARMAVEER BHAURAO PATIL COLLEGE OF ENGINEERING, SATARA</t>
  </si>
  <si>
    <t>AutoCAD,MS Office,MS Project,Staad-Pro,MS Excel</t>
  </si>
  <si>
    <t>Bhajan Infra Tech Pvt. Ltd. | Project Coordination Intern  | Surat | May 2026 | Jun 2026 | 7.7142857142857 Weeks | Campus Internship
BUILD TECH HOMES | INTERN | Satara, Maharashtra | Jul 2023 | Aug 2023 | 7.1428571428571 Weeks</t>
  </si>
  <si>
    <t>P25700275</t>
  </si>
  <si>
    <t>MUNISH</t>
  </si>
  <si>
    <t>RANA</t>
  </si>
  <si>
    <t>Munish Rana</t>
  </si>
  <si>
    <t>munishranasmr52@gmail.com</t>
  </si>
  <si>
    <t>p25700275@student.nicmar.ac.in</t>
  </si>
  <si>
    <t>Hindi, English, Punjabi</t>
  </si>
  <si>
    <t>3389 7916 6746</t>
  </si>
  <si>
    <t>MAN SINGH RANA</t>
  </si>
  <si>
    <t>SHANTA RANA</t>
  </si>
  <si>
    <t>1456_x000D_
Dashmesh Nagar_x000D_
Near Church</t>
  </si>
  <si>
    <t>Mohali</t>
  </si>
  <si>
    <t>DAV PUBLIC SCHOOL, CHANDIGARH</t>
  </si>
  <si>
    <t>BAL NIKETAN MODEL SENIOR SECONDARY SCHOOL</t>
  </si>
  <si>
    <t>IK GUJRAL PUNJAB TECHNICAL UNIVERSITY</t>
  </si>
  <si>
    <t>GURU NANAK DEV ENGINEERING COLLEGE, LUDHIANA</t>
  </si>
  <si>
    <t>AutoCAD,MS Office,MS Project,Primavera,EPANET,REVIT,COST X,CIVIL Storm</t>
  </si>
  <si>
    <t>WELSPUN ENTERPRISES LIMITED | INTERN | AURANGABAD, BIHAR | Sep 2023 | Dec 2023 | 14.428571428571 Weeks</t>
  </si>
  <si>
    <t>P25700277</t>
  </si>
  <si>
    <t>SHYAM</t>
  </si>
  <si>
    <t>Shyam S</t>
  </si>
  <si>
    <t>shyamsudhesan@gmail.com</t>
  </si>
  <si>
    <t>p25700277@student.nicmar.ac.in</t>
  </si>
  <si>
    <t>01-Oct-1999</t>
  </si>
  <si>
    <t>9598 3547 8855</t>
  </si>
  <si>
    <t>SUDESAN G</t>
  </si>
  <si>
    <t>SOBHANA S</t>
  </si>
  <si>
    <t>Manikyamandiram, Alumkadavu P O, Kollam, Karunagappally</t>
  </si>
  <si>
    <t>SREE NARAYANA CENTRAL SCHOOL</t>
  </si>
  <si>
    <t>CBSC -KOLLAM ,KARUNAGAPPALLY</t>
  </si>
  <si>
    <t>SAINTGITS COLLAGE OF ENGINEERING</t>
  </si>
  <si>
    <t>SAINTGITS COLLAGE OF ENGINEERING,CHANGANASSERY,KOTTAYAM</t>
  </si>
  <si>
    <t>Bokhad construction | Site Engineer | Kollam, kerala | Jul 2022 | Jul 2025 | 2Y 11M | 1.85</t>
  </si>
  <si>
    <t>Cherry hills | Site Engineer | chennai  | May 2026 | Jul 2026 | 8.7142857142857 Weeks | Campus Internship</t>
  </si>
  <si>
    <t>P25700278</t>
  </si>
  <si>
    <t>JAGDISH</t>
  </si>
  <si>
    <t>DIDDI</t>
  </si>
  <si>
    <t>Nikhil Jagdish Diddi</t>
  </si>
  <si>
    <t>nikhildiddi730@gmail.com</t>
  </si>
  <si>
    <t>p25700278@student.nicmar.ac.in</t>
  </si>
  <si>
    <t>English, Hindi, Marathi, Telgu</t>
  </si>
  <si>
    <t>7860 1788 0399</t>
  </si>
  <si>
    <t>JAGDISH DIDDI</t>
  </si>
  <si>
    <t>KAVITA DIDDI</t>
  </si>
  <si>
    <t>FLAT NO 103, RAMALAYAM APARTMENT, ASHOK CHOWK,  SOLAPUR</t>
  </si>
  <si>
    <t>370, Sakhar Peth,solaur</t>
  </si>
  <si>
    <t>ST. JOSEPH HIGH SCHOOL, SOLAPUR</t>
  </si>
  <si>
    <t>MAHARSHTRA STATE BOSARD OF SECONDARY AND HIGHER SECONDARY EDUCATION, PUNE</t>
  </si>
  <si>
    <t>KUCHAN JR. COLLEGE , SOLAPUR</t>
  </si>
  <si>
    <t>MAHARSHTRA STATE BOARD OF SECONDARY AND HIGHER SECONDARY EDUCATION , PUNE</t>
  </si>
  <si>
    <t>PUNYASHLOK AHILYADEVI HOLKAR SOLAPUR UNIVERSITY , SOLAPUR</t>
  </si>
  <si>
    <t>WALCHAND INSTITUTE OF TECHNOLOGY , SOLAPUR, MAHARASHTRA</t>
  </si>
  <si>
    <t>AutoCAD,MS Office,MS Project,Primavera,revit,sketchup,d5,Ms excel,IGBC AP Associate</t>
  </si>
  <si>
    <t>Savvy greens  | Intern- sustainable energy management  | Ahmedabad  | May 2026 | Jul 2026 | 8.7142857142857 Weeks | Campus Internship
Shubh Ventures , solapur | Site engineer | Solapur  | Dec 2024 | Feb 2025 | 8.8571428571429 Weeks</t>
  </si>
  <si>
    <t>2D Drafting and Planning (Using autocad)
REVIT architecture bim level level 1</t>
  </si>
  <si>
    <t>P25700280</t>
  </si>
  <si>
    <t>ARAVIND</t>
  </si>
  <si>
    <t>THAMPI</t>
  </si>
  <si>
    <t>Aravind M Thampi</t>
  </si>
  <si>
    <t>aravindmthampi2003@gmail.com</t>
  </si>
  <si>
    <t>P24702049@student.nicmar.ac.in</t>
  </si>
  <si>
    <t>12-Mar-2003</t>
  </si>
  <si>
    <t>English, Malayalam &amp; Hindi</t>
  </si>
  <si>
    <t>5212 0674 5508</t>
  </si>
  <si>
    <t>VIKRAMAN THAMBI M P</t>
  </si>
  <si>
    <t>BINDHU THAMBI</t>
  </si>
  <si>
    <t>Mylankal House, Karimkunnam P O,Karimkunnam,
Idukki, Kerala 685586</t>
  </si>
  <si>
    <t>Idukki</t>
  </si>
  <si>
    <t>NIRMALA PUBLIC SCHOOL, PIZHAKU, KOTTAYAM</t>
  </si>
  <si>
    <t>ST. GEORGE HIGHER SECONDARY SCHOOL, MUTHALAKODAM,IDUKKI</t>
  </si>
  <si>
    <t>APJ ABDUL KALAM TECHNOLOGICAL UNIVERSITY, THIRUVANANTHAPURAM, KERALA</t>
  </si>
  <si>
    <t>AutoCAD,MS Office,MS Project,Primavera,Bentley RamConcept,CSI Column</t>
  </si>
  <si>
    <t>Goa State Infrastructure Development Corporation | Site Execution | Panaji, Goa | May 2026 | Jul 2026 | 8.7142857142857 Weeks | Campus Internship
STRANDS POST TENSION EXPERTS | Junior Structural Design Engineer | Kochi | Jul 2024 | Jun 2025 | 52 Weeks
KERALA STATE PUBLIC WORKS DEPARTMENT | Site Engineer- Intern | Kottayam | May 2023 | May 2023 | 0.57142857142857 Weeks</t>
  </si>
  <si>
    <t>ICI Membership
Traffic Studies for Sabari Rail Project
Work Readiness Program
Training on STAAD Pro CONNECT Edition
5-Days Internship in Building Information Modelling
Introduction to AutoCAD
The Fundamentals of Digital Marketing certification Exam</t>
  </si>
  <si>
    <t>P25700282</t>
  </si>
  <si>
    <t>RESHMA</t>
  </si>
  <si>
    <t>CHANDRAN</t>
  </si>
  <si>
    <t>Reshma S Chandran</t>
  </si>
  <si>
    <t>reshmaspillai2001@gmail.com</t>
  </si>
  <si>
    <t>p25700282@student.nicmar.ac.in</t>
  </si>
  <si>
    <t>English and Malayalam</t>
  </si>
  <si>
    <t>7398 2008 0857</t>
  </si>
  <si>
    <t>SUNIL CHANDRAN</t>
  </si>
  <si>
    <t>SAJITHA</t>
  </si>
  <si>
    <t>Puthenveettil,manakkad,vallikunnam.p.o</t>
  </si>
  <si>
    <t>HOLY TRINITY ANGLO INDIAN INTERNATIONAL SCHOOL</t>
  </si>
  <si>
    <t>INDIAN SCHOOL CERTIFICATE</t>
  </si>
  <si>
    <t>SREE BUDDHA COLLEGE OF ENGINEERING,ALAPPUZHA</t>
  </si>
  <si>
    <t>Uralungal Labour Contract Co-operative Society (ULCCS) | Site Execution | Ernakulam | May 2026 | Jul 2026 | 7.7142857142857 Weeks | Campus Internship
MADECKAL CONSTRUCTIONS | INTERNSHIP TRAINEE | KOCHI | Jul 2024 | Jul 2024 | 1 Weeks</t>
  </si>
  <si>
    <t>Data analysis
Finance for Non-Financial Managers
NPTEL</t>
  </si>
  <si>
    <t>P25700283</t>
  </si>
  <si>
    <t>MUKUNDRAO</t>
  </si>
  <si>
    <t>GAMBHIRE</t>
  </si>
  <si>
    <t>Vinod Mukundrao Gambhire</t>
  </si>
  <si>
    <t>vrgambhire1722424@gmail.com</t>
  </si>
  <si>
    <t>p25700283@student.nicmar.ac.in</t>
  </si>
  <si>
    <t>01-Jun-2001</t>
  </si>
  <si>
    <t>other</t>
  </si>
  <si>
    <t>8981 1619 5022</t>
  </si>
  <si>
    <t>MUKUND SHANKARRAO GAMBHIRE</t>
  </si>
  <si>
    <t>MOHINI</t>
  </si>
  <si>
    <t>FLAT NO.305,TOWER 1,KOHINOOR CORAL, OPPOSITE TCS GATE NO. 2 HINJAWADI PHASE 3</t>
  </si>
  <si>
    <t>Vaiibhav Niwas, Near Gurkha Maroti Mandir, Jawala Bazar</t>
  </si>
  <si>
    <t>Hingoli</t>
  </si>
  <si>
    <t>NIWASI HIGHSCHOOL BARASHIV</t>
  </si>
  <si>
    <t>MAHARASHTRA STATE BOARD OF SECONDARY AND HIGHER SECONDARY EDUCATION, MAHARASHTRA</t>
  </si>
  <si>
    <t>ANAND KANISHTHA MAHAVIDYALAYA</t>
  </si>
  <si>
    <t>MAHARASHTRA STATE BOARD OF SECONDARY AND HIGHER SECONDARY EDUCATION,MAHARASHTRA</t>
  </si>
  <si>
    <t>D.Y.PATIL COLLEGE OF ENGINEERING, PUNE</t>
  </si>
  <si>
    <t>AutoCAD,MS Office,Power BI,Advanced Excel,MS Project</t>
  </si>
  <si>
    <t>Pramukh Omkar Group | Civil Engineer Intern | Randesan, Gandhinagar | May 2026 | Jul 2026 | 8.7142857142857 Weeks | Campus Internship</t>
  </si>
  <si>
    <t>Microsoft Excel - Excel from Beginner to Advanced
Microsoft Power BI Desktop for Business Intelligence(2023)
Ultimate Microsoft Office;Excel,Word,PowerPoint &amp; Access
The Complete AutoCad 2020 2D + 3D Course
Finance for non-Financial Managers
IGBC Accredited Professional - Associate
AI in Construction Program
Advanced Communication
Data Analysis
Autodesk Revit</t>
  </si>
  <si>
    <t>P25700284</t>
  </si>
  <si>
    <t>SUJAL</t>
  </si>
  <si>
    <t>CHANDAN</t>
  </si>
  <si>
    <t>SUWARANI</t>
  </si>
  <si>
    <t>Sujal Chandan Suwarani</t>
  </si>
  <si>
    <t>suwaranisujal45@gmail.com</t>
  </si>
  <si>
    <t>P2371058@student.nicmar.ac.in</t>
  </si>
  <si>
    <t>07-May-2002</t>
  </si>
  <si>
    <t>Cricket, Reading</t>
  </si>
  <si>
    <t>6725 6576 4701</t>
  </si>
  <si>
    <t>CHANDAN SUWARANI</t>
  </si>
  <si>
    <t>VEENA SUWARANI</t>
  </si>
  <si>
    <t>Plot No. 76 Tulsi Nagar, Near Shantinagar Colony, Nagpur- 440002</t>
  </si>
  <si>
    <t>NICMAR HOSTEL GATE NO. 2, BALEWADI, PUNE</t>
  </si>
  <si>
    <t>ST. JOHN'S HIGH SCHOOL</t>
  </si>
  <si>
    <t>NAMO NARAYANI JUNIOR COLLEGE</t>
  </si>
  <si>
    <t>G.H. RAISONI COLLEGE OF ENGINEERING, NAGPUR</t>
  </si>
  <si>
    <t>AutoCAD,MS Office,MS Project,Primavera,Revit,Navisworks,Bluebeam</t>
  </si>
  <si>
    <t>B.G. Shirke Construction Technology Pvt. Ltd. | Management Trainee | Nagpur | May 2026 | Jul 2026 | 9.7142857142857 Weeks | Campus Internship
Ulhas Enterprises (Government contractor of NMC) | Site Engineer Trainee | Nagpur | May 2022 | Jun 2022 | 4.4285714285714 Weeks
LG Developers and Builders | Site Engineer Trainee | Nagpur | Dec 2023 | Jun 2024 | 26.142857142857 Weeks</t>
  </si>
  <si>
    <t>BIM Engineer</t>
  </si>
  <si>
    <t>P25700285</t>
  </si>
  <si>
    <t>VILAS</t>
  </si>
  <si>
    <t>PEDNEKAR</t>
  </si>
  <si>
    <t>Omkar Vilas Pednekar</t>
  </si>
  <si>
    <t>ompednekar10@gmail.com</t>
  </si>
  <si>
    <t>p25700285@student.nicmar.ac.in</t>
  </si>
  <si>
    <t>16-Dec-2003</t>
  </si>
  <si>
    <t>6790 2439 1365</t>
  </si>
  <si>
    <t>VILAS PEDNEKAR</t>
  </si>
  <si>
    <t>RETRIED FROM CENTRAL RAILWAY (LOCO PILOT)</t>
  </si>
  <si>
    <t>VAISHAKHI</t>
  </si>
  <si>
    <t>ACCOUNT OFFICER IN BMC</t>
  </si>
  <si>
    <t>B/805, Astral, Mahavir Universe, L.B.S Marg, Bhandup West, Mumbai 400078</t>
  </si>
  <si>
    <t>PARAG ENGLISH SCHOOL</t>
  </si>
  <si>
    <t>SSC Board, MUMBAI / MAHARASHTRA</t>
  </si>
  <si>
    <t>VIVEKANAND EDUCATION SOCIETY POLYTECHNIC,MSBTE, MUMBAI / MAHARASHTRA</t>
  </si>
  <si>
    <t>DATTA MEGHE COLLEGE OF ENGINEERING, MUMBAI / MAHARASHTRA</t>
  </si>
  <si>
    <t>Primavera P6, Revit, digiQC, AutoCAD, MS Office, MS Project</t>
  </si>
  <si>
    <t>Moraj AHN Developer LLP | Project Execution &amp; Planning Intern | Moraj Opulence, Mahim, Mumbai | May 2026 | Jul 2026 | 8.7142857142857 Weeks | Campus Internship
NCC-SMC (SATIS) JV | Trainee Internship | Existing Thane Railway Station (East) | Dec 2024 | Jan 2025 | 4.4285714285714 Weeks
Damji Shamji Shah Group | Trainee Engineer |  Thane West | Dec 2022 | Mar 2023 | 12.857142857143 Weeks</t>
  </si>
  <si>
    <t>National Level Project &amp; Paper Presentation Competition</t>
  </si>
  <si>
    <t>P25700286</t>
  </si>
  <si>
    <t>KRISHNAN</t>
  </si>
  <si>
    <t>Gokul Krishnan M</t>
  </si>
  <si>
    <t>gkalltheday@gmail.com</t>
  </si>
  <si>
    <t>p25700286@student.nicmar.ac.in</t>
  </si>
  <si>
    <t>14-May-2003</t>
  </si>
  <si>
    <t>5956 9867 8633</t>
  </si>
  <si>
    <t>MADHUSOODANAN PILLAI S</t>
  </si>
  <si>
    <t>ELECTRICAL CONTRACTOR</t>
  </si>
  <si>
    <t>GIRIJAKUMARY</t>
  </si>
  <si>
    <t>FOOTBALL COACH</t>
  </si>
  <si>
    <t>EARICKAL YADUKULAM ,MEKKUMMURI,THAMARAKULAM PO,690530,ALAPPUZHA</t>
  </si>
  <si>
    <t>VHSS CHATHIYARA</t>
  </si>
  <si>
    <t>BOARD OF PUBLIC EXAMINATIONS, KERALA</t>
  </si>
  <si>
    <t>BOARD OF HIGHER SECONDARY EXAMINATIONS, GOVERNMENT OF KERALA</t>
  </si>
  <si>
    <t>RAJIV GANDHI INSTITUTE OF TECHNOLOGY KOTTAYAM</t>
  </si>
  <si>
    <t>Uralungal Labour Contract Co-operative Society (ULCCS) | Site Execution | Ernakulam | May 2026 | Jul 2026 | 7.7142857142857 Weeks | Campus Internship</t>
  </si>
  <si>
    <t>P25700287</t>
  </si>
  <si>
    <t>DNYANDEO</t>
  </si>
  <si>
    <t>BIRARI</t>
  </si>
  <si>
    <t>Satyam Dnyandeo Birari</t>
  </si>
  <si>
    <t>satyambirari16@gmail.com</t>
  </si>
  <si>
    <t>p25700287@student.nicmar.ac.in</t>
  </si>
  <si>
    <t>01-Jun-1999</t>
  </si>
  <si>
    <t>8922 1527 1114</t>
  </si>
  <si>
    <t>DNYANDEO GANPAT BIRARI</t>
  </si>
  <si>
    <t>LATA DNYANDEO BIRARI</t>
  </si>
  <si>
    <t>Ambika Nagar,kotamgaon Road ,lasalgaon</t>
  </si>
  <si>
    <t>LOKNETE DATTAJI PATIL VIDYALAY LASALGAON</t>
  </si>
  <si>
    <t>K.K WAGH INSTITUTE OF ENGINEERING AND RESEARCH,NASHIK</t>
  </si>
  <si>
    <t>Saivaishnavi buildcon | Site execution and control | Nashik | Jun 2023 | Sep 2023 | 0Y 3M | 0.08
Harsh constructions | Quantity Surveying and billing | mumbai | Oct 2023 | May 2025 | 1Y 7M | 0.2</t>
  </si>
  <si>
    <t>SOBHA LIMITED | Project Planning Intern  | Sobha Infinia Koramangala,Banglore Karnataka | May 2026 | Jul 2026 | 9 Weeks | Campus Internship
VIGHNESH CONSTRUCTIONS | Site Execution and Control | LASALGAON | Mar 2022 | Feb 2023 | 48.571428571429 Weeks</t>
  </si>
  <si>
    <t>Internship training of construction skill development
Autocad +Revit+3ds max</t>
  </si>
  <si>
    <t>P25700288</t>
  </si>
  <si>
    <t>ARYA</t>
  </si>
  <si>
    <t>Atul Arya</t>
  </si>
  <si>
    <t>arya.atul0@gmail.com</t>
  </si>
  <si>
    <t>p25700288@student.nicmar.ac.in</t>
  </si>
  <si>
    <t>23-Jun-2000</t>
  </si>
  <si>
    <t>3740 5384 3786</t>
  </si>
  <si>
    <t>AMRENDRA KUMAR</t>
  </si>
  <si>
    <t>ARCHANA KUMARI</t>
  </si>
  <si>
    <t>191, Sreerampur Road North,_x000D_
Garia, South 24 Parganas, West Bengal-700084</t>
  </si>
  <si>
    <t>DELHI PUBLIC SCHOOL, RUBY PARK, KOLKATA</t>
  </si>
  <si>
    <t>CBSE, KOLKATA</t>
  </si>
  <si>
    <t>HERITAGE INSTITUTE OF TECHNOLOGY, KOLKATA, WEST BENGAL</t>
  </si>
  <si>
    <t>Advanced MS Excel, Power BI, MS Office Suite, AutoCAD, AutoCAD 3D, MS Projects, Primavera P6</t>
  </si>
  <si>
    <t>Satish Aggarwal &amp; Co. | G.E.T followed by Billing Engineer | Kathua, Jammu &amp;amp;amp; Kashmir | Jul 2023 | Feb 2025 | 1Y 6M | 3.96
NIKHIL GROUP | Billing Engineer-Q.S. | Mangaon, Maharashtra | Feb 2025 | Mar 2025 | 0Y 1M | 4.12</t>
  </si>
  <si>
    <t>NBCC | Project Management Intern | Greater Noida, Uttar Pradesh | May 2026 | Jul 2026 | 9.7142857142857 Weeks | Campus Internship
State Highway Authority of Jharkhand | Industrial Trainee | Dhanbad | Jul 2022 | Aug 2022 | 4.2857142857143 Weeks</t>
  </si>
  <si>
    <t>Project Management with Prima Vera P6
Power BI for Beginners: Interactive Dashboard Fundamentals
PMI Essentials: Seven AI Project Patterns
SAP PS (Project System)
Geometric and Traffic Aspects of Highway
Procore Certified: Project Manager (Core Tools)
Complete Microsoft Advanced Excel</t>
  </si>
  <si>
    <t>P25700289</t>
  </si>
  <si>
    <t>CHETANA</t>
  </si>
  <si>
    <t>DILIPRAO</t>
  </si>
  <si>
    <t>UGE</t>
  </si>
  <si>
    <t>Chetana Diliprao Uge</t>
  </si>
  <si>
    <t>chetanauge@gmail.com</t>
  </si>
  <si>
    <t>p25700289@student.nicmar.ac.in</t>
  </si>
  <si>
    <t>24-Jul-2000</t>
  </si>
  <si>
    <t>3560 1826 1320</t>
  </si>
  <si>
    <t>RETIRED GOVERNMENT SERVANT</t>
  </si>
  <si>
    <t>SANGITA UGE</t>
  </si>
  <si>
    <t>89, Revti Nagar, Besa, Nagpur</t>
  </si>
  <si>
    <t>SOMALWAR HIGH SCHOOL RAMDASPETH, NAGPUR</t>
  </si>
  <si>
    <t>SHIVAJI SCIENCE COLLEGE, NAGPUR</t>
  </si>
  <si>
    <t>RASHTRASANT TUKDOJI MAHARAJ UNIVERSITY, NAGPUR</t>
  </si>
  <si>
    <t>COEP TECHNOLOGICAL UNIVERSITY</t>
  </si>
  <si>
    <t>MBA</t>
  </si>
  <si>
    <t>AutoCAD,MS Office,MS Project,Primavera,BIM</t>
  </si>
  <si>
    <t>Shobha Ltd. | Planning Engineer Trainee | Marathahalli, Bengaluru | May 2026 | Jul 2026 | 9 Weeks | Campus Internship
P.K. Nagrare Construction | Junior Site Engineer | Nagpur | Feb 2023 | May 2023 | 13.285714285714 Weeks
Center of Excellence in Robotics and AI, COEP Technological University  | Business Analytics Intern | Pune | Jun 2024 | Jul 2024 | 8.5714285714286 Weeks</t>
  </si>
  <si>
    <t>P25700290</t>
  </si>
  <si>
    <t>RAUT</t>
  </si>
  <si>
    <t>Soham Satish Raut</t>
  </si>
  <si>
    <t>sohamraut22@gmail.com</t>
  </si>
  <si>
    <t>p25700290@student.nicmar.ac.in</t>
  </si>
  <si>
    <t>22-Aug-1999</t>
  </si>
  <si>
    <t>8829 7613 5494</t>
  </si>
  <si>
    <t>SATISH RAUT</t>
  </si>
  <si>
    <t>SONALI RAUT</t>
  </si>
  <si>
    <t>FLAT NO. 6, SIDDHI APARTMENT, NEAR WARJE BRIDGE</t>
  </si>
  <si>
    <t>Prabhag No. 1, Bayja Bhavan, House No. 12-B, Butibori</t>
  </si>
  <si>
    <t>ST. CLARET SCHOOL</t>
  </si>
  <si>
    <t>YESHWANTRAO CHAVAN COLLEGE OF ENGINEERING (YCCE), MAHARASHTRA</t>
  </si>
  <si>
    <t>AutoCAD,MS Office,MS Project,Primavera,Autodesk Revit</t>
  </si>
  <si>
    <t>TRIAA Housing | Jr Site Engineer | Pune | Jan 2024 | Jun 2025 | 1Y 5M | 3.6</t>
  </si>
  <si>
    <t>Malani Group-Real Estate Division | Executive-Contracts Management | Pune | May 2026 | Jul 2026 | 8.5714285714286 Weeks | Campus Internship
Pune Municipal Corporation | Trainee Engineer | Pune | Jul 2022 | Jul 2023 | 52.142857142857 Weeks
Maharashtra Metro Rail Corporation Limited | Intern | Nagpur | Feb 2021 | Mar 2021 | 6 Weeks</t>
  </si>
  <si>
    <t>P25700291</t>
  </si>
  <si>
    <t>BIYANI</t>
  </si>
  <si>
    <t>Darshan Ashok Biyani</t>
  </si>
  <si>
    <t>dbiyani19@gmail.com</t>
  </si>
  <si>
    <t>p25700291@student.nicmar.ac.in</t>
  </si>
  <si>
    <t>19-Dec-2000</t>
  </si>
  <si>
    <t>ENGLISH, HINDI, MARATHI, MARWADI</t>
  </si>
  <si>
    <t>3367 9974 2298</t>
  </si>
  <si>
    <t>SARITA</t>
  </si>
  <si>
    <t>108, Krushna Kunj, Shivaji Chowk, Khalapur, Raigarh, Maharashtra, 410202</t>
  </si>
  <si>
    <t>G.J.M. ENGLISH MEDIUM SCHOOL</t>
  </si>
  <si>
    <t>SSC, RAIGAD,MAHARASHTRA</t>
  </si>
  <si>
    <t>PILLAI HOC COLLEGE OF ENGINEERING AND TECHNOLOGY,MSBTE,Mumbai,Maharashtra</t>
  </si>
  <si>
    <t>AIROLI, NAVI MUMBAI</t>
  </si>
  <si>
    <t>AutoCAD,MS Office,MS Project,STAAD PRO,MATCAD,NAVISWORK,MAT3D,FOUNDATION 3D,RCDC,CAT</t>
  </si>
  <si>
    <t>MAIRE TECNIMONT | ENGINEER (CIVIL) | Malad | Jul 2023 | Jun 2025 | 1Y 11M | 7.06</t>
  </si>
  <si>
    <t>EMBASSY DEVELOPMENT LIMITED | CONSTRUCTION | SAVROLI | May 2026 | Jul 2026 | 8.5714285714286 Weeks | Campus Internship
REAL INFRASTRUCTURE | TRAINEE ENGINEER | NASHIK | Jun 2022 | Jul 2022 | 4.2857142857143 Weeks
ADVENT MANAGEMENT CONSULTANCY | INTERN (SITE SUPERVISOR) | KHOPOLI, RAIGAD | May 2019 | Jun 2019 | 5.8571428571429 Weeks
D.G JAKHOTIA | SITE ENGINEER | KHOPOLI | Jun 2020 | Sep 2021 | 65.142857142857 Weeks</t>
  </si>
  <si>
    <t>P25700292</t>
  </si>
  <si>
    <t>ASFIYA</t>
  </si>
  <si>
    <t>Asfiya Khan</t>
  </si>
  <si>
    <t>asfk1262@gmail.com</t>
  </si>
  <si>
    <t>p25700292@student.nicmar.ac.in</t>
  </si>
  <si>
    <t>12-Jun-2002</t>
  </si>
  <si>
    <t>2959 2957 7786</t>
  </si>
  <si>
    <t>MOHAMMED HANEEF KHAN</t>
  </si>
  <si>
    <t>ZUBERA KHAN</t>
  </si>
  <si>
    <t>B-201,Green Heights</t>
  </si>
  <si>
    <t>Rajnandgaon</t>
  </si>
  <si>
    <t>NEERAJ PUBLIC SCHOOL</t>
  </si>
  <si>
    <t>CBSE, RAJNANDGAON,CHHATTISGARH</t>
  </si>
  <si>
    <t>YUGANTAR PUBLIC SCHOOL</t>
  </si>
  <si>
    <t>CBSE ,RAJNANDGAON,CHHATTISGARH</t>
  </si>
  <si>
    <t>SHRI SHANKARACHARYA TECHNICAL CAMPUS, BHILAI,CHHATTISGARH</t>
  </si>
  <si>
    <t>AutoCAD,MS Project,REVIT,STAADPRO</t>
  </si>
  <si>
    <t>Godrej Properties Limited | Summersault Operations Intern | Mumbai | May 2026 | Jul 2026 | 8.7142857142857 Weeks | Campus Internship</t>
  </si>
  <si>
    <t>P25700293</t>
  </si>
  <si>
    <t>SUDHIR</t>
  </si>
  <si>
    <t>PANDHARPURE</t>
  </si>
  <si>
    <t>Aishwarya Sudhir Pandharpure</t>
  </si>
  <si>
    <t>aishwaryapandharpure09@gmail.com</t>
  </si>
  <si>
    <t>p25700293@student.nicmar.ac.in</t>
  </si>
  <si>
    <t>12-Dec-2001</t>
  </si>
  <si>
    <t>Marathi, English, Hindi</t>
  </si>
  <si>
    <t>9626 5641 3440</t>
  </si>
  <si>
    <t>SAMPADA</t>
  </si>
  <si>
    <t>VISHWAMBHAR RESIDENCY MANIK BAUG, ANAND NAGAR,PUNE</t>
  </si>
  <si>
    <t>195 Gajanan Housing Society Karad -415124</t>
  </si>
  <si>
    <t>LAHOTI KANAYA PRASHALA KARAD.</t>
  </si>
  <si>
    <t>MAHARASHTRA STATE BOARD OF SECONDARY AND HIGHER SECONDARY EDUCATION,  DIVISIONAL BOARD - KOLHAPUR.</t>
  </si>
  <si>
    <t>YASHWANTRAO CHAVAN COLLEGE OF SCIENCE , KARAD</t>
  </si>
  <si>
    <t>ALL INDIA SHRI SHIVAJI MEMORIAL SOCIETY, PUNE</t>
  </si>
  <si>
    <t>AutoCAD,MS Office,MS Project,Primavera,REVIT,Quantity Surveying using MS-Excel</t>
  </si>
  <si>
    <t>Shobha limited  | Cost control  | Bengaluru  | May 2026 | Jul 2026 | 9 Weeks | Campus Internship
SKAF CONSTRUCTION PVT.LTD. | QUANTITY SURVEYOR | PUNE | Feb 2025 | Jun 2025 | 21.285714285714 Weeks</t>
  </si>
  <si>
    <t>P25700294</t>
  </si>
  <si>
    <t>KAUSHIK</t>
  </si>
  <si>
    <t>SRINIVAS</t>
  </si>
  <si>
    <t>GUMMADI</t>
  </si>
  <si>
    <t>Kaushik Srinivas Gummadi</t>
  </si>
  <si>
    <t>ksgimp323@gmail.com</t>
  </si>
  <si>
    <t>p25700294@student.nicmar.ac.in</t>
  </si>
  <si>
    <t>03-Feb-2003</t>
  </si>
  <si>
    <t>English,Hindi,Telugu,Marathi</t>
  </si>
  <si>
    <t>3354 9635 6912</t>
  </si>
  <si>
    <t>KIRANJYOTHI</t>
  </si>
  <si>
    <t>C2-901, Siyona Apartments, Katraj-Dehu, Punawale, Pune</t>
  </si>
  <si>
    <t>APPASAHEB BIRNALE PUBLIC SCHOOL</t>
  </si>
  <si>
    <t>CENTRAL BOARD OF SECONDARY EDUCATION, SANGLI</t>
  </si>
  <si>
    <t>SRM INSTITUTE OF SCIENCE AND TECHNOLOGY, KATTANKULATHUR</t>
  </si>
  <si>
    <t>AutoCAD,MS Office,MS Project,Primavera,Staad pro</t>
  </si>
  <si>
    <t>Akruti Enterprises | Site Engineer  | Hadapsar  | Jun 2024 | Jul 2025 | 1Y 1M | 6</t>
  </si>
  <si>
    <t>Shinde Developers Pvt. Ltd. | Trainee Junior Engineer | Dharashiv | May 2026 | Jul 2026 | 8.7142857142857 Weeks | Campus Internship
Skillvertex | Intern | Online  | Mar 2022 | Apr 2022 | 4.4285714285714 Weeks</t>
  </si>
  <si>
    <t>P25700295</t>
  </si>
  <si>
    <t>MAHANAND</t>
  </si>
  <si>
    <t>Sahil Mahanand Pawar</t>
  </si>
  <si>
    <t>sahil301102@gmail.com</t>
  </si>
  <si>
    <t>P24700015@student.nicmar.ac.in</t>
  </si>
  <si>
    <t>30-Nov-2002</t>
  </si>
  <si>
    <t>9865 2010 5897</t>
  </si>
  <si>
    <t>MAHANAND PAWAR</t>
  </si>
  <si>
    <t>LIBRARIAN</t>
  </si>
  <si>
    <t>MANSI PAWAR</t>
  </si>
  <si>
    <t>A/P, Janavli, Shikshak Colony, Near Anumit Super Store, Tarandale Road, Kankavli</t>
  </si>
  <si>
    <t>Sindhudurg</t>
  </si>
  <si>
    <t>ST. URSULA SCHOOL</t>
  </si>
  <si>
    <t>GOVERNMENT POLYTECHNIC MALVAN</t>
  </si>
  <si>
    <t>TERNA ENGINEERING COLLEGE</t>
  </si>
  <si>
    <t>AutoCAD, MS Office, MS Project, Primavera</t>
  </si>
  <si>
    <t>Pawar Patkar  Constructions Pvt. Ltd. | Trainee Engineer | Belapur, Navi-Mumbai | Dec 2024 | Jun 2025 | 0Y 6M | 1.89</t>
  </si>
  <si>
    <t>Global Engineering Services | Project Management Intern | Navi Mumbai | May 2026 | Jul 2026 | 8.5714285714286 Weeks | Campus Internship</t>
  </si>
  <si>
    <t>P25700296</t>
  </si>
  <si>
    <t>HARSH</t>
  </si>
  <si>
    <t>BHOYAR</t>
  </si>
  <si>
    <t>Harsh Rajendra Bhoyar</t>
  </si>
  <si>
    <t>bhoyarharsh012@gmail.com</t>
  </si>
  <si>
    <t>p25700296@student.nicmar.ac.in</t>
  </si>
  <si>
    <t>19-Aug-2003</t>
  </si>
  <si>
    <t>2020 6466 5902</t>
  </si>
  <si>
    <t>RAJENDRA BHOYAR</t>
  </si>
  <si>
    <t>JYOTSANA BHOYAR</t>
  </si>
  <si>
    <t>Plot No.26,Chichghare Layout Bypass Road Umred, Dist.- Nagpur</t>
  </si>
  <si>
    <t>JEEVAN VIKAS VIDHYALAYA, UMRED</t>
  </si>
  <si>
    <t>ACHARYA SHRIMANNARAYAN POLYTECHNIC PIPRI (MEGHE), WARDHA</t>
  </si>
  <si>
    <t>SINHGAD INSTITUTE OF TECHNOLOGY AND SCIENCE NARHE, PUNE</t>
  </si>
  <si>
    <t>AutoCAD,MS Office,MS Project,Primavera,BIM,CostX</t>
  </si>
  <si>
    <t>Bangalore Metro Rail Corporation Ltd. | Project Intern  | Bangalore | May 2026 | Jul 2026 | 8.7142857142857 Weeks | Campus Internship
M/S M.D.BHOYAR CONSTRUCTIONS | Inten | Khapari | Dec 2023 | Jan 2024 | 3.8571428571429 Weeks</t>
  </si>
  <si>
    <t>P25700297</t>
  </si>
  <si>
    <t>AKSHITH</t>
  </si>
  <si>
    <t>BIJJALA</t>
  </si>
  <si>
    <t>Akshith Bijjala</t>
  </si>
  <si>
    <t>bijjalaakshith@gmail.com</t>
  </si>
  <si>
    <t>p25700297@student.nicmar.ac.in</t>
  </si>
  <si>
    <t>13-Jun-2003</t>
  </si>
  <si>
    <t>4858 5460 7265</t>
  </si>
  <si>
    <t>B S P C CHAKRAVARTHI</t>
  </si>
  <si>
    <t>SOFTWARE ENGINEER</t>
  </si>
  <si>
    <t>B SWAPNA</t>
  </si>
  <si>
    <t>13-6-460/34, MAHESH NAGAR COLONY, GUDIMALKAPUR, KARWAN</t>
  </si>
  <si>
    <t>13-6-463/1, Ashok Vihar_x000D_
Karwan_x000D_
Asifnagar</t>
  </si>
  <si>
    <t>NARAYANA SCHOOL</t>
  </si>
  <si>
    <t>TELANGANA</t>
  </si>
  <si>
    <t>ST. PATRICKS JUNIOR COLLAGE</t>
  </si>
  <si>
    <t>AMRITA VISHWA VIDHYAPEETHAM</t>
  </si>
  <si>
    <t>TAMIL NADU</t>
  </si>
  <si>
    <t>AutoCAD,MS Office,MS Project,Staad pro,BIM,Etabs,Sketchup</t>
  </si>
  <si>
    <t>Sagar SKYSCRAPERS LLP  | Trainee Junior Engineer | Pune | May 2026 | Jun 2026 | 8 Weeks | Campus Internship
L&amp;T edutech | Trainee  | Chennai  | Jun 2024 | Jul 2024 | 1.5714285714286 Weeks
L&amp;T edutech | Trainee  | Chennai  | Jul 2023 | Aug 2023 | 1.5714285714286 Weeks</t>
  </si>
  <si>
    <t>Design of Structural Steel Members
Principles of Construction Management
Safety for Professionals
Deep Excavation And Tunnels
Building Information Modeling
Bridge Engineering Design Practices
Concreting Techniques and Practices</t>
  </si>
  <si>
    <t>P25700298</t>
  </si>
  <si>
    <t>GOPICHAND</t>
  </si>
  <si>
    <t>Sejal Gopichand Rathod</t>
  </si>
  <si>
    <t>sejalrathod4617@gmail.com</t>
  </si>
  <si>
    <t>D2470011@student.nicmar.ac.in</t>
  </si>
  <si>
    <t>11-Jun-2002</t>
  </si>
  <si>
    <t>ENGLISH ,HINDI , MARATHI</t>
  </si>
  <si>
    <t>Dancing</t>
  </si>
  <si>
    <t>4703 9991 6788</t>
  </si>
  <si>
    <t>PARVATI</t>
  </si>
  <si>
    <t>N-12 D 52 / 2
T.V Centre ,
Hudco ,
Near Sambhaji Statue
Chhatrapati Sambhaji Nagar
Maharashtra,431001
8956224681</t>
  </si>
  <si>
    <t>SHANTINIKETAN PUBLIC SCHOOL</t>
  </si>
  <si>
    <t>BHASKARACHARYA  HIGHER SECONDARY SCHOOL</t>
  </si>
  <si>
    <t>DR. BABASAHEB AMBEDKAR MARATHWADA UNIVERSITY, CHHATRAPATI SAMBHAJINAGAR, MAHARASHTRA</t>
  </si>
  <si>
    <t>AutoCAD,MS Office,MS Project,lumion,Vray,Sketchup,Revit,html,css,MS Excel</t>
  </si>
  <si>
    <t>PrimaVerse IDC LLP | Junior Civil Engineer | Nanded City ,Pune | May 2024 | Sep 2024 | 0Y 4M | 2.4</t>
  </si>
  <si>
    <t>Impact Infraheight Pvt. Ltd. | Procurement Intern | Shivajinagar , Pune | May 2026 | Jul 2026 | 8.7142857142857 Weeks | Campus Internship
GVPR Engineers Limited | Intern | Chhatrapati Sambhaji Nagar | Dec 2022 | Apr 2023 | 21.428571428571 Weeks</t>
  </si>
  <si>
    <t>Construction Practice On-site
Professional Diploma In Civil CAD
Ethics in Engineering Practice
Finance For Non-Financial Manager</t>
  </si>
  <si>
    <t>P25700299</t>
  </si>
  <si>
    <t>Aditya Salve</t>
  </si>
  <si>
    <t>patiladitya542021@gmail.com</t>
  </si>
  <si>
    <t>p25700299@student.nicmar.ac.in</t>
  </si>
  <si>
    <t>Marathi, English and Hindi</t>
  </si>
  <si>
    <t>3000 6093 3518</t>
  </si>
  <si>
    <t>PADMAVATI</t>
  </si>
  <si>
    <t>1102 T3 GODREJ HILLSIDE 2 MAHALUNGE PUNE</t>
  </si>
  <si>
    <t>Mahavir Road , Sarafa Market, Sillod</t>
  </si>
  <si>
    <t>PODAR INTERNATIONAL SCHOOL, AURANGABAD</t>
  </si>
  <si>
    <t>CENTRAL BOARD OF SECONDARY EDUCATION , NEW DELHI</t>
  </si>
  <si>
    <t>DEVIDAS  GHORPADE INTERNATIONAL SCHOOL AND JR COLLEGE</t>
  </si>
  <si>
    <t>DR. BABASAHEB AMBEDKAR MARATHWADA UNIVERSITY, AURANGABAD</t>
  </si>
  <si>
    <t>GOVERNMENT COLLEGE OF ENGINEERING, AURANGABAD</t>
  </si>
  <si>
    <t>P25700300</t>
  </si>
  <si>
    <t>ADITYASINGH</t>
  </si>
  <si>
    <t>SANDIPSINGH</t>
  </si>
  <si>
    <t>MOHANE</t>
  </si>
  <si>
    <t>Adityasingh Sandipsingh Mohane</t>
  </si>
  <si>
    <t>adityamohane@gmail.com</t>
  </si>
  <si>
    <t>p25700300@student.nicmar.ac.in</t>
  </si>
  <si>
    <t>29-Nov-2002</t>
  </si>
  <si>
    <t>2683 6297 2373</t>
  </si>
  <si>
    <t>APARNA</t>
  </si>
  <si>
    <t>Kirti Nagar, Akola</t>
  </si>
  <si>
    <t>NISHU NURSERY AND KOTHARI CONVENT, AKOLA</t>
  </si>
  <si>
    <t>SHRI DAWALE JUNIOR COLLEGE, AKOLA</t>
  </si>
  <si>
    <t>SANT GADGE BABA AMRAVATI UNIVERSITY, AMRAVATI</t>
  </si>
  <si>
    <t>COLLEGE OF ENGINEERING AND TECHNOLOGY, AKOLA</t>
  </si>
  <si>
    <t>AutoCAD, MS Office, MS Project, Staad Pro Software, Primavera, Revit</t>
  </si>
  <si>
    <t>EZ Realty | Procurement Intern | Kharadi, Pune | May 2026 | Jul 2026 | 8.7142857142857 Weeks | Campus Internship
ATAL REALTECH LTD | INTERN- SITE SUPERVISION | AKOLA | Jun 2024 | Jul 2024 | 2.2857142857143 Weeks</t>
  </si>
  <si>
    <t>Bentley Foundation Certificate
Bentley Staad Pro Certificate</t>
  </si>
  <si>
    <t>P25700301</t>
  </si>
  <si>
    <t>SAGAR</t>
  </si>
  <si>
    <t>Sagar Singh</t>
  </si>
  <si>
    <t>chahalsagar725@gmail.com</t>
  </si>
  <si>
    <t>p25700301@student.nicmar.ac.in</t>
  </si>
  <si>
    <t>25-Apr-2003</t>
  </si>
  <si>
    <t>7958 9711 1849</t>
  </si>
  <si>
    <t>DHEER SINGH</t>
  </si>
  <si>
    <t>RUKMESH DEVI</t>
  </si>
  <si>
    <t>Gyan Vihar Colony, Near Sugar Mill</t>
  </si>
  <si>
    <t>Bijnor</t>
  </si>
  <si>
    <t>ROOTS INTL SCHOOL</t>
  </si>
  <si>
    <t>CBSE    BIJNOR/UTTAR PRADESH</t>
  </si>
  <si>
    <t>MD INTERNATIONAL SCHOOL</t>
  </si>
  <si>
    <t>CHANDIGARH UNIVERSITY  MOHALI/PUNJAB</t>
  </si>
  <si>
    <t>AutoCAD,MS Office,MS Project,OPENROADS,Abaqus</t>
  </si>
  <si>
    <t xml:space="preserve"> NBCC (INDIA) LIMITED | Intern | Gr. Noida | May 2026 | Jul 2026 | 9.5714285714286 Weeks | Campus Internship
S.P. Singla Construction Pvt. Ltd. | Intern | Haridwar | May 2024 | Jul 2024 | 8 Weeks</t>
  </si>
  <si>
    <t>Introduction to Civil Engineering profession</t>
  </si>
  <si>
    <t>P25700302</t>
  </si>
  <si>
    <t>RANDHE</t>
  </si>
  <si>
    <t>KALPESH</t>
  </si>
  <si>
    <t>Randhe Kalpesh Janardhan</t>
  </si>
  <si>
    <t>kalpeshrandhe999@gmail.com</t>
  </si>
  <si>
    <t>p25700302@student.nicmar.ac.in</t>
  </si>
  <si>
    <t>26-Dec-1996</t>
  </si>
  <si>
    <t>Marathi, Hinidi, English</t>
  </si>
  <si>
    <t>6366 7989 0055</t>
  </si>
  <si>
    <t>NICMAR BOYS' HOSTEL, N.I.A POST OFFICE, BALEWADI, PUNE</t>
  </si>
  <si>
    <t>Near Balaji Symphony, Sukhapur, Matheran Road, New Panvel, Tal- Panvel, Dist-Raigad</t>
  </si>
  <si>
    <t>PRIYADARSHANI HIGH SCHOOL</t>
  </si>
  <si>
    <t>PUNE/MAHARASHTRA</t>
  </si>
  <si>
    <t>CHANGU KANA THAKUR SECONDARY &amp; HIGHER SECONDARY VIDYALAYA</t>
  </si>
  <si>
    <t>MUMBAI/MAHARASHTRA</t>
  </si>
  <si>
    <t>J.S.P.M IMPERIAL COLLEGE OF ENGINEERING &amp; RESEARCH</t>
  </si>
  <si>
    <t>Balaji Symphony | Jr. Site Engineer | City-Panvel, Maharashtra | Sep 2018 | Sep 2022 | 4Y 0M | 1.87
Right Advisor Pvt.Ltd | Civil Engineer | Bamandongri, Kharkopar State- Maharashtra | Oct 2022 | Jun 2025 | 2Y 7M | 3.6</t>
  </si>
  <si>
    <t>6 Years 9 Months</t>
  </si>
  <si>
    <t>Sobha Ltd | Site execution and planning intern | Bangalore | May 2026 | Jul 2026 | 9 Weeks | Campus Internship</t>
  </si>
  <si>
    <t>Safety conscious person</t>
  </si>
  <si>
    <t>P25700303</t>
  </si>
  <si>
    <t>Shaik Mohammed Sameer</t>
  </si>
  <si>
    <t>sameersss1432@gmail.com</t>
  </si>
  <si>
    <t>p25700303@student.nicmar.ac.in</t>
  </si>
  <si>
    <t>ENGLISH,HINDI,TELUGU,URDU,TAMIL,ARABIC</t>
  </si>
  <si>
    <t>7351 1384 2219</t>
  </si>
  <si>
    <t>SHAIK MAHABOOB BASHA</t>
  </si>
  <si>
    <t>SHAIK SHAWAR</t>
  </si>
  <si>
    <t>39/107-138 Tagore Nagar, Bose Nagar, Raya Choti, Cuddapah</t>
  </si>
  <si>
    <t>PENCHAL REDDY HIGH SCHOOL</t>
  </si>
  <si>
    <t>CENTRAL BOARD OF SECONDARY EDUCATION, RAYACHOTY ANDHRA PRADESH</t>
  </si>
  <si>
    <t>SRI CHAITNYA BOYS JUNIOR COLLEGE</t>
  </si>
  <si>
    <t>BOARD OF INTERMEDIATE EDUCATION , VIJAYAWADA ANDHRA PRADESH</t>
  </si>
  <si>
    <t>SREE VIDYANIKETHAN ENGINEERING COLLAGE</t>
  </si>
  <si>
    <t>CEAT Limited | Project Trainee | Nagpur | May 2026 | Jul 2026 | 8.7142857142857 Weeks | Campus Internship
GS Peb &amp; Civil Works PVT.LTD | Shaik Mohammed Sameer | Chakan pune | Jan 2025 | Jun 2025 | 21.428571428571 Weeks</t>
  </si>
  <si>
    <t>P25700304</t>
  </si>
  <si>
    <t>SAMUDRAPU</t>
  </si>
  <si>
    <t>LAKSHMI DURGA</t>
  </si>
  <si>
    <t>ANAND KUMAR</t>
  </si>
  <si>
    <t>Samudrapu Lakshmi Durga Anand Kumar</t>
  </si>
  <si>
    <t>anandkumarsamudrapu@gmail.com</t>
  </si>
  <si>
    <t>p25700304@student.nicmar.ac.in</t>
  </si>
  <si>
    <t>28-May-2003</t>
  </si>
  <si>
    <t>2799 1929 3546</t>
  </si>
  <si>
    <t>ANIL KUMAR</t>
  </si>
  <si>
    <t>VASANTHA KUMARI</t>
  </si>
  <si>
    <t>3-71,Dibbalamida,Near Mahankallimma Temple,Undi Mandalam,Mahadevapatnam</t>
  </si>
  <si>
    <t>SRI BHARATHI EM HIGH SCHOOL</t>
  </si>
  <si>
    <t>BOARD OF SECOUNDARY EDUCATION ANDHRA PRADESH</t>
  </si>
  <si>
    <t>NARAYANA JUNIOUR COLLEGE</t>
  </si>
  <si>
    <t>SAGI RAMAKRISHNAM RAJU ENGINEERING COLLEGE</t>
  </si>
  <si>
    <t>FORTRESS INFRACON | Planning, Architect &amp; Engineering Department | Amaravathi | May 2026 | Jul 2026 | 8.7142857142857 Weeks | Campus Internship
ASCENT CS GLOBAL | INTERN | HYDERBAD | Jul 2022 | Sep 2022 | 8.7142857142857 Weeks
TRAFFIC POLICE  DEPARTMENT, BHIMAVARAM, ANDHRA PRADESH | INTERN IN TRAFFIC VOLUME STUDY  | BHIMAVARAM | Jun 2023 | Aug 2023 | 8.7142857142857 Weeks</t>
  </si>
  <si>
    <t>P25700305</t>
  </si>
  <si>
    <t>BALASAHEB</t>
  </si>
  <si>
    <t>FARGADE</t>
  </si>
  <si>
    <t>Yash Balasaheb Fargade</t>
  </si>
  <si>
    <t>yashfargade856@gmail.com</t>
  </si>
  <si>
    <t>p25700305@student.nicmar.ac.in</t>
  </si>
  <si>
    <t>5251 0121 6068</t>
  </si>
  <si>
    <t>BALASAHEB DATTU FARGADE</t>
  </si>
  <si>
    <t>PUSHPA</t>
  </si>
  <si>
    <t>AT-MEHENDURI,PO-RUMBHODI,TAL-AKOLE,DIS-AHILYANAGAR-422601</t>
  </si>
  <si>
    <t>SHRI CHHATRAPATI SHIVAJI MAHARAJ VIDYALAYA, MEHENDURI</t>
  </si>
  <si>
    <t>MAHARASHTRA STATE BOARD OF SECONDARY AND HIGHER SECONDARY EDUCATION,PUNE-(AKOLE,AHILYANAGAR-422601)</t>
  </si>
  <si>
    <t>SARSWATI VIDYALAYA AND JR. COLLEGE, DHAMANGAON PAT</t>
  </si>
  <si>
    <t>MAHARASHTRA STATE BOARD OF SECONDARY AND HIGHER SECONDARY EDUCATION,PUNE-(AKOLE, AHILYANAGAR-422601)</t>
  </si>
  <si>
    <t>AMRUTVAHINI POLYTECHNIC,(SANGAMNER,AHILYANAGAR-422605)</t>
  </si>
  <si>
    <t>DR.D.Y.PATIL SCHOOL OF ENGG AND TECH CHARHOLI BK ,(PUNE-412105)</t>
  </si>
  <si>
    <t>Primavera P6 – Project Planning &amp; Scheduling, Project Controls &amp; Progress Monitoring, MS Excel – Data Analysis &amp; MIS Reporting, MS Project, BOQ, Estimation &amp; Quantity Take-off ,Contract Administration &amp; Claims, AutoCAD, Revit &amp; Navisworks</t>
  </si>
  <si>
    <t>TECHNOCRAFT FORMWORKS PRIVATE LIMITED | Design Engineer | Bavdhan, Pune-411021 | Aug 2024 | May 2025 | 0Y 8M | 3.36
BSL ALUMINIUM  LIMITED | Design Engineer | SHIRAMPUR , AHILYANAGAR | May 2025 | Jul 2025 | 0Y 1M | 5.036</t>
  </si>
  <si>
    <t>RITES Limited | Construction Management Intern | Mumbai, Maharashtra | May 2026 | Jul 2026 | 9.5714285714286 Weeks | Campus Internship</t>
  </si>
  <si>
    <t xml:space="preserve">IGBC Accredited Professional – Associate Indian Green Building Council (IGBC) 
digiQC Academy – Project Admin (Scholar)
SPJIMR – Data Analysis
Revit Architecture
AUTOCAD
NPTEL – Ethics in Engineering Practice
Emory University – Finance for Non-Financial Managers
NPTEL – German I </t>
  </si>
  <si>
    <t>P25700306</t>
  </si>
  <si>
    <t>KURUVILA</t>
  </si>
  <si>
    <t>SAIJAN</t>
  </si>
  <si>
    <t>Kuruvila Saijan</t>
  </si>
  <si>
    <t>999.ar.k.s@gmail.com</t>
  </si>
  <si>
    <t>p25700306@student.nicmar.ac.in</t>
  </si>
  <si>
    <t>22-Mar-1999</t>
  </si>
  <si>
    <t>5013 6534 1614</t>
  </si>
  <si>
    <t>SAIJAN KURIAKOSE</t>
  </si>
  <si>
    <t>DALIA SAIJAN</t>
  </si>
  <si>
    <t>Oliyapuram House, EN-160, Angamaly, Ernakulam, Kerala, 683572</t>
  </si>
  <si>
    <t>VISWAJYOTHI PUBLIC SCHOOL</t>
  </si>
  <si>
    <t>UNIVERSITY OF CALICUT</t>
  </si>
  <si>
    <t>AVANI INSTITUTE OF DESIGN, CALICUT, KERALA</t>
  </si>
  <si>
    <t>AutoCAD,MS Office,SketchUp,ArchiCAD,Revit,Rhino &amp; Grasshopper,Twinmotion,Adobe Creative Cloud,Procreate</t>
  </si>
  <si>
    <t>WOA DESIGN STUDIO PVT LTD | Lead Architect &amp; System Strategist | Kadavanthra, Ernakulam, Kerala  | Apr 2023 | Apr 2025 | 2Y 0M | 4.15</t>
  </si>
  <si>
    <t>NURU KARIM PARTNERS LLP | Urban Planning  | Mumbai | May 2026 | Jul 2026 | 8.5714285714286 Weeks | Campus Internship
Flying Elephant Studio | Trainee Architect  | Kalyan Nagar, Bangalore  | Jan 2021 | Jun 2021 | 22.857142857143 Weeks
OLIYAPURAM MARKETING COMPANY | ARCHITECT (INTERN) | ANGAMALY, ERNAKULAM | Jun 2022 | Feb 2023 | 38.857142857143 Weeks</t>
  </si>
  <si>
    <t>P25700307</t>
  </si>
  <si>
    <t>MAYUR</t>
  </si>
  <si>
    <t>KALYANI</t>
  </si>
  <si>
    <t>BANSODE</t>
  </si>
  <si>
    <t>Mayur Kalyani Bansode</t>
  </si>
  <si>
    <t>mayurbansode333@gmail.com</t>
  </si>
  <si>
    <t>p25700307@student.nicmar.ac.in</t>
  </si>
  <si>
    <t>08-Apr-2000</t>
  </si>
  <si>
    <t>3425 9129 7227</t>
  </si>
  <si>
    <t>KALPANA</t>
  </si>
  <si>
    <t>Sr No 30 Lane 4 Kondhwa Hospital Antulenagar Pisoli Near Vidyashilp School Yewlewadi</t>
  </si>
  <si>
    <t>CAMP EDUCATION SOCIETY'S HIGH SCHOOL &amp; JR COLLEGE</t>
  </si>
  <si>
    <t>KJEI'S TRINITY POLYTECHNIC PUNE, MAHARASHTRA</t>
  </si>
  <si>
    <t>SINHGAD ACADEMY OF ENGINEERING, PUNE MAHARASHTRA</t>
  </si>
  <si>
    <t>Primavera, MS Project, CostX, Revit,Naviswork, AutoCAD, MS Office</t>
  </si>
  <si>
    <t>HINDUSTAN PETROLEUM CORPORATION LTD ( MUMBAI REFINARY) | Trainee Engineer. | MUMBAI REFINARY | Apr 2023 | Apr 2024 | 0Y 11M | 3</t>
  </si>
  <si>
    <t>Medigence Solutions Pvt. Ltd  | Project Management Intern | Ahmedabad, Gujrat | May 2026 | Jul 2026 | 8.7142857142857 Weeks | Campus Internship
Unique Civil | Intern Bim Modeler | Pune | May 2024 | Nov 2024 | 26.285714285714 Weeks
GAGAN UNNATI PROMOTERS , GAGAN CEFIRO | Civil Engineer Student  | PUNE | May 2018 | Jun 2018 | 4.5714285714286 Weeks</t>
  </si>
  <si>
    <t>Ethics in Engineering Practice
Finance for Non-Financial Managers
Indian Green Building Council (IGBC) Accredited Professional - Associate</t>
  </si>
  <si>
    <t>P25700308</t>
  </si>
  <si>
    <t>RITWICK</t>
  </si>
  <si>
    <t>VATSA</t>
  </si>
  <si>
    <t>Ritwick Vatsa</t>
  </si>
  <si>
    <t>ritwickvatsa@gmail.com</t>
  </si>
  <si>
    <t>p25700308@student.nicmar.ac.in</t>
  </si>
  <si>
    <t>28-Nov-1999</t>
  </si>
  <si>
    <t>English,Hindi,Gujrati</t>
  </si>
  <si>
    <t>4781 8664 5382</t>
  </si>
  <si>
    <t>PRAKASH CHANDRA SINGH</t>
  </si>
  <si>
    <t>KUMARI MANJU</t>
  </si>
  <si>
    <t>FLAT NO 202,SHANTI APARTMENT,WEST OF 90 FT ROAD , KANKARBAGH</t>
  </si>
  <si>
    <t>SATTVA VIKAS SCHOOL</t>
  </si>
  <si>
    <t>CBSE,AHMEDABAD</t>
  </si>
  <si>
    <t>R.J.P.R.P COLLEGE</t>
  </si>
  <si>
    <t>BSEB,PATNA</t>
  </si>
  <si>
    <t>KALINGA INSTITUTE OF INDUSTRIAL TECHNOLOGY,BHUBANESHWAR</t>
  </si>
  <si>
    <t>Ashiana Housing Ltd | Assistant Engineer | Bhiwadi | Apr 2023 | Jun 2025 | 2Y 1M | 4.32</t>
  </si>
  <si>
    <t>Masin Projects Private Limited | Quantum Intern | Gurgaon | May 2026 | Jul 2026 | 8.7142857142857 Weeks | Campus Internship</t>
  </si>
  <si>
    <t>P25700309</t>
  </si>
  <si>
    <t>GIRIPRASATH</t>
  </si>
  <si>
    <t>Giriprasath N</t>
  </si>
  <si>
    <t>ngiriprasath15@gmail.com</t>
  </si>
  <si>
    <t>p25700309@student.nicmar.ac.in</t>
  </si>
  <si>
    <t>15-Jul-2004</t>
  </si>
  <si>
    <t>English, Tamil and Telugu</t>
  </si>
  <si>
    <t>2245 6095 9239</t>
  </si>
  <si>
    <t>NAVANEETHAKRISHNAN T</t>
  </si>
  <si>
    <t>DATA MANAGER, GOVERNMENT HOSPITAL, VIRUDHUNAGAR, TAMIL NADU</t>
  </si>
  <si>
    <t>DHANALAKSHMI S</t>
  </si>
  <si>
    <t>1/223-8,kooraikundu,Virudhunagar Collectorate</t>
  </si>
  <si>
    <t>KVS MATRIC HR SEC SCHOOL VIRUDHUNAGAR</t>
  </si>
  <si>
    <t>NATIONAL ENGINEERING COLLEGE, KOVILPATTI</t>
  </si>
  <si>
    <t>Primavera P6,MS Project,MS Office,Revit,AutoCAD,CostX</t>
  </si>
  <si>
    <t>Bangalore Metro Corporation Ltd | Management Intern | Bangalore | May 2026 | Jul 2026 | 8.7142857142857 Weeks | Campus Internship
BALFOUR BEATTY INFRASTRUCTURE INDIA PVT. LTD. | Design and Drafting Engineer (Intern) | BANGALORE (UK-BASED COMPANY) | Jun 2024 | Jun 2024 | 3.8571428571429 Weeks
THE RAMCO CEMENTS LIMITED | Site Maintenance Engineer  | R.R. NAGAR FACTORY, TAMIL NADU | Nov 2023 | Nov 2023 | 2 Weeks</t>
  </si>
  <si>
    <t>Quantity Surveying Building Estimation and Project planning</t>
  </si>
  <si>
    <t>P25700310</t>
  </si>
  <si>
    <t>Bharat Parmar</t>
  </si>
  <si>
    <t>bharat866parmar@gmail.com</t>
  </si>
  <si>
    <t>p25700310@student.nicmar.ac.in</t>
  </si>
  <si>
    <t>16-Aug-2003</t>
  </si>
  <si>
    <t>Hindi,English,Marathi</t>
  </si>
  <si>
    <t>7062 5238 0855</t>
  </si>
  <si>
    <t>PARASMAL PARMAR</t>
  </si>
  <si>
    <t>PARUDEVI PARMAR</t>
  </si>
  <si>
    <t>FLAT NO 4 ANNAPURNA APARTMENTS 18 PANDE LAYOUT KHAML NAGPUR</t>
  </si>
  <si>
    <t>Parasmal Parmar, 22/104 Sonam Veena Chs Ltd, ., Nr Jain Bunglow, New Golden Nest, Phase -11, Bhaindar East, Thane</t>
  </si>
  <si>
    <t>SOMALWAR NIKALAS HIGH SCHOOL</t>
  </si>
  <si>
    <t>MAHARASHTRA STATE BOARD OF SECONDARY AND HIGHER SECONDARY EDUCATION, NAGPUR MAHARASHTRA</t>
  </si>
  <si>
    <t>MKH SANCHETI COLLAGE</t>
  </si>
  <si>
    <t>SHRI RAMDEOBABA COLLEGE OF ENGINEERING AND MANAGEMENT, NAGPUR MAHARASHTRA</t>
  </si>
  <si>
    <t>AutoCAD,MS Office,MS Project,SAP2000,Beam AI,Automeasure</t>
  </si>
  <si>
    <t>NBCC (INDIA) LIMITED | PROJECT INTERN | Greater Noida | May 2026 | Jul 2026 | 9.7142857142857 Weeks | Campus Internship
R.K. MADHANI &amp; CO | INTERN | Amravati | May 2024 | Jul 2024 | 7.1428571428571 Weeks
ATTENTIVE OS PRIVATE LIMITED | TRAINEE ESTIMATOR | NEW DELHI | Jan 2025 | Jun 2025 | 21.428571428571 Weeks</t>
  </si>
  <si>
    <t>Construction Cost Estimating and Cost Control
International Leadership and Organizational  Behavior
Campus to Corporate
Resource and Waste Management in Buildings
Investment Analysis and Portfolio Management
Green Building Assessment &amp; Certification
Financial Reporting &amp; Analysis: Complete Preparation
Concreting Techniques and Practices</t>
  </si>
  <si>
    <t>P25700311</t>
  </si>
  <si>
    <t>Vaishnavi .</t>
  </si>
  <si>
    <t>ar.vysh332@gmail.com</t>
  </si>
  <si>
    <t>P2370737@student.nicmar.ac.in</t>
  </si>
  <si>
    <t>03-Mar-2000</t>
  </si>
  <si>
    <t>Riding,cooking,Dancing</t>
  </si>
  <si>
    <t>2503 6271 6368</t>
  </si>
  <si>
    <t>NAGNATH</t>
  </si>
  <si>
    <t>POLICE HEADCONSTABLE</t>
  </si>
  <si>
    <t>GOURAMMA</t>
  </si>
  <si>
    <t>15-5-269, Basavashraya, Near Gurudatta Dhyanmandir, Bidar</t>
  </si>
  <si>
    <t>Bidar</t>
  </si>
  <si>
    <t>GNYANA SUDHA VIDYALAYA, BIDAR</t>
  </si>
  <si>
    <t>CBSE, DELHI</t>
  </si>
  <si>
    <t>SC GURUKULA PU COLLEGE, KARDYAL BHALKI TQ, BIDAR DT 585328</t>
  </si>
  <si>
    <t>GOVERNMENT OF KARNATAKA, DEPARTMENT OF PRE UNIVERSITY EDUCATION, BANGALORE</t>
  </si>
  <si>
    <t>VISVESVARAYA TECHNOLOGICAL UNIVERSITY, BELGAVI</t>
  </si>
  <si>
    <t>BMS COLLEGE OF ARCHITECTURE, BENGALURU</t>
  </si>
  <si>
    <t>AutoCAD,MS Office,MS Project,Primavera,PowerBI,Revit,V- Ray,Enscape,Adobe Creative Suite,SketchUp</t>
  </si>
  <si>
    <t>INFRASCAPES LLP | ARCHITECT- DESIGN ASSOCIATE | Hyderabad | Mar 2024 | Mar 2025 | 1Y 0M | 3.6</t>
  </si>
  <si>
    <t>CHERRY HILL INTERIORS PVT. LTD. | Intern | Delhi | May 2026 | Jul 2026 | 8.5714285714286 Weeks | Campus Internship
CREATIVE GROUP LLP | INTERN ARCHITECT | NEW DELHI | Aug 2022 | Dec 2022 | 15.571428571429 Weeks
GROUND TALE ARCHITECTS AND DESIGNERS | JUNIOR ARCHITECT  | PUNE | Jun 2023 | Mar 2024 | 37.285714285714 Weeks</t>
  </si>
  <si>
    <t>C.Tech higher diploma in interior design
Operational excellence foundations
Root cause analysis: getting to the root of business problems
Microsoft project in business situations: tips from the field
Microsoft project quick tips
Microsoft project step-by-step: planning for successful project management
Learning Microsoft project
Six Sigma: green belt
Six Sigma foundations
Learn six Sigma foundations
Getting started with Microsoft project
Become a six sigma green belt
Ethics and engineering practice
Finance for non-financial managers
Construction Management: Planning and  Scheduling</t>
  </si>
  <si>
    <t>P25700312</t>
  </si>
  <si>
    <t>SANYAM</t>
  </si>
  <si>
    <t>KRUSHNARAO</t>
  </si>
  <si>
    <t>Sanyam Krushnarao Patil</t>
  </si>
  <si>
    <t>patilsanyam123@gmail.com</t>
  </si>
  <si>
    <t>p25700312@student.nicmar.ac.in</t>
  </si>
  <si>
    <t>10-Feb-1999</t>
  </si>
  <si>
    <t>7206 3466 9067</t>
  </si>
  <si>
    <t>KRUSHNARAO KASHIRAM PATIL</t>
  </si>
  <si>
    <t>RAJANI KRUSHNARAO PATIL</t>
  </si>
  <si>
    <t>SANKALP VIHAR WING A-19 JSPM COLLEGE ROAD, VETAL BUA CHOWK,NARHE,PUNE,41</t>
  </si>
  <si>
    <t>LATE B.D.S HIGHSCHOOL MOTALA,DIST BULDHANA</t>
  </si>
  <si>
    <t>ZEAL POLYTECHNIC NARHE,PUNE,MAHARASHTRA</t>
  </si>
  <si>
    <t>ALL INDIA SHREE SHIVAJI MEMORIAL SOCIETY,COLLEGE OF ENGINEERING ,PUNE</t>
  </si>
  <si>
    <t>AutoCAD,MS Office,Primavera</t>
  </si>
  <si>
    <t>Bangalore Metro Rail Corporation Ltd. | Management  | Bangalore | May 2026 | Jul 2026 | 8.7142857142857 Weeks | Campus Internship
IMPERIAL PLAZA | Intern | Pune | Aug 2021 | Aug 2023 | 108.57142857143 Weeks
Government Polytechnic Pune | Intern | Pune | Oct 2024 | Aug 2025 | 47.714285714286 Weeks</t>
  </si>
  <si>
    <t>Primavera
Autocad Advanced</t>
  </si>
  <si>
    <t>P25700313</t>
  </si>
  <si>
    <t>M S</t>
  </si>
  <si>
    <t>Manoj M S</t>
  </si>
  <si>
    <t>manoj77manu07@gmail.com</t>
  </si>
  <si>
    <t>p25700313@student.nicmar.ac.in</t>
  </si>
  <si>
    <t>11-Feb-2000</t>
  </si>
  <si>
    <t>9524 4003 0464</t>
  </si>
  <si>
    <t>SIDDESHWARA M B</t>
  </si>
  <si>
    <t>ASHA K</t>
  </si>
  <si>
    <t>207, _x000D_
Chikkobanahalli (P),_x000D_
Molakalmuru (T),_x000D_
Chitradurga (D),_x000D_
Karnataka._x000D_
Pincode - 577535</t>
  </si>
  <si>
    <t>Chitradurga</t>
  </si>
  <si>
    <t>ANMOL PUBLIC SCHOOL</t>
  </si>
  <si>
    <t>ST JOHN'S P.U. SCIENCE COLLEGE</t>
  </si>
  <si>
    <t>DEPARTMENT OF PRE-UNIVERSITY EDUCATION, KARNATKA</t>
  </si>
  <si>
    <t>BANGALORE INSTITUTE OF TECHNOLOGY, BENGALURU</t>
  </si>
  <si>
    <t>Primavera P6, MS Project, MIDAS - Civil, Staad Pro, Adsec, ETABS, AutoCAD, Revit</t>
  </si>
  <si>
    <t>SYSTRA MVA CONSULTING INDIA PRIVATE LIMITED | ENGINEER - STRUCTURES ( ELEVATED) | FARIDABAD, HARAYANA AND BENGALURU, KARNATAKA | Mar 2022 | Jun 2025 | 3Y 3M | 5
SMEC RAIL INDIA PRIVATE LIMITED | GRADUATE ENGINEER TRAINEE | CHENNAI, TAMIL NADU | Aug 2021 | Mar 2022 | 0Y 6M | 3</t>
  </si>
  <si>
    <t>Hindustan Construction Company (HCC) | Project Intern | MUMBAI | May 2026 | Jul 2026 | 7.5714285714286 Weeks | Campus Internship
SYSTRA MVA CONSULTING INDIA PRIVATE LIMITED | INTERN | BENGALURU | Mar 2021 | Apr 2021 | 8.5714285714286 Weeks</t>
  </si>
  <si>
    <t>Impact Lab - Young Leaders Program 2025
PMP Certification</t>
  </si>
  <si>
    <t>P25700314</t>
  </si>
  <si>
    <t>NOOPUR</t>
  </si>
  <si>
    <t>HANDE</t>
  </si>
  <si>
    <t>Noopur Ravindra Hande</t>
  </si>
  <si>
    <t>noopurhande456@gmail.com</t>
  </si>
  <si>
    <t>p25700314@student.nicmar.ac.in</t>
  </si>
  <si>
    <t>22-Sep-2001</t>
  </si>
  <si>
    <t>4803 7634 4993</t>
  </si>
  <si>
    <t>VARSHA</t>
  </si>
  <si>
    <t>F 1304 Eastern River Residency , Kashid Park ,_x000D_
Pimple Gurav 411061</t>
  </si>
  <si>
    <t>BLOOMINGDALE INTERNATIONAL SCHOOL</t>
  </si>
  <si>
    <t>INDIAN CERTIFICATE OF SECONDARY EDUCATION</t>
  </si>
  <si>
    <t>CUSROW WADIA INSTITUTE OF TECHNOLOGY</t>
  </si>
  <si>
    <t>RMD SINHGAD TECHNICAL INSTITUTE CAMPUS</t>
  </si>
  <si>
    <t>Primark Associates  | Management Trainee | Pune  | May 2026 | Jul 2026 | 8.7142857142857 Weeks | Campus Internship
Vaibhav Gulabrao Benke(government contractor &amp; engineer) | Civil Engineering Trainee | Junnar | May 2019 | Jun 2019 | 4.8571428571429 Weeks</t>
  </si>
  <si>
    <t>Ethics in Engineering Practice
AutoCAD</t>
  </si>
  <si>
    <t>P25700316</t>
  </si>
  <si>
    <t>IFHAM</t>
  </si>
  <si>
    <t>Ifham Khan</t>
  </si>
  <si>
    <t>iamifhamkhan@gmail.com</t>
  </si>
  <si>
    <t>p25700316@student.nicmar.ac.in</t>
  </si>
  <si>
    <t>06-Mar-2000</t>
  </si>
  <si>
    <t>5862 2786 3453</t>
  </si>
  <si>
    <t>MASROOR AHMED KHAN</t>
  </si>
  <si>
    <t>SHAHINA FAIZ</t>
  </si>
  <si>
    <t>4470, Shahtara Street, Ajmeri Gate</t>
  </si>
  <si>
    <t>Central Delhi</t>
  </si>
  <si>
    <t>CAMBRIDGE SCHOOL</t>
  </si>
  <si>
    <t>CENTRAL BOARD OF SECONDARY EDUCATION , NEW DELHI, DELHI</t>
  </si>
  <si>
    <t>CENTRAL BOARD OF SECONDARY EDUCATION, NEW DELHI, DELHI</t>
  </si>
  <si>
    <t>GURU GOBIND SINGH INDRAPRASTHA UNIVERSITY</t>
  </si>
  <si>
    <t>DR. AKHILESH DAS GUPTA INSTITUTE OF TECHNOLOGY &amp; MANAGEMENT</t>
  </si>
  <si>
    <t>AutoCAD,MS Office,MS Project,Primavera,Work Breakdown Structures,Progress Dashboard,Cost/Quantity Data Handling,Documentation Management,Engineering Drawings Interpretation,Quantity Takeoff</t>
  </si>
  <si>
    <t>Prestige Estates Projects Limited | Planning Intern | Ghazibad, Uttar Pradesh  | May 2026 | Jul 2026 | 8.5714285714286 Weeks | Campus Internship
ABR Infrasolutions Pvt. Ltd. | Civil Engineer Trainee | Noida, Uttar Pradesh  | Sep 2022 | Nov 2022 | 8.7142857142857 Weeks</t>
  </si>
  <si>
    <t>Primavera P6
Staad Pro
Revit Structure</t>
  </si>
  <si>
    <t>P25700317</t>
  </si>
  <si>
    <t>MUDEWAR</t>
  </si>
  <si>
    <t>Shruti Mudewar</t>
  </si>
  <si>
    <t>shrutimudewar13@gmail.com</t>
  </si>
  <si>
    <t>P24700249@student.nicmar.ac.in</t>
  </si>
  <si>
    <t>13-Jun-2001</t>
  </si>
  <si>
    <t>English, hindi, marathi</t>
  </si>
  <si>
    <t>6965 3078 3914</t>
  </si>
  <si>
    <t>MAMTA</t>
  </si>
  <si>
    <t>Mamta Niwas, Near Renault Security Office, Haveli Garden, Chandrapur</t>
  </si>
  <si>
    <t>VIDYA NIKETAN HIGH SCHOOL</t>
  </si>
  <si>
    <t>NARAYANA GIRLS COLLEGE</t>
  </si>
  <si>
    <t>DIPLOMA OF INTERIOR DESIGNING</t>
  </si>
  <si>
    <t>HIMALAYAN UNIVERSITY</t>
  </si>
  <si>
    <t>PRIYADARSHINI INSTITUTE OF ARCHITECTURE AND DESIGN STUDIES, NAGPUR</t>
  </si>
  <si>
    <t>AutoCAD,MS Office,MS Project,Primavera,Sketchup,CostX</t>
  </si>
  <si>
    <t>A.W.khan | Project Coordination intern | Chandrapur  | May 2026 | Jul 2026 | 8.7142857142857 Weeks | Campus Internship
Modi Srivasta and Associates | Trainee Architect | Vadodara, gujrat | Jan 2023 | Sep 2023 | 33.714285714286 Weeks</t>
  </si>
  <si>
    <t>P25700318</t>
  </si>
  <si>
    <t>Jaiswal</t>
  </si>
  <si>
    <t>Chaitanya</t>
  </si>
  <si>
    <t>Shailesh</t>
  </si>
  <si>
    <t>Jaiswal Chaitanya Shailesh</t>
  </si>
  <si>
    <t>chaitanyajaiswal23@gmail.com</t>
  </si>
  <si>
    <t>P2370762@student.nicmar.ac.in</t>
  </si>
  <si>
    <t>23-Sep-2002</t>
  </si>
  <si>
    <t>Cooking,Badminton,Reading Book</t>
  </si>
  <si>
    <t>9190 4431 9274</t>
  </si>
  <si>
    <t>SHAILESH</t>
  </si>
  <si>
    <t>VIDYA</t>
  </si>
  <si>
    <t>HOME ECONOMIST (HOUSE WIFE)</t>
  </si>
  <si>
    <t xml:space="preserve">Mudliyaar Nagar Near Vitthal Rukmini Mandir,Amravati
</t>
  </si>
  <si>
    <t>DESHMUKHWADI SHIVANE SWAMI BALAJI SOCIETY PUNE</t>
  </si>
  <si>
    <t>NARAYANDAS LADDHA HIGH SCHOOL,AMRAVATI</t>
  </si>
  <si>
    <t>DR.PANJABRAO DESHMUKH POLYTECHNIC, AMRAVATI</t>
  </si>
  <si>
    <t>SINHGAD COLLEGE OF ENGINEERING VADGAON, PUNE</t>
  </si>
  <si>
    <t>AutoCAD, Primavera P6, MS Project, Revit, Navisworks, BIM, Microsoft Excel, MS Office, MS Word</t>
  </si>
  <si>
    <t>SAI SHLOK INFRA PVT LTD  | Site Execution Intern | Silvassa - surangi | May 2026 | Jun 2026 | 8.1428571428571 Weeks | Campus Internship
Taha Construction  | Site Engineer | Amravati | Aug 2024 | Dec 2024 | 21.571428571429 Weeks
SIDDHIVINAYAK ENTERPRISES | Intern-Site Management | Pune | Jan 2025 | Mar 2025 | 8.4285714285714 Weeks</t>
  </si>
  <si>
    <t>MS Excel
Autodesk BIM Professional
Autodesk Autocad 2022
RevitÂ® For Architecture</t>
  </si>
  <si>
    <t>P25700320</t>
  </si>
  <si>
    <t>RAVI</t>
  </si>
  <si>
    <t>Rohit Ravi</t>
  </si>
  <si>
    <t>revirohit@gmaill.com</t>
  </si>
  <si>
    <t>p25700320@student.nicmar.ac.in</t>
  </si>
  <si>
    <t>31-May-2000</t>
  </si>
  <si>
    <t>ENGLISH, HINDI, KONKANI, MARATHI, MALAYALAM</t>
  </si>
  <si>
    <t>9072 0926 4469</t>
  </si>
  <si>
    <t>RAVINDRAN KORAPRETH</t>
  </si>
  <si>
    <t>LOUJA NALLAVEETIL</t>
  </si>
  <si>
    <t>VARALAXMI P.G., THIRD FLOOR, ROOM NO. 301, MAHALUNGE, BANER, PUNE-MAHARASHTRA</t>
  </si>
  <si>
    <t>TF-1, Bhanudeep Residency, Near Supermarket Complex, Ponda-Goa</t>
  </si>
  <si>
    <t>North Goa</t>
  </si>
  <si>
    <t>Goa</t>
  </si>
  <si>
    <t>G. V. M'S A. J. DE ALMEIDA HIGH SCHOOL, PONDA-GOA</t>
  </si>
  <si>
    <t>GOA BOAD OF SECONDARY AND HIGHER SECONDARY EDUCATION, ALTO-BETIM, GOA</t>
  </si>
  <si>
    <t>G. V. M'S S. N. J. A. HIGHER SECONDARY SCHOOL, FARMAGUDI, PONDA-GOA</t>
  </si>
  <si>
    <t>GOA  UNIVERSITY</t>
  </si>
  <si>
    <t>DON BOSCO COLLEGE OF ENGINEERING</t>
  </si>
  <si>
    <t>AutoCAD,MS Office,MS Project,REVIT,E-TABS</t>
  </si>
  <si>
    <t>ENCUBE ETHICALS | ENGINEER | MADKAI, PONDA-GOA | Oct 2022 | Dec 2023 | 1Y 2M | 2.5
UR DREAMS | ENGINEER | VASCO | Aug 2024 | Jul 2025 | 0Y 10M | 2.16</t>
  </si>
  <si>
    <t>Sobha Ltd. | Site Execution  | Bengaluru  | May 2026 | Jul 2026 | 9 Weeks | Campus Internship</t>
  </si>
  <si>
    <t>Advance Diploma in 3D Design (Revit and E-TABS )</t>
  </si>
  <si>
    <t>P25700321</t>
  </si>
  <si>
    <t>DEVANSH</t>
  </si>
  <si>
    <t>DWIVEDI</t>
  </si>
  <si>
    <t>Devansh Dwivedi</t>
  </si>
  <si>
    <t>devanshdwivedi1504@gmail.com</t>
  </si>
  <si>
    <t>p25700321@student.nicmar.ac.in</t>
  </si>
  <si>
    <t>15-Apr-2003</t>
  </si>
  <si>
    <t>HINDI ,ENGLISH</t>
  </si>
  <si>
    <t>3265 7168 1710</t>
  </si>
  <si>
    <t>SHACHIN DWIVEDI</t>
  </si>
  <si>
    <t>N/A</t>
  </si>
  <si>
    <t>GEETIKA DWIVEDI</t>
  </si>
  <si>
    <t>POST OFFICE, 25/1, NICMAR UNIVERSITY, GATE NO.2 , N.I.A_x000D_
RAM NAGAR,, BALEWADI RD, BANER, PUNE, MAHARASHTRA 411045</t>
  </si>
  <si>
    <t>10-C Pocket-A Dilshad Garden</t>
  </si>
  <si>
    <t>SHAHEED RAJPAL DAV PUBLIC SCHOOL DAYANAND VIHAR, DELHI -110092</t>
  </si>
  <si>
    <t>CBSE DELHI / EAST DELHI</t>
  </si>
  <si>
    <t>GURU GOBIND SINGH INDRAPRASTHA UNIVERSITY- DELHI</t>
  </si>
  <si>
    <t>DR. AKHILESH DAS GUPTA INSTITUTE OF PROFESSIONAL STUDIES, NEW DELHI-110056</t>
  </si>
  <si>
    <t>GSIDC | Execution | Goa | May 2026 | Jul 2026 | 8.7142857142857 Weeks | Campus Internship
TATA PROJECTS LIMITED | N/A | TCS NOIDA-IT PARK | Jul 2024 | Aug 2024 | 5.7142857142857 Weeks</t>
  </si>
  <si>
    <t>Civil Design on Auto CAD, STAAD.Pro, ETABS &amp; Revit Architecture
IGBC certification</t>
  </si>
  <si>
    <t>P25700322</t>
  </si>
  <si>
    <t>NIDHIN</t>
  </si>
  <si>
    <t>KAILAS A</t>
  </si>
  <si>
    <t>Nidhin Kailas A</t>
  </si>
  <si>
    <t>nidhinkailasa2@gmail.com</t>
  </si>
  <si>
    <t>p25700322@student.nicmar.ac.in</t>
  </si>
  <si>
    <t>29-Jun-2002</t>
  </si>
  <si>
    <t>English, Hindi, Malayalam, Tamil(only speak and listen)</t>
  </si>
  <si>
    <t>4246 0797 9803</t>
  </si>
  <si>
    <t>K AKHIL</t>
  </si>
  <si>
    <t>GOVT SERVANT</t>
  </si>
  <si>
    <t>K DINI</t>
  </si>
  <si>
    <t>ARA-72, TC 6/2194(7), AITHADI LANE, NEAR PRASANTHNAGAR, ULLOOR TO AKKULAM ROAD, MEDICAL COLLEGE P.O., THIRUVANANTHAPURAM</t>
  </si>
  <si>
    <t>KENDRIYA VIDYALAYA PATTOM</t>
  </si>
  <si>
    <t>CBSE, KERALA</t>
  </si>
  <si>
    <t>COLLEGE OF ENGINEERING TRIVANDRUM , KERALA</t>
  </si>
  <si>
    <t>AutoCAD,MS Office,MS Project,Staad.Pro,VISSIM, Primavera, CostX, Navisworks</t>
  </si>
  <si>
    <t>ULCCS Ltd. | Student intern | Trivandrum, Kerala | May 2026 | Jun 2026 | 7.7142857142857 Weeks | Campus Internship
KERALA STATE ELECTRICITY BOARD LIMITED | STUDENT INTERN | MUNNAR, IDUKKI | Jun 2024 | Jun 2024 | 1.4285714285714 Weeks</t>
  </si>
  <si>
    <t>P25700323</t>
  </si>
  <si>
    <t>PRATHAMESH</t>
  </si>
  <si>
    <t>BHOKARE</t>
  </si>
  <si>
    <t>Prathamesh Bhokare</t>
  </si>
  <si>
    <t>pbhokare27@gmail.com</t>
  </si>
  <si>
    <t>p25700323@student.nicmar.ac.in</t>
  </si>
  <si>
    <t>27-Jul-1999</t>
  </si>
  <si>
    <t>ENGLISH , MARATHI , HINDI</t>
  </si>
  <si>
    <t>3692 2952 6474</t>
  </si>
  <si>
    <t>ANAND VASANTRAO BHOKARE</t>
  </si>
  <si>
    <t>PRIVATE WORKER</t>
  </si>
  <si>
    <t>VARSHA ANAND BHOKARE</t>
  </si>
  <si>
    <t>SHREE RAM NAGAR NEAR AMBAR HOTEL DEEPDARSHAN APT GROUND FLOOR JULE SOLAPUR , SOLAPUR</t>
  </si>
  <si>
    <t>SECONDARY AND HIGHER SECONDARY EDUCATION , PUNE , MAHARASHTRA</t>
  </si>
  <si>
    <t>DESHBHAKT HARINARAYAN BANKATLAL SONI COLLEGE</t>
  </si>
  <si>
    <t>DR.BABASAHEB AMBEDKAR TECHNOLOGICAL UNIVERSITY, LONERE , RAIGAD</t>
  </si>
  <si>
    <t>NAGESH KARAJAGI ORCHID COLLEGE OF ENGINEERING &amp; TECHNOLOGY , SOLAPUR , MAHARASHTRA</t>
  </si>
  <si>
    <t>AutoCAD, MS Office , MS Project , Cost X , Oracle Primavera, Staad Pro, Revit</t>
  </si>
  <si>
    <t>Yash Construction  | Project Co-ordination Intern  | Solapur | May 2026 | Jul 2026 | 9 Weeks | Campus Internship
MINISTRY OF HOUSING &amp; URBAN AFFAIRS , GOVERNMENT OF INDIA , AICTE | INTERN | SOLAPUR | Jul 2022 | Aug 2022 | 5 Weeks</t>
  </si>
  <si>
    <t>IGBC  Accredited Professional - Associate
Project Planning
Foundations of Project Management
Finance for Non-Financial Managers</t>
  </si>
  <si>
    <t>P25700324</t>
  </si>
  <si>
    <t>RITIK</t>
  </si>
  <si>
    <t>Ritik Rana</t>
  </si>
  <si>
    <t>ritikranabaldeo@gmail.com</t>
  </si>
  <si>
    <t>p25700324@student.nicmar.ac.in</t>
  </si>
  <si>
    <t>20-May-2004</t>
  </si>
  <si>
    <t>9459 5099 5506</t>
  </si>
  <si>
    <t>HARIHAR RANA</t>
  </si>
  <si>
    <t>RAJESHWARI RANA</t>
  </si>
  <si>
    <t>Village- Angai Post-Baldeo Tehsil-Mahavan District-Mathura Uttar Pradesh</t>
  </si>
  <si>
    <t>HEERA SINGH PUBLIC SCHOOL</t>
  </si>
  <si>
    <t>CBSE - MATHURA</t>
  </si>
  <si>
    <t>GREEN WILLOW PUBLIC SCHOOL</t>
  </si>
  <si>
    <t>DR. A.P.J ABDUL KALAM TECHNICAL UNIVERSITY</t>
  </si>
  <si>
    <t>B.S.A COLLEGE OF ENGINEERING AND TECHNOLOGY, MATHURA</t>
  </si>
  <si>
    <t>Montecarlo Limited  | Management Intern  | Parbhani, Maharashtra  | May 2026 | Jul 2026 | 9.4285714285714 Weeks | Campus Internship
Public Works Department | Intern  | Mathura  | Jul 2023 | Aug 2023 | 6.5714285714286 Weeks</t>
  </si>
  <si>
    <t>P25700326</t>
  </si>
  <si>
    <t>SHAILESHBHAI</t>
  </si>
  <si>
    <t>PATEL</t>
  </si>
  <si>
    <t>Soham Shaileshbhai Patel</t>
  </si>
  <si>
    <t>patelsoham722@gmail.com</t>
  </si>
  <si>
    <t>p25700326@student.nicmar.ac.in</t>
  </si>
  <si>
    <t>07-Feb-2000</t>
  </si>
  <si>
    <t>ENGLISH, HINDI, GUJARATI</t>
  </si>
  <si>
    <t>5297 4048 3458</t>
  </si>
  <si>
    <t>SHAILESH PATEL</t>
  </si>
  <si>
    <t>PRINTING SUPERVISOR</t>
  </si>
  <si>
    <t>JIGNASHA PATEL</t>
  </si>
  <si>
    <t>53,54 Jantanagar Soc. B, B/H Kapadia Health Club, New Civil Road, Bhatar, Surat</t>
  </si>
  <si>
    <t>R.S.M. POONAWALA SARVAJANIK EXPERIMENTAL SCHOOL</t>
  </si>
  <si>
    <t>GUJARAT SECONDARY AND HIGHER SECONDARY EDUCATION BOARD, SURAT</t>
  </si>
  <si>
    <t>SHREE SWAMI ATMANAND SARASWATI INSTITUTE OF TECHNOLOGY, SURAT</t>
  </si>
  <si>
    <t>AutoCAD,MS Office,MS Project,Primavera,Power bi,Excel,Revit</t>
  </si>
  <si>
    <t>Professional Engineering Services | Junior Civil Engineer | Surat, Gujarat | Nov 2021 | Apr 2023 | 1Y 5M | 1.8
AVADH GROUP | Junior Civil Engineer | Surat, Gujarat | May 2023 | Jun 2025 | 2Y 1M | 2.64</t>
  </si>
  <si>
    <t>3 Years 7 Months</t>
  </si>
  <si>
    <t>NBCC (INDIA) LIMITED | Project Intern  | Greater Noida | May 2026 | Jul 2026 | 9.5714285714286 Weeks | Campus Internship</t>
  </si>
  <si>
    <t>Revit
Auto CAD</t>
  </si>
  <si>
    <t>P25700327</t>
  </si>
  <si>
    <t>LEKHANA</t>
  </si>
  <si>
    <t>SHARADA</t>
  </si>
  <si>
    <t>Lekhana Sharada</t>
  </si>
  <si>
    <t>lekhanasharada@gmail.com</t>
  </si>
  <si>
    <t>p25700327@student.nicmar.ac.in</t>
  </si>
  <si>
    <t>26-Feb-2004</t>
  </si>
  <si>
    <t>ENGLISH,HINDI AND KANNADA</t>
  </si>
  <si>
    <t>4959 7573 4556</t>
  </si>
  <si>
    <t>PRAHLADA</t>
  </si>
  <si>
    <t>RAJANI MR</t>
  </si>
  <si>
    <t>No 19, Ganesh Mansion, 1st Cross, Kothanur Dinne Main Road, JP NAGAR 8TH PHASE</t>
  </si>
  <si>
    <t>APS PUBLIC SCHOOL</t>
  </si>
  <si>
    <t>ICSE, NEW DELHI</t>
  </si>
  <si>
    <t>VISVESWARAYA TECHNOLOGICAL UNIVERSITY</t>
  </si>
  <si>
    <t>BMS COLLEGE OF ENGINEERING, BENGALURU</t>
  </si>
  <si>
    <t>AHLUWALIA CONTRACTS INDIA LTD. | Intern  | Bengaluru  | May 2026 | Jul 2026 | 8.7142857142857 Weeks | Campus Internship
SOUTH WESTERN RAILWAY, OFFICE OF THE DEPUTY CHIEF ENGINEER (STATION DEVELOPMENT, CONSTRUCTION ORGANISATION), BENGALURU CANTONMENT | STUDENT TRAINEEâ€“ STATION DEVELOPMENT &amp; CONSTRUCTION | YESHWANTPUR RAILWAY STATION | Jul 2024 | Aug 2024 | 4.2857142857143 Weeks</t>
  </si>
  <si>
    <t>P25700328</t>
  </si>
  <si>
    <t>GIDAYE</t>
  </si>
  <si>
    <t>Gidaye Vedant Ravindra</t>
  </si>
  <si>
    <t>gidayevedant18@gmail.com</t>
  </si>
  <si>
    <t>p25700328@student.nicmar.ac.in</t>
  </si>
  <si>
    <t>05-Nov-2001</t>
  </si>
  <si>
    <t>3459 8345 0142</t>
  </si>
  <si>
    <t>RAVINDRA DHONDU GIDAYE</t>
  </si>
  <si>
    <t>GOVT. TEACHER</t>
  </si>
  <si>
    <t>ROHINI RAVINDRA GIDAYE</t>
  </si>
  <si>
    <t>SHRADDHA GARDEN,BUILDING 12, FLAT 12, GAWADE PARK, CHINCHWAD</t>
  </si>
  <si>
    <t>At/post-Devrukh ,near ASP College ,HP Gas Agency Road.</t>
  </si>
  <si>
    <t>SMT. ARUNDHATI ARUN PADHYE ENGLISH MEDIUM SCHOOL, DEVRUKH</t>
  </si>
  <si>
    <t>PADMASHREE DR. D. Y. PATIL COLLEGE OF ARCHITECTURE, AKURDI, PUNE</t>
  </si>
  <si>
    <t>AutoCAD,MS Office,MS Project,Primavera, CostX,Revit, Navisworks,BEXEL Manager,SketchUp,D5 Render,Photoshop</t>
  </si>
  <si>
    <t>Avenue Architect | Architectural Intern - Redevelopment &amp; Building Sanctioning | Chinchwad, Pune | May 2026 | Jul 2026 | 8.7142857142857 Weeks | Campus Internship
Key Project | Architecture Intern | Pune | Jun 2024 | Oct 2024 | 18.571428571429 Weeks</t>
  </si>
  <si>
    <t>IGBC Accredited Professional- Associate</t>
  </si>
  <si>
    <t>P25700329</t>
  </si>
  <si>
    <t>MRUDUL</t>
  </si>
  <si>
    <t>UMAKANT</t>
  </si>
  <si>
    <t>Mrudul Umakant Bhagat</t>
  </si>
  <si>
    <t>mrudulbhagat2@gmail.com</t>
  </si>
  <si>
    <t>p25700329@student.nicmar.ac.in</t>
  </si>
  <si>
    <t>26-Mar-2002</t>
  </si>
  <si>
    <t>6593 2404 2176</t>
  </si>
  <si>
    <t>JANKI NAGAR, NEAR PETROL PUMP, KATOL, NAGPUR</t>
  </si>
  <si>
    <t>BHAGAT MRUDUL UMAKANT</t>
  </si>
  <si>
    <t>SARASWAT JUNIOR COLLEGE SAONER</t>
  </si>
  <si>
    <t>HIGHER SECONDARY CERTIFICATE</t>
  </si>
  <si>
    <t>AutoCAD, MS Office, MS Project, Primavera, SAP2000V21, STAADPRO, Revit, CostX , Naviswork</t>
  </si>
  <si>
    <t>Revespaces | Marketing Analytic and Digital Strategy Intern | Wakad , Pune | May 2026 | Jul 2026 | 8.7142857142857 Weeks | Campus Internship
MANE REALTORS PVT. LTD. | Office Work | Nagpur | Jan 2024 | Apr 2024 | 17.142857142857 Weeks</t>
  </si>
  <si>
    <t>P25700330</t>
  </si>
  <si>
    <t>HARSHDIP</t>
  </si>
  <si>
    <t>Harshdip Vikas Patil</t>
  </si>
  <si>
    <t>harshdipvpatil@rediffmail.com</t>
  </si>
  <si>
    <t>p25700330@student.nicmar.ac.in</t>
  </si>
  <si>
    <t>11-Aug-1999</t>
  </si>
  <si>
    <t>HINDI,ENGLISH &amp; MARATHI</t>
  </si>
  <si>
    <t>9747 7614 9874</t>
  </si>
  <si>
    <t>VIKAS PATIL</t>
  </si>
  <si>
    <t>POLICE</t>
  </si>
  <si>
    <t>BHARTI PATIL</t>
  </si>
  <si>
    <t>32 Jitendra Nagar, Deopur , Dhule</t>
  </si>
  <si>
    <t>JAHIND HIGHSCHOOL DHULE</t>
  </si>
  <si>
    <t>MAHARASTRA STATE BOARD OF SECONDARY AND HIGHER SECONDARY EDUCATION,PUNE</t>
  </si>
  <si>
    <t>G.D SAWANT COLLAGE ,NASHIK</t>
  </si>
  <si>
    <t>NETAJI POLYTECHNIC COLLAGE DHULE</t>
  </si>
  <si>
    <t>NORTH MAHARASHTRA UNIVERSITY JALGOAN</t>
  </si>
  <si>
    <t>SHRI JAYKUMAR RAVAL INSTISTUTE OF TECHNOLOGY DONDAICHA DHULE</t>
  </si>
  <si>
    <t>B.G. SHIRKE | Management Trainee  | Goregaon west , Mumbai | May 2026 | Jul 2026 | 8.7142857142857 Weeks | Campus Internship</t>
  </si>
  <si>
    <t>AutoCAD and construction skill and Quantity surveying</t>
  </si>
  <si>
    <t>P25700331</t>
  </si>
  <si>
    <t>PRACHI</t>
  </si>
  <si>
    <t>BHOINALLU</t>
  </si>
  <si>
    <t>Prachi Bhoinallu</t>
  </si>
  <si>
    <t>prachibhoinallu15@gmail.com</t>
  </si>
  <si>
    <t>p25700331@student.nicmar.ac.in</t>
  </si>
  <si>
    <t>15-Mar-2002</t>
  </si>
  <si>
    <t>6358 9886 5554</t>
  </si>
  <si>
    <t>JOB</t>
  </si>
  <si>
    <t>Sr. No. 13/4/5 Flat No. 25, Wing No. 3, Anandpark, Ektanagari, Anandnagar, Sinhgad Road, Pune 51</t>
  </si>
  <si>
    <t>BHOINALLU PRACHI VIJAY</t>
  </si>
  <si>
    <t>SECONDARY AND HIGHER SECONDARY EDUCATION, PUNE MAHARASHTRA</t>
  </si>
  <si>
    <t>HIGHER SECONDARY EDUCATION, PUNE MAHARASHTRA</t>
  </si>
  <si>
    <t>ZEAL POLYTECHNIC PUNE, MAHARASHTRA</t>
  </si>
  <si>
    <t>R. M. D SINHGAD SCHOOL OF ENGINEERING, PUNE MAHARASHTRA</t>
  </si>
  <si>
    <t>New Consolidated Construction Company ltd  | Planning Intern | Mumbai | May 2026 | Jul 2026 | 8.5714285714286 Weeks | Campus Internship
Son Waterproofing Co. LLP. | Billing Assistance | Pune | Jul 2024 | Nov 2024 | 20.428571428571 Weeks</t>
  </si>
  <si>
    <t>P25700332</t>
  </si>
  <si>
    <t>OM</t>
  </si>
  <si>
    <t>Om Rahul Jadhav</t>
  </si>
  <si>
    <t>omjadhav9950@gmail.com</t>
  </si>
  <si>
    <t>p25700332@student.nicmar.ac.in</t>
  </si>
  <si>
    <t>16-Mar-2003</t>
  </si>
  <si>
    <t>English , Marathi , Hindi</t>
  </si>
  <si>
    <t>2769 2739 1544</t>
  </si>
  <si>
    <t>RAHUL BHIKASHETH JADHAV</t>
  </si>
  <si>
    <t>RUPALI RAHUL JADHAV</t>
  </si>
  <si>
    <t>Swpankunj Tilak Road Saraf Bazar Saraf</t>
  </si>
  <si>
    <t>MAHARASHTRA STATE BOARD OF SECONDARY AND HIGHER SECONDARY EDUCATION (MSBSHSE) , NASHIK</t>
  </si>
  <si>
    <t>UPADHYAY COLLEGE OF SCIENCE</t>
  </si>
  <si>
    <t>MIT WORLD PEACE UNIVERSITY, PUNE , MAHARASHTRA</t>
  </si>
  <si>
    <t>2027-Jun</t>
  </si>
  <si>
    <t>Dhanavade Group  | Site Executiion , Control  and Planning  | Pune | May 2026 | Jul 2026 | 8.7142857142857 Weeks | Campus Internship
INDIAN INSTITUTE OF TECHNOLOGY BOMBAY | RESEARCH INTERN | MUMBAI | Jan 2025 | Jul 2025 | 25.714285714286 Weeks</t>
  </si>
  <si>
    <t>P25700333</t>
  </si>
  <si>
    <t>TRIBHUVAN</t>
  </si>
  <si>
    <t>SALUNKE</t>
  </si>
  <si>
    <t>Tribhuvan Sunil Salunke</t>
  </si>
  <si>
    <t>salunketribhuvan@gmail.com</t>
  </si>
  <si>
    <t>p25700333@student.nicmar.ac.in</t>
  </si>
  <si>
    <t>21-Nov-1998</t>
  </si>
  <si>
    <t>6706 6315 7654</t>
  </si>
  <si>
    <t>UJWALA</t>
  </si>
  <si>
    <t>102 Om Plaza, Laxmi Colony Old Ausa Road_x000D_</t>
  </si>
  <si>
    <t>SHRI SADANAND HIGH SCHOOL LATUR.</t>
  </si>
  <si>
    <t>VISHWESHWARAYYA ABHIYANTRIKI PADVIKA MAHAVIDYALAYA ALMALA</t>
  </si>
  <si>
    <t>K J COLLEGE OF ENGINEERING &amp; MANAGEMENT RESEARCH,PUNE</t>
  </si>
  <si>
    <t>Convenient Construction Consultancy Pvt Ltd (CCCPL) | Site Execution | Porvorim ,Goa | May 2026 | Jul 2026 | 9.7142857142857 Weeks | Campus Internship</t>
  </si>
  <si>
    <t>P25700334</t>
  </si>
  <si>
    <t>VINAYAKA</t>
  </si>
  <si>
    <t>PRAKASHAPPA</t>
  </si>
  <si>
    <t>CHAPPARADALLI</t>
  </si>
  <si>
    <t>Vinayaka Prakashappa Chapparadalli</t>
  </si>
  <si>
    <t>vinayakapc83@gmail.com</t>
  </si>
  <si>
    <t>p25700334@student.nicmar.ac.in</t>
  </si>
  <si>
    <t>2391 3504 9052</t>
  </si>
  <si>
    <t>LATE FORMER</t>
  </si>
  <si>
    <t>HOUSE WORK</t>
  </si>
  <si>
    <t>GURUCHARAN PG LAXMAN NAGAR BANER, LAXMAN NAGAR, BANER, PUNE,Â MAHARASHTRA</t>
  </si>
  <si>
    <t>Haveri (Dis),Hirekerur(Tq), Ingalagondi (V) (P).</t>
  </si>
  <si>
    <t>Haveri</t>
  </si>
  <si>
    <t>BGS ENG MED SCHOOL, SHARAVATHI NAGAR SHIVAMOGGA.</t>
  </si>
  <si>
    <t>KARNATAKA SECONDARY EDUCATION EXAMINATION BOARD, KARNATAKA.</t>
  </si>
  <si>
    <t>ADICHUNCHANAGIRI PU COLLEGE, KUVEMPU ROAD SHARAVATHI NAGAR, SHIVAMOGGA.</t>
  </si>
  <si>
    <t>DEPARTMENT OF PRE-UNIVERSITY EDUCATION, KARNATAKA.</t>
  </si>
  <si>
    <t>VISHWESHVARAIH TECHNOLOGICAL UNIVERSITY(VTU)</t>
  </si>
  <si>
    <t>DAYANANDA SAGAR COLLEGE OF ENGINEERING, KUMARSWAMY LAYOUT, BENGALURU, KARNATAKA.</t>
  </si>
  <si>
    <t>AutoCAD, MS Project, Primavera, MS office.</t>
  </si>
  <si>
    <t>Varunkumar Construction | Site Engineer and QA/QC | Bengaluru  | Feb 2024 | Jan 2025 | 0Y 11M | 2.5</t>
  </si>
  <si>
    <t>Oswal Group (Vardhman Amrante Pvt. Ltd.) | QA/QC &amp; Safety Control Intern | Ludhiana, Punjab  | May 2026 | Jul 2026 | 9.5714285714286 Weeks | Campus Internship
DESIGN POINT PROJECT MANAGEMENT AND CONSULTANTS | Site Engineer | Bangalore, Karnataka | Aug 2023 | Sep 2023 | 4.4285714285714 Weeks</t>
  </si>
  <si>
    <t>P25700335</t>
  </si>
  <si>
    <t>Anuj Gautam</t>
  </si>
  <si>
    <t>anuj28gautam@gmail.com</t>
  </si>
  <si>
    <t>p25700335@student.nicmar.ac.in</t>
  </si>
  <si>
    <t>02-Aug-2003</t>
  </si>
  <si>
    <t>7741 9856 0821</t>
  </si>
  <si>
    <t>RAKESH KUMAR GAUTAM</t>
  </si>
  <si>
    <t>MALTI</t>
  </si>
  <si>
    <t>432/95B/35, Momin Nagar, Campbell Road, Lucknow</t>
  </si>
  <si>
    <t>KASIGA SCHOOL</t>
  </si>
  <si>
    <t>CBSE, DEHRADUN</t>
  </si>
  <si>
    <t>VELLORE INSTITUTE OF TECHNOLOGY, CHENNAI</t>
  </si>
  <si>
    <t>CentreTech PMC Pvt. Ltd. | Project Management Intern | Thane | May 2026 | Jul 2026 | 8.7142857142857 Weeks | Campus Internship
Suraj Builder India Pvt. Ltd. | Trainee Engineer | Lucknow | Jul 2024 | Nov 2024 | 17.571428571429 Weeks</t>
  </si>
  <si>
    <t>Finance for Non-Financial Managers
Primavera with PPM Concepts</t>
  </si>
  <si>
    <t>P25700336</t>
  </si>
  <si>
    <t>PRAGATI</t>
  </si>
  <si>
    <t>JEETENDRA</t>
  </si>
  <si>
    <t>JAGTAP</t>
  </si>
  <si>
    <t>Pragati Jeetendra Jagtap</t>
  </si>
  <si>
    <t>jagtapp087@gmail.com</t>
  </si>
  <si>
    <t>p25700336@student.nicmar.ac.in</t>
  </si>
  <si>
    <t>12-Nov-1998</t>
  </si>
  <si>
    <t>2553 8466 7012</t>
  </si>
  <si>
    <t>JEETENDRA JAGTAP</t>
  </si>
  <si>
    <t>SANDHYA JAGTAP</t>
  </si>
  <si>
    <t>B1, 501, WELWORTH CELINA SOCIETY, OFF BANER ROAD, BANER, PUNE</t>
  </si>
  <si>
    <t>House No.18B, Ward No.6 Near Sai Temple,_x000D_
Arni Road, Samta Nagar, Yavatmal</t>
  </si>
  <si>
    <t>MAHILA VIDHYALA, YAVATMAL</t>
  </si>
  <si>
    <t>MAHARASHTRA STATE BOARD OF SECONDARY AND HIGHER SECONDARY EDUCATION (SSC)</t>
  </si>
  <si>
    <t>GOVERNMENT POLYTECHNIC, YAVATMAL, MAHARASHTRA</t>
  </si>
  <si>
    <t>JAGADAMBHA COLLAGE OF ENGINEERING AND TECHNOLOGY, YAVATMAL</t>
  </si>
  <si>
    <t>AutoCAD,MS Office,MS Project,Primavera, Revit, BIM,3D modeling using Sketchup-pro,Autodesk 3DS Max,Cost-x,Coohom AI Tool</t>
  </si>
  <si>
    <t>K Group of Emperors | Interior Designer | Pune | Jun 2022 | Jan 2024 | 1Y 7M | 4</t>
  </si>
  <si>
    <t>UrbanGaon Properties Pvt. Ltd. | Project Management Intern | Jaipur, Rajasthan | May 2026 | Jul 2026 | 8.7142857142857 Weeks | Campus Internship</t>
  </si>
  <si>
    <t>AutoCAD
3D Modeling, Animation &amp; Rendering using Autodesk 3DS Max
3D Modeling using SketchUp Pro</t>
  </si>
  <si>
    <t>P25700337</t>
  </si>
  <si>
    <t>RESHANYA</t>
  </si>
  <si>
    <t>Reshanya Gautam</t>
  </si>
  <si>
    <t>gautamreshanya@gmail.com</t>
  </si>
  <si>
    <t>p25700337@student.nicmar.ac.in</t>
  </si>
  <si>
    <t>English &amp; Hindi</t>
  </si>
  <si>
    <t>6209 6984 1950</t>
  </si>
  <si>
    <t>VIJAY GAUTAM</t>
  </si>
  <si>
    <t>GAYATRI GAUTAM</t>
  </si>
  <si>
    <t>576-577 Sai Kripa Colony</t>
  </si>
  <si>
    <t>THE SHISHUKUNJ INTERNATIONAL SCHOOL</t>
  </si>
  <si>
    <t>CENTRAL BOARD OF SECONDARY EDUCATION INDORE MADHYA PRADESH</t>
  </si>
  <si>
    <t>COLUMBIA CONVENT SCHOOL</t>
  </si>
  <si>
    <t>CENTRAL BOARD OF SECONDARY EDUCATION  INDORE MADHYA PRADESH</t>
  </si>
  <si>
    <t>SRM INSTITUTE OF SCIENCE AND TECHNOLOGY CHENNAI TAMIL NADU</t>
  </si>
  <si>
    <t>Construction Equipment Maintenance and Safety 
Finance for Non-Financial Managers</t>
  </si>
  <si>
    <t>P25700338</t>
  </si>
  <si>
    <t>KANSAL</t>
  </si>
  <si>
    <t>Krishna Kansal</t>
  </si>
  <si>
    <t>kansalkrishna2609@gmail.com</t>
  </si>
  <si>
    <t>p25700338@student.nicmar.ac.in</t>
  </si>
  <si>
    <t>5058 9782 3971</t>
  </si>
  <si>
    <t>YOGESH KANSAL</t>
  </si>
  <si>
    <t>POONAM KANSAL</t>
  </si>
  <si>
    <t>E-1055, SARASWATI VIHAR, PITAMPURA, NEW DELHI-110034</t>
  </si>
  <si>
    <t>North West Delhi</t>
  </si>
  <si>
    <t>SACHDEVA PUBLIC SCHOOL</t>
  </si>
  <si>
    <t>DELHI TECHNOLOGICAL UNIVERSITY</t>
  </si>
  <si>
    <t>DELHI TECHNOLOGICAL UNIVERSITY , DELHI</t>
  </si>
  <si>
    <t>Claude,ChatGPT,LLM,AutoCAD,MS Office,MS Project,Primavera,REVIT,STADDPRO,Navisworks,CostX</t>
  </si>
  <si>
    <t>Prestige Developers | Summer Intern | DELHI | May 2026 | Jul 2026 | 8.5714285714286 Weeks | Campus Internship
PUSHPDEEP INFRASTRUCTURE | TRAINEE CIVIL ENGINEER | DELHI | Feb 2025 | Jun 2025 | 21.285714285714 Weeks
CENTRAL PUBLIC WORKS DEPARTMENT | TRAINEE CIVIL ENGINEER | DELHI | May 2024 | Jul 2024 | 8.4285714285714 Weeks
KBG ENGINEERS | TRAINEE CIVIL ENGINEER | JODHPUR, RAJASTHAN | Jun 2023 | Jun 2023 | 4.1428571428571 Weeks</t>
  </si>
  <si>
    <t>Indian Green Building Council Accredited Professional
Introduction to Microsoft Excel
Course on AutoCAD Essential</t>
  </si>
  <si>
    <t>P25700339</t>
  </si>
  <si>
    <t>NAVANEET</t>
  </si>
  <si>
    <t>ANANT</t>
  </si>
  <si>
    <t>THORWAT</t>
  </si>
  <si>
    <t>Navaneet Anant Thorwat</t>
  </si>
  <si>
    <t>navaneetthorwat10@gmail.com</t>
  </si>
  <si>
    <t>p25700339@student.nicmar.ac.in</t>
  </si>
  <si>
    <t>ENGLISH, MARATHI, HINDI &amp; KANNADA</t>
  </si>
  <si>
    <t>6026 1052 4796</t>
  </si>
  <si>
    <t>ANJANA</t>
  </si>
  <si>
    <t>SHANKAR NAGAR NIDASOSHI ROAD,NEAR JOTHIBHA TEMPLE, SANKESHWAR</t>
  </si>
  <si>
    <t>Belgaum</t>
  </si>
  <si>
    <t>41321 - S S (K) PATIL ENG MED SCH SANKESHWAR BELGAUM KK</t>
  </si>
  <si>
    <t>SNJPSNMS INDP PU COLLEGE, NIDASOSHI HUKKERI TQ, BELGAUM DT 591236</t>
  </si>
  <si>
    <t>KLE TECHNOLOGICAL UNIVERSITY, HUBBALLI, KARNATAKA, INDIA.</t>
  </si>
  <si>
    <t>HalleysBlue Pvt. Ltd | Graduate Engineer Trainee | Bangalore  | Jun 2024 | Jun 2025 | 1Y 0M | 3.69</t>
  </si>
  <si>
    <t>B.G. SHIRKE CONSTRUCTION TECHNOLOGY PVT. LTD. | Management Trainee | Goregaon West, Mumbai. | May 2026 | Jul 2026 | 8.7142857142857 Weeks | Campus Internship
SHRIYA PROPERTIES | SITE ENGINEER | HUBBALLI | Jan 2024 | Mar 2024 | 8.4285714285714 Weeks</t>
  </si>
  <si>
    <t>P25700340</t>
  </si>
  <si>
    <t>RONAK</t>
  </si>
  <si>
    <t>NITIN</t>
  </si>
  <si>
    <t>Ronak Nitin Rajput</t>
  </si>
  <si>
    <t>p25700340@student.nicmar.ac.in</t>
  </si>
  <si>
    <t>11-Dec-2002</t>
  </si>
  <si>
    <t>ENGLISH ,MARATHI, HINDI</t>
  </si>
  <si>
    <t>5232 5670 9852</t>
  </si>
  <si>
    <t>GANDHI NAGAR ,MALKAPUR</t>
  </si>
  <si>
    <t>DNYANADA ENGLISH SCHOOL</t>
  </si>
  <si>
    <t>CENTRAL BOARD OF SECONDARY EDUCATION, AURANGABAD, MAHARASTRA</t>
  </si>
  <si>
    <t>VIDYA VIKAS JR. COLLEGE OF ART &amp; SCIENCE</t>
  </si>
  <si>
    <t>MAHARASTRA STATE BOARDOF SECONDARY  AND HIGHER SECONDARY EDUCATION,BULDANA, MAHARASTRA</t>
  </si>
  <si>
    <t>D. Y. PATIL COLLEGE OF ENGINEERING, AKURDI</t>
  </si>
  <si>
    <t>MS Office,MS Project,Primavera,MS Excel</t>
  </si>
  <si>
    <t>SAI SHLOK INFRA PVT LTD  | Intern | Surangi, Silvassa  | May 2026 | Jun 2026 | 8.1428571428571 Weeks | Campus Internship
MAHARASHTRA METRO RAIL CORPORATION LTD. | INTERN | PUNE | Dec 2023 | Jan 2024 | 4.4285714285714 Weeks</t>
  </si>
  <si>
    <t>Ethics in Engineering Practice
Project Management Professional (PMP)
Business Analysis &amp; Process Management
Renewable Energy and Green Building Entrepreneurship
Finance for Non- Financial Managers</t>
  </si>
  <si>
    <t>P25700341</t>
  </si>
  <si>
    <t>NINAD</t>
  </si>
  <si>
    <t>Shinde Ninad Nikhil</t>
  </si>
  <si>
    <t>ninadshinde2803@gmail.com</t>
  </si>
  <si>
    <t>p25700341@student.nicmar.ac.in</t>
  </si>
  <si>
    <t>4700 3173 4781</t>
  </si>
  <si>
    <t>SUMEDHA</t>
  </si>
  <si>
    <t>907,KSHIRSAGAR SPHURTI,_x000D_
Khan Bhag,_x000D_
Kshirsagar Galli,_x000D_
VTC: Sangli,_x000D_
PO: Sangli,_x000D_
District: Sangli,_x000D_
State:Â Maharashtra,</t>
  </si>
  <si>
    <t>SOU SUNDARABAI SHANKARLAL MALU ENGLISH MEDIUM SCHOOL, HARIPUR, SANGLI</t>
  </si>
  <si>
    <t>KOLHAPUR DIVISIONAL BOARD/ MAHARASHTRA</t>
  </si>
  <si>
    <t>ARVADE HIGHSCHOOL, SANGLI</t>
  </si>
  <si>
    <t>D.BATU</t>
  </si>
  <si>
    <t>PADMABHOOSHAN VASANTRAODADA PATIL INSTITUTE OF TECHNOLOGY, BUDHGAON, SANGLI</t>
  </si>
  <si>
    <t>MAHARASHTRA METRO RAIL CORPORATION LIMITED | Intern  | Pune | May 2026 | Jul 2026 | 9.7142857142857 Weeks | Campus Internship</t>
  </si>
  <si>
    <t>P25700342</t>
  </si>
  <si>
    <t>GHANSHYAM</t>
  </si>
  <si>
    <t>RAGHUNATH</t>
  </si>
  <si>
    <t>Ghanshyam Raghunath Patil</t>
  </si>
  <si>
    <t>grpatil512002@gmail.com</t>
  </si>
  <si>
    <t>p25700342@student.nicmar.ac.in</t>
  </si>
  <si>
    <t>05-Jan-2002</t>
  </si>
  <si>
    <t>6624 9853 1776</t>
  </si>
  <si>
    <t>RAGHUNATH PATIL</t>
  </si>
  <si>
    <t>FLAT NO. - 506, SARTHI SKYBAY C- WING, MAHALUNGE BALEWADI DIST. - PUNE</t>
  </si>
  <si>
    <t>A/P Avandhi, Tal. - Jath, Dist. - Sangli</t>
  </si>
  <si>
    <t>SHREE BHAVANI VIDYALAYA ATPADI.</t>
  </si>
  <si>
    <t>SANGLI/ MAHARASHTRA</t>
  </si>
  <si>
    <t>LAXMIDEVI PRIMARY, SECONDARY AND HIGHER EDUCATION</t>
  </si>
  <si>
    <t>SANGOLA/ MARASHTRA</t>
  </si>
  <si>
    <t>DR. BABASAHEB AMBEDKAR TECHNOLOGICAL UNIVERSITY, LONARE</t>
  </si>
  <si>
    <t>PADMABHOOSHAN VASANTRAO DADA PATIL INSTITUTE OF TECHNOLOGY, BUDHGAON</t>
  </si>
  <si>
    <t>Sobha Limited | Site Execution | Thrissur, Kerala | May 2026 | Jul 2026 | 9 Weeks | Campus Internship</t>
  </si>
  <si>
    <t>P25700343</t>
  </si>
  <si>
    <t>PRAJIT</t>
  </si>
  <si>
    <t>Prajit S S</t>
  </si>
  <si>
    <t>prajitss03@gmail.com</t>
  </si>
  <si>
    <t>p25700343@student.nicmar.ac.in</t>
  </si>
  <si>
    <t>05-Sep-2003</t>
  </si>
  <si>
    <t>7227 8445 0768</t>
  </si>
  <si>
    <t>SIVAKUMAR</t>
  </si>
  <si>
    <t>SHANMUGAVADIVU</t>
  </si>
  <si>
    <t>125, Veppankattuthottam, Uppilipalayam, K G Valasu Post, Murungatholuvu</t>
  </si>
  <si>
    <t>Erode</t>
  </si>
  <si>
    <t>THE INDIAN PUBLIC SCHOOL</t>
  </si>
  <si>
    <t>CENTRAL BOARD OF SECONDARY EDUCATION, TAMIL NADU</t>
  </si>
  <si>
    <t>THE SUGUNA PIP SCHOOL</t>
  </si>
  <si>
    <t>AMRITA VISHWA VIDYAPEETHAM</t>
  </si>
  <si>
    <t>J Kumar InfraProjects Ltd | Project Management Intern | Chennai | May 2026 | Jul 2026 | 9.7142857142857 Weeks | Campus Internship
URC CONSTRUCTIONS (P) LTD | INTERN | CHENNAI | Jun 2024 | Jun 2024 | 2.4285714285714 Weeks
SRI MURUGAN CONSTRUCTIONS | PROJECT ASSISTANT INTERN | ERODE | May 2025 | Jun 2025 | 8.5714285714286 Weeks
L&amp;T EDUTECH | INTERN | CHENNAI | Jun 2024 | Jul 2024 | 1.5714285714286 Weeks</t>
  </si>
  <si>
    <t>Sustainable Design Of Buildings
Principles of Construction Management</t>
  </si>
  <si>
    <t>P25700344</t>
  </si>
  <si>
    <t>RUSHIKESH</t>
  </si>
  <si>
    <t>AMRUT</t>
  </si>
  <si>
    <t>KHALSE</t>
  </si>
  <si>
    <t>Rushikesh Amrut Khalse</t>
  </si>
  <si>
    <t>rakhalse@gmail.com</t>
  </si>
  <si>
    <t>p25700344@student.nicmar.ac.in</t>
  </si>
  <si>
    <t>06-Dec-1999</t>
  </si>
  <si>
    <t>7430 9272 6866</t>
  </si>
  <si>
    <t>VIJAYA</t>
  </si>
  <si>
    <t>BHAVANI GALLI SHENDURNI TAL-JAMNER DIST-JALGAON</t>
  </si>
  <si>
    <t>A.G.R.G.M.VIDYALAYA SHENDURNI</t>
  </si>
  <si>
    <t>SIDDHIVINAYAK TECHNICAL CAMPUS</t>
  </si>
  <si>
    <t>SAVITRIBAI PHULE UNIVERSITY PUNE UNIVERSITY</t>
  </si>
  <si>
    <t>SINHGAD ACADEMY OF ENGINEERING</t>
  </si>
  <si>
    <t>AutoCAD,MS Office,MS Project,Primavera,PHOTOSHOP,GRAPHIC DESIGN</t>
  </si>
  <si>
    <t>Deshpande landmark private limited | Project Engineer | Kothrud,Pune | May 2023 | Oct 2024 | 1Y 5M | 2.04</t>
  </si>
  <si>
    <t>SR VASTU | Management Intern | Pune | May 2026 | Jul 2026 | 8.7142857142857 Weeks | Campus Internship</t>
  </si>
  <si>
    <t>P25700345</t>
  </si>
  <si>
    <t>PRAKSHALE</t>
  </si>
  <si>
    <t>Ayush Dilip Prakshale</t>
  </si>
  <si>
    <t>ayushprakshale@gmail.com</t>
  </si>
  <si>
    <t>p25700345@student.nicmar.ac.in</t>
  </si>
  <si>
    <t>30-Apr-2003</t>
  </si>
  <si>
    <t>4397 2463 5817</t>
  </si>
  <si>
    <t>DILIP SHAMRAO PRAKSHALE</t>
  </si>
  <si>
    <t>GOVERNMENT OFFICER</t>
  </si>
  <si>
    <t>SHAILAJA DILIP PRAKSHALE</t>
  </si>
  <si>
    <t>B 204 PRAKASH DEEP , NEAR NARAYANI DHAM MANDIR , KATRAJ , PUNE 411046</t>
  </si>
  <si>
    <t>PAWAR PUBLIC SCHOOL</t>
  </si>
  <si>
    <t>GOVERNMENT POLYTECHNIC PUNE, MAHARSHTRA</t>
  </si>
  <si>
    <t>DR.VISHWANATH KARAD MIT WORLD PEACE UNIVERSITY , PUNE , MAHARASHTRA</t>
  </si>
  <si>
    <t>Primavera ,Cost X ,Revit ,Microsoft Project , eTabs(Basic Modelling) , AutoCAD ,MS Office ,</t>
  </si>
  <si>
    <t xml:space="preserve"> Savvy Infrastructure Pvt. Ltd. | Quality Assurance &amp; Quality Control Intern | Gift City ,Gujarat | May 2026 | Jul 2026 | 8.7142857142857 Weeks | Campus Internship</t>
  </si>
  <si>
    <t>ISO 9001:2015 QMS Implementation and Auditing Practices
Managing Project Life Cycle with Primavera
Foundations of Project Management
Operations Management
IGBC Green Buildings &amp; Built Environment
Strategic Management
Certificate of Completion Talking to AI Prompt Engineering for Project Managers</t>
  </si>
  <si>
    <t>P25700346</t>
  </si>
  <si>
    <t>KAVYA</t>
  </si>
  <si>
    <t>NARAYANAN</t>
  </si>
  <si>
    <t>Kavya Narayanan</t>
  </si>
  <si>
    <t>kavya.hyd2019@gmail.com</t>
  </si>
  <si>
    <t>p25700346@student.nicmar.ac.in</t>
  </si>
  <si>
    <t>21-Jun-2001</t>
  </si>
  <si>
    <t>English, Hindi, Tamil</t>
  </si>
  <si>
    <t>5882 0135 5743</t>
  </si>
  <si>
    <t>JAI NARAYANAN SRINIVASAN</t>
  </si>
  <si>
    <t>SRIVIDYA NARAYANAN</t>
  </si>
  <si>
    <t>Flat 108, Lilac Tower, L And T Serene County, Telecom Nagar, Near Urdu University, Gachibowli</t>
  </si>
  <si>
    <t>MERIDIAN SCHOOL HYDERABAD RR DISTRICT</t>
  </si>
  <si>
    <t>CENTRAL BOARD OF SECONDARY EDUCATION , HYDERABAD</t>
  </si>
  <si>
    <t>CHIREC PUBLIC SCHOOL KONDAPUR HYDERABAD</t>
  </si>
  <si>
    <t>MANIPAL ACADEMY OF HIGHER EDUCATION</t>
  </si>
  <si>
    <t>MANIPAL SCHOOL OF ARCHITECTURE AND PLANNING , MANIPAL , KARNATAKA</t>
  </si>
  <si>
    <t>MS Project, Primavera, MS Office, Power BI, AutoCAD, Autodesk Revit, Sketchup, Twinmotion</t>
  </si>
  <si>
    <t>KPMG India | Summer Intern in Transformation - MPA team | Hyderabad | May 2026 | Jun 2026 | 7.5714285714286 Weeks | Campus Internship
SPaN Associates | Architectural Intern | Hyderabad | Jan 2023 | Jun 2023 | 25.571428571429 Weeks</t>
  </si>
  <si>
    <t xml:space="preserve">Procore: AI in Construction Program 
Emory University: Finance for Non-Finance Managers
SPJIMR: Data Analysis
Solar Decathlon India 2021-22: Online Learning Modules on Net Zero Energy and Water Buildings </t>
  </si>
  <si>
    <t>P25700347</t>
  </si>
  <si>
    <t>RAJDEEPSING</t>
  </si>
  <si>
    <t>DINKAR</t>
  </si>
  <si>
    <t>Rajdeepsing Dinkar Patil</t>
  </si>
  <si>
    <t>rajdeep.patil1109@gmail.com</t>
  </si>
  <si>
    <t>p25700347@student.nicmar.ac.in</t>
  </si>
  <si>
    <t>8885 8156 4168</t>
  </si>
  <si>
    <t>DINKAR T PATIL</t>
  </si>
  <si>
    <t>RAJSHREE PATIL</t>
  </si>
  <si>
    <t>Rajdeep Banglow,Plot No 21 To 26A, RD Circle, Karmyogi Nager, Nashik 422008</t>
  </si>
  <si>
    <t>MARATHA HIGHSCHOOL NASHIK</t>
  </si>
  <si>
    <t>KTHM COLLAGE NASHIK</t>
  </si>
  <si>
    <t>MIT ACADEMY OF ENGINEERING,ALANDI,PUNE</t>
  </si>
  <si>
    <t>AutoCAD,MS Office,REVIT,ETABS</t>
  </si>
  <si>
    <t>Singhania Buildcon Pvt. Ltd. | Project Intern – Site Execution control  &amp; Planning | Raipur, Chhattisgarh | May 2026 | Jul 2026 | 8.7142857142857 Weeks | Campus Internship
Winntus Aluminium Formwork | Design Engineer  | Pune  | Jan 2025 | May 2025 | 21.285714285714 Weeks
NIRMITI CONSULTANTS PVT.LTD | SITE ENGINEER | NASHIK | Jun 2024 | Jul 2024 | 4.2857142857143 Weeks</t>
  </si>
  <si>
    <t>Autodesk Revit For Architecture
Autocad Certification Course</t>
  </si>
  <si>
    <t>P25700348</t>
  </si>
  <si>
    <t>MANTHAN</t>
  </si>
  <si>
    <t>DAHIWALE</t>
  </si>
  <si>
    <t>Manthan Dahiwale</t>
  </si>
  <si>
    <t>manthan12@gmail.com</t>
  </si>
  <si>
    <t>p25700348@student.nicmar.ac.in</t>
  </si>
  <si>
    <t>12-Aug-1999</t>
  </si>
  <si>
    <t>8129 4805 0309</t>
  </si>
  <si>
    <t>CHITRA</t>
  </si>
  <si>
    <t>C-302, Kandpile Residency Near Sbi Atm Takka Panvel</t>
  </si>
  <si>
    <t>MPSC COLLEGE</t>
  </si>
  <si>
    <t>STATE BOARD</t>
  </si>
  <si>
    <t>SHANTINIKETAN POLYTECHNIC, MUMBAI</t>
  </si>
  <si>
    <t>MGM COLLEGE OF ENGINEERING</t>
  </si>
  <si>
    <t>Rajshree Construction Consortium | Junior Engineer | Mumbai | Jan 2024 | Sep 2024 | 0Y 8M | 2.52
Visiontech Construction | Project Engineer | Mumbai | Oct 2024 | Jun 2025 | 0Y 8M | 3</t>
  </si>
  <si>
    <t>Sangan Engineers | Site intern | Valsad | May 2026 | Jul 2026 | 8.7142857142857 Weeks | Campus Internship
Kedar Buildcon Builders &amp; Developers | Site Intern | Mumbai | Nov 2022 | Feb 2023 | 13.142857142857 Weeks</t>
  </si>
  <si>
    <t>P25700349</t>
  </si>
  <si>
    <t>ROBIN</t>
  </si>
  <si>
    <t>Robin Singh</t>
  </si>
  <si>
    <t>robinsingh6250@gmail.com</t>
  </si>
  <si>
    <t>p25700349@student.nicmar.ac.in</t>
  </si>
  <si>
    <t>15-Sep-1998</t>
  </si>
  <si>
    <t>4768 5712 8424</t>
  </si>
  <si>
    <t>SAJEEWAN SINGH</t>
  </si>
  <si>
    <t>SUSHEELA SINGH</t>
  </si>
  <si>
    <t>Indira Nagar Nyotani Unnao</t>
  </si>
  <si>
    <t>Unnao</t>
  </si>
  <si>
    <t>K R B SINGH INTER COLLEGE</t>
  </si>
  <si>
    <t>UTTAR PRADESH STATE BOARD OF HIGH SCHOOL AND INTERMEDIATE EDUCATION</t>
  </si>
  <si>
    <t>DR. A.P.J ABDUL KALAM TECHNICAL UNIVERSITY, UP</t>
  </si>
  <si>
    <t>BANSAL INSTITUTE OF ENGINEERING &amp; TECHNOLOGY</t>
  </si>
  <si>
    <t>AutoCAD,MS Office,Microsoft Excel, Primavera P6, Revit, Cost X</t>
  </si>
  <si>
    <t>Neccon Power &amp; Infra Ltd | Civil Engineer | Hajo Assam | Nov 2021 | Feb 2025 | 3Y 2M | 3.6
Quess Corp Limited | Civil Engineer | Velgatoor Telangana | Feb 2025 | Jul 2025 | 0Y 4M | 4.85</t>
  </si>
  <si>
    <t>Kamala Farms (Kayne Bio Sciences Ltd.) | Project Execution Intern | Hyderabad | May 2026 | Jul 2026 | 8.7142857142857 Weeks | Campus Internship
U. P Rajkiya Nirmad Nigam Limited Lucknow Uttar Pradesh. | Summer Trainee | Lucknow | Jul 2018 | Jul 2018 | 4.1428571428571 Weeks
Research Designs and standards organisation Manak Nagar Lucknow Uttar Pradesh | Summer Trainee | Lucknow | Jun 2019 | Jul 2019 | 5.5714285714286 Weeks</t>
  </si>
  <si>
    <t>P25700350</t>
  </si>
  <si>
    <t>YADHUKRISHNAN</t>
  </si>
  <si>
    <t>Yadhukrishnan R</t>
  </si>
  <si>
    <t>yadhukrishnanr4@gmail.com</t>
  </si>
  <si>
    <t>p25700350@student.nicmar.ac.in</t>
  </si>
  <si>
    <t>04-May-1999</t>
  </si>
  <si>
    <t>English,Malayalam,Hindi</t>
  </si>
  <si>
    <t>4990 5447 0974</t>
  </si>
  <si>
    <t>RAGHAVA PANICKER</t>
  </si>
  <si>
    <t>GROCERY SHOP</t>
  </si>
  <si>
    <t>REMADEVI RAGHAVA PANICKER</t>
  </si>
  <si>
    <t>Cheruppillil House, Edayakunnam, South Chittoor P O, Ernakulam</t>
  </si>
  <si>
    <t>AMRITA VIDYALAYAM</t>
  </si>
  <si>
    <t>CENTRAL BOARD OF SECONDARY EDUCATION , ERNAKULAM- KERALA</t>
  </si>
  <si>
    <t>SCMS SCHOOL OF ENGINEERING AND TECHNOLOGY, ERNAKULAM-KERALA</t>
  </si>
  <si>
    <t>AutoCAD,MS Office,Internal QMS Auditor (ISO-9001:2015),Concrete Mix design</t>
  </si>
  <si>
    <t>Larsen and Toubro | Senior Engineer | Meghalaya and Assam | Oct 2022 | Jul 2025 | 2Y 8M | 8.28</t>
  </si>
  <si>
    <t>Sobha Limited | Planning Intern | Bangalore | May 2026 | Jul 2026 | 9 Weeks | Campus Internship
NESTABIDE | Trainee | Ernakulam | Dec 2021 | Jul 2022 | 29.142857142857 Weeks</t>
  </si>
  <si>
    <t>Internal QMS Auditor (ISO-9001-2015)</t>
  </si>
  <si>
    <t>P25700351</t>
  </si>
  <si>
    <t>ZAMBRE</t>
  </si>
  <si>
    <t>SANJIV</t>
  </si>
  <si>
    <t>Zambre Sarthak Sanjiv</t>
  </si>
  <si>
    <t>zambresarthak@gmail.com</t>
  </si>
  <si>
    <t>p25700351@student.nicmar.ac.in</t>
  </si>
  <si>
    <t>23-May-2003</t>
  </si>
  <si>
    <t>2091 0417 0352</t>
  </si>
  <si>
    <t>SANJIV ZAMBRE</t>
  </si>
  <si>
    <t>MANISHA ZAMBRE</t>
  </si>
  <si>
    <t>Vasantdada Sugar Factory Ctype 4/R11 Madhavnagar Road Sangli</t>
  </si>
  <si>
    <t>SANGLI HIGHSCHOOL, SANGLI</t>
  </si>
  <si>
    <t>MAHARASHTRA STATE BOARD OF SECONDARY AND HIGHER SECONDARY EDUCATION, PUNE, MAHARASHTRA.</t>
  </si>
  <si>
    <t>SHIVAJI UNIVERSITY , KOLHAPUR</t>
  </si>
  <si>
    <t>RAJARAMBAPU INSTITUTE OF TECHNOLOGY, RAJARAMNAGAR (SAKHARALE), WALWA, DIST-SANGLI,MAHARASHTRA.</t>
  </si>
  <si>
    <t>AutoCAD,MS Office,MS Project,Primavera,staadpro,Costx</t>
  </si>
  <si>
    <t>GNY Group  | Summer Intern | Chhatrapati Sambhajinagar. | May 2026 | Jul 2026 | 8.7142857142857 Weeks | Campus Internship
MB CONSTRUCTION HOUSE | SITE ENGINEER | SANGLI | Aug 2023 | Aug 2023 | 2.4285714285714 Weeks</t>
  </si>
  <si>
    <t>Ethics in Engineering Practice
Finance for non-Financial Managers
Foundations of Project Management
German-I</t>
  </si>
  <si>
    <t>P25700352</t>
  </si>
  <si>
    <t>SARVESH</t>
  </si>
  <si>
    <t>CHAUDHARI</t>
  </si>
  <si>
    <t>Sarvesh Rajesh Chaudhari</t>
  </si>
  <si>
    <t>sarveshchaudhari194@gmail.com</t>
  </si>
  <si>
    <t>p25700352@student.nicmar.ac.in</t>
  </si>
  <si>
    <t>05-Mar-2000</t>
  </si>
  <si>
    <t>8625 5103 4513</t>
  </si>
  <si>
    <t>RAJESH MADHUKAR CHAUDHARI</t>
  </si>
  <si>
    <t>CENTRAL RAILWAY EMPLOYEE</t>
  </si>
  <si>
    <t>SUREKHA RAJESH CHAUDHARI</t>
  </si>
  <si>
    <t>VTP ATHEREOUS T1, MHALUNGE HI-TECH CITY, MAIN ENTRANCE HINJEWADI PHASE 1 ROAD, MAHALUNGE, MAAN</t>
  </si>
  <si>
    <t>'Shree Smaran', Ganeshpuri, Behind Sonichaawadi, Jamner Road, Bhusawal,</t>
  </si>
  <si>
    <t>GODAVARI FOUNDATION, DR. ULHAS PATIL ENGLISH MEDIUM SCHOOL, BHUSAWAL, MAHARASHTRA, 425201</t>
  </si>
  <si>
    <t>BABASAHEB UTANGALE JUNIOR COLLEGE OF SCIENCE, AKOLA, MAHARASHTRA, 444302.</t>
  </si>
  <si>
    <t>MAHARASHTA BOARD OF SECONDARY &amp; HIGHER SECONDARY EDUCATION, PUNE.</t>
  </si>
  <si>
    <t>DATTA MEGHE COLLEGE OF ENGINEERING, AIROLI, NAVI MUMBAI, 400708.</t>
  </si>
  <si>
    <t>AutoCAD,MS Office,MS Project,MS Power BI</t>
  </si>
  <si>
    <t>Marathon Realty Pvt. Ltd. | Project Planning &amp; Execution | Mulund Head office, Mumbai | Dec 2021 | Jul 2025 | 3Y 6M | 4.6</t>
  </si>
  <si>
    <t>3 Years 6 Months</t>
  </si>
  <si>
    <t>Deloitte Touche Tohmatsu India LLP | Intern | Mumbai | May 2026 | Jul 2026 | 8.5714285714286 Weeks | Campus Internship
CITY AND INDUSTRIAL DEVELOPMENT CORPORATION OF MAHARASHTRA LIMITED | INTERN | PUSHPAK NAGAR, DAPOLI, NAVI MUMBAI | Dec 2019 | Jan 2020 | 4.5714285714286 Weeks</t>
  </si>
  <si>
    <t>Computing &amp; Typing English (30WPM)
Maharashtra State Certificate In Information Technology (MS-CIT)
MS Excel
Autocad 2D &amp; 3D
Power BI</t>
  </si>
  <si>
    <t>P25700353</t>
  </si>
  <si>
    <t>NAKUL</t>
  </si>
  <si>
    <t>RAMKISAN</t>
  </si>
  <si>
    <t>Ingle Nakul Ramkisan</t>
  </si>
  <si>
    <t>nakulingle5@gmail.com</t>
  </si>
  <si>
    <t>p25700353@student.nicmar.ac.in</t>
  </si>
  <si>
    <t>11-Aug-2002</t>
  </si>
  <si>
    <t>3791 6472 1776</t>
  </si>
  <si>
    <t>RAMKISAN PARMESHWAR INGLE</t>
  </si>
  <si>
    <t>MEENA RAMKISAN INGLE</t>
  </si>
  <si>
    <t>FLAT NO B- 702 , KAVERI APARTMENT, MHADA COLONY, NEAR SNBP INTERNATIONAL SCHOOL MORWADI, PIMPRI, PUNE</t>
  </si>
  <si>
    <t>At.Pentakali, Po. Hiwara Aashram, Tq. Mehkar, Dist. Buldhana. Maharashtra. Pin - 443301</t>
  </si>
  <si>
    <t>CHATRAPATI SHAHU MAHARAJ VIDYALAYA, PENTAKALI</t>
  </si>
  <si>
    <t>CUSROW WADIA INSTITUTE OF TECHNOLOGY, PUNE</t>
  </si>
  <si>
    <t>DR. D. Y. PATIL INSTITUTE OF TECHNOLOGY, PIMPRI, PUNE</t>
  </si>
  <si>
    <t>AutoCAD,MS Office,MS Project,Primavera,Autodesk Revit,MS Excel,AutoCAD 3D,BIM,CostX</t>
  </si>
  <si>
    <t>Kolte Patil Developer's limited  | Construction &amp; Operation Department - Intern | Wagholi, Pune | May 2026 | Jul 2026 | 9.7142857142857 Weeks | Campus Internship
INFRAKING CONSULTING ENGINEERS PVT.LTD | Project Management Assistant | Pune, Maharashtra | Feb 2023 | Mar 2023 | 4.1428571428571 Weeks</t>
  </si>
  <si>
    <t>Certificate Course in AutoCAD
Certificate Course In REVIT</t>
  </si>
  <si>
    <t>P25700354</t>
  </si>
  <si>
    <t>BHOOMIKA</t>
  </si>
  <si>
    <t>Bhoomika M S</t>
  </si>
  <si>
    <t>bhoomibhoomika772001@gmail.com</t>
  </si>
  <si>
    <t>p25700354@student.nicmar.ac.in</t>
  </si>
  <si>
    <t>07-Jul-2001</t>
  </si>
  <si>
    <t>English, Hindi, Kannada and Telugu</t>
  </si>
  <si>
    <t>6308 8158 5594</t>
  </si>
  <si>
    <t>SATISH BABU M S</t>
  </si>
  <si>
    <t>V KATHYAYINI</t>
  </si>
  <si>
    <t>#59, 1st Stage 18A Cross, E Block, Mahendra Enclave, Near Kavitha Bakery, JP Nagar</t>
  </si>
  <si>
    <t>CHAITRA HIGH SCHOOL</t>
  </si>
  <si>
    <t>THE NATIONAL INSTITUTE OF ENGINEERING</t>
  </si>
  <si>
    <t>MS Project, Primavera P6, Building Information Modelling (BIM), AutoCAD, MS Office</t>
  </si>
  <si>
    <t>Nina Percept Pvt Ltd (A subsidiary of Pidilite Industries Ltd) | Executive - Project Planning, Monitoring &amp; Controls | Bengaluru/ Mumbai | Aug 2023 | Jan 2025 | 1Y 4M | 3.2
Eleganz Interiors Ltd | Project Coordinator | Bengaluru | Jan 2025 | Jun 2025 | 0Y 5M | 5.4</t>
  </si>
  <si>
    <t>Prestige Estates Projects Limited | Site and Project Planning Intern | Bengaluru | May 2026 | Jul 2026 | 8.5714285714286 Weeks | Campus Internship
PUBLIC WORKS DEPARTMENT OFFICE, MYSURU | INTERNSHIP TRAINEE | MYSURU | Aug 2022 | Sep 2022 | 6.1428571428571 Weeks</t>
  </si>
  <si>
    <t>P25700355</t>
  </si>
  <si>
    <t>VIVEK</t>
  </si>
  <si>
    <t>GATADE</t>
  </si>
  <si>
    <t>Vivek Sachin Gatade</t>
  </si>
  <si>
    <t>vivekgatade0909@gmail.com</t>
  </si>
  <si>
    <t>p25700355@student.nicmar.ac.in</t>
  </si>
  <si>
    <t>16-Jan-2003</t>
  </si>
  <si>
    <t>English, Hindi,Marathi</t>
  </si>
  <si>
    <t>6348 6670 0954</t>
  </si>
  <si>
    <t>CONSTRUCTION BUSINESS</t>
  </si>
  <si>
    <t>Babasaheb Patil Colony, Plot No. 90, Near Datt Mandir, Manermala, Unchgaon, Kolhapur.</t>
  </si>
  <si>
    <t>ROYAL ENGLISH MEDIUM SCHOOL, UNCHAGAON, KOLHAPUR</t>
  </si>
  <si>
    <t>MAHARASHTRA STATE BOARD OF SECONDARY AND  HIGHER SECONDARY EDUCATION ,PUNE</t>
  </si>
  <si>
    <t>D Y PATIL COLLEGE OF ENGINEERING AND TECHNOLOGY, KOLHAPUR</t>
  </si>
  <si>
    <t>AutoCAD,MS Office,MS Project,Revit (Arch.)</t>
  </si>
  <si>
    <t>Kolte-Patil Developers LTD. | Construction and Operation Department | Pune  | May 2026 | Jul 2026 | 9.7142857142857 Weeks | Campus Internship
DIKSHA CONSTRUCTION | SITE EXECUTION | KOLHAPUR | Jun 2024 | Jul 2024 | 4.2857142857143 Weeks</t>
  </si>
  <si>
    <t>MS-CIT
Rivet
AutoCAD
Finance For Non-Financial Managers</t>
  </si>
  <si>
    <t>P25700356</t>
  </si>
  <si>
    <t>Rushikesh Atul Jagtap</t>
  </si>
  <si>
    <t>rushiatul@gmail.com</t>
  </si>
  <si>
    <t>p25700356@student.nicmar.ac.in</t>
  </si>
  <si>
    <t>8442 2391 5724</t>
  </si>
  <si>
    <t>ATUL JAGTAP</t>
  </si>
  <si>
    <t>SELF-EMPLOYED</t>
  </si>
  <si>
    <t>SUMATI JAGTAP</t>
  </si>
  <si>
    <t>B/104, Jijau CHS, Sec- 17, Kamothe, Panvel.</t>
  </si>
  <si>
    <t>MNR SCHOOL OF EXCELLENCE</t>
  </si>
  <si>
    <t>GOVERNMENT POLYTECHNIC THANE, MUMBAI</t>
  </si>
  <si>
    <t>SARASWATI COLLEGE OF ENGINEERING, KHARGHAR, MAHARASHTRA</t>
  </si>
  <si>
    <t>AutoCAD,MS Office,MS Project,Revit,qgis</t>
  </si>
  <si>
    <t>Zyeta Pvt. Ltd. | Intern (Project Co-ordination) | Bengaluru | May 2026 | Jul 2026 | 8.5714285714286 Weeks | Campus Internship
Girish Enterprises Pvt. Ltd. | Trainee | Dronagiri, JNPT, Navi Mumbai | Jan 2022 | Mar 2022 | 6.1428571428571 Weeks
BG Shirke Construction Technology Pvt. Ltd. | Trainee | Taloja, Navi Mumbai | Feb 2021 | Feb 2021 | 2.1428571428571 Weeks</t>
  </si>
  <si>
    <t>Autodesk Revit
NPTEL Design of Steel Structures</t>
  </si>
  <si>
    <t>P25700357</t>
  </si>
  <si>
    <t>PAL</t>
  </si>
  <si>
    <t>MITUL</t>
  </si>
  <si>
    <t>DESAI</t>
  </si>
  <si>
    <t>Pal Mitul Desai</t>
  </si>
  <si>
    <t>paldesai321@gmail.com</t>
  </si>
  <si>
    <t>p25700357@student.nicmar.ac.in</t>
  </si>
  <si>
    <t>31-Aug-2003</t>
  </si>
  <si>
    <t>English, Hindi, Gujarati</t>
  </si>
  <si>
    <t>5466 7704 5579</t>
  </si>
  <si>
    <t>MITUL DESAI</t>
  </si>
  <si>
    <t>MINTU DESAI</t>
  </si>
  <si>
    <t>Niraant, Opposite Diamond Factory, At And Post Parnera Pardi, Valsad</t>
  </si>
  <si>
    <t>ATUL VIDYALAYA, ATUL</t>
  </si>
  <si>
    <t>INDIAN SCHOOL CERTIFICATE (ISC) EXAMINATION, NEW DELHI</t>
  </si>
  <si>
    <t>SARVAJANIK UNIVERSITY</t>
  </si>
  <si>
    <t>SARVAJANIK COLLEGE OF ENGINEERING AND TECHNOLOGY, SURAT</t>
  </si>
  <si>
    <t>MS Office,MS Project,Primavera,CostX,Revit</t>
  </si>
  <si>
    <t>New Consolidated Construction Company Limited | Civil Intern | Navi Mumbai | May 2026 | Jul 2026 | 8.7142857142857 Weeks | Campus Internship
PSP PROJECTS LIMITED | INTERN | SURAT | Jan 2025 | Mar 2025 | 11.857142857143 Weeks</t>
  </si>
  <si>
    <t>P25700358</t>
  </si>
  <si>
    <t>NEHA</t>
  </si>
  <si>
    <t>Neha Raj Asha</t>
  </si>
  <si>
    <t>neharajasha@gmail.com</t>
  </si>
  <si>
    <t>p25700358@student.nicmar.ac.in</t>
  </si>
  <si>
    <t>ENGLISH, MALAYALAM, HINDI, ARABIC, FRENCH</t>
  </si>
  <si>
    <t>8542 3595 8994</t>
  </si>
  <si>
    <t>RAJKUMAR NARAYANAN NAIR</t>
  </si>
  <si>
    <t>ASHA RAJKUMAR</t>
  </si>
  <si>
    <t>TLRA 23 ANISHA, Thoppil Lane, Kumarapuram</t>
  </si>
  <si>
    <t>SHARJAH INDIAN SCHOOL</t>
  </si>
  <si>
    <t>COCHIN UNIVERSITY OF SCIENCE AND TECHNOLOGY</t>
  </si>
  <si>
    <t>MARIAN COLLEGE OF ARCHITECTURE AND PLANNING, THIRUVANANTHAPURAM</t>
  </si>
  <si>
    <t>AutoCAD,MS Office,MS Project,Sketchup,Adobe Indesign,Adobe Photoshop,Lumion,V-Ray,Enscape,Procreate,Primevera,Naviskworks,Autodesk Revit, RIB CostX,Smart PLS</t>
  </si>
  <si>
    <t>Top Concept Engineering Consultants | Architect | Dubai, U.A.E | Jun 2024 | Aug 2025 | 1Y 2M | 12.9
Next Engineering Consultants | Architectural Engineer | Dubai, U.A.E | Jun 2023 | Feb 2024 | 0Y 8M | 10.04</t>
  </si>
  <si>
    <t>Savvy Infrastructure Pvt. Ltd. | Contracts Intern | Gandhinagar, Gujarat | May 2026 | Jul 2026 | 8.7142857142857 Weeks | Campus Internship
Varghese Panicker Architects | Architectural Intern | Trivandrum, Kerala | Aug 2021 | Dec 2021 | 18.428571428571 Weeks</t>
  </si>
  <si>
    <t>Sustainability in Architecture: An Interdisciplinary Introduction from Universitat PolitÃ¨cnica de ValÃ¨ncia
Fundamentals of Project Planning and Management from University of Virginia</t>
  </si>
  <si>
    <t>P25700359</t>
  </si>
  <si>
    <t>BARRE</t>
  </si>
  <si>
    <t>Ajay Barre</t>
  </si>
  <si>
    <t>ajaybarre72@gmail.com</t>
  </si>
  <si>
    <t>p25700359@student.nicmar.ac.in</t>
  </si>
  <si>
    <t>12-Feb-2004</t>
  </si>
  <si>
    <t>English,Hindi,telugu</t>
  </si>
  <si>
    <t>3090 2977 7335</t>
  </si>
  <si>
    <t>BARRE YONA</t>
  </si>
  <si>
    <t>DAILY WAGER</t>
  </si>
  <si>
    <t>BARRE SUNEETHA</t>
  </si>
  <si>
    <t>7-63,thurpu Digavalli,nuzvid</t>
  </si>
  <si>
    <t>ZP HIGH SCHOOL</t>
  </si>
  <si>
    <t>A.A.N.MURTHY&amp;V.V.R.SESHADRI RAO POLYTECHNIC</t>
  </si>
  <si>
    <t>AFFILIATED TO JNTUK</t>
  </si>
  <si>
    <t>VISHNU INSTITUTE OF TECHNOLOGY,BHIMAVARAM</t>
  </si>
  <si>
    <t>AutoCAD,MS Office,MS Project,Primavera,ETABS,REVIT,CostX,STAAD Pro</t>
  </si>
  <si>
    <t>Zyeta pvt.ltd | Project management intern  | Banglore  | May 2026 | Jul 2026 | 8.5714285714286 Weeks | Campus Internship
ROADS AND BUILDINGS DEPARTMENT | OPERATIONS&amp; SITE INTERN | BHIMAVARAM | Nov 2023 | Jan 2024 | 8.5714285714286 Weeks
NATIONAL INSTITUTE OF CONSTRUCTION MANAGEMENT AND RESEARCH | PROJECT MANAGEMENT INTERN | HYDERABAD | Jun 2024 | Jun 2024 | 2.4285714285714 Weeks</t>
  </si>
  <si>
    <t>P25700360</t>
  </si>
  <si>
    <t>RENUKA</t>
  </si>
  <si>
    <t>BANTE</t>
  </si>
  <si>
    <t>Renuka Sudhir Bante</t>
  </si>
  <si>
    <t>renukabante.23@gmail.com</t>
  </si>
  <si>
    <t>p25700360@student.nicmar.ac.in</t>
  </si>
  <si>
    <t>23-Sep-1999</t>
  </si>
  <si>
    <t>8489 5299 6633</t>
  </si>
  <si>
    <t>SANJANA</t>
  </si>
  <si>
    <t>3,Sainath Nagar, Near Nagpur Naka, Takiya Ward, Bhandara</t>
  </si>
  <si>
    <t>Bhandara</t>
  </si>
  <si>
    <t>JAYCEES CONVENT</t>
  </si>
  <si>
    <t>SRI CHAITANYA JUNIOR KALASHALSA</t>
  </si>
  <si>
    <t>TELENGANA STATE BOARD OF INTERMEDIATE EDUCATION</t>
  </si>
  <si>
    <t>DEPARTMENT OF TECHNOLOGY, SHIVAJI UNIVERSITY, KOLHAPUR</t>
  </si>
  <si>
    <t>AutoCAD,MS Office,MS Project,Primavera,Revit,CostX</t>
  </si>
  <si>
    <t>Urbangaon  | Project Management Intern | Jaipur  | May 2026 | Jul 2026 | 8.7142857142857 Weeks | Campus Internship
Datta Construction | Site Engineer Trainee | LAKHANI | Jun 2023 | Jul 2023 | 4.7142857142857 Weeks
M/S.V.Y. NIKHAR &amp;ASSOCIATES | SITE ENGINEER TRAINEE | BHANDARA | May 2019 | Jun 2019 | 3 Weeks</t>
  </si>
  <si>
    <t>Six Sigma Green Belt
Project Management in Construction
Highway Planning, Pavement Design and Construction
Data Analysis
Project Management Principles and Practices Specialization
Infrastructure for Transportation Systems
Sustainable Design Practices in Building Design
	Mechanization in Construction Specialization
	Construction Management Fundamentals</t>
  </si>
  <si>
    <t>P25700361</t>
  </si>
  <si>
    <t>CHINNAMSETTI</t>
  </si>
  <si>
    <t>HEMANTH SAI KRISHNA</t>
  </si>
  <si>
    <t>Chinnamsetti Hemanth Sai Krishna</t>
  </si>
  <si>
    <t>hemanthsaikrishna604@gmail.com</t>
  </si>
  <si>
    <t>p25700361@student.nicmar.ac.in</t>
  </si>
  <si>
    <t>07-Jan-2002</t>
  </si>
  <si>
    <t>English, Hindi,Telugu</t>
  </si>
  <si>
    <t>9545 9346 5546</t>
  </si>
  <si>
    <t>CHINNAMSETTI SURYA RAO</t>
  </si>
  <si>
    <t>CHINNAMSETTI PADMA TULASI</t>
  </si>
  <si>
    <t>D.No:2-7, Ramalayam Street, Itempudi, Iragavaram Mandal</t>
  </si>
  <si>
    <t>GEETANJALI HIGH SCHOOL</t>
  </si>
  <si>
    <t>BOARD OF SECONDARY EDUCATION, ANDHRAPRADESH</t>
  </si>
  <si>
    <t>CIVIL</t>
  </si>
  <si>
    <t>S.M.V.M POLYTECHNIC COLLEGE,TANUKU</t>
  </si>
  <si>
    <t>JNTUK</t>
  </si>
  <si>
    <t>S.R.K.R ENGINEERING COLLEGE , BHIMAVARAM</t>
  </si>
  <si>
    <t>AutoCAD,MS Office,MS Project,Primavera,RIB CostX,Canva</t>
  </si>
  <si>
    <t>Megha Engineering And Infrastructure Limited | Site Engineer  | Basti,UttarPradesh | Jul 2023 | May 2025 | 1Y 9M | 3.25</t>
  </si>
  <si>
    <t>Bhajan Infratech Pvt limited | Project Co-ordinator  | Surat | May 2026 | Jun 2026 | 7.7142857142857 Weeks | Campus Internship</t>
  </si>
  <si>
    <t>Cost Estimating &amp; Cost Control
Advanced Communication Strategies
Finance for Non-Financial Managers</t>
  </si>
  <si>
    <t>P25700362</t>
  </si>
  <si>
    <t>PRAVEEN</t>
  </si>
  <si>
    <t>Praveen P</t>
  </si>
  <si>
    <t>praveeensvg@gmail.com</t>
  </si>
  <si>
    <t>p25700362@student.nicmar.ac.in</t>
  </si>
  <si>
    <t>17-Sep-2003</t>
  </si>
  <si>
    <t>6099 9964 4445</t>
  </si>
  <si>
    <t>PARAMASIVAM A P</t>
  </si>
  <si>
    <t>RETIRED STATE GOVERNMENT EMPLOYEE</t>
  </si>
  <si>
    <t>SANGARAPARAMESWARI R</t>
  </si>
  <si>
    <t>STATE GOVERNMENT EMPLOYEE</t>
  </si>
  <si>
    <t>2/409, Yuvaraja Illam, T.Pudur, Krishna Nagar, 4th Street, Sivaganga</t>
  </si>
  <si>
    <t>Sivaganga</t>
  </si>
  <si>
    <t>MAHARISHI INTERNATIONAL RESIDENTIAL SCHOOL</t>
  </si>
  <si>
    <t>CENTRAL BOARD OF SECONDARY EDUCATION , CHENNAI</t>
  </si>
  <si>
    <t>CENTRAL BOARD OF SECONDARY EDUCATION, CHENNAI</t>
  </si>
  <si>
    <t>SASTRA DEEMED TO BE UNIVERSITY</t>
  </si>
  <si>
    <t>SASTRA DEEMED TO BE UNIVERSITY, THANJAVUR</t>
  </si>
  <si>
    <t>MS Project,Primavera,AutoCAD,MS Office,Cost X.</t>
  </si>
  <si>
    <t>AKG Building Consultants Pvt. Ltd. | Site execution Control | Bangalore | May 2026 | Jul 2026 | 8.7142857142857 Weeks | Campus Internship
UNIQCORE CONSTRUCTIONS INDIA PVT LTD | Site Engineering Intern | SASTRA Deemed to be University,Thanjavur | Jun 2024 | Jul 2024 | 4 Weeks</t>
  </si>
  <si>
    <t>P25700363</t>
  </si>
  <si>
    <t>PUSHPENDRA</t>
  </si>
  <si>
    <t>Pushpendra Yadav</t>
  </si>
  <si>
    <t>pushpendra.yadav2809@gmail.com</t>
  </si>
  <si>
    <t>p25700363@student.nicmar.ac.in</t>
  </si>
  <si>
    <t>28-Sep-2000</t>
  </si>
  <si>
    <t>2905 8063 1443</t>
  </si>
  <si>
    <t>RAMNARESH</t>
  </si>
  <si>
    <t>MAYA</t>
  </si>
  <si>
    <t>Bk 1658, Yogesh Nagar, Section-26_x000D_
Near Nutan Marathi School, Ulhasnagar 4</t>
  </si>
  <si>
    <t>NEW ENGLISH HIGH SCHOOL</t>
  </si>
  <si>
    <t>MAHARSHTRA STATE BOARD OF SECONDARY AND HIGHER SECONDARY EXAMINATION, MUMBAI, MAHARASHTRA</t>
  </si>
  <si>
    <t>S.H. JONDHALE POLYTECHNIC, DOMBIVLI, MAHARASHTRA</t>
  </si>
  <si>
    <t>B.R. HARNE COLLEGE OF ENGINEERING AND TECHNOLOGY, VANGANI, MAHARASHTRA</t>
  </si>
  <si>
    <t>AutoCAD,MS Office,MS Project,Primavera,Revit,Canva,Costx</t>
  </si>
  <si>
    <t>J.F. Constructions | Site Engineer | Ambarnath | Jul 2022 | Jun 2025 | 2Y 11M | 3.2</t>
  </si>
  <si>
    <t>Masin Projects Private Limited | Intern - Delay Department | Gurugram | May 2026 | Jul 2026 | 8.7142857142857 Weeks | Campus Internship
SUMITRA BUILDCONS PVT. LTD. | SITE CIVIL ENGINEER | MURBAD | Dec 2019 | Jan 2020 | 4.4285714285714 Weeks</t>
  </si>
  <si>
    <t>Finance for Non-Financial Managers
Google Project Management
Managing Social and Human Capital
Introduction to Artificial Intelligence (AI) by IBM
Microsoft Public Relations and Communications Associate
Microeconomics Principles
Construction Project Management
Construction Finance
Construction Industry: The Way Forward
AI For Everyone by DeepLearning.AI</t>
  </si>
  <si>
    <t>P25700364</t>
  </si>
  <si>
    <t>INGALE</t>
  </si>
  <si>
    <t>Prathamesh Mahesh Ingale</t>
  </si>
  <si>
    <t>pmingale109@gmail.com</t>
  </si>
  <si>
    <t>p25700364@student.nicmar.ac.in</t>
  </si>
  <si>
    <t>24-Mar-2002</t>
  </si>
  <si>
    <t>7901 6542 4979</t>
  </si>
  <si>
    <t>G1 Arihant Apartment, Ingale Colony, Shivane, NDA Road, Pune-411023</t>
  </si>
  <si>
    <t>SAHYADRI NATIONAL SCHOOL</t>
  </si>
  <si>
    <t>BALSHIKSHAN MANDIR CAMPUS</t>
  </si>
  <si>
    <t>ZEAL COLLEGE OF ENGINEERING &amp; RESEARCH, PUNE, MAHARASHTRA</t>
  </si>
  <si>
    <t>GNY Group | Junior Project Engineer Intern | Chhatrapati Sambhajinagar | May 2026 | Jul 2026 | 8.7142857142857 Weeks | Campus Internship
VASTU INFRA | Site Engineer Intern | Kekarav, Bavdhan Hills, Pune | Jun 2024 | Jun 2024 | 4.1428571428571 Weeks</t>
  </si>
  <si>
    <t>P25700366</t>
  </si>
  <si>
    <t>Tejas Sunil Pawar</t>
  </si>
  <si>
    <t>tejas.tp9797@gmail.com</t>
  </si>
  <si>
    <t>p25700366@student.nicmar.ac.in</t>
  </si>
  <si>
    <t>3203 0141 4259</t>
  </si>
  <si>
    <t>SUNIL BABURAO PAWAR</t>
  </si>
  <si>
    <t>VANDANA SUNIL PAWAR</t>
  </si>
  <si>
    <t>51,Shivaji Housing Society Karad.</t>
  </si>
  <si>
    <t>HOLY FAMILY CONVENT HIGH SCHOOL</t>
  </si>
  <si>
    <t>MAHARASHTRA STATE BOARD OF SECONDARY AND HIGHER SECONDARY EDUCATION , PUNE DIVISION KOLHAPUR</t>
  </si>
  <si>
    <t>2008-Jun</t>
  </si>
  <si>
    <t>SHRI HANUMANTRAO CHATE JR.COLLEGE OF SCIENCE,SATARA</t>
  </si>
  <si>
    <t>MAHARASHTRA STATE BOARD OF SECONDARY AND HIGHER SECONDARY EDUCATION, PUNE DIVISION KOLHAPUR</t>
  </si>
  <si>
    <t>SHIVAJI UNIVERSITY,KOLHAPUR</t>
  </si>
  <si>
    <t>RAJARAMBAPU INSTITUTE OF TECHNOLOGY, SAKHARALE TAL WALWA DIST SANGLI.</t>
  </si>
  <si>
    <t>AutoCAD,MS Office,MS Project,Primavera,Cost X</t>
  </si>
  <si>
    <t>Mantra Properties | Management-Intern | Pune  | May 2026 | Jul 2026 | 8.5714285714286 Weeks | Campus Internship
M/S. KRISHNA ASSOCIATES | JR. CIVIL ENGINEER | KARAD  | Jan 2024 | Jul 2024 | 27.142857142857 Weeks</t>
  </si>
  <si>
    <t>P25700368</t>
  </si>
  <si>
    <t>MENDHE</t>
  </si>
  <si>
    <t>Vikas Prakash Mendhe</t>
  </si>
  <si>
    <t>vikasmendhe5260@gmail.com</t>
  </si>
  <si>
    <t>p25700368@student.nicmar.ac.in</t>
  </si>
  <si>
    <t>21-Aug-2001</t>
  </si>
  <si>
    <t>2883 3370 5033</t>
  </si>
  <si>
    <t>PRAKASH MENDHE</t>
  </si>
  <si>
    <t>DEFENCE (CRPF)</t>
  </si>
  <si>
    <t>SANGITA MENDHE</t>
  </si>
  <si>
    <t>FLAT NO 202 KRISHNA KUNJ APARTMENT SUSGAON PUNE</t>
  </si>
  <si>
    <t>Ward No 3 Siddhi Vinayak Colony Tarwekar Layout Nagbhid</t>
  </si>
  <si>
    <t>ST. XAVIERS HIGH SCHOOL MIDC ,NAGPUR</t>
  </si>
  <si>
    <t>CENTRAL BOARD OF SECONDARY EDUCATION , MAHARASHTRA</t>
  </si>
  <si>
    <t>MAJOR HEMANT JAKATE HIGH SCHOOL ,NAGPUR</t>
  </si>
  <si>
    <t>MAHARASHTRA STATE BOARD OF SECONDARY AND HIGHER SECONDARY EDUCATION PUNE, MAHARASHTRA</t>
  </si>
  <si>
    <t>RASHTRASANT TUKADOJI MAHRARAJ NAGPUR UNIVERSITY</t>
  </si>
  <si>
    <t>KAVIKULGURU INSTITUTE OF TECHNOLOGY AND SCIENCE RAMTEK MAHARASHTRA</t>
  </si>
  <si>
    <t>AutoCAD ,MS Project, Primavera, RIB Cost X, Revit</t>
  </si>
  <si>
    <t>NCCCL  | Planning Intern  | Dombivli Mumbai | May 2026 | Jul 2026 | 8.7142857142857 Weeks | Campus Internship
Suntronic renewables | junior civil engineer  | nagpur | Mar 2024 | May 2025 | 65.142857142857 Weeks</t>
  </si>
  <si>
    <t>P25700369</t>
  </si>
  <si>
    <t>Prasad Ramesh Mane</t>
  </si>
  <si>
    <t>prasadm3440@gmail.com</t>
  </si>
  <si>
    <t>p25700369@student.nicmar.ac.in</t>
  </si>
  <si>
    <t>3051 2276 0670</t>
  </si>
  <si>
    <t>GREENLIFE SOCIETY, LAXMI CHOWK, HINJEWADI PHASE-1, PIMPRI-CHINCHWAD</t>
  </si>
  <si>
    <t>Mahapur, Tq. Latur, Dist. Latur</t>
  </si>
  <si>
    <t>SHRI DESHIKENDRA VIDYALAYA, LATUR, MAHARASHTRA.</t>
  </si>
  <si>
    <t>MAHARASHTRA STATE BOARD OF SECONDARY AND HIGHER SECONDARY EDUCATION, PUNE.</t>
  </si>
  <si>
    <t>SWAMI VIVEKANAND INSTITUTE OF POLYTECHNIC, LATUR.</t>
  </si>
  <si>
    <t>AutoCAD,MS Office,MS Project,Primavera,Revit,RIB CostX, Bexel Manager, Plannerly</t>
  </si>
  <si>
    <t>New Consolidated Construction Compony Ltd. (NCCCL) | Planning Intern | Ghansoli, Navi Mumbai | May 2026 | Jul 2026 | 8.5714285714286 Weeks | Campus Internship
Saishraddha Cement Products | Operations &amp; Production Management Intern | Latur | Apr 2024 | Aug 2024 | 21.714285714286 Weeks</t>
  </si>
  <si>
    <t>Finance for Non-Financial Managers
Data Analysis
Project Admin (Scholar), DGQC</t>
  </si>
  <si>
    <t>P25700370</t>
  </si>
  <si>
    <t>SOLANKI</t>
  </si>
  <si>
    <t>Rahul Mahesh Solanki</t>
  </si>
  <si>
    <t>rahulmaheshsolanki018@gmail.com</t>
  </si>
  <si>
    <t>p25700370@student.nicmar.ac.in</t>
  </si>
  <si>
    <t>18-Jan-2001</t>
  </si>
  <si>
    <t>ENGLISH, GUJARATI, HINDI, MARATHI</t>
  </si>
  <si>
    <t>6240 7944 9401</t>
  </si>
  <si>
    <t>BMC SERVANT</t>
  </si>
  <si>
    <t>ALKA</t>
  </si>
  <si>
    <t>382 RAJMALA ROOM NO 13 CHARKOP SEC 3 OPP DOMINOS PIZZA KANDIVALI WEST</t>
  </si>
  <si>
    <t>B-3/21 Shravan Nagar Near Ekta Nagar At New Link Road Kandivali West</t>
  </si>
  <si>
    <t>P J PANCHOLIA HIGH SCHOOL</t>
  </si>
  <si>
    <t>SARDAR VALLABHBHAI PATEL POLYTECHNIC</t>
  </si>
  <si>
    <t>2024-Jan</t>
  </si>
  <si>
    <t>THE GREEN VENTUREZ DEVELOPERS | Site Engineer | Kandivali West | Dec 2023 | Jun 2025 | 1Y 6M | 2.4</t>
  </si>
  <si>
    <t>J Kumar  | Execution plus control  | Mumbai  | May 2026 | Jul 2026 | 9.7142857142857 Weeks | Campus Internship</t>
  </si>
  <si>
    <t>P25700371</t>
  </si>
  <si>
    <t>Disha J</t>
  </si>
  <si>
    <t>dishajagdeesh@gmail.com</t>
  </si>
  <si>
    <t>p25700371@student.nicmar.ac.in</t>
  </si>
  <si>
    <t>23-Jan-1999</t>
  </si>
  <si>
    <t>3190 5576 9693</t>
  </si>
  <si>
    <t>JAGADEESH K</t>
  </si>
  <si>
    <t>EX-  BLOCK EDUCATION OFFICER</t>
  </si>
  <si>
    <t>SAVITHA S R</t>
  </si>
  <si>
    <t>Door Number 99, Third Cross, South, Anikethana Road, Kuvempunagar, Mysore, Karnataka</t>
  </si>
  <si>
    <t>GNANAGANGA VIDYAPEETA</t>
  </si>
  <si>
    <t>KARNATAKA SECONDARY EDUCATION EXAMINATION BOARD, GOVERNMENT OF KARNATAKA</t>
  </si>
  <si>
    <t>VIJAYAVITTALA PU COLLEGE</t>
  </si>
  <si>
    <t>DEPARTMENT OF PRE- UNIVERSITY EDUCATION, GOVERNMENT OF KARNATAKA</t>
  </si>
  <si>
    <t>VIDYA VARDHAKA COLLEGE OF ENGINEERING, MYSORE, KARNATAKA</t>
  </si>
  <si>
    <t>The National Institute of Engineering,Mysore</t>
  </si>
  <si>
    <t>AutoCAD,MS Office,MS Project,Primavera, Power BI,Staad pro,Etabs,3dsmax,Idea Statica,Cohoom,Revit</t>
  </si>
  <si>
    <t>RR CONSTRUCTIONS | Structural Design Engineer | Mysore, Karnataka | Nov 2022 | Jul 2024 | 1Y 8M | 1.2</t>
  </si>
  <si>
    <t>BECHTEL INDIA PRIVATE LIMITED | Supply chain management - Intern | Gurugram, India | May 2026 | Jul 2026 | 7.5714285714286 Weeks | Campus Internship
MYSORE CITY CORPORATION- VANI VILAS WATER SUPPLY DIVISION | Engineer - Intern | MYSORE | Jul 2019 | Aug 2019 | 4 Weeks
R.K. ASSOCIATES, PROJECT MANAGEMENT AND STRUCTURAL CONSULTANTS | Structural Designer/ Engineer | MYSORE | Oct 2021 | Nov 2021 | 8.5714285714286 Weeks</t>
  </si>
  <si>
    <t>Diploma in Interior Design</t>
  </si>
  <si>
    <t>P25700372</t>
  </si>
  <si>
    <t>YAJUR</t>
  </si>
  <si>
    <t>JAGMOHAN</t>
  </si>
  <si>
    <t>Yajur Jagmohan</t>
  </si>
  <si>
    <t>gargyajur@gmail.com</t>
  </si>
  <si>
    <t>p25700372@student.nicmar.ac.in</t>
  </si>
  <si>
    <t>15-Aug-2000</t>
  </si>
  <si>
    <t>6429 2706 6509</t>
  </si>
  <si>
    <t>RAJAT GARG</t>
  </si>
  <si>
    <t>SHIVA GARG</t>
  </si>
  <si>
    <t>366, PATEL NAGAR, NEW MANDI, MUZAFFARNAGAR</t>
  </si>
  <si>
    <t>Muzaffarnagar</t>
  </si>
  <si>
    <t>BIRLA VIDYA MANDIR, NAINITAL</t>
  </si>
  <si>
    <t>CBSE, UTTARAKHAND</t>
  </si>
  <si>
    <t>BHARAT MATA SARASWATI BALMANDIR NARELA DELHI</t>
  </si>
  <si>
    <t>SYMBIOSIS INTERNATIONAL UNIVERSITY</t>
  </si>
  <si>
    <t>Primavera P6, MSP, AutoCAD,MS Office,Bluebeam Revu, CostX</t>
  </si>
  <si>
    <t>Turner International | Assistant Quantity Surveyor | Bengaluru | Jul 2022 | Nov 2022 | 0Y 4M | 3
Ceigall India Limited | Engineer - Contracts Administration | Gurugram | Mar 2024 | Jun 2025 | 1Y 3M | 7.5</t>
  </si>
  <si>
    <t>KPMG Assurance and Consulting Services LLP  | Intern - Transformation (MPA) | Gurugram | May 2026 | Jun 2026 | 7.5714285714286 Weeks | Campus Internship
Turner Project Management India Pvt Ltd (Turner International) | Quantity Surveying Trainee | Bengaluru | Feb 2022 | Jun 2022 | 21.285714285714 Weeks</t>
  </si>
  <si>
    <t>P25700373</t>
  </si>
  <si>
    <t>RAJDEEP</t>
  </si>
  <si>
    <t>MULE</t>
  </si>
  <si>
    <t>Rajdeep Rajesh Mule</t>
  </si>
  <si>
    <t>rajdeepmule@gmail.com</t>
  </si>
  <si>
    <t>p25700373@student.nicmar.ac.in</t>
  </si>
  <si>
    <t>03-Mar-2002</t>
  </si>
  <si>
    <t>5152 8355 6580</t>
  </si>
  <si>
    <t>RAJESH MULE</t>
  </si>
  <si>
    <t>DR DIPALI MULE</t>
  </si>
  <si>
    <t>G-46 Patang Plaza Tower, Opp PICT College, Bharti Vidyapeeth, Katraj, Pune - 411046</t>
  </si>
  <si>
    <t>THE BISHOP'S CO-ED SCHOOL, UNDRI, PUNE</t>
  </si>
  <si>
    <t>MES ABASAHEB GARWARE COLLEGE, PUNE</t>
  </si>
  <si>
    <t>HIGHER SECONDARY CERTIFICATE EXAMINATION, MAHARASHTRA</t>
  </si>
  <si>
    <t>AutoCAD,MS Office,MS Project,Primavera,Sketchup,Enscape,Photoshop,Canva,InDesign,RIB CostX,Revit,Lumion</t>
  </si>
  <si>
    <t>Adani Realty's Navbharat Mega Developers Pvt. Ltd.  | Project Planning &amp; Control Intern | BKC Inspire, Mumbai | May 2026 | Jul 2026 | 7.7142857142857 Weeks | Campus Internship
Prashant Deshmukh &amp; Associates | Trainee Architect | Pune | Jun 2024 | Oct 2024 | 17.714285714286 Weeks</t>
  </si>
  <si>
    <t>Ethics in Engineering Practice - authorized by Indian Institute of Technology Kharagpur
Generative AI for Everyone - authorized by DeepLearning.AI
Finance for Non-Financial Managers - authorized by Emory University</t>
  </si>
  <si>
    <t>P25700374</t>
  </si>
  <si>
    <t>NAINA</t>
  </si>
  <si>
    <t>BHAT</t>
  </si>
  <si>
    <t>Naina Bhat</t>
  </si>
  <si>
    <t>nainabhat24@gmail.com</t>
  </si>
  <si>
    <t>p25700374@student.nicmar.ac.in</t>
  </si>
  <si>
    <t>English, Hindi, Kashmiri</t>
  </si>
  <si>
    <t>4088 9189 2185</t>
  </si>
  <si>
    <t>RAMESH KUMAR BHAT</t>
  </si>
  <si>
    <t>LOVELY BHAT</t>
  </si>
  <si>
    <t>Hno 435 Near Sector 9 Basai Village Gurgaon Haryana</t>
  </si>
  <si>
    <t>DEENBANDHU CHHOTU RAM UNIVERSITY OF SCIENCE AND TECHNOLOGY</t>
  </si>
  <si>
    <t>DEENBANDHU CHHOTU RAM UNIVERSITY OF SCIENCE AND TECHNOLOGY MURTHAL HARYANA</t>
  </si>
  <si>
    <t>AutoCAD,MS Office,MS Project,Primavera,Revit,MS excel</t>
  </si>
  <si>
    <t>Prestige Estates Private Limited | Inrtern | Ghaziabad | May 2026 | Jul 2026 | 8.5714285714286 Weeks | Campus Internship
Shivam Construction | Intern | Gurugram | Sep 2023 | Feb 2024 | 22.571428571429 Weeks
PWD B&amp;R PANCHKULA | Intern | Panchkula chandigarh | Aug 2022 | Dec 2022 | 19.428571428571 Weeks</t>
  </si>
  <si>
    <t>AUTOCAD
One million leaders Asia fellowship program
Finance for Non-Financial Managers</t>
  </si>
  <si>
    <t>P25700375</t>
  </si>
  <si>
    <t>RAJKUMAR</t>
  </si>
  <si>
    <t>NAGULWAR</t>
  </si>
  <si>
    <t>Rahul Rajkumar Nagulwar</t>
  </si>
  <si>
    <t>rahulrajkumarnagulwar1@gmail.com</t>
  </si>
  <si>
    <t>p25700375@student.nicmar.ac.in</t>
  </si>
  <si>
    <t>19-Dec-2003</t>
  </si>
  <si>
    <t>English , Hindi , Marathi</t>
  </si>
  <si>
    <t>8594 6963 2228</t>
  </si>
  <si>
    <t>RAJKUMAR B. NAGULWAR</t>
  </si>
  <si>
    <t>VARSHA R. NAGULWAR</t>
  </si>
  <si>
    <t>F-101 NAGULWAR COMPLEX , ABOVE INDIAN BANK , MAHALAXMI NAGAR , MANEWADA ROAD , NAGPUR , 440024</t>
  </si>
  <si>
    <t>MONTFORT SCHOOL ASHOKWAN NAGPUR/MAHARASHTRA</t>
  </si>
  <si>
    <t>CENTRAL BOARD OF SECONDARY EDUCATION NAGPUR/MAHARASHTRA</t>
  </si>
  <si>
    <t>GOVERNMENT POLYTECHNIC, NAGPUR/MAHARASHTRA</t>
  </si>
  <si>
    <t>SHRI RAMDEOBABA COLLEGE OF ENGINEERING AND MANAGEMENT , NAGPUR/MAHARASHTRA</t>
  </si>
  <si>
    <t>AutoCAD,MS Office,MS Project,Beam AI,Automeasure</t>
  </si>
  <si>
    <t>ATTENTIVE  OS PRIVATE LIMITED | TRAINEE ESTIMATOR | NEW DELHI | Apr 2025 | Jul 2025 | 0Y 2M | 3.34</t>
  </si>
  <si>
    <t>0 Years 2 Months</t>
  </si>
  <si>
    <t>SRIBAL CONSTRUCTION COMPANY | PROJECT COORDINATION | BHOGAPURAM, VIZAG | May 2026 | Jul 2026 | 8.7142857142857 Weeks | Campus Internship
B.R.SHARMA &amp; ASSOCIATE ARCHITECTS &amp; CONSULTING | INTERN SITE ENGINEER | NAGPUR/ MAHARASHTRA | May 2024 | Jul 2024 | 5.8571428571429 Weeks
ATTENTIVE  OS PRIVATE LIMITED | INTERN ESTIMATOR  | NEW DELHI | Jan 2025 | Apr 2025 | 12.571428571429 Weeks</t>
  </si>
  <si>
    <t>P25700376</t>
  </si>
  <si>
    <t>PRATIKSHA</t>
  </si>
  <si>
    <t>Patil Pratiksha Ramesh</t>
  </si>
  <si>
    <t>pratiksharpatil2002@gmail.com</t>
  </si>
  <si>
    <t>p25700376@student.nicmar.ac.in</t>
  </si>
  <si>
    <t>22-May-2002</t>
  </si>
  <si>
    <t>3543 9646 7820</t>
  </si>
  <si>
    <t>RAMESH JANARDHAN PATIL</t>
  </si>
  <si>
    <t>SUREKHA RAMESH PATIL</t>
  </si>
  <si>
    <t>Plot 27/w, S No. 563/5, Anurag State Bank Colony, Mahabal, Jalgaon 425001_x000D_</t>
  </si>
  <si>
    <t>LATE B. G. SHANBHAG SCHOOL, JALGAON</t>
  </si>
  <si>
    <t>GOVERNMENT POLYTECHNIC JALGAON</t>
  </si>
  <si>
    <t>AutoCAD, MS Office, Revit, Primavera, MSP</t>
  </si>
  <si>
    <t>Tirumala Enterprises Engineers and Contractors | Construction Management trainee | Pune | May 2026 | Jul 2026 | 8.7142857142857 Weeks | Campus Internship
ADVETKUNAL ENTERPRISES PVT.LTD | Site Engineer trainee | Pune | Dec 2022 | Jan 2023 | 4.1428571428571 Weeks</t>
  </si>
  <si>
    <t>P25700378</t>
  </si>
  <si>
    <t>SHELAWADAKAR</t>
  </si>
  <si>
    <t>Shubham Dinkar Shelawadakar</t>
  </si>
  <si>
    <t>shelawadakarshubham@gmail.com</t>
  </si>
  <si>
    <t>p25700378@student.nicmar.ac.in</t>
  </si>
  <si>
    <t>11-Jul-2003</t>
  </si>
  <si>
    <t>5697 7226 1454</t>
  </si>
  <si>
    <t>MALVADI, A/P. MINCHE KHURD, BHUDARGAD, KOLHAPUR</t>
  </si>
  <si>
    <t>Main Road, Pandivare, Tikkewadi, Kolhapur</t>
  </si>
  <si>
    <t>R.V. DESAI SCHOOL, MINCHE KHURD</t>
  </si>
  <si>
    <t>CIVIL &amp; RURAL ENGINEERING</t>
  </si>
  <si>
    <t>INSTITUTE OF CIVIL &amp; RURAL ENGINEERING, GARGOTI</t>
  </si>
  <si>
    <t>AutoCAD,MS Office,MS Project,Primavera,CostX,REVIT,NavisWorks</t>
  </si>
  <si>
    <t>ANAROCK Property Consultants Pvt. Ltd. | Intern-PMES | Goa | May 2026 | Jul 2026 | 8.7142857142857 Weeks | Campus Internship</t>
  </si>
  <si>
    <t>Industrial / Inplant Training
TECHNOTSAV 2k24 (National Level Technical Event)
ChatGPT &amp; AI Tools Workshop
Project Management Assessment
Data Analysis
Cybersecurity for Everyone</t>
  </si>
  <si>
    <t>P25700379</t>
  </si>
  <si>
    <t>DHANANJAY</t>
  </si>
  <si>
    <t>DALAVI</t>
  </si>
  <si>
    <t>Kalpesh Dhananjay Dalavi</t>
  </si>
  <si>
    <t>kalpeshdalavi2777@gmail.com</t>
  </si>
  <si>
    <t>p25700379@student.nicmar.ac.in</t>
  </si>
  <si>
    <t>22-Nov-1999</t>
  </si>
  <si>
    <t>7027 0263 1823</t>
  </si>
  <si>
    <t>A/P SASURE TAL BARSHI DIS SOLAPUR</t>
  </si>
  <si>
    <t>VIDAY MANDAR HIGHSCHOOL ,VAIRAG</t>
  </si>
  <si>
    <t>DR. CHANDARBHANU SONAWANE MAHAVIDAYLA ,LATUR</t>
  </si>
  <si>
    <t>SVERI'S COLLEGE OF ENGINEERING (POLY)</t>
  </si>
  <si>
    <t>JSPM'S RAJARSHI SHAHU COLLEGE OF ENGINEERING</t>
  </si>
  <si>
    <t>AutoCAD,MS Office,MS Project,Primavera,E-TAB,STAAD PRO</t>
  </si>
  <si>
    <t>Bhate &amp; Raje Construction Co. Pvt. Ltd. | Project Planning | Punawale, Pune | May 2026 | Jul 2026 | 8.7142857142857 Weeks | Campus Internship
Kalpesh Construction | Site Engineer | Vairag | Apr 2023 | Mar 2024 | 52.142857142857 Weeks
Pune Metro | Intern | Shivajinagar | Feb 2022 | Apr 2022 | 8.4285714285714 Weeks</t>
  </si>
  <si>
    <t>P25700380</t>
  </si>
  <si>
    <t>ANNA</t>
  </si>
  <si>
    <t>SAJU</t>
  </si>
  <si>
    <t>Anna Saju</t>
  </si>
  <si>
    <t>annasaju20@gmail.com</t>
  </si>
  <si>
    <t>p25700380@student.nicmar.ac.in</t>
  </si>
  <si>
    <t>20-May-2002</t>
  </si>
  <si>
    <t>3829 4665 5094</t>
  </si>
  <si>
    <t>SAJU THOMAS</t>
  </si>
  <si>
    <t>SHEENA SAJU</t>
  </si>
  <si>
    <t>Pellissery House Ammadam P.O. Thrissur Kerala 680563</t>
  </si>
  <si>
    <t>SACRED HEART C.G.H.S.S. THRISSUR</t>
  </si>
  <si>
    <t>BOARD OF PUBLIC EXAMINATIONS KERALA</t>
  </si>
  <si>
    <t>CHRIST COLLEGE OF ENGINEERING IRINJALAKUDA</t>
  </si>
  <si>
    <t>AutoCAD,MS Office,MS Project,Primavera,ETABS,Quantity Survey and Estimation,Lumion,Google SketchUp</t>
  </si>
  <si>
    <t>IIT GUWAHATI | Research Fellowship  | Guwahati  | Aug 2024 | Jun 2025 | 0Y 10M | 3</t>
  </si>
  <si>
    <t>Godrej properties limited  | Operations Intern | Bangalore  | May 2026 | Jul 2026 | 8.7142857142857 Weeks | Campus Internship
LOCAL SELF GOVERNMENT DEPARTMENT | INTERN | PALAKKAD | May 2023 | May 2023 | 1.1428571428571 Weeks</t>
  </si>
  <si>
    <t>Advancement and Applications of Analytical Instruments
3D Visualisation
Non-Destructive Testing
Quantity Survey and Estimation
ETABS
Introduction to Machining and Machining Fluids
Theory Of Production Processes
Expansive Soil
Rock Engineering
Urban Transportation Systems Planning</t>
  </si>
  <si>
    <t>P25700381</t>
  </si>
  <si>
    <t>DARPAN</t>
  </si>
  <si>
    <t>NARENDRA</t>
  </si>
  <si>
    <t>TATIYA</t>
  </si>
  <si>
    <t>Darpan Narendra Tatiya</t>
  </si>
  <si>
    <t>darpan11tatiya@gmail.com</t>
  </si>
  <si>
    <t>p25700381@student.nicmar.ac.in</t>
  </si>
  <si>
    <t>04-Nov-2003</t>
  </si>
  <si>
    <t>English,Hindi,Marwari,Marathi</t>
  </si>
  <si>
    <t>8377 4975 6242</t>
  </si>
  <si>
    <t>Plot No 8, Adarsh Nagar,Sakri,Dhule</t>
  </si>
  <si>
    <t>HON. SHARAD PAWAR PUBLIC SCHOOL</t>
  </si>
  <si>
    <t>CENTRAL BOARD OF SECONDARY EDUCATION, NASHIK/MAHARASHTRA</t>
  </si>
  <si>
    <t>NAMO RIMS JUNIOR COLLEGE</t>
  </si>
  <si>
    <t>MAHARASHTRA STATE BOARD OF SECONDARY AND HIGHER SECONDARY EDUCATION, PUNE/MAHARASHTRA</t>
  </si>
  <si>
    <t>DR. VISHWANATH KARAD MIT WORLD PEACE UNIVERSITY</t>
  </si>
  <si>
    <t>DR. VISHWANATH KARAD MIT WORLD PEACE UNIVERSITY, PUNE/MAHARASHTRA</t>
  </si>
  <si>
    <t>AutoCAD,MS Office,MS Project,Primavera, Basic BIM</t>
  </si>
  <si>
    <t>Dhanavade Group | Site Execution, Control and Planning | Pune | May 2026 | Jul 2026 | 8.7142857142857 Weeks | Campus Internship
NM Sonawane Govt. Contractor | Junior Site Supervisor | Dhongsagali | Dec 2024 | Jun 2025 | 25.857142857143 Weeks</t>
  </si>
  <si>
    <t>P25700382</t>
  </si>
  <si>
    <t>TETALI</t>
  </si>
  <si>
    <t>BHANU KRISHNA</t>
  </si>
  <si>
    <t>Tetali Bhanu Krishna Reddy</t>
  </si>
  <si>
    <t>krishnareddy2686@gmail.com</t>
  </si>
  <si>
    <t>p25700382@student.nicmar.ac.in</t>
  </si>
  <si>
    <t>16-Jun-2002</t>
  </si>
  <si>
    <t>7110 4671 7984</t>
  </si>
  <si>
    <t>SATYANARAYANA REDDY</t>
  </si>
  <si>
    <t>SANTHA KUMARI</t>
  </si>
  <si>
    <t>D.no- 9-61/2, Flat No. 508, Block- C, Vasanth Vihar, Kommadi, Madhurawada, Visakhapatnam, 530048, Andhra Pradesh.</t>
  </si>
  <si>
    <t>DR KKRS GOWTHAM</t>
  </si>
  <si>
    <t>LAWSONS BAY COLONY, VISAKHAPATNAM, ANDHRA PRADESH.</t>
  </si>
  <si>
    <t>SAI GANAPATHI, VISAKHAPATNAM, ANDHRA PRADESH.</t>
  </si>
  <si>
    <t>GITAM (DEEMED UNIVERSITY)</t>
  </si>
  <si>
    <t>GANDHI INSTITUTE OF TECHNOLOGY AND MANAGEMENT, VISAKHAPATNAM, ANDHRA PRADESH.</t>
  </si>
  <si>
    <t>MS Project, AutoCAD, MS Office, Excel, Primavera</t>
  </si>
  <si>
    <t>Vaisakhi Developers | Project Management Intern | Visakhapatnam | May 2026 | Jul 2026 | 9 Weeks | Campus Internship
Chennai Metro Rail Limited | Site Intern | Chennai | May 2024 | Jun 2024 | 4 Weeks
ROADS &amp; BUILDINGS | Site Intern | Visakhapatnam | May 2019 | Nov 2019 | 26.285714285714 Weeks</t>
  </si>
  <si>
    <t>P25700383</t>
  </si>
  <si>
    <t>POORNESH</t>
  </si>
  <si>
    <t>J Poornesh</t>
  </si>
  <si>
    <t>poorneshchowdary167@gmail.com</t>
  </si>
  <si>
    <t>p25700383@student.nicmar.ac.in</t>
  </si>
  <si>
    <t>16-Jul-2002</t>
  </si>
  <si>
    <t>English,Telugu ,Kannada&amp;Hindi</t>
  </si>
  <si>
    <t>7301 8550 5545</t>
  </si>
  <si>
    <t>J RAMESH</t>
  </si>
  <si>
    <t>FARMER &amp; BUSINESS</t>
  </si>
  <si>
    <t>J UMADEVI</t>
  </si>
  <si>
    <t>19-12-551 BAIRAGIPETTADA TIRUPATI SRI BALAJI DISTRICT</t>
  </si>
  <si>
    <t>000,Ramesh Naidu Building ,sindhurajapuram , AM Puram(p) ,SR Puram (m) Chittor Dist</t>
  </si>
  <si>
    <t>BHARATIYA VIDHYA BHAVANS</t>
  </si>
  <si>
    <t>CENTRAL BOARD OF SECONDARY EDUCATION,NEW DELHI</t>
  </si>
  <si>
    <t>SRI CHAITHANYA ACADEMY JUNIOR COLLEGE</t>
  </si>
  <si>
    <t>REVA UNIVERSITY</t>
  </si>
  <si>
    <t>REVA UNIVERSITY ,BANGALORE , KARNATAKA</t>
  </si>
  <si>
    <t>AutoCAD,MS Project,Google sketchup &amp; enscape,Costx</t>
  </si>
  <si>
    <t>E Construct  | Project Management Intern | Bangalore  | May 2026 | Jul 2026 | 8.7142857142857 Weeks | Campus Internship
Swathi civil consultancy |  Designer  | Banglore | Feb 2024 | May 2024 | 11.428571428571 Weeks
Swathi civil consultancy | Site execution | Banglore | Feb 2024 | Jan 2025 | 49.285714285714 Weeks</t>
  </si>
  <si>
    <t>P25700384</t>
  </si>
  <si>
    <t>VEDANGI</t>
  </si>
  <si>
    <t>PALHADE</t>
  </si>
  <si>
    <t>Vedangi Sanjay Palhade</t>
  </si>
  <si>
    <t>vedangipalhade2002@gmail.com</t>
  </si>
  <si>
    <t>p25700384@student.nicmar.ac.in</t>
  </si>
  <si>
    <t>28-Aug-2002</t>
  </si>
  <si>
    <t>9608 9863 1882</t>
  </si>
  <si>
    <t>KAVITA</t>
  </si>
  <si>
    <t>Raut Wadi Nilesh Bhawan Akola</t>
  </si>
  <si>
    <t>SHRI DAWALE JR. COLLEGE MOTHI UMARI AKOLA</t>
  </si>
  <si>
    <t>COLLEGE OF ENGINEERING &amp; TECHNOLOGY, AKOLA</t>
  </si>
  <si>
    <t>AutoCAD,MS Office,MS Project,Primavera,3DS MAX V-Ray,Sketchup,Project Planning &amp; Scheduling</t>
  </si>
  <si>
    <t>Kothari Construction Company | Site Engineer | Akola, Maharashtra  | May 2026 | Jul 2026 | 7.7142857142857 Weeks | Campus Internship</t>
  </si>
  <si>
    <t>Autocad Civil &amp; 3D Max Advance</t>
  </si>
  <si>
    <t>P25700385</t>
  </si>
  <si>
    <t>HONNAGUDI</t>
  </si>
  <si>
    <t>Sanjay Honnagudi</t>
  </si>
  <si>
    <t>sanjayhonnagudi@gmail.com</t>
  </si>
  <si>
    <t>p25700385@student.nicmar.ac.in</t>
  </si>
  <si>
    <t>9369 5440 3448</t>
  </si>
  <si>
    <t>VEERESH HONNAGUDI</t>
  </si>
  <si>
    <t>RETIRED CO-OPERATIVE BANK EMPLOYEE</t>
  </si>
  <si>
    <t>HEMAVATHI</t>
  </si>
  <si>
    <t>Veeresh Honnagudi,_x000D_
House No: 8-5-117/38 Ganga Nilaya, Vasundara Nagara Central Public School Road Karatagi - 583229</t>
  </si>
  <si>
    <t>SRI SHARANA BASAVESHWARA ENGLISH MEDIUM HIGH SCHOOL KARATAGI</t>
  </si>
  <si>
    <t>SRI VIDYANIKETAN PU COLLEGE GANAGAVTHI</t>
  </si>
  <si>
    <t>BAPUJI INSTITUTE OF ENGINEERING AND TECHNOLOGY, DAVANGERE</t>
  </si>
  <si>
    <t>AutoCAD,MS Office,MS Project, Primavera, CostX, Revit Architecture, Sketchup, Vray Essential</t>
  </si>
  <si>
    <t>BENAKA DEVELOPERS AND PROJECT PVT LTD | Site Engineer | Bengaluru | Jul 2024 | Jun 2025 | 0Y 11M | 2.34</t>
  </si>
  <si>
    <t>Prestige Estates Projects Limited | Site Execution and Control | Bangalore | May 2026 | Jul 2026 | 7.5714285714286 Weeks | Campus Internship
FORUM OF PRACTICING ARCHITECTS AND CONSULTING CIVIL ENGINEERS | SITE INTERN | DAVANAGERE | Aug 2023 | Sep 2023 | 3.7142857142857 Weeks</t>
  </si>
  <si>
    <t>Master in CIVIL CAD</t>
  </si>
  <si>
    <t>P25700386</t>
  </si>
  <si>
    <t>RISHU</t>
  </si>
  <si>
    <t>Rishu Kumar</t>
  </si>
  <si>
    <t>singhrishu067@gmail.com</t>
  </si>
  <si>
    <t>p25700386@student.nicmar.ac.in</t>
  </si>
  <si>
    <t>24-Mar-1999</t>
  </si>
  <si>
    <t>3776 2016 8063</t>
  </si>
  <si>
    <t>JITENDRA</t>
  </si>
  <si>
    <t>Mini Bigha , Jaidev Nagar Aurangabad , Bihar (824101)</t>
  </si>
  <si>
    <t>LORD BUDDHA PUBLIC SCHOOL ,AURANGABAD , BIHAR</t>
  </si>
  <si>
    <t>C.B.S.E BOARD DELHI</t>
  </si>
  <si>
    <t>R.S.Y COLLEGE DEVKUND, AAURNGABAD , BIHAR (824101)</t>
  </si>
  <si>
    <t>B.S.E.B PATNA BIHAR</t>
  </si>
  <si>
    <t>D.I.T UNIVERSITY DEHRADUN UTTARAKHAND</t>
  </si>
  <si>
    <t>DEHRADUN INSTITUTE OF TECHNOLOGY, DEHRADUN, UTTARAKHAND</t>
  </si>
  <si>
    <t>Pasa Resources pvt. ltd | Site Engineer | Ranchi, Jharkhand | Jan 2023 | Apr 2024 | 1Y 3M | 2.53
TEXAM Projects LLP | Site Engineer | Sangil  Mahasthara  | May 2024 | Jul 2025 | 1Y 1M | 3.36</t>
  </si>
  <si>
    <t>2 Years 5 Months</t>
  </si>
  <si>
    <t>Cemindia Project Limited  | Summer Intern | Karwar , Karnataka | May 2026 | Jun 2026 | 8.1428571428571 Weeks | Campus Internship
PWD Dehradun | Intern | Mussoorie | Apr 2018 | Jul 2018 | 10.285714285714 Weeks
BRBCL | Intern | Aurangabad Bihar | Jun 2019 | Jul 2019 | 5.1428571428571 Weeks</t>
  </si>
  <si>
    <t>P25700387</t>
  </si>
  <si>
    <t>DHAS</t>
  </si>
  <si>
    <t>Sakshi Sanjay Dhas</t>
  </si>
  <si>
    <t>dhassakshi1102@gmail.com</t>
  </si>
  <si>
    <t>p25700387@student.nicmar.ac.in</t>
  </si>
  <si>
    <t>11-Jan-2002</t>
  </si>
  <si>
    <t>6593 1422 4900</t>
  </si>
  <si>
    <t>SANJAY B. DHAS</t>
  </si>
  <si>
    <t>VANITA SANJAY DHAS</t>
  </si>
  <si>
    <t>A/P Masur, Plot No.10, Near Shivaji High School, Kiwal Road ._x000D_
Tal - Karad Dist - Satara</t>
  </si>
  <si>
    <t>LAHOTI KANYA PRASHALA, KARAD</t>
  </si>
  <si>
    <t>MAHARASHTRA STATE BOARD KOLHAPUR/ MAHARASHTRA</t>
  </si>
  <si>
    <t>LIGADE PATIL JR.COLLEGE OF SCIENCE KARAD</t>
  </si>
  <si>
    <t>MAHARASHTRA STATE BOARD KOLHAPUR/MAHARASHTRA</t>
  </si>
  <si>
    <t>D. Y. PATIL COLLEGE OF ENGINEERING AKURDI, PUNE/ MAHARASHTRA</t>
  </si>
  <si>
    <t>AutoCAD,MS Office,MS Project,Revit Architecture,ARC GIS,MS EXCEL</t>
  </si>
  <si>
    <t>K. P. INFRA | JR. Billing Engineer | Karad | Jul 2023 | Jun 2025 | 1Y 11M | 2.4</t>
  </si>
  <si>
    <t>Sobha Ltd | PMO Planning intern | Bangalore | May 2026 | Jul 2026 | 9 Weeks | Campus Internship
AJWANI INFRASTRUCTURE PVT.LTD. | INTERN | PUNE | Jan 2022 | Feb 2022 | 4.7142857142857 Weeks</t>
  </si>
  <si>
    <t>P25700388</t>
  </si>
  <si>
    <t>ABHINAV</t>
  </si>
  <si>
    <t>Abhinav V</t>
  </si>
  <si>
    <t>abhinavvnath10@gmail.com</t>
  </si>
  <si>
    <t>p25700388@student.nicmar.ac.in</t>
  </si>
  <si>
    <t>29-Aug-2002</t>
  </si>
  <si>
    <t>English, Hindi, Malayalam, Tamil</t>
  </si>
  <si>
    <t>5052 3757 4368</t>
  </si>
  <si>
    <t>VISWANATHAN A</t>
  </si>
  <si>
    <t>RTD</t>
  </si>
  <si>
    <t>BHAGIASREE K C</t>
  </si>
  <si>
    <t>Vaiga Malur
Sivapuram</t>
  </si>
  <si>
    <t>Kannur</t>
  </si>
  <si>
    <t>BHAVANS VIDYA MANDIR CHITHALI</t>
  </si>
  <si>
    <t>JAWAHARLAL COLLEGE OF ENGINEERING AND TECHNOLOGY</t>
  </si>
  <si>
    <t>AutoCAD,MS Office,MS Project,Primavera,Revit,Sketchup</t>
  </si>
  <si>
    <t>Uralungal Labour Contract Co-operative Society Ltd (ULCCS Ltd) | Site execution | Kannur, Kerala | May 2026 | Jul 2026 | 7.7142857142857 Weeks | Campus Internship
MADECKAL CONSTRUCTIONS | INTERNSHIP TRAINEE | MUVATTUPUZHA | Jan 2022 | Jan 2022 | 0.85714285714286 Weeks
SKYLINE BUILDERS | INTERNSHIP TRAINEE | KOCHI | May 2023 | May 2023 | 1.4285714285714 Weeks</t>
  </si>
  <si>
    <t>BIM
Revit Architecture
AutoCAD 2D &amp; 3D
German - 1</t>
  </si>
  <si>
    <t>P25700389</t>
  </si>
  <si>
    <t>SURESHRAO</t>
  </si>
  <si>
    <t>RASEKAR</t>
  </si>
  <si>
    <t>Aditya Sureshrao Rasekar</t>
  </si>
  <si>
    <t>rasekar19@gmail.com</t>
  </si>
  <si>
    <t>p25700389@student.nicmar.ac.in</t>
  </si>
  <si>
    <t>19-Sep-1997</t>
  </si>
  <si>
    <t>6379 4583 0504</t>
  </si>
  <si>
    <t>SHIWAJI WARD DESAIGANJ (WADSA), GADCHIROLI MH</t>
  </si>
  <si>
    <t>Gadchiroli</t>
  </si>
  <si>
    <t>KUTHE PATIL HIGH SCHOOL</t>
  </si>
  <si>
    <t>PRABHAT POLYTECHNIC BRAMHAPURI MAHARASHTRA</t>
  </si>
  <si>
    <t>SAVITRIBAI PHULE PUNE UNIVERSITY,  PUNE MAHARASHTRA</t>
  </si>
  <si>
    <t>G H RAISONI COLLEGE OF ENGINEERING AND MANAGEMENT, PUNE MAHARASHTRA</t>
  </si>
  <si>
    <t>AutoCAD,MS Office,MS Project,Primavera,MS EXCEL</t>
  </si>
  <si>
    <t>SHRAVANI HITECH PRIVATE LIMITED | JR ENGINEER | CHANDRAPUR | Feb 2021 | Jun 2025 | 4Y 4M | 4.36</t>
  </si>
  <si>
    <t>4 Years 4 Months</t>
  </si>
  <si>
    <t>SOBHA LIMITED INDIA | PROJECT PLANNING | BANGLORE | May 2026 | Jul 2026 | 9 Weeks | Campus Internship
ADVANCED BRICKSTONE CONSTRUCTIONS PVT LTD | TRAINEE ENGINEER | PUNE | Aug 2019 | Mar 2020 | 32.571428571429 Weeks</t>
  </si>
  <si>
    <t>Microsoft Project Professional &amp; Primavera P6</t>
  </si>
  <si>
    <t>P25700390</t>
  </si>
  <si>
    <t>CHAITANYA</t>
  </si>
  <si>
    <t>TELTUMBDE</t>
  </si>
  <si>
    <t>Chaitanya Anand Teltumbde</t>
  </si>
  <si>
    <t>chaitanyateltembade4@gmail.com</t>
  </si>
  <si>
    <t>p25700390@student.nicmar.ac.in</t>
  </si>
  <si>
    <t>14-Sep-2003</t>
  </si>
  <si>
    <t>4481 7418 0997</t>
  </si>
  <si>
    <t>ANAND TELTUMBADE</t>
  </si>
  <si>
    <t>BUSINESSMEN</t>
  </si>
  <si>
    <t>NILIMA TELTUMBDE</t>
  </si>
  <si>
    <t>GOODSLAND PG, OPPO DMART, BANER</t>
  </si>
  <si>
    <t>Behind Amit Motors, Sant Tukdoji Ward, Hinganghat</t>
  </si>
  <si>
    <t>ST.JOHN'S HIGHSCHOOL (CBSE)</t>
  </si>
  <si>
    <t>HINGANGHAT, MAHARASHTRA</t>
  </si>
  <si>
    <t>DR. B. R. AMBEDKAR JUNIOR COLLEGE</t>
  </si>
  <si>
    <t>BRACTS VISHWAKARMA INSTITUTE OF INFORMATION TECHNOLOGY</t>
  </si>
  <si>
    <t>ECAS | Business Development Intern | Pune | May 2026 | Jun 2026 | 8.1428571428571 Weeks | Campus Internship
PRUDENT ENGINEERING AND VALUATION SERVICES | VALUATION INTERN  | PUNE | Jan 2025 | May 2025 | 17.142857142857 Weeks</t>
  </si>
  <si>
    <t>P25700391</t>
  </si>
  <si>
    <t>ANVAY</t>
  </si>
  <si>
    <t>GHARAT</t>
  </si>
  <si>
    <t>Anvay R Gharat</t>
  </si>
  <si>
    <t>anvay.gharat01@gmail.com</t>
  </si>
  <si>
    <t>p25700391@student.nicmar.ac.in</t>
  </si>
  <si>
    <t>HINDI, MARATHI, ENGLISH</t>
  </si>
  <si>
    <t>3804 7030 9386</t>
  </si>
  <si>
    <t>RAVINDRA GOVIND GHARAT</t>
  </si>
  <si>
    <t>SAMPADA GOVIND GHARAT</t>
  </si>
  <si>
    <t>Nandadeep CHS, Plot No 70, Sector 9, New Panvel</t>
  </si>
  <si>
    <t>ST.JOSEPH'S HIGH SCHOOL ( RYAN INTERNAL SCHOOL) NAVI MUMBAI</t>
  </si>
  <si>
    <t>C.B.S.E ( PANVEL, MAHARASHTRA)</t>
  </si>
  <si>
    <t>DAV PUBLIC SCHOOL NEW PANVEL NAVI MUMBAI</t>
  </si>
  <si>
    <t>VISHWANIKETAN'S INSTITUTE OF MANAGEMENT ENTREPRENEURSHIP AND ENGINEERING TECHNOLOGY ( KHALAPUR, MAHARASHTRA)</t>
  </si>
  <si>
    <t>2025-Jan</t>
  </si>
  <si>
    <t>AutoCAD,MS Office,MS Project,Primavera P6,CANVA,Revit, Cost X, Naviswork</t>
  </si>
  <si>
    <t>Desai Construction Pvt. Ltd | Planning &amp; Contract Intern | Vapi | May 2026 | Jul 2026 | 8.5714285714286 Weeks | Campus Internship
Akurai PEB LLP | Asst Sales Engineer | Malad | Oct 2023 | Feb 2025 | 72.142857142857 Weeks
J.M. MHATRE INFRA PVT. LTD. | SITE EXECUTION TRAINEE | PANVEL-KARJAT RAILWAY CORRIDOR | Jan 2023 | Apr 2023 | 12.714285714286 Weeks</t>
  </si>
  <si>
    <t>P25700392</t>
  </si>
  <si>
    <t>SHREYARAM</t>
  </si>
  <si>
    <t>Shreyaram .</t>
  </si>
  <si>
    <t>shreyaram2404@gmail.com</t>
  </si>
  <si>
    <t>P24702148@student.nicmar.ac.in</t>
  </si>
  <si>
    <t>ENGLISH, KANNADA, HINDI</t>
  </si>
  <si>
    <t>Reading Architecture Journals</t>
  </si>
  <si>
    <t>7576 3118 0305</t>
  </si>
  <si>
    <t>N SHANTHARAM</t>
  </si>
  <si>
    <t>CONSULTING CIVIL ENGINEERING</t>
  </si>
  <si>
    <t>JYOTHI S G</t>
  </si>
  <si>
    <t>#FF-03, A-Block, 1st Floor, Ajantha Vihar Apartment, Industrial Town, 4th Phase, Yelahanka New Town, Bengaluru - 560064</t>
  </si>
  <si>
    <t>Poornaprajna Education Centre</t>
  </si>
  <si>
    <t>PRESIDENCY PRE-UNIVERSITY COLLEGE</t>
  </si>
  <si>
    <t>BMS SCHOOL OF ARCHITECTURE</t>
  </si>
  <si>
    <t>AutoCAD, MS Project, MS Word, MS Excel, MS PowerPoint, SketchUp, BIM (Revit), Adobe Photoshop, TwinMotion, D5 Render, Enscape, CostX, Primavera</t>
  </si>
  <si>
    <t>PRESTIGE ESTATES PROJECTS LIMITED | PROJECT MANAGEMENT INTERN | BANGALORE  | May 2026 | Jul 2026 | 8.5714285714286 Weeks | Campus Internship
ANJAN DESIGN ATRIUM | ARCHITECTURAL INTERN | BANGALORE  | Jan 2025 | Apr 2025 | 15.428571428571 Weeks</t>
  </si>
  <si>
    <t>Ethics in Engineering
German - I
Indian Town Planning and Architecture
Data Analysis
Finance for Non-Financial Managers
digiQC</t>
  </si>
  <si>
    <t>P25700393</t>
  </si>
  <si>
    <t>RAKESH</t>
  </si>
  <si>
    <t>D</t>
  </si>
  <si>
    <t>Rakesh D</t>
  </si>
  <si>
    <t>diliprakesh29@gmail.com</t>
  </si>
  <si>
    <t>p25700393@student.nicmar.ac.in</t>
  </si>
  <si>
    <t>29-Sep-2000</t>
  </si>
  <si>
    <t>English, Hindi, Telugu, Tamil, Kannada</t>
  </si>
  <si>
    <t>3049 8473 7850</t>
  </si>
  <si>
    <t>S DILIP KUMAR</t>
  </si>
  <si>
    <t>PARTNER</t>
  </si>
  <si>
    <t>D LATHA</t>
  </si>
  <si>
    <t>No. 9905, Dishitha,60ft Road, Vijayanagar 4th Stage 2nd Phase, Near Indian Bank, Mysore_x000D_</t>
  </si>
  <si>
    <t>06429-KENDRIYA VIDYALAYA TUNGABHADRA DAM HOSPET KK</t>
  </si>
  <si>
    <t>CIVIL ENGINEERING (GENERAL)</t>
  </si>
  <si>
    <t>SANDUR POLYTECHNIC, KARNATAKA</t>
  </si>
  <si>
    <t>PES UNIVERSITY</t>
  </si>
  <si>
    <t>PES UNIVERSITY, BENGALURU</t>
  </si>
  <si>
    <t>AutoCAD,MS Office,MS Project,Primavera,Design and Build,Cost &amp; Time Management,Strategic Planning,Conflict Resolution,Rapid Prototyping,Team Building,Stakeholder Management</t>
  </si>
  <si>
    <t>DL Engineering Works | Construction Project Coordinator (Turnkey Projects) | Mysore | Apr 2023 | Jun 2025 | 2Y 2M | 4.14</t>
  </si>
  <si>
    <t>Ahluwalia Contracts (India) Limited | Planning &amp; Commercial | Bengaluru | May 2026 | Jul 2026 | 8.5714285714286 Weeks | Campus Internship
TAHAL Group | Intern | Bangalore  | Nov 2019 | Dec 2019 | 1 Weeks
Nexus India INC | BIM Trainee | Mysore | Jan 2023 | Apr 2023 | 12.857142857143 Weeks</t>
  </si>
  <si>
    <t>P25700394</t>
  </si>
  <si>
    <t>Himanshu Himanshu</t>
  </si>
  <si>
    <t>hsharma2128@gmail.com</t>
  </si>
  <si>
    <t>p25700394@student.nicmar.ac.in</t>
  </si>
  <si>
    <t>17-May-2002</t>
  </si>
  <si>
    <t>English, Hindi, Punjabi, Haryanvi</t>
  </si>
  <si>
    <t>2280 9787 1726</t>
  </si>
  <si>
    <t>SATYAWAN</t>
  </si>
  <si>
    <t>NEELAM</t>
  </si>
  <si>
    <t>393/18 Kaithal, Haryana</t>
  </si>
  <si>
    <t>Kaithal</t>
  </si>
  <si>
    <t>D A V CENTENARY PUBLIC SCHOOL, JIND</t>
  </si>
  <si>
    <t>NAV DURGA SR SEC SCHOOL, JIND</t>
  </si>
  <si>
    <t>BOARD OF SCHOOL EDUCATION HARYANA, HARYANA</t>
  </si>
  <si>
    <t>THAPAR INSTITUTE OF ENGINEERING AND TECHNOLOGY, PATIALA</t>
  </si>
  <si>
    <t>AutoCAD,MS Office,MS Project,Primavera,Autodesk Revit,Staad pro</t>
  </si>
  <si>
    <t>Geoquest India | Operations Intern | Delhi, India | May 2026 | Jun 2026 | 8 Weeks | Campus Internship
A &amp; S CONTRACTING L.L.C | INTERN | DUBAI | Jul 2023 | Dec 2023 | 20.571428571429 Weeks</t>
  </si>
  <si>
    <t>P25700395</t>
  </si>
  <si>
    <t>ASHISH</t>
  </si>
  <si>
    <t>Ashish Mahendra Dubey</t>
  </si>
  <si>
    <t>ashisshhhhh@gmail.com</t>
  </si>
  <si>
    <t>p25700395@student.nicmar.ac.in</t>
  </si>
  <si>
    <t>25-May-2000</t>
  </si>
  <si>
    <t>5589 7871 3881</t>
  </si>
  <si>
    <t>MAHENDRA DUBEY</t>
  </si>
  <si>
    <t>ANITA DUBEY</t>
  </si>
  <si>
    <t>B/406 Rajdeep Apartment Opp Sheetal Cinema Kurla West</t>
  </si>
  <si>
    <t>HOLY CROSS HIGH SCHOOL</t>
  </si>
  <si>
    <t>MAHARASHTRA STATE BOARD OF SECONDARY AND HIGHER SECONDARY EDUCATION MUMBAI/MAHARASHTRA</t>
  </si>
  <si>
    <t>THAKUR COLLEGE OF ENGINEERING AND TECHNOLOGY MUMBAI/MAHARASHTRA</t>
  </si>
  <si>
    <t>Runwal Group | Junior Engineer - Projects  | Mumbai  | Sep 2023 | Jul 2025 | 1Y 10M | 3.5</t>
  </si>
  <si>
    <t>RUNWAL ENTERPRISES | Contracts Intern | Mumbai | May 2026 | Jul 2026 | 8.1428571428571 Weeks | Campus Internship</t>
  </si>
  <si>
    <t>P25700396</t>
  </si>
  <si>
    <t>SIDDHARTH</t>
  </si>
  <si>
    <t>JAIN</t>
  </si>
  <si>
    <t>Siddharth Rajesh Jain</t>
  </si>
  <si>
    <t>siddharth99.srj@gmail.com</t>
  </si>
  <si>
    <t>p25700396@student.nicmar.ac.in</t>
  </si>
  <si>
    <t>26-Apr-2003</t>
  </si>
  <si>
    <t>English , hindi, marathi , marwadi</t>
  </si>
  <si>
    <t>3977 9796 4304</t>
  </si>
  <si>
    <t>RAJESH JAIN</t>
  </si>
  <si>
    <t>BUSSINESSMAN</t>
  </si>
  <si>
    <t>JYOSTNA JAIN</t>
  </si>
  <si>
    <t>72, Appasaheb Nagar, Dondaicha</t>
  </si>
  <si>
    <t>AHINSA INTERNATIONAL SCHOOL</t>
  </si>
  <si>
    <t>MET BHUJBAL KNOWLWDGE CITY, NASHIK</t>
  </si>
  <si>
    <t>WORLD PEACE UNIVERSITY</t>
  </si>
  <si>
    <t>MIT WPU , KOTHRUD PUNE</t>
  </si>
  <si>
    <t>Madhuri Engineers | Planning and coordination  | Pune | May 2026 | Jul 2026 | 8.7142857142857 Weeks | Campus Internship
Dhanavade group | Site engineer  | Pune | Apr 2025 | Jul 2025 | 12.857142857143 Weeks
Bharucha  construction and co. | Quality engineer  | Pune | Jan 2025 | Apr 2025 | 12.857142857143 Weeks</t>
  </si>
  <si>
    <t>Skilling engineers  for professional success</t>
  </si>
  <si>
    <t>P25700397</t>
  </si>
  <si>
    <t>KONDHARE</t>
  </si>
  <si>
    <t>Aniket Santosh Kondhare</t>
  </si>
  <si>
    <t>aniketkondhare05@gmail.com</t>
  </si>
  <si>
    <t>p25700397@student.nicmar.ac.in</t>
  </si>
  <si>
    <t>05-Jun-2001</t>
  </si>
  <si>
    <t>Marathi, English &amp; Hindi</t>
  </si>
  <si>
    <t>9311 1247 9482</t>
  </si>
  <si>
    <t>SANTOSH KONDHARE</t>
  </si>
  <si>
    <t>PRIVATE SECTOR EMPLOYEE</t>
  </si>
  <si>
    <t>ANITA KONDHARE</t>
  </si>
  <si>
    <t>FLAT NO. 1003, FLOOR 10TH, YES RESIDENCY, HADAPSAR GAON, HADAPSAR, PUNE.</t>
  </si>
  <si>
    <t>Subhash Nagar, Post- Jagdish Nagar, Tal- Khalapur, Dist.- Raigad.</t>
  </si>
  <si>
    <t>J.C MAHINDRA MEMORIAL SCHOOL</t>
  </si>
  <si>
    <t>KHOPOLI/MAHARASHTRA</t>
  </si>
  <si>
    <t>SOU. VENUTAI CHAVAN POLYTECHNIC COLLEGE/MAHARASHTRA</t>
  </si>
  <si>
    <t>SINHGAD INSTITUTE OF TECHNOLOGY AND SCIENCE/MAHARASHTRA</t>
  </si>
  <si>
    <t>Microsoft Project (MSP), Primavera, AutoCAD, Revit</t>
  </si>
  <si>
    <t>Progressia Valuers and Consultants LLP | Valuation Engineer | Tilak Road, Pune | Aug 2024 | Jun 2025 | 0Y 10M | 1.8
Millennium Engineers and Contractors Limited. | Trainee. Engineer | Wagholi, Pune | Aug 2023 | Jul 2024 | 0Y 11M | 1.68</t>
  </si>
  <si>
    <t>Convenient Construction Consultancy Pvt Ltd | Planning Intern | Bengaluru, Karnataka, India | May 2026 | Jul 2026 | 9.7142857142857 Weeks | Campus Internship
SUVIDHA CONSTRO | INTERN | MAYUR COLONY, KOTHRUD, PUNE | May 2019 | Jun 2019 | 6 Weeks</t>
  </si>
  <si>
    <t>Diploma in BIM Professional (DBIM)
Asian Paints Smart Idea Challenge 2025</t>
  </si>
  <si>
    <t>P25700398</t>
  </si>
  <si>
    <t>NALAMWAR</t>
  </si>
  <si>
    <t>Nalamwar Priya Santosh</t>
  </si>
  <si>
    <t>priyasantoshnalamwar@gmail.com</t>
  </si>
  <si>
    <t>p25700398@student.nicmar.ac.in</t>
  </si>
  <si>
    <t>06-Oct-2003</t>
  </si>
  <si>
    <t>5833 1483 8857</t>
  </si>
  <si>
    <t>SAPANA</t>
  </si>
  <si>
    <t>501, NEEV CLASSIC, MADHUBAN SOCIETY RD, BALEWADI</t>
  </si>
  <si>
    <t>44/45, Balaji Niwas, Green Park, Arni</t>
  </si>
  <si>
    <t>SUNRISE NURSERY &amp; CONVENT, ARNI</t>
  </si>
  <si>
    <t>GOVERNMENT POLYTECHNIC PUNE</t>
  </si>
  <si>
    <t>SLB Onesubsea | Planner | Hinjewadi, Pune | May 2026 | Jul 2026 | 8.5714285714286 Weeks | Campus Internship
Legacy Lifespaces | Site Engineer | Ravet, Pune | Dec 2023 | Jan 2024 | 5.2857142857143 Weeks</t>
  </si>
  <si>
    <t>P25700399</t>
  </si>
  <si>
    <t>GOWDA</t>
  </si>
  <si>
    <t>R C</t>
  </si>
  <si>
    <t>Manoj Gowda R C</t>
  </si>
  <si>
    <t>manojgowdarc@gmail.com</t>
  </si>
  <si>
    <t>p25700399@student.nicmar.ac.in</t>
  </si>
  <si>
    <t>16-Jan-2004</t>
  </si>
  <si>
    <t>ENGLISH,KANNADA,TELUGU,HINDI</t>
  </si>
  <si>
    <t>5070 3908 5218</t>
  </si>
  <si>
    <t>R.A CHANDRAPPA</t>
  </si>
  <si>
    <t>FARMAR</t>
  </si>
  <si>
    <t>BHAGYAMMA</t>
  </si>
  <si>
    <t>REDDIHALLI (V) , DAVANAHALLI (T),BANGALORE RURAL (D), 562129</t>
  </si>
  <si>
    <t>NANDINI VIDYANIKETHANA H S</t>
  </si>
  <si>
    <t>JSS POLYTECHNIC / BGS POLYTECHNIC , KARNATAKA</t>
  </si>
  <si>
    <t>NEW HORIZON COLLEGE OF ENGINEERING , BENGALURU</t>
  </si>
  <si>
    <t>AutoCAD, MS Office, MS Project, P6 primavera,CostX,AutoCAD Civil 3D, MS Excel, BIM</t>
  </si>
  <si>
    <t>Rodic Consultants Pvt Ltd | Business Development | Delhi | May 2026 | Jul 2026 | 8.7142857142857 Weeks | Campus Internship
Cendrol Contruction Contracts Pvt Ltd | Construction Project Engineer Intern | Bengaluru  | Jan 2025 | Mar 2025 | 6.7142857142857 Weeks</t>
  </si>
  <si>
    <t>Ethics in Engineering Practice
Finance for Non-Financial Managers
Google Project Management</t>
  </si>
  <si>
    <t>P25700400</t>
  </si>
  <si>
    <t>GURAV</t>
  </si>
  <si>
    <t>SUDESH</t>
  </si>
  <si>
    <t>Gurav Sudesh Suresh</t>
  </si>
  <si>
    <t>sudeshgurav2003@gmail.com</t>
  </si>
  <si>
    <t>p25700400@student.nicmar.ac.in</t>
  </si>
  <si>
    <t>22-Jan-2003</t>
  </si>
  <si>
    <t>5246 2028 5205</t>
  </si>
  <si>
    <t>KAMAL</t>
  </si>
  <si>
    <t>Maharatna Nivas, Navin Vasahat, _x000D_
A/p Harali BK, Gadhinglaj</t>
  </si>
  <si>
    <t>CREATIVE HIGH SCHOOL, GADHINGLAJ</t>
  </si>
  <si>
    <t>K. J. SOMAIYA POLYTECHNIC VIDYAVIHAR, MUMBAI</t>
  </si>
  <si>
    <t>SAVATRIBAI PHULE PUNE UNIVERSITY</t>
  </si>
  <si>
    <t>DR. D. Y.PATIL INSTITUTE OF TECHNOLOGY PIMPRI,PUNE</t>
  </si>
  <si>
    <t>New Consolidated Construction Company Limited | Site Execution | Juinagar , Navi Mumbai | May 2026 | Jul 2026 | 8.5714285714286 Weeks | Campus Internship
Legacy Lifespace | Site Engineer | Ravet ,Pune | Dec 2023 | Jan 2024 | 3.8571428571429 Weeks</t>
  </si>
  <si>
    <t>P25700401</t>
  </si>
  <si>
    <t>HIMESH</t>
  </si>
  <si>
    <t>Himesh Pravin Patil</t>
  </si>
  <si>
    <t>himeshpatil1705@gmail.com</t>
  </si>
  <si>
    <t>p25700401@student.nicmar.ac.in</t>
  </si>
  <si>
    <t>24-Sep-2000</t>
  </si>
  <si>
    <t>English, Hindi, Marathi, Gujrati</t>
  </si>
  <si>
    <t>3293 2920 4387</t>
  </si>
  <si>
    <t>ASSISTANT TEACHER</t>
  </si>
  <si>
    <t>PRADNYA</t>
  </si>
  <si>
    <t>13/B, AASHIRWAD, SHIV SUNDARAM NAGAR, DONGARGAON ROAD</t>
  </si>
  <si>
    <t>Nandurbar</t>
  </si>
  <si>
    <t>AT- ALKHED, POST- PADALDA, TALUKA- SHAHADA, DISTRICT- NANDURBAR.</t>
  </si>
  <si>
    <t>SHETH V.K.SHAH VIDYAMANDIR SHAHADA</t>
  </si>
  <si>
    <t>KAI.SAU.G.F.PATIL JUNIOR COLLEGE OF ARTS, SCIENCE AND COMMERCE.</t>
  </si>
  <si>
    <t>JSPM'S RAJARSHI SHAHU COLLEGE OF ENGINEERING, PUNE.</t>
  </si>
  <si>
    <t>EConstruct Design &amp; Build Pvt. Ltd. | Project Management Intern | Bengaluru, Karnataka | May 2026 | Jun 2026 | 0Y 1M</t>
  </si>
  <si>
    <t>0 Years 1 Month</t>
  </si>
  <si>
    <t>PASS DEVELOPERS | Civil Trainee | MOSHI, PUNE | Jun 2022 | Jun 2022 | -0.14285714285714 Weeks
NISHANK CONSTRUCTIONS | Civil Engineering Intern | Palghar | Sep 2024 | Jun 2025 | 43.142857142857 Weeks</t>
  </si>
  <si>
    <t>Applications OF Microsoft Project</t>
  </si>
  <si>
    <t>P25700402</t>
  </si>
  <si>
    <t>Hardik Singh</t>
  </si>
  <si>
    <t>hardiksingh635@gmail.com</t>
  </si>
  <si>
    <t>p25700402@student.nicmar.ac.in</t>
  </si>
  <si>
    <t>28-Oct-2003</t>
  </si>
  <si>
    <t>3766 2191 5691</t>
  </si>
  <si>
    <t>BASHESHWAR SINGH</t>
  </si>
  <si>
    <t>REKHA</t>
  </si>
  <si>
    <t>C-19 BEL COLONY KOTDWAR BALBHADRAPUR</t>
  </si>
  <si>
    <t>Pauri</t>
  </si>
  <si>
    <t>Uttarakhand</t>
  </si>
  <si>
    <t>BALUNI PUBLIC SCHOOL</t>
  </si>
  <si>
    <t>CBSE (UTTAR PRADESH)</t>
  </si>
  <si>
    <t>UTTARAKHAND TECHNICAL UNIVERSITY</t>
  </si>
  <si>
    <t>GOVIND BALLABH PANT INSTITUTE OF ENGINEERING &amp; TECHNOLOGY (UTTARAKHAND</t>
  </si>
  <si>
    <t>AutoCAD,MS Office,MS Project,Primavera,CIVIL 3D,Adobe Premiere pro,Filmora</t>
  </si>
  <si>
    <t>CLANCY GLOBAL CONSULTANCY | SITE EXECUTION | DELHI NCR | May 2026 | Jul 2026 | 8.7142857142857 Weeks | Campus Internship
Public Works Department | SITE INTERN (PWD) | ROORKEE | Jun 2023 | Jul 2023 | 4.1428571428571 Weeks
Bharat Electronics Limited (BEL) | INTERN | KOTDWARA | Jul 2022 | Aug 2022 | 4.2857142857143 Weeks</t>
  </si>
  <si>
    <t xml:space="preserve">Finance for Non-Financial Managers
Construction Equipment Maintenance &amp; Safety
Data Analysis
NPTEL (Ethics in Engineering Practice, German)
digiQC </t>
  </si>
  <si>
    <t>P25700403</t>
  </si>
  <si>
    <t>MALVIYA</t>
  </si>
  <si>
    <t>Pushpendra Malviya</t>
  </si>
  <si>
    <t>pushpm1234@gmail.com</t>
  </si>
  <si>
    <t>p25700403@student.nicmar.ac.in</t>
  </si>
  <si>
    <t>27-Dec-2002</t>
  </si>
  <si>
    <t>Hindi and English</t>
  </si>
  <si>
    <t>3552 5778 3476</t>
  </si>
  <si>
    <t>SUNIL MALVIYA</t>
  </si>
  <si>
    <t>SUNITA MALVIYA</t>
  </si>
  <si>
    <t>JR.MIG, 6/1, ANKUR COMPLEX PHASE-3, NEAR PARUL HOSPITAL, SHIVAJI NAGAR</t>
  </si>
  <si>
    <t>Bhopal</t>
  </si>
  <si>
    <t>MAHARISHI VIDYA MANDIR, RATANPUR</t>
  </si>
  <si>
    <t>CBSE, BHOPAL, MADHYA PRADESH</t>
  </si>
  <si>
    <t>MAULANA AZAD NATIONAL INSTITUTE OF TECHNOLOGY</t>
  </si>
  <si>
    <t>MANIT BHOPAL, MADHYA PRADESH</t>
  </si>
  <si>
    <t>AutoCAD,MS Office,MS Project,Primavera,QGIS,Sketchup,Autodesk Flow,ArcGIS,Google Earth,Data Analysis,Revit,Navisworks,CostX</t>
  </si>
  <si>
    <t>Dilip Buildcon Ltd. | Contracts Intern | Bhopal | May 2026 | Jul 2026 | 8.7142857142857 Weeks | Campus Internship
Town and Country Planning, Madhya Pradesh | Data Analyst  | Bhopal | May 2024 | Jun 2024 | 6.4285714285714 Weeks</t>
  </si>
  <si>
    <t>Six Sigma Green Belt
Project Management in Construction
Highway Planning, Pavement Design and Construction
Data Analysis
Project Management Principles and Practices Specialization
Infrastructure for Transportation Systems
Construction Equipment Maintenance &amp; Safety
Sustainable Design Practices in Building Design
Mechanization in Construction Specialization
Construction Project Management
Construction Management Fundamentals
Finance for Non-Financial Managers</t>
  </si>
  <si>
    <t>P25700404</t>
  </si>
  <si>
    <t>SUNNY</t>
  </si>
  <si>
    <t>BARWAL</t>
  </si>
  <si>
    <t>Sunny Sanjay Barwal</t>
  </si>
  <si>
    <t>sunnybarwal46@gmail.com</t>
  </si>
  <si>
    <t>p25700404@student.nicmar.ac.in</t>
  </si>
  <si>
    <t>07-Mar-2002</t>
  </si>
  <si>
    <t>8971 7099 3403</t>
  </si>
  <si>
    <t>SANJAY BARWAL</t>
  </si>
  <si>
    <t>SANGITA BARWAL</t>
  </si>
  <si>
    <t>B-5, Suyog Colony, Padampura, Aurangabad, Maharashtra</t>
  </si>
  <si>
    <t>THE COUNCIL FOR THE INDIAN SCHOOL CERTIFICATE EXAMINATIONS, NEW DELHI</t>
  </si>
  <si>
    <t>DEOGIRI COLLEGE</t>
  </si>
  <si>
    <t>DEOGIRI INSTITUTE OF ENGINEERING AND MANAGEMENT STUDIES, AURANGABAD, MAHARASHTRA</t>
  </si>
  <si>
    <t>ANAROCK Property Consultants Pvt. Ltd | Intern-PMES | Bangalore  | May 2026 | Jul 2026 | 8.7142857142857 Weeks | Campus Internship
Ideal Infratech | Site Supervisor  | Golwadi Bypass, Aurangabad, Maharashtra | Feb 2024 | May 2024 | 12.857142857143 Weeks</t>
  </si>
  <si>
    <t>P25700405</t>
  </si>
  <si>
    <t>GLYDA</t>
  </si>
  <si>
    <t>PAIVA</t>
  </si>
  <si>
    <t>Glyda Paiva</t>
  </si>
  <si>
    <t>glydapaiva@gmail.com</t>
  </si>
  <si>
    <t>p25700405@student.nicmar.ac.in</t>
  </si>
  <si>
    <t>24-Jun-2003</t>
  </si>
  <si>
    <t>6299 7635 1012</t>
  </si>
  <si>
    <t>JUFRIN PAIVA</t>
  </si>
  <si>
    <t>RETIRED ASSISTANT ENGINEER, KSEB</t>
  </si>
  <si>
    <t>SERINA REBELLO</t>
  </si>
  <si>
    <t>BETHEL, Colony Road, Manjummel</t>
  </si>
  <si>
    <t>AL-AMEEN PUBLIC SCHOOL, EDAPPALLY, KOCHI</t>
  </si>
  <si>
    <t>CENTRAL BOARD OF SECONDARY EDUCATION, KOCHI</t>
  </si>
  <si>
    <t>SACRED HEART HIGHER SECONDARY SCHOOL, KERALA</t>
  </si>
  <si>
    <t>KMEA ENGINEERING COLLEGE, KERALA</t>
  </si>
  <si>
    <t>AutoCAD,MS Office,MS Project,Primavera,Geostudio(Slope/W)</t>
  </si>
  <si>
    <t>Uralungal Labour Contract Co-operative Society(ULCCS) | Intern | Varkala, Kerala | May 2026 | Jul 2026 | 8 Weeks | Campus Internship
A &amp; E PROJECTS | INTERN | ERNAKULAM | May 2023 | May 2023 | 0.85714285714286 Weeks</t>
  </si>
  <si>
    <t>P25700406</t>
  </si>
  <si>
    <t>AKHILESH</t>
  </si>
  <si>
    <t>CHOUDHARY</t>
  </si>
  <si>
    <t>Akhilesh Choudhary</t>
  </si>
  <si>
    <t>cakhilesh218@gmail.com</t>
  </si>
  <si>
    <t>p25700406@student.nicmar.ac.in</t>
  </si>
  <si>
    <t>24-Oct-1999</t>
  </si>
  <si>
    <t>7127 1912 3748</t>
  </si>
  <si>
    <t>VASANT CHOUDHARY</t>
  </si>
  <si>
    <t>USHA CHOUDHARY</t>
  </si>
  <si>
    <t>WARD NO 10 KADU COLONY SAUSAR</t>
  </si>
  <si>
    <t>Chhindwara</t>
  </si>
  <si>
    <t>Pipla Narayanwar Ward No 06</t>
  </si>
  <si>
    <t>OM SAI CENTRAL PUBLIC SCHOOL SAUSAR</t>
  </si>
  <si>
    <t>CBSE SAUSAR/MADHYA PRADESH</t>
  </si>
  <si>
    <t>SHRI CHAITANYA KALASHYALA</t>
  </si>
  <si>
    <t>TSBIE HYDERABAD/ TELANGANA</t>
  </si>
  <si>
    <t>YESHWANTRAO CHAVAN COLLEGE OF ENGINEERING NAGPUR/MAHARASHTRA</t>
  </si>
  <si>
    <t>AutoCAD,MS Office,MS Project,Primavera,Sql,Excel</t>
  </si>
  <si>
    <t>S.K. Associate | Project Engineer | Nagpur (Maharashtra) | Oct 2021 | Oct 2022 | 1Y 0M | 2.25
Narayana Infra Construction | Site Engineer | Sausar (Madhya Pradesh) | Nov 2022 | Jun 2023 | 0Y 7M | 2.82
Quess Corp Limited (ADANI GREEN ENERGY LTD) | Engineer  | khavda (Gujarat) | Jul 2023 | Dec 2024 | 1Y 5M | 5.37</t>
  </si>
  <si>
    <t>3 Years 2 Months</t>
  </si>
  <si>
    <t>Masin Projects Private Limited  | Summer Intern - Delay / Quantum Department | Gurgaon | May 2026 | Jul 2026 | 8.7142857142857 Weeks | Campus Internship</t>
  </si>
  <si>
    <t>Zero Energy Building
Finance for Non-Financial Manager
Adani Agel Spot  Recognition
Autocad</t>
  </si>
  <si>
    <t>P25700408</t>
  </si>
  <si>
    <t>ALAGAR</t>
  </si>
  <si>
    <t>SANTHOSH</t>
  </si>
  <si>
    <t>Alagar Santhosh S</t>
  </si>
  <si>
    <t>alagarsam2003@gmail.com</t>
  </si>
  <si>
    <t>p25700408@student.nicmar.ac.in</t>
  </si>
  <si>
    <t>11-Jan-2003</t>
  </si>
  <si>
    <t>English,Tamil</t>
  </si>
  <si>
    <t>6007 4240 7323</t>
  </si>
  <si>
    <t>SAMPATH A</t>
  </si>
  <si>
    <t>HR MANAGER</t>
  </si>
  <si>
    <t>DHANALAKSHMI K</t>
  </si>
  <si>
    <t>1/1270,Vivekananthar Street,_x000D_
Pandian Nagar,_x000D_
Virudhunagar</t>
  </si>
  <si>
    <t>KSHATRIYA VIDHYA SALA ENGLISH MEDIUM SCHOOL</t>
  </si>
  <si>
    <t>VIRUDHUNAGAR</t>
  </si>
  <si>
    <t>PSG INSTITUTE OF TECHNOLOGY AND APPLIED RESEARCH</t>
  </si>
  <si>
    <t>COIMBATORE</t>
  </si>
  <si>
    <t>AutoCAD,MS Office,MS Project,Primavera,CostX,BIM</t>
  </si>
  <si>
    <t>Sobha Limited | Planning | Bengaluru | May 2026 | Jul 2026 | 9 Weeks | Campus Internship
Larsen and Toubro | Internship Chennai metro | Chennai | Jul 2023 | Aug 2023 | 4.4285714285714 Weeks
S &amp; P Foundation | Intern â€“ Billing &amp; Quantity Surveying (Residential project) | Chennai | Sep 2024 | Feb 2025 | 24.571428571429 Weeks</t>
  </si>
  <si>
    <t>Drone Surveying and Mapping by Bentley Institute.</t>
  </si>
  <si>
    <t>P25700409</t>
  </si>
  <si>
    <t>PARAS</t>
  </si>
  <si>
    <t>NAGESH</t>
  </si>
  <si>
    <t>Paras Nagesh Patil</t>
  </si>
  <si>
    <t>patilparas22@gmail.com</t>
  </si>
  <si>
    <t>p25700409@student.nicmar.ac.in</t>
  </si>
  <si>
    <t>4637 9048 3777</t>
  </si>
  <si>
    <t>NAGESH CHALU PATIL</t>
  </si>
  <si>
    <t>ASHWINI NAGESH PATIL</t>
  </si>
  <si>
    <t>C-1,203 , Sanghavi Valley_x000D_
Parsik Nagar , Old Mumbai Pune Road</t>
  </si>
  <si>
    <t>SAHAKAR VIDHYA PRASARAK MANDAL SECONARY SCHOOL</t>
  </si>
  <si>
    <t>MAHARASTRA STATE BOARD OF SECONDARY AND HIGHER EECONDARY EDUCATION, PUNE</t>
  </si>
  <si>
    <t>GOVERNMENT POLYTECHNIC, MUMBAI,BANDRA</t>
  </si>
  <si>
    <t>DATTA MEGHE COLLEGE OF ENGINEERING,AIROLI</t>
  </si>
  <si>
    <t>AutoCAD,MS Office,MS Project,ETABS,QGIS</t>
  </si>
  <si>
    <t>Embassy Developments Ltd. | Construction- Intern | Thane  | May 2026 | Jul 2026 | 8.4285714285714 Weeks | Campus Internship
B.G.SHIRKE CONSTRUCTION TECHNOLOGY PVT. LTD. | INTERN  | SHIRDHON, DOMBIVLI | Jun 2024 | Jul 2024 | 4.2857142857143 Weeks
JAIN ENGINEERS PVT. LTD. | INTERN  | PALAVA, KHONI, DOMBIVLI (EAST) | Feb 2022 | Sep 2022 | 30.142857142857 Weeks</t>
  </si>
  <si>
    <t>P25700410</t>
  </si>
  <si>
    <t>ABHIJITH</t>
  </si>
  <si>
    <t>K M</t>
  </si>
  <si>
    <t>Abhijith K M</t>
  </si>
  <si>
    <t>abhijithmanoj666@gmail.com</t>
  </si>
  <si>
    <t>p25700410@student.nicmar.ac.in</t>
  </si>
  <si>
    <t>9206 1992 5411</t>
  </si>
  <si>
    <t>MANOJ KUMAR K T</t>
  </si>
  <si>
    <t>SIJIMOL P M</t>
  </si>
  <si>
    <t>KAROTH HOUSE, WEST KADUNGALLOOR.P.O, ALUVA, ERNAKULAM,KERALA</t>
  </si>
  <si>
    <t>RAJASHREE S M MEMORIAL SCHOOL ALUVA</t>
  </si>
  <si>
    <t>CENTRAL  BOARD OF SECONDARY EDUCATION, KERALA</t>
  </si>
  <si>
    <t>SNDP HSS ALUVA</t>
  </si>
  <si>
    <t>GOVERNMENT OF KERALA BOARD OF HIGHER SECONDARY EXAMINATIONS KERALA</t>
  </si>
  <si>
    <t>COCHIN INTERNATIONAL AIRPORT LIMITED | SITE SUPERVISION | COCHIN INTERNATIONAL AIRPORT | Jan 2024 | Dec 2024 | 0Y 11M | 1.62</t>
  </si>
  <si>
    <t>Sobha Limited | Project Management &amp; Planning Intern | Marina One, Kochi | May 2026 | Jul 2026 | 9 Weeks | Campus Internship</t>
  </si>
  <si>
    <t>P25700411</t>
  </si>
  <si>
    <t>NAVYA</t>
  </si>
  <si>
    <t>MARICHERLA</t>
  </si>
  <si>
    <t>Navya Maricherla</t>
  </si>
  <si>
    <t>navyamaricherla0506@gmail.com</t>
  </si>
  <si>
    <t>p25700411@student.nicmar.ac.in</t>
  </si>
  <si>
    <t>05-Sep-2000</t>
  </si>
  <si>
    <t>English, Hindi, Telugu, Marathi</t>
  </si>
  <si>
    <t>7913 1808 0294</t>
  </si>
  <si>
    <t>JAGADISH MARICHERLA</t>
  </si>
  <si>
    <t>DEPUTY CHIEF ENGINEER</t>
  </si>
  <si>
    <t>SUNEETA MARICHERLA</t>
  </si>
  <si>
    <t>Green Zone Society, D Building, Flat No. 501, Opp To Mohan Nagar Society, Baner-Sus Link Road, Baner</t>
  </si>
  <si>
    <t>KENDRIYA VIDYALAYA O F BHUSAWAL JALGAON MR</t>
  </si>
  <si>
    <t>MACRO VISION ACADEMY BURHANPUR DT KHANDWA MP</t>
  </si>
  <si>
    <t>VISHWAKARMA INSTITUTE OF INFORMATION TECHNOLOGY</t>
  </si>
  <si>
    <t>AutoCAD,MS Office,MS Project,Primavera,BIM,Cost X</t>
  </si>
  <si>
    <t>MAHINDRA LIFESPACE DEVELOPERS LIMITED | SR. EXECUTIVE PLANNING | PUNE | Jul 2022 | Jul 2025 | 2Y 11M | 7.68</t>
  </si>
  <si>
    <t>KPMG India | Transformation- Major Projects Advisory  | Mumbai | May 2026 | Jun 2026 | 7.5714285714286 Weeks | Campus Internship
CENTRAL RAILWAYS | ENGINEER TRAINEE | PUNE | Jun 2020 | Nov 2020 | 21.857142857143 Weeks</t>
  </si>
  <si>
    <t>Communicate to Connect
Cost and Resource Loading in Microsoft Project
Successful Presentation
Excel Skills for Business Essentials
Project Management: The Basics for Success
Finance for Non-Financial Managers</t>
  </si>
  <si>
    <t>P25700412</t>
  </si>
  <si>
    <t>S M</t>
  </si>
  <si>
    <t>Abhishek S M</t>
  </si>
  <si>
    <t>abhya72@gmail.com</t>
  </si>
  <si>
    <t>p25700412@student.nicmar.ac.in</t>
  </si>
  <si>
    <t>21-Jan-1999</t>
  </si>
  <si>
    <t>English, Kannada, Hindi, Telugu</t>
  </si>
  <si>
    <t>3924 4400 6847</t>
  </si>
  <si>
    <t>NAGARAJ S M</t>
  </si>
  <si>
    <t>LAKSHMI S M</t>
  </si>
  <si>
    <t>Ward 6, Near Vinayaka Nagar, 2nd Cross Road, Kampli - 583132</t>
  </si>
  <si>
    <t>SAPTHAGIRI PUBLIC SCHOOL, GANGAVATHI</t>
  </si>
  <si>
    <t>INDIAN CERTIFICATE OF SECONDARY EDUCATION (ICSE), GANGAVATHI, KARNATAKA</t>
  </si>
  <si>
    <t>SMT. PUSHPA SHAMANUR MAHALINGAPPA PU COLLEGE, DAVANGERE</t>
  </si>
  <si>
    <t>DEPARTMENT OF PRE-UNIVERSITY EDUCATION, DAVANAGERE, KARNATAKA</t>
  </si>
  <si>
    <t>THE NATIONAL INSTITUTE OF ENGINEERING, MYSURU, KARNATAKA</t>
  </si>
  <si>
    <t>AutoCAD,MS Office,MS Project,Primavera,Civil 3D,SketchUp,Lumion,revit</t>
  </si>
  <si>
    <t>M R Constructions &amp; Consultancy | Junior Civil Engineer | Gangavathi, Karnataka | Nov 2023 | Oct 2024 | 0Y 11M | 1.44
Atkins | Graduate Engineer | Bengaluru | Aug 2022 | Aug 2023 | 1Y 0M | 4.24</t>
  </si>
  <si>
    <t>Prestige Estates Projects Ltd | Site Execution + Control | Bengaluru | May 2026 | Jul 2026 | 8.5714285714286 Weeks | Campus Internship</t>
  </si>
  <si>
    <t>P25700413</t>
  </si>
  <si>
    <t>VACHAN</t>
  </si>
  <si>
    <t>GAIKWAD</t>
  </si>
  <si>
    <t>Vivek Vachan Gaikwad</t>
  </si>
  <si>
    <t>vivekgaikwad910@gmail.com</t>
  </si>
  <si>
    <t>p25700413@student.nicmar.ac.in</t>
  </si>
  <si>
    <t>10-Aug-2004</t>
  </si>
  <si>
    <t>8502 3448 4866</t>
  </si>
  <si>
    <t>VACHAN GAIKWAD</t>
  </si>
  <si>
    <t>PINKI GAIKWAD</t>
  </si>
  <si>
    <t>Baliram Niwas, Tisgoan, Kalyan, East, 421306</t>
  </si>
  <si>
    <t>SAMRAT ASHOK HIGHSCHOOL</t>
  </si>
  <si>
    <t>AutoCAD,MS Office,MS Project,Primavera,Revit,Navisworks,CostX</t>
  </si>
  <si>
    <t>PSP Projects Limited  | Civil-Intern | Dharavi, Mumbai | May 2026 | Jul 2026 | 8.7142857142857 Weeks | Campus Internship
B.G.SHIRKE CONSTRUCTION TECHNOLOGY PVT.LTD. | INTERN  | DOMBIVLI | Jun 2024 | Jul 2024 | 4.2857142857143 Weeks</t>
  </si>
  <si>
    <t>P25700414</t>
  </si>
  <si>
    <t>HARSHAVARDHAN</t>
  </si>
  <si>
    <t>Harshavardhan B</t>
  </si>
  <si>
    <t>hvb10082212@gmail.com</t>
  </si>
  <si>
    <t>p25700414@student.nicmar.ac.in</t>
  </si>
  <si>
    <t>22-Sep-2000</t>
  </si>
  <si>
    <t>English, Kannada, Hindi, Telugu, Tamil</t>
  </si>
  <si>
    <t>6234 2752 1509</t>
  </si>
  <si>
    <t>BALAJI BHASKAR</t>
  </si>
  <si>
    <t>CHANDRAKALA</t>
  </si>
  <si>
    <t>789, 6th Cross Road, BHCS Layout, Lakkegowdanagar, Uttarahalli, Bangalore 560061</t>
  </si>
  <si>
    <t>CARMEL ENGLISH HIGH SCHOOL, BANGALORE</t>
  </si>
  <si>
    <t>RASHTREEYA VIDYALAYA PRE UNIVERSITY COLLEGE (RVPU), BANGALORE</t>
  </si>
  <si>
    <t>DEPARTMENT OF PRE UNIVERSITY EDUCATION, KARNATAKA</t>
  </si>
  <si>
    <t>VISVESVARAYA TECHNOLOGICAL UNIVERSITY, BELAGAVI, KARNATAKA</t>
  </si>
  <si>
    <t>B.M.S COLLEGE OF ARCHITECTURE, BANGALORE</t>
  </si>
  <si>
    <t>Autodesk ACC - AutoCAD, Revit, Navisworks ; Bexel Manager, Sketchup, MS Office, MS Project, Primavera, CostX, Adobe Photoshop, Enscape, V-ray, Twinmotion, Lumion</t>
  </si>
  <si>
    <t>Int-Hab Architecture + Design Studio | Junior Architect | J P nagar, Bengaluru | Jul 2024 | Jul 2025 | 1Y 0M | 2.64</t>
  </si>
  <si>
    <t>ASBL  | Design Coordination + Research Intern | Hyderabad | May 2026 | Jul 2026 | 8.7142857142857 Weeks | Campus Internship
369 OCHRE STUDIO | DESIGN AND DOCUMENTATION CONSULTANT | BENGALURU | Jun 2023 | Jun 2024 | 52.285714285714 Weeks
Urban Frame PVT.LTD | Architecture Intern | Bengaluru | Aug 2022 | Dec 2022 | 17.428571428571 Weeks</t>
  </si>
  <si>
    <t>NPTEL - Ethics in Engineering Practice
Coursera - Finance for Non-Financial Managers
Coursera - TBMs, Pile Rigs, Cranes &amp; Hauling Vehicles
Indian Town Planning and Architecture in Indian Knowlwdge system (IKS)
Coursera - Construction Equipment Maintainence and Safety
Coursera - Data Analysis</t>
  </si>
  <si>
    <t>P25700415</t>
  </si>
  <si>
    <t>SURESHCHANDRA</t>
  </si>
  <si>
    <t>GOSAVI</t>
  </si>
  <si>
    <t>Sai Sureshchandra Gosavi</t>
  </si>
  <si>
    <t>gosavisaisureshchandra24@gmail.com</t>
  </si>
  <si>
    <t>p25700415@student.nicmar.ac.in</t>
  </si>
  <si>
    <t>24-Sep-2002</t>
  </si>
  <si>
    <t>2326 0232 5110</t>
  </si>
  <si>
    <t>PROFESSOR HOD, POLYTECHNIC COLLEGE</t>
  </si>
  <si>
    <t>A/103, Ruhsbah Tower, Suncity, Vasai West, Mumbai, Pin-401202</t>
  </si>
  <si>
    <t>CARMELITE CONVENT ENGLISH HIGH SCHOOL</t>
  </si>
  <si>
    <t>M.G.M ACADEMY HIGH SCHOOL &amp; JUNIOR COLLEGE OF ARTS, COMMERCE &amp; SCIENCE</t>
  </si>
  <si>
    <t>VIDYAVARDHINI'S BHAUSAHEB VARTAK POLYTECHNIC</t>
  </si>
  <si>
    <t>VIDYAVARDHINI'S COLLEGE OF ENGINEERING AND TECHNOLOGY, MUMBAI, MAHARASHTRA</t>
  </si>
  <si>
    <t>AutoCAD, MS Office, MS Project, Primavera, Revit, Navisworks, CostX</t>
  </si>
  <si>
    <t>EN CON PROJECT CONSULTANTS FOR ARCHITECTURAL &amp; STRUCTURAL WORKS | TRAINEE ENGINEER | MUMBAI, VASAI | Jun 2023 | Jul 2023 | 2.7142857142857 Weeks
Gleeds Consultancy | Intern Cost Management | Mumbai, Andheri- Marol | May 2026 | Jul 2026 | 8.7142857142857 Weeks</t>
  </si>
  <si>
    <t>Certificate of Excellence
VNPS-25
OSCILLATIONS'25
VNPS-24
OSCILLATIONS'24
OSCILLATIONS'23</t>
  </si>
  <si>
    <t>P25700416</t>
  </si>
  <si>
    <t>MANAV</t>
  </si>
  <si>
    <t>MUKESH</t>
  </si>
  <si>
    <t>Manav Mukesh Parmar</t>
  </si>
  <si>
    <t>manav.p.3622@gmail.com</t>
  </si>
  <si>
    <t>p25700416@student.nicmar.ac.in</t>
  </si>
  <si>
    <t>22-Oct-2003</t>
  </si>
  <si>
    <t>6812 9344 3411</t>
  </si>
  <si>
    <t>MUKESH A. PARMAR</t>
  </si>
  <si>
    <t>BHAVNA M. PARMAR</t>
  </si>
  <si>
    <t>A/201-SF, Shivalik Avenue, Near Nirma Vidhyavihar, Bodakdev, Ahmedabad, Gujrat-380054</t>
  </si>
  <si>
    <t>Ahmedabad</t>
  </si>
  <si>
    <t>SADHANA VIDHYALAYA</t>
  </si>
  <si>
    <t>GUJRAT SECONDARY &amp; HIGHER SECONDARY EDUCATION BOARD, GANDHINAGAR</t>
  </si>
  <si>
    <t>NIRMA UNIVERSITY</t>
  </si>
  <si>
    <t>NIRMA UNIVERSITY / AHMEDDABAD / GUJRAT</t>
  </si>
  <si>
    <t>AutoCAD,MS Office,MS Project,Primavera,Revit,Staad pro,Navisworks,Power BI</t>
  </si>
  <si>
    <t>PSP PROJECTS LIMITED  | Civil intern | Mahim railway Scrapyard, Mumbai  | May 2026 | Jul 2026 | 8.5714285714286 Weeks | Campus Internship
Aashir Engineering Pvt.Ltd | Intern (BIM Planning &amp; Estimation) | Ahmedabad, Gujrat | Dec 2024 | Apr 2025 | 16.571428571429 Weeks
Rigid Construction Corporation | Trainee Engineer | Ahmedabad, Gujrat | Jun 2024 | Jul 2024 | 5.5714285714286 Weeks</t>
  </si>
  <si>
    <t>Nirma Volunteer
BIM Work shop
Best Out of Waste</t>
  </si>
  <si>
    <t>P25700417</t>
  </si>
  <si>
    <t>MEENA</t>
  </si>
  <si>
    <t>Rishabh Meena</t>
  </si>
  <si>
    <t>rishabh.meena5@gmail.com</t>
  </si>
  <si>
    <t>p25700417@student.nicmar.ac.in</t>
  </si>
  <si>
    <t>01-May-1997</t>
  </si>
  <si>
    <t>7660 6692 3118</t>
  </si>
  <si>
    <t>SHIV DAYAL MEENA</t>
  </si>
  <si>
    <t>KAMLESH MEENA</t>
  </si>
  <si>
    <t>B-61, MANGALAM ANANTARA THE VILLA'S, OPPOSITE PINK PEARL WATER PARK, AJMER ROAD, GRAND CITY EXT PRIME</t>
  </si>
  <si>
    <t>Jaipur</t>
  </si>
  <si>
    <t>MAHESHWARI PUBLIC SCHOOL</t>
  </si>
  <si>
    <t>CENTRAL BOARD OF SECONDARY EDUCATION RAJASTHAN</t>
  </si>
  <si>
    <t>JAIPUR ENGINEERING COLLEGE AND RESEARCH CENTRE UNIVERSITY</t>
  </si>
  <si>
    <t>JAIPUR ENGINEERING COLLEGE AND RESEARCH CENTRE UNIVERSITY JAIPUR/RAJASTHAN</t>
  </si>
  <si>
    <t>NATIONAL INSTITUTE OF TECHNOLOGY HAMIRPUR</t>
  </si>
  <si>
    <t>MS Office, MS Project, MS Excel, Primavera P6</t>
  </si>
  <si>
    <t>Goa State Infrastructure Development Corporation (GSIDC) | Summer Intern – Site Execution | Sanquelim, Goa | May 2026 | Jul 2026 | 8.7142857142857 Weeks | Campus Internship</t>
  </si>
  <si>
    <t>Lean Six Sigma Green Belt KPMG INDIA</t>
  </si>
  <si>
    <t>P25700418</t>
  </si>
  <si>
    <t>VIBUDH</t>
  </si>
  <si>
    <t>TIWARI</t>
  </si>
  <si>
    <t>Vibudh Tiwari</t>
  </si>
  <si>
    <t>vibstark3000@gmail.com</t>
  </si>
  <si>
    <t>p25700418@student.nicmar.ac.in</t>
  </si>
  <si>
    <t>29-Oct-1998</t>
  </si>
  <si>
    <t>9237 7117 7675</t>
  </si>
  <si>
    <t>RAJESH KUMAR TIWARI</t>
  </si>
  <si>
    <t>NIDHI TIWARI</t>
  </si>
  <si>
    <t>91, Coral Cottage, Misrod,Huzur, Bhopal</t>
  </si>
  <si>
    <t>GWALIOR GLORY HIGH SCH NEEMCHANDOHA GWALIOR MP</t>
  </si>
  <si>
    <t>CENTRAL BOARD OF SECONDARY EDUCATION GWALIOR MADHYA PRADESH</t>
  </si>
  <si>
    <t>AHMEDABAD PUB SCH INT BHAAT GANDHINAGAR GUJ</t>
  </si>
  <si>
    <t>CENTRAL BOARD OF SECONDARY EDUCATION GANDHINAGAR GUJARAT</t>
  </si>
  <si>
    <t>VIT UNIVERSITY VELLORE TAMILNADU</t>
  </si>
  <si>
    <t>Primavera P6, MS Office, MS Project</t>
  </si>
  <si>
    <t>Shalini Assosciates | Site Engineer | MAHSR C4 (Section-5) Project  Karjan, Gujarat-39124 | Sep 2022 | May 2024 | 1Y 7M | 2.97
Ultratech Cement Limited RMC Division | Chemist Junior Officer |  Chainage 154 (Upalat, Palghar,  Dahanu) | Mar 2025 | Jun 2025 | 0Y 3M | 5</t>
  </si>
  <si>
    <t>Hilti India | Summer Sale Intern | Mumbai | May 2026 | Jul 2026 | 8.5714285714286 Weeks | Campus Internship
Oil and Natural Gas Corporation Limited | Summer Intern | Ahmedabad | May 2019 | Jun 2019 | 6.5714285714286 Weeks</t>
  </si>
  <si>
    <t>Lean Six Sigma Green Belt  KPMG India</t>
  </si>
  <si>
    <t>P25700419</t>
  </si>
  <si>
    <t>Bhushan Arun Pawar</t>
  </si>
  <si>
    <t>bhushan210056@gmail.com</t>
  </si>
  <si>
    <t>P2371014@student.nicmar.ac.in</t>
  </si>
  <si>
    <t>11-Aug-2000</t>
  </si>
  <si>
    <t>Playing Chess</t>
  </si>
  <si>
    <t>2440 3515 3312</t>
  </si>
  <si>
    <t>ARUN PANDHRINATH PAWAR</t>
  </si>
  <si>
    <t>PUBLIC SERVANT</t>
  </si>
  <si>
    <t>MANISHA ARUN PAWAR</t>
  </si>
  <si>
    <t>Plot No.37, Sharda Nagar, Near Wageshwari Mandir, Nandurbar</t>
  </si>
  <si>
    <t>SHROFF HIGH SCHOOL</t>
  </si>
  <si>
    <t>SECONDARY AND HIGHER SECONDARY EDUCATION PUNE, MAHARASHTRA</t>
  </si>
  <si>
    <t>GT PATIL JUNIOR COLLEGE</t>
  </si>
  <si>
    <t>KAVAYITRI BAHINABAI CHAUDHARI NORTH MAHARASHTRA UNIVERSITY JALGAON</t>
  </si>
  <si>
    <t>SHRAM SADHNA BOMBAY TRUST BAMBHORI, JALGAON</t>
  </si>
  <si>
    <t>AutoCAD,MS Office,MS Project,Primavera,Tekla,SDS2,Blue Beam,BIM,Cost_X,Naviswork</t>
  </si>
  <si>
    <t>Tech flow Engineers India PVT. LTD. | Jr. QC Engineer | Jalgaon | Jul 2022 | Jul 2025 | 2Y 11M | 4.18</t>
  </si>
  <si>
    <t>Masin projects private limited | Trainee – Summer Intern | Navi Mumbai  | May 2026 | Jul 2026 | 8.7142857142857 Weeks | Campus Internship
Tech flow Engineers Pvt. Ltd. | Trainee Engineer - Summer Intern | Jalgaon | Jan 2022 | Feb 2022 | 4.5714285714286 Weeks</t>
  </si>
  <si>
    <t>Project Admin (Scholar) course from digiQC Academy.
MKCL Certified AutoCAD</t>
  </si>
  <si>
    <t>P25700420</t>
  </si>
  <si>
    <t>MYTHILI</t>
  </si>
  <si>
    <t>Mythili R</t>
  </si>
  <si>
    <t>mythiliramachandra2000@gmail.com</t>
  </si>
  <si>
    <t>p25700420@student.nicmar.ac.in</t>
  </si>
  <si>
    <t>17-Sep-1998</t>
  </si>
  <si>
    <t>English,Tamil,Kannada and Telugu</t>
  </si>
  <si>
    <t>7121 2623 3499</t>
  </si>
  <si>
    <t>RAMACHANDRA R</t>
  </si>
  <si>
    <t>GOVINDAMMA</t>
  </si>
  <si>
    <t># 34,6th Cross Balaji Layout Kodigehalli Bangalore 560094</t>
  </si>
  <si>
    <t>CLUNY CONVENT HIGH SCHOOL</t>
  </si>
  <si>
    <t>INDIAN CERTIFICATE OF SECONDARY EDUCATION EXAMINATION, BANGALORE/KARNATAKA</t>
  </si>
  <si>
    <t>MES KISHORKENDRA PU COLLEGE</t>
  </si>
  <si>
    <t>GOVERNMENT OF KARNATAKA DEPARTMENT OF PRE UNIVERSITY EDUCATION, BANGALORE/KARNATAKA</t>
  </si>
  <si>
    <t>BMS SCHOOL OF ARCHITECTURE, BANGALORE/KARNATAKA</t>
  </si>
  <si>
    <t>AutoCAD,Sketchup,Revit,Lumion,Rhino</t>
  </si>
  <si>
    <t>Earthricks Architecture,Planning and Sustainability | Junior Architect | Yelahanka satellite town,Bangalore,Karnataka | Jul 2024 | Jul 2025 | 1Y 0M | 3.9</t>
  </si>
  <si>
    <t>Pidilite Industries Ltd. | Intern | Bangalore, Karnataka | May 2026 | Jun 2026 | 7.5714285714286 Weeks | Campus Internship
Co-Ordinates Architecture + Interior Design | Intern | #9,vivyd,4th cross, central excise layout, Vijayanagar, Bangalore- 560040 | Sep 2022 | Dec 2022 | 15.714285714286 Weeks</t>
  </si>
  <si>
    <t>P25700421</t>
  </si>
  <si>
    <t>SHETTY</t>
  </si>
  <si>
    <t>Rahul R Shetty</t>
  </si>
  <si>
    <t>rahulshetty2501@gmail.com</t>
  </si>
  <si>
    <t>p25700421@student.nicmar.ac.in</t>
  </si>
  <si>
    <t>25-Feb-2001</t>
  </si>
  <si>
    <t>English, Hindi, Kannada, Marathi</t>
  </si>
  <si>
    <t>6042 2302 7283</t>
  </si>
  <si>
    <t>RAJESH J SHETTY</t>
  </si>
  <si>
    <t>RAVEENA R SHETTY</t>
  </si>
  <si>
    <t>Penta Orchid, Flat No. 104, First Floor, Opp To Railway Health Unit, Indrali, Udupi Taluk, Udupi Karnataka</t>
  </si>
  <si>
    <t>Udupi</t>
  </si>
  <si>
    <t>T A PAI ENGLISH MEDIUM HIGH SCHOOL</t>
  </si>
  <si>
    <t>POORNAPRAJNA PRE UNIVERSITY COLLEGE</t>
  </si>
  <si>
    <t>MANIPAL UNIVERSITY</t>
  </si>
  <si>
    <t>MANIPAL INSTITUTE OF TECHNOLOGY, MANIPAL</t>
  </si>
  <si>
    <t>AutoCAD,MS Office,MS Project,Primavera,Staad Pro,Etabs</t>
  </si>
  <si>
    <t>KPMG India | Analyst | Mumbai | Jul 2023 | May 2025 | 1Y 9M | 6.54</t>
  </si>
  <si>
    <t>Masin Projects | Quantum Intern | Gurugram, Haryana, India | May 2026 | Jul 2026 | 8.7142857142857 Weeks | Campus Internship
KPMG INDIA | TRAINEE | MUMBAI | Jan 2023 | Jul 2023 | 25.571428571429 Weeks</t>
  </si>
  <si>
    <t>P25700422</t>
  </si>
  <si>
    <t>MAYANK</t>
  </si>
  <si>
    <t>Mayank Sharma</t>
  </si>
  <si>
    <t>mayanksharma221b@gmail.com</t>
  </si>
  <si>
    <t>p25700422@student.nicmar.ac.in</t>
  </si>
  <si>
    <t>03-Aug-2002</t>
  </si>
  <si>
    <t>English, Hindi.</t>
  </si>
  <si>
    <t>9460 2627 7862</t>
  </si>
  <si>
    <t>VED PRAKASH SHARMA</t>
  </si>
  <si>
    <t>LATE SANGEETA SHARMA</t>
  </si>
  <si>
    <t>Gautam Nagar_x000D_
House No. 336</t>
  </si>
  <si>
    <t>CAMPION SCHOOL</t>
  </si>
  <si>
    <t>RAJEEV GANDHI HIGHER SEC. SCHOOL</t>
  </si>
  <si>
    <t>MANIPAL UNIVERSITY JAIPUR, JAIPUR, RAJASTHAN.</t>
  </si>
  <si>
    <t>AutoCAD,MS Office,MS Project,Primavera,Sketch up,revit</t>
  </si>
  <si>
    <t>Ahluwalia Contracts (India) Limited | Project management Intern | Gurugram, Haryana, India | May 2026 | Jul 2026 | 7.7142857142857 Weeks | Campus Internship
Acotech Consultants Pvt. Ltd. | Intern | Badlapur, Thane, Maharastra | May 2023 | Jul 2023 | 6.4285714285714 Weeks
Ghanaram Infra Engineer Pvt. Ltd. | Site intern | Jhalawar, Rajashthan | Jan 2024 | Apr 2024 | 17.142857142857 Weeks</t>
  </si>
  <si>
    <t>P25700424</t>
  </si>
  <si>
    <t>Shubham Singh</t>
  </si>
  <si>
    <t>shubham9891@yahoo.com</t>
  </si>
  <si>
    <t>p25700424@student.nicmar.ac.in</t>
  </si>
  <si>
    <t>19-Feb-2001</t>
  </si>
  <si>
    <t>Hindi, English</t>
  </si>
  <si>
    <t>2912 1564 0477</t>
  </si>
  <si>
    <t>SATISH KUMAR</t>
  </si>
  <si>
    <t>DHARAMSHEELA</t>
  </si>
  <si>
    <t>C206, MUNDESHWARI ORBIT MALL, DANAPUR KHAGAUL ROAD, PATNA</t>
  </si>
  <si>
    <t>Narayan Niwas, Surya Vihar Colony, Opposite CMRI Gate, Dhaiya, Dhanbad</t>
  </si>
  <si>
    <t>Dhanbad</t>
  </si>
  <si>
    <t>BIRLA PUBLIC SCHOOL, VIDYA NIKETAN</t>
  </si>
  <si>
    <t>CENTRAL BOARD OF SECONDARY EDUCATION (CBSE), PILANI, RAJASTHAN</t>
  </si>
  <si>
    <t>CENTRAL BOARD OF SECONDARY EDUCATION(CBSE), PILANI, RAJASTHAN</t>
  </si>
  <si>
    <t>AutoCAD,MS Office,MS Project,CostX</t>
  </si>
  <si>
    <t>VSL India Private Limited  | Intern | Patna, Bihar | Jun 2026 | Jul 2026 | 5.1428571428571 Weeks | Campus Internship
Ceigall India | Intern | Patna, Bihar | Jul 2026 | Jul 2026 | 3.1428571428571 Weeks | Campus Internship
NATIONAL BUILDING CONSTRUCTION COPORATION LTD. | INTERN | PATNA | May 2023 | Jul 2023 | 8.7142857142857 Weeks</t>
  </si>
  <si>
    <t>P25700425</t>
  </si>
  <si>
    <t>Vaibhav Sanjay Kadam</t>
  </si>
  <si>
    <t>vaibhavskadam25@gmail.com</t>
  </si>
  <si>
    <t>p25700425@student.nicmar.ac.in</t>
  </si>
  <si>
    <t>19-Nov-2001</t>
  </si>
  <si>
    <t>4883 4589 7440</t>
  </si>
  <si>
    <t>SANJAY KADAM</t>
  </si>
  <si>
    <t>SANGEETA KADAM</t>
  </si>
  <si>
    <t>HOSEWIFE</t>
  </si>
  <si>
    <t>B/S4 WAGHMODE COMPLEX NEAR VANTMURE CORNER, MIRAJ</t>
  </si>
  <si>
    <t>Above Patil Kidney Care, Near HDFC Bank, Osmanabad</t>
  </si>
  <si>
    <t>CAMBRIDGE SCHOOL, MIRAJ</t>
  </si>
  <si>
    <t>SHIKSHANMAHARSHI DR. BAPUJI SALUNKHE COLLEGE, MIRAJ</t>
  </si>
  <si>
    <t>DR. BABASAHEB AMBEDKAR TECHNOLOGICAL UNIVERSITY, LONERE</t>
  </si>
  <si>
    <t>PADMABHOOSHAN VASANTRAODADA PATIL INSTITUTE OF TECHNOLOGY, BUDHGAON</t>
  </si>
  <si>
    <t>AutoCAD,MS Office,MS Project,STAADPRO,EXCEL</t>
  </si>
  <si>
    <t>Sobha Limited | Planning Intern | Bangalore | May 2026 | Jul 2026 | 9 Weeks | Campus Internship</t>
  </si>
  <si>
    <t>P25700426</t>
  </si>
  <si>
    <t>JUILEE</t>
  </si>
  <si>
    <t>KIRAN</t>
  </si>
  <si>
    <t>DESHPANDE</t>
  </si>
  <si>
    <t>Juilee Kiran Deshpande</t>
  </si>
  <si>
    <t>juileedeshpande427@gmail.com</t>
  </si>
  <si>
    <t>p25700426@student.nicmar.ac.in</t>
  </si>
  <si>
    <t>16-Jul-2003</t>
  </si>
  <si>
    <t>8847 9843 9432</t>
  </si>
  <si>
    <t>BANK MANAGER</t>
  </si>
  <si>
    <t>Vijayshree Nivas, Keshvshrusti, Devrukh, Sangmeshwar</t>
  </si>
  <si>
    <t>R B SHIRKE HIGHSCHOOL, RATNAGIRI</t>
  </si>
  <si>
    <t>TATYASAHEB MUSALE VIDYALAYA AND JUNIOR COLLEGE ICHALKARANJI, MAHARASHTRA</t>
  </si>
  <si>
    <t>VELLORE INSTITUTE OF TECHNOLOGY, VELLORE</t>
  </si>
  <si>
    <t>AutoCAD,MS Office,MS Excel</t>
  </si>
  <si>
    <t>godrej properties limited | operations intern | Vashi,Navi Mumbai | May 2026 | Jul 2026 | 8.7142857142857 Weeks | Campus Internship
PUNE IT CITY METRO RAIL LIMITED | INTERN | SHIVAJI NAGAR, PUNE | May 2025 | Jun 2025 | 4.4285714285714 Weeks
DRDO High Energy Materials Research Laboratory (HEMRL) | intern | Sutarwadi, Pune | Sep 2023 | Oct 2023 | 4.2857142857143 Weeks</t>
  </si>
  <si>
    <t>P25700427</t>
  </si>
  <si>
    <t>SRIPATHI</t>
  </si>
  <si>
    <t>MANI</t>
  </si>
  <si>
    <t>TEJA</t>
  </si>
  <si>
    <t>Sripathi Mani Teja</t>
  </si>
  <si>
    <t>nanimt8999@gmail.com</t>
  </si>
  <si>
    <t>p25700427@student.nicmar.ac.in</t>
  </si>
  <si>
    <t>16-Apr-2002</t>
  </si>
  <si>
    <t>ENGLISH,TELUGU,HINDI</t>
  </si>
  <si>
    <t>9912 4401 7140</t>
  </si>
  <si>
    <t>SRIPATHI SADAIAH</t>
  </si>
  <si>
    <t>SRIPATHI SANGEETHA</t>
  </si>
  <si>
    <t>1-1-92/5/F/1,ITI COLONY,SHANTHI NAGAR,PEDDAPALLI</t>
  </si>
  <si>
    <t>Peddapalli</t>
  </si>
  <si>
    <t>SRI CHAITANYA HIGH SCHOOL</t>
  </si>
  <si>
    <t>TELANGANA STATE SECONDARY SCHOOL CERTIFICATE (SSC) EXAMINATION,HYDERABAD,TELANGANA</t>
  </si>
  <si>
    <t>TELANGANA STATE BOARD OF INTERMEDIATE EDUCATION,HYDERABAD,TELANGANA</t>
  </si>
  <si>
    <t>GURU NANAK INSTITUTIONS TECHNICAL CAMPUS,IBRAHIMPATNAM,TELANGANA</t>
  </si>
  <si>
    <t>AutoCAD,MS Project, Primavera P6, Revit, Cost X</t>
  </si>
  <si>
    <t>SINGHANIA BUILDCON GROUP | Site Execution &amp; Control Intern | Raipur | May 2026 | Jul 2026 | 8.7142857142857 Weeks | Campus Internship</t>
  </si>
  <si>
    <t>P25700428</t>
  </si>
  <si>
    <t>AMEY</t>
  </si>
  <si>
    <t>CHOUDHARI</t>
  </si>
  <si>
    <t>Amey Diliprao Choudhari</t>
  </si>
  <si>
    <t>ameychoudhari311@gmail.com</t>
  </si>
  <si>
    <t>p25700428@student.nicmar.ac.in</t>
  </si>
  <si>
    <t>09-Oct-2002</t>
  </si>
  <si>
    <t>4172 3236 3989</t>
  </si>
  <si>
    <t>DILIP CHOUDHARI</t>
  </si>
  <si>
    <t>VAISHALI CHOUDHARI</t>
  </si>
  <si>
    <t>Ward No. 2, Main Road, Juni Gujri Chowk, Mandhal</t>
  </si>
  <si>
    <t>MISSION INDIA VIDYA NIKETAN ENGLISH MEDIUM SCHOOL, KUHI</t>
  </si>
  <si>
    <t>MAHARASHTRA STATE BOARD OF SECONDARY AND HIGHER SECONDARY EDUCATION, NAGPUR</t>
  </si>
  <si>
    <t>UJJWAL JUNIOR COLLEGE, NAGPUR</t>
  </si>
  <si>
    <t>YESHWANTRAO CHAVAN COLLEGE OF ENGINEERING , NAGPUR</t>
  </si>
  <si>
    <t>AutoCAD,MS Office,MS Project,Primavera,Advance Excel</t>
  </si>
  <si>
    <t>RAK Projects (P) Ltd | Graduate Trainee Engineer | Nagpur | Jun 2024 | Jun 2025 | 1Y 0M | 1.5</t>
  </si>
  <si>
    <t>DP Jain &amp; Co. Infrastructure Pvt. Ltd. | Contracts and Claims Intern | Nagpur | May 2026 | Jul 2026 | 8 Weeks | Campus Internship
Shree Sai Developers and Construction Co. | Site Engineer | katol | Jan 2024 | Apr 2024 | 13 Weeks</t>
  </si>
  <si>
    <t>Procurement, Negotiation, and Contract Execution
Introduction to Lean Construction (NPTEL)
Building Your First AI Agent with OpenAI
Data Analysis
Budgeting and Scheduling Projects
Corporate Training Course, Civil Guruji</t>
  </si>
  <si>
    <t>P25700429</t>
  </si>
  <si>
    <t>TANMAY</t>
  </si>
  <si>
    <t>MANISHRAO</t>
  </si>
  <si>
    <t>GIRHE</t>
  </si>
  <si>
    <t>Tanmay Manishrao Girhe</t>
  </si>
  <si>
    <t>tanmaygirhe1@gmail.com</t>
  </si>
  <si>
    <t>p25700429@student.nicmar.ac.in</t>
  </si>
  <si>
    <t>08-Dec-2001</t>
  </si>
  <si>
    <t>4741 6506 3154</t>
  </si>
  <si>
    <t>MANISHRAO GIRHE</t>
  </si>
  <si>
    <t>SUSHMADEVI GIRHE</t>
  </si>
  <si>
    <t>AT POST. RAJDHANI SQUARE, HIWARKHED TQ. TELHARA DIST. AKOLA 444103</t>
  </si>
  <si>
    <t>SAHAKAR VIDYA MANDIR YELGAON BULDANA MAHARASHTRA</t>
  </si>
  <si>
    <t>GOVERNMENT POLYTECHNIC, NAGPUR, MAHARASHTRA</t>
  </si>
  <si>
    <t>SHIVAJI UNIVERSITY, KOLHAPUR, MAHARASHTRA</t>
  </si>
  <si>
    <t>DEPARTMENT OF TECHNOLOGY, SHIVAJI UNIVERSITY, KOLHAPUR, MAHARASHTRA</t>
  </si>
  <si>
    <t>AutoCAD,MS Office,MS Project, Primavera.</t>
  </si>
  <si>
    <t>Pidilite Industries | Market Research Analyst | Kolkata, West Bengal. | May 2026 | Jun 2026 | 7.5714285714286 Weeks | Campus Internship
NAVALE BUILDERS, NARHE, PUNE | INTERN | NARHE, PUNE | Nov 2020 | Nov 2020 | 2.2857142857143 Weeks</t>
  </si>
  <si>
    <t>ADVANCE DIPLOMA IN STRUCTURAL DESIGN AND ANALYSIS
MS CIT
Sustainable Construction Management Certificate
Foundations of Project Management
Lean Management Fundamentals
Data Analysis
Construction Equipment And Safety
Organisational Design
Green Building Assessment and Certifications
Comfort in Building</t>
  </si>
  <si>
    <t>P25700430</t>
  </si>
  <si>
    <t>SHREYAS</t>
  </si>
  <si>
    <t>Shreyas Pravin Sutar</t>
  </si>
  <si>
    <t>yashsutar200001@gmail.com</t>
  </si>
  <si>
    <t>p25700430@student.nicmar.ac.in</t>
  </si>
  <si>
    <t>01-Dec-2000</t>
  </si>
  <si>
    <t>7008 4518 0465</t>
  </si>
  <si>
    <t>PRAVIN SHAMRAO SUTAR</t>
  </si>
  <si>
    <t>CARPENTER</t>
  </si>
  <si>
    <t>DEEPALI PRAVIN SUTAR</t>
  </si>
  <si>
    <t>A2 103 Anand Savali Residency, Near Sant Nirankari Chowk, Eastern Express Highway, Thane West.</t>
  </si>
  <si>
    <t>DR. BEDEKAR VIDYA MANDIR, THANE</t>
  </si>
  <si>
    <t>NANASAHEB MAHADIK POLYTECHNIC INSTITUTE, PETH, MAHARASHTRA</t>
  </si>
  <si>
    <t>MGM COLLEGE OF ENGINEERING AND TECHNOLOGY, KAMOTHE, MAHARASHTRA</t>
  </si>
  <si>
    <t>Akash Impex Inc | Project Supervisor  | Powai, Mumbai | Nov 2022 | May 2024 | 1Y 5M | 2.3
Nina Percept Pvt. Ltd. | Project Engineer. | Mahalaxmi, Mumbai | May 2024 | Apr 2025 | 0Y 11M | 3.8</t>
  </si>
  <si>
    <t>Ascendas Firstspace Development Management Pvt. Ltd. |  Projects Department as (Intern – Projects) | BKC Road Bandra East,Mumbai  | May 2026 | Jun 2026 | 8.1428571428571 Weeks | Campus Internship</t>
  </si>
  <si>
    <t>P25700431</t>
  </si>
  <si>
    <t>BISWAPREM</t>
  </si>
  <si>
    <t>Biswaprem Das</t>
  </si>
  <si>
    <t>biswapremdas.06@gmail.com</t>
  </si>
  <si>
    <t>p25700431@student.nicmar.ac.in</t>
  </si>
  <si>
    <t>06-Nov-2000</t>
  </si>
  <si>
    <t>English,Hindi,Odia,Bengali</t>
  </si>
  <si>
    <t>2527 3848 0663</t>
  </si>
  <si>
    <t>PREMJIT DAS</t>
  </si>
  <si>
    <t>BUSINESS OWNER</t>
  </si>
  <si>
    <t>DHARITRI DAS</t>
  </si>
  <si>
    <t>Near Ambika Temple, Ward No. 1 , Baripada , Pin: 757001, Mayurbhanj, Odisha</t>
  </si>
  <si>
    <t>Mayurbhanj</t>
  </si>
  <si>
    <t>CENTRAL BOARD OF SECONDARY EDUCATION, BARIPADA, ODISHA</t>
  </si>
  <si>
    <t>KALINGA INSTITUTE OF INDUSTRIAL TECHNOLOGY , BHUBANESWAR, ODISHA</t>
  </si>
  <si>
    <t>AutoCAD,MS Office,MS Project,Primavera,Twinmotion,Sketchup,Enscape,Adobe Lightroom,Revit,Adobe Photoshop,Lumion</t>
  </si>
  <si>
    <t>SWASTIK ASSOCIATES | Junior Architect | Baripada | Jul 2024 | Jul 2025 | 0Y 11M | 3.25</t>
  </si>
  <si>
    <t>Rodic Consultants Private Limited | Business Development Intern | Aga Khan Hall, 1st Floor, 6 Sarojini House, Bhagwan Das Rd, New Delhi, Delhi 110001 | May 2026 | Jul 2026 | 8.5714285714286 Weeks | Campus Internship
Gayathri and Namith Architects | Intern Trainee | 14, Temple Trees Row, S.T. Bed, 1st Block Koramangala, Koramangala, Bengaluru, Karnataka 560047 | Jun 2023 | Dec 2023 | 26.285714285714 Weeks</t>
  </si>
  <si>
    <t>P25700432</t>
  </si>
  <si>
    <t>BARADIA</t>
  </si>
  <si>
    <t>Shubham Baradia</t>
  </si>
  <si>
    <t>shubbaradia@gmail.com</t>
  </si>
  <si>
    <t>p25700432@student.nicmar.ac.in</t>
  </si>
  <si>
    <t>23-Sep-1996</t>
  </si>
  <si>
    <t>english,hindi</t>
  </si>
  <si>
    <t>8786 9063 5036</t>
  </si>
  <si>
    <t>SANJAY BARADIA</t>
  </si>
  <si>
    <t>GOVERMENT JOB</t>
  </si>
  <si>
    <t>ASHA BARADIA</t>
  </si>
  <si>
    <t>Hig-105 Shankara Charya Nagar,bagsevania</t>
  </si>
  <si>
    <t>CARMEL CONVENT SENIOR SECONDARY SCHOOL RATANPUR</t>
  </si>
  <si>
    <t>CENTRAL BOARD OF SECONDARY EDUCATION, BHOPAL</t>
  </si>
  <si>
    <t>LAKSHMI NARAIN COLLEGE OF TECHNOLOGY &amp; SCIENCE ,BHOPAL</t>
  </si>
  <si>
    <t>MS Office,MS Project,Primavera,REVIT,Navisworks</t>
  </si>
  <si>
    <t>infosys | Systems Engineer | indore and hybird | Jan 2022 | Jun 2023 | 1Y 4M | 3</t>
  </si>
  <si>
    <t>Madhya Pradesh Housing And Infrastructure Development Board | Intern | Bhopal, M.P | May 2026 | Jul 2026 | 8.7142857142857 Weeks | Campus Internship
OFFICE OF DIVISIONAL PROJECT ENGINEER P.W.D. PIU-2 BHOPAL, | trainee | bhopal | Jun 2018 | Jun 2018 | 2.1428571428571 Weeks</t>
  </si>
  <si>
    <t>P25700433</t>
  </si>
  <si>
    <t>KHANDARE</t>
  </si>
  <si>
    <t>Shubham Gulabrao Khandare</t>
  </si>
  <si>
    <t>shubhamkhandare1717@gmail.com</t>
  </si>
  <si>
    <t>p25700433@student.nicmar.ac.in</t>
  </si>
  <si>
    <t>01-Jun-1997</t>
  </si>
  <si>
    <t>English,marathi,Hindi</t>
  </si>
  <si>
    <t>7351 2100 7914</t>
  </si>
  <si>
    <t>GULABARAO</t>
  </si>
  <si>
    <t>RETIRED GOVERMENT OFFICER</t>
  </si>
  <si>
    <t>At Bhadgaon Usarewadi Oppositeto Grampanchayat Office Bhadgaon Khonde Tal Khed Dist Ratnagiri</t>
  </si>
  <si>
    <t>SCS HIGHSCHOOL KHED RATNAGIRI</t>
  </si>
  <si>
    <t>SVCP,SINHGAD PUNE</t>
  </si>
  <si>
    <t>SITS SINHGAD NARHE PUNE</t>
  </si>
  <si>
    <t>Matoshree metal works and construction | Senior civil engineer  | Khed ratnagiri  | Jul 2022 | Jun 2025 | 2Y 11M | 2.96</t>
  </si>
  <si>
    <t>KATTU CONSTRUCTION TECHNOLOGY SERVICES LLP  | Intern | New BEL Road, ITI Layout  | May 2026 | Jul 2026 | 8.7142857142857 Weeks | Campus Internship</t>
  </si>
  <si>
    <t>P25700434</t>
  </si>
  <si>
    <t>Devansh Manoj Gupta</t>
  </si>
  <si>
    <t>devanshgupta060303@gmail.com</t>
  </si>
  <si>
    <t>p25700434@student.nicmar.ac.in</t>
  </si>
  <si>
    <t>06-Mar-2003</t>
  </si>
  <si>
    <t>Hindi , English , Marathi</t>
  </si>
  <si>
    <t>9406 2920 5108</t>
  </si>
  <si>
    <t>Sneh Bunglow,plot 530 Sector 28, Pradhikaran, Nigdi</t>
  </si>
  <si>
    <t>CITY PRIDE SCHOOL</t>
  </si>
  <si>
    <t>CENTRAL BOARD OF SECONDARY EDUCATION - PUNE</t>
  </si>
  <si>
    <t>MAHARASHTRA STATE BOARD OF SECONDARY AND HIGHER SECONDARY EDUCATION - PUNE</t>
  </si>
  <si>
    <t>AutoCAD,MS Office,MS Project,Primavera,Staad Pro,Revit</t>
  </si>
  <si>
    <t>Kritija Enterprises | Execution Intern | Pune | May 2026 | Jun 2026 | 8.1428571428571 Weeks | Campus Internship
BG shirke | Intern | Pune | May 2024 | Jul 2024 | 8.7142857142857 Weeks</t>
  </si>
  <si>
    <t>P25700435</t>
  </si>
  <si>
    <t>SRI</t>
  </si>
  <si>
    <t>VETAGIRI</t>
  </si>
  <si>
    <t>Teja Sri Vetagiri</t>
  </si>
  <si>
    <t>tejasrivetagiri27@gmail.com</t>
  </si>
  <si>
    <t>p25700435@student.nicmar.ac.in</t>
  </si>
  <si>
    <t>27-Apr-2002</t>
  </si>
  <si>
    <t>Telugu,English,Hindi</t>
  </si>
  <si>
    <t>2623 8465 6889</t>
  </si>
  <si>
    <t>SRINIVASA RAO VETAGIRI</t>
  </si>
  <si>
    <t>MECHANIC</t>
  </si>
  <si>
    <t>RAMA DEVI VETAGIRI</t>
  </si>
  <si>
    <t>5-49, Ramalayam Street, Peda Kancherla, Vinukonda, Guntur, 522649</t>
  </si>
  <si>
    <t>AP MODEL SCHOOL</t>
  </si>
  <si>
    <t>RAJIV GANDHI UNIVERSITY OF KNOWLEDGE TECHNOLOGIES, NUZVID</t>
  </si>
  <si>
    <t>AutoCAD,MS Office,MS Project,Sketchup</t>
  </si>
  <si>
    <t>Shreeji Infrastructure India Pvt. Ltd. | Management Trainee Engineer - Billing &amp; Planning  | Head Office Bhopal | May 2026 | Jun 2026 | 8 Weeks | Campus Internship</t>
  </si>
  <si>
    <t>Short term course on SketchUp and V-Ray
Short term course on AutoCAD Architectural</t>
  </si>
  <si>
    <t>P25700436</t>
  </si>
  <si>
    <t>ADNAN</t>
  </si>
  <si>
    <t>AHMAD</t>
  </si>
  <si>
    <t>Adnan Ahmad Khan</t>
  </si>
  <si>
    <t>adnanah139@gmail.com</t>
  </si>
  <si>
    <t>p25700436@student.nicmar.ac.in</t>
  </si>
  <si>
    <t>28-May-2001</t>
  </si>
  <si>
    <t>4422 5966 0491</t>
  </si>
  <si>
    <t>ILYAS KHAN</t>
  </si>
  <si>
    <t>ZAMZAM ILYAS KHAN</t>
  </si>
  <si>
    <t>Near Kali Masjid, Humayun Road Baidpura, Akola</t>
  </si>
  <si>
    <t>QUBA URDU HIGH SCHOOL AKOLA</t>
  </si>
  <si>
    <t>MANAV SCHOOL OF POLYTECHNIC</t>
  </si>
  <si>
    <t>New Consolidated construction company Limited | Planning Intern | Dombivli, Mumbai  | May 2026 | Jun 2026 | 4.2857142857143 Weeks | Campus Internship</t>
  </si>
  <si>
    <t>Ethics in Engineering Practice
Finance for Non-Financial Managers
Planning of Metro Rail Systems</t>
  </si>
  <si>
    <t>P25700437</t>
  </si>
  <si>
    <t>BHAVIT</t>
  </si>
  <si>
    <t>RAMCHANDRA</t>
  </si>
  <si>
    <t>SASE</t>
  </si>
  <si>
    <t>Bhavit Ramchandra Sase</t>
  </si>
  <si>
    <t>bhavitsase12@gmail.com</t>
  </si>
  <si>
    <t>p25700437@student.nicmar.ac.in</t>
  </si>
  <si>
    <t>12-Mar-1999</t>
  </si>
  <si>
    <t>English,Marathi,Hindi</t>
  </si>
  <si>
    <t>2073 4023 1874</t>
  </si>
  <si>
    <t>MANGAL</t>
  </si>
  <si>
    <t>Sai Shraddha Niwas, Near ZP School, At Kudavali, Post Tal Murbad, Dist Thane</t>
  </si>
  <si>
    <t>WISDOM ENGLISH HIGH SCHOOL</t>
  </si>
  <si>
    <t>S.H JONDHALE POLYTECHNIC DOMBIVLI</t>
  </si>
  <si>
    <t>B.R HARNE COLLEGE OF ENGINEERING AND TECHNOLOGY</t>
  </si>
  <si>
    <t>RUNWAL RESIDENCY PRIVATE LTD | JUNIOR ENGINEER | DOMBIVLI | Jun 2023 | Jun 2025 | 1Y 11M | 3.5</t>
  </si>
  <si>
    <t>Suryapriya Constructions Pvt. Ltd. | Intern-Planning Department | Bangalore | May 2026 | Jul 2026 | 8.7142857142857 Weeks | Campus Internship
R.A. GHULE | Site Engineer | Saphale (Palghar) | Feb 2023 | May 2023 | 14.714285714286 Weeks
Sumitra Buildcons Pvt Ltd | Site Civil Engineer | Murbad | Dec 2019 | Jan 2020 | 4.4285714285714 Weeks</t>
  </si>
  <si>
    <t>Runwal Gardens - Certificate of achievement as Quality Conscious GET
Runwal Group -Efficient Project Engineer of the Year (2024-2025)</t>
  </si>
  <si>
    <t>P25700438</t>
  </si>
  <si>
    <t>Disha Sonawane</t>
  </si>
  <si>
    <t>dishasonawane953@gmail.com</t>
  </si>
  <si>
    <t>p25700438@student.nicmar.ac.in</t>
  </si>
  <si>
    <t>09-May-2003</t>
  </si>
  <si>
    <t>3563 1031 4035</t>
  </si>
  <si>
    <t>RAMRAO</t>
  </si>
  <si>
    <t>CHHAYA</t>
  </si>
  <si>
    <t>FLAT NO 1002, A3, AVON VISTA, PATIL NAGAR, BALEWADI.</t>
  </si>
  <si>
    <t>Flat No 03, Tirupati Residency_x000D_
Ramchandra Nagar, Dargah Road, Chhatrapati Sambhajinagar.</t>
  </si>
  <si>
    <t>COUNCIL FOR THE INDIAN SCHOOL CERTIFICATE EXAMINATIONS (CISCE), NEW DELHI</t>
  </si>
  <si>
    <t>SAINT LAWRENCE SUPER THIRTY JUNIOR COLLEGE, AURANGABAD</t>
  </si>
  <si>
    <t>Shreeji Infrastructure India Pvt. Ltd. | Management trainee engineer- Billing and planning  | Bhopal | May 2026 | Jun 2026 | 8 Weeks | Campus Internship
Gunjal &amp; Associates | Intern | Chhatrapati Sambhajinagar | Jul 2024 | Jul 2024 | 4.2857142857143 Weeks
PRECAST INDIA INFRASTRUCTURES PRIVATE LIMITED | INTERN | PUNE | Mar 2025 | Mar 2025 | 1.2857142857143 Weeks</t>
  </si>
  <si>
    <t>P25700439</t>
  </si>
  <si>
    <t>SAYEE</t>
  </si>
  <si>
    <t>Sayee Sanjay Mane</t>
  </si>
  <si>
    <t>manesayee28@gmail.com</t>
  </si>
  <si>
    <t>p25700439@student.nicmar.ac.in</t>
  </si>
  <si>
    <t>28-Jun-2003</t>
  </si>
  <si>
    <t>8891 4912 4187</t>
  </si>
  <si>
    <t>Plot No.22 , "Manomay" Bunglow, K.K.Nagar , Chinchani Road, Tasgaon, Dist. - Sangli. Pincode - 416312</t>
  </si>
  <si>
    <t>CHAMPABEN WADILAL DYANMANDIR , TASGAON.</t>
  </si>
  <si>
    <t>MAHARASHTRA STATE BOARD OF SECONDARY &amp; HIGHER SECONDARY EDUCATION , PUNE ( KOLHAPUR DIVISIONAL BOARD)</t>
  </si>
  <si>
    <t>VYANKATRAO HIGHSCHOOL &amp; JUNIOR COLLEGE, ICHALKARANJI.</t>
  </si>
  <si>
    <t>WALCHAND COLLEGE OF ENGINEERING , SANGLI.</t>
  </si>
  <si>
    <t>AutoCAD,MS Office,MS Project,Primavera,Revit,Cost X</t>
  </si>
  <si>
    <t>New Consolidated Construction Limited (NCCCL), Mumbai | Quality Assurance &amp; Control | Seawoods Darave , Navi Mumbai  | May 2026 | Jul 2026 | 8.7142857142857 Weeks | Campus Internship
AGRAWAL DEVELOPERS | QUANTITY SURVEYOR &amp; SITE EXECUTION | MIRAJ | Jun 2024 | Jun 2024 | 4.1428571428571 Weeks
PRIVATE FIRM OF ER. VIVEK R. PATIL | AUTOCAD DESIGNER | MIRAJ | Jun 2023 | Jul 2023 | 2.8571428571429 Weeks</t>
  </si>
  <si>
    <t>P25700440</t>
  </si>
  <si>
    <t>URVI</t>
  </si>
  <si>
    <t>TAMORE</t>
  </si>
  <si>
    <t>Urvi Dipak Tamore</t>
  </si>
  <si>
    <t>tamoreurvi@gmail.com</t>
  </si>
  <si>
    <t>p25700440@student.nicmar.ac.in</t>
  </si>
  <si>
    <t>29-Mar-2001</t>
  </si>
  <si>
    <t>7797 7717 3582</t>
  </si>
  <si>
    <t>DIPAK JANARDAN TAMORE</t>
  </si>
  <si>
    <t>SWATI DIPAK TAMORE</t>
  </si>
  <si>
    <t>TYPE -C,59/8 BARC COLONY, BOISAR</t>
  </si>
  <si>
    <t>Pacchim Mangel Aali, At &amp; Post - Ghivali,Tal &amp; Dist _x000D_
Palghar</t>
  </si>
  <si>
    <t>ATOMIC ENERGY CENTRAL SCHOOL -2, TARAPUR</t>
  </si>
  <si>
    <t>CBSE / BOISAR / MAHARASTRA</t>
  </si>
  <si>
    <t>ST JOHN COLLEGE OF ENGINEERING AND MANAGEMENT, PALGHAR, MAHARASHTRA</t>
  </si>
  <si>
    <t>AutoCAD,MS Office,MS Project,Primavera,1. QGIS SOFTWARE (BASIC),2. MS EXCEL,Revit,Costx</t>
  </si>
  <si>
    <t>Asian Paints Limited | Sales Engineer Intern | Mumbai  | May 2026 | Jul 2026 | 8.7142857142857 Weeks | Campus Internship</t>
  </si>
  <si>
    <t>Data Science &amp; Machine Learning â€“ Industry Certification (TesTriq)</t>
  </si>
  <si>
    <t>P25700441</t>
  </si>
  <si>
    <t>GNANESHWAR</t>
  </si>
  <si>
    <t>K Gnaneshwar</t>
  </si>
  <si>
    <t>gnaneshwar9123@gmail.com</t>
  </si>
  <si>
    <t>p25700441@student.nicmar.ac.in</t>
  </si>
  <si>
    <t>14-Aug-2002</t>
  </si>
  <si>
    <t>English,Hindi,telugu,kannada</t>
  </si>
  <si>
    <t>5154 4128 0209</t>
  </si>
  <si>
    <t>K NARAIAH</t>
  </si>
  <si>
    <t>K NEERAJA</t>
  </si>
  <si>
    <t>39/480-16, OM SHANTI NAGAR, ROAD NO 17, VIVEKANANDA STRRET</t>
  </si>
  <si>
    <t>NO 6/177-1, B C HOSTEL VIDI, KOTHA MADHAVARAM, VONTIMITTA</t>
  </si>
  <si>
    <t>CBSE,KADAPA,ANDHRAPRADESH</t>
  </si>
  <si>
    <t>PU,BANGALORE,KARNATAKA</t>
  </si>
  <si>
    <t>RV COLLEGE OF ENGINEERING, BANGALORE,KARNATAKA</t>
  </si>
  <si>
    <t>AutoCAD,MS Office,MS Project,EXCEL,PYTHON</t>
  </si>
  <si>
    <t>BEML LIMITED | JUNIOR EXECUTIVE  | KARNATAKA  | Aug 2024 | Feb 2025 | 0Y 5M | 3.36</t>
  </si>
  <si>
    <t>SOBHA LIMITED | Site Execution  | Hyderabad  | May 2026 | Jul 2026 | 9 Weeks | Campus Internship</t>
  </si>
  <si>
    <t>P25700442</t>
  </si>
  <si>
    <t>DHANASHRI</t>
  </si>
  <si>
    <t>HARUGADE</t>
  </si>
  <si>
    <t>Dhanashri Jitendra Harugade</t>
  </si>
  <si>
    <t>dhanashriharugade@gmail.com</t>
  </si>
  <si>
    <t>p25700442@student.nicmar.ac.in</t>
  </si>
  <si>
    <t>7838 7372 2025</t>
  </si>
  <si>
    <t>JITENDRA BALKRISHNA HARUGADE</t>
  </si>
  <si>
    <t>MINAKSHI JITENDRA HARUGADE</t>
  </si>
  <si>
    <t>36 Vaibhav, Appasaheb Patil Nagar, Near Sona Clinic Hospital, Near New Pride Hotel, Sangli, Maharashtra</t>
  </si>
  <si>
    <t>CENTRAL BOARD OF SECONDARY EDUCATION, SANGLI, MAHARASHTRA</t>
  </si>
  <si>
    <t>MAEER'S MIT VISHWASHANTI GURKUL SCHOOL</t>
  </si>
  <si>
    <t>SIKKIM MANIPAL UNIVERSITY</t>
  </si>
  <si>
    <t>SIKKIM MANIPAL INSTITUTE OF TECHNOLOGY, SIKKIM</t>
  </si>
  <si>
    <t>AutoCAD,MS Office,MS Project,Revit,Canva</t>
  </si>
  <si>
    <t>Pidilite Industries Ltd. | Summer Intern  | Kolkata | May 2026 | Jun 2026 | 7.5714285714286 Weeks | Campus Internship
Prime Constructions | Site Engineer | Sangli | Mar 2025 | May 2025 | 8.7142857142857 Weeks
G. B. Bagade, Pune Municipal Corporation | Site Engineer | Pune | Jan 2025 | Mar 2025 | 10.857142857143 Weeks</t>
  </si>
  <si>
    <t>Autodesk Revit - Beginner to Advanced level</t>
  </si>
  <si>
    <t>P25700443</t>
  </si>
  <si>
    <t>SOPAN</t>
  </si>
  <si>
    <t>Rushikesh Sopan Patil</t>
  </si>
  <si>
    <t>rushipatil0137@gmail.com</t>
  </si>
  <si>
    <t>p25700443@student.nicmar.ac.in</t>
  </si>
  <si>
    <t>13-Feb-2001</t>
  </si>
  <si>
    <t>3817 8625 3144</t>
  </si>
  <si>
    <t>SOPAN PATIL</t>
  </si>
  <si>
    <t>705 Dhake Wada Nimbhora Bk Tal Raver</t>
  </si>
  <si>
    <t>MACRO VISION ACADEMY SCHOOL RAVER</t>
  </si>
  <si>
    <t>SANDIP POLYTECHNIC NASHIK</t>
  </si>
  <si>
    <t>G.E.SOC'S COLLEGE OF ENGINEERING, NASHIK</t>
  </si>
  <si>
    <t>AutoCAD,MS Office,MS Project,Primavera,REVIT,RIB costX</t>
  </si>
  <si>
    <t>SYSTRA MVA Consulting (India) Private Limited  | CTR Intern | Ahmedabad | May 2026 | Jul 2026 | 8.5714285714286 Weeks | Campus Internship
Vijay Buildcon | Site Engineer | Savda | Jun 2024 | Jun 2025 | 51.571428571429 Weeks</t>
  </si>
  <si>
    <t>Project Admin Scholar
Construction Equipment Maintenance &amp; Safety
Foundations of Project Management</t>
  </si>
  <si>
    <t>P25700444</t>
  </si>
  <si>
    <t>NANDHAGOPAL</t>
  </si>
  <si>
    <t>Nandhagopal P</t>
  </si>
  <si>
    <t>pnandhagopal14@gmail.com</t>
  </si>
  <si>
    <t>p25700444@student.nicmar.ac.in</t>
  </si>
  <si>
    <t>14-Jun-2004</t>
  </si>
  <si>
    <t>9882 4973 0667</t>
  </si>
  <si>
    <t>PRSBAKARAN P</t>
  </si>
  <si>
    <t>LAKSHMI P</t>
  </si>
  <si>
    <t>STAFF NURSE</t>
  </si>
  <si>
    <t>No.18, Park Street, Naveen Satish Nagar, Guduvancheri, Chengalpattu</t>
  </si>
  <si>
    <t>ST.JHONS MATRIC HIGHER SECONDRY SCHOOL</t>
  </si>
  <si>
    <t>STATE BOARD OF SCHOOL EXAMINATIONS, TAMILNADU</t>
  </si>
  <si>
    <t>SRI SAIRAM POLYTECHNIC COLLEGE/ CHENNAI</t>
  </si>
  <si>
    <t>SRI SAIRAM ENGINEERING COLLEGE/ CHENNAI</t>
  </si>
  <si>
    <t>J KUMAR | SITE EXECUTION, PLANING | MADHURAVOYAL, CHENNAI | May 2026 | Jul 2026 | 9.7142857142857 Weeks | Campus Internship
HR LEVELS INFRASTRUCTURE Pvt .Ltd | Site Engineer | Pallavaram, chennai | Jun 2024 | Jul 2024 | 7.2857142857143 Weeks</t>
  </si>
  <si>
    <t>P25700445</t>
  </si>
  <si>
    <t>SHIVRAJ</t>
  </si>
  <si>
    <t>Shivraj Tanaji Pawar</t>
  </si>
  <si>
    <t>shivrajpawar52@gmail.com</t>
  </si>
  <si>
    <t>p25700445@student.nicmar.ac.in</t>
  </si>
  <si>
    <t>06-Sep-1998</t>
  </si>
  <si>
    <t>English,Hindi and Marathi</t>
  </si>
  <si>
    <t>6129 5921 5308</t>
  </si>
  <si>
    <t>Gandharv Park Hsg Soc RH-93 Flat No B2/7 Shahunagar Chinchwad Pune</t>
  </si>
  <si>
    <t>SHRI SHIVCHATRAPATI SHIVAJI RAJE MADHYAMIK VIDYALAYA</t>
  </si>
  <si>
    <t>DR. D.Y. PATIL JR COLLEGE</t>
  </si>
  <si>
    <t>MAHARASHTRA STATE BOARD PUNE</t>
  </si>
  <si>
    <t>JSPM RAJARSHI SHAHU COLLEGE OF ENGINEERING TATHAWADE PUNE</t>
  </si>
  <si>
    <t>AutoCAD,MS Office,MS Project,QS billing</t>
  </si>
  <si>
    <t>Millenium Engineers &amp; Contractors PVT LTD | Jr. Engineer - Execution | Koregaon Park, Pune | May 2022 | Nov 2023 | 1Y 6M | 3.03
NB Bhondve Builders | Site Engineer | Ravet, Pune | Jan 2024 | Dec 2024 | 0Y 11M | 2.4</t>
  </si>
  <si>
    <t>Grow India Residency Private | Execution &amp; Planning Intern | Chinchwad Pune | May 2026 | Jul 2026 | 8.5714285714286 Weeks | Campus Internship</t>
  </si>
  <si>
    <t>P25700446</t>
  </si>
  <si>
    <t>JUIKAR</t>
  </si>
  <si>
    <t>Urvi Rajesh Juikar</t>
  </si>
  <si>
    <t>urvi.juikar17@gmail.com</t>
  </si>
  <si>
    <t>p25700446@student.nicmar.ac.in</t>
  </si>
  <si>
    <t>17-Jan-2002</t>
  </si>
  <si>
    <t>8308 4756 2316</t>
  </si>
  <si>
    <t>RAJESH NARHARI JUIKAR</t>
  </si>
  <si>
    <t>VINAYA RAJESH JUIKAR</t>
  </si>
  <si>
    <t>At-Pandvadevi, Po-Poynad, Tal-Alibag, Dist-Raigad</t>
  </si>
  <si>
    <t>K.E.S ENGLISH MEDIUM SCHOOL, PEZARI</t>
  </si>
  <si>
    <t>K.E.S N.N. PATIL JUNIOR COLLEGE, POYNAD</t>
  </si>
  <si>
    <t>SARDAR PATEL COLLEGE OF ENGINEERING, ANDHERI</t>
  </si>
  <si>
    <t>2025-Mar</t>
  </si>
  <si>
    <t>MS Office,MS Project,Primavera,CostX</t>
  </si>
  <si>
    <t>Godrej Properties Limited | Planning Engineer   | Panvel | May 2026 | Jul 2026 | 9.7142857142857 Weeks | Campus Internship</t>
  </si>
  <si>
    <t>P25700447</t>
  </si>
  <si>
    <t>KANISHKA</t>
  </si>
  <si>
    <t>Kanishka Pratap Singh</t>
  </si>
  <si>
    <t>kanishka.ps55@gmail.com</t>
  </si>
  <si>
    <t>p25700447@student.nicmar.ac.in</t>
  </si>
  <si>
    <t>12-Jan-2001</t>
  </si>
  <si>
    <t>ENGLISH HINDI</t>
  </si>
  <si>
    <t>6004 3906 6011</t>
  </si>
  <si>
    <t>NARENDRA KUMAR SINGH</t>
  </si>
  <si>
    <t>MADHU SINGH</t>
  </si>
  <si>
    <t>104 Mega Dream Homes Karamchari Nagar Mini Bypass Road Bareilly</t>
  </si>
  <si>
    <t>Bareilly</t>
  </si>
  <si>
    <t>DELHI PUBLIC SCHOOL BAREILLY</t>
  </si>
  <si>
    <t>DR. APJ ABDUL KALAM TECHNICAL UNIVERSITY, LUCKNOW, UTTAR PRADESH</t>
  </si>
  <si>
    <t>G.L. BAJAJ INSTITUTE OF TECHNOLOGY AND MANAGEMENT, GREATER NOIDA, UTTAR PRADESH</t>
  </si>
  <si>
    <t>Consultadd | Management Trainee Engineer | pune | Jul 2022 | Oct 2022 | 0Y 3M | 5</t>
  </si>
  <si>
    <t>HILTI India | Summer Intern | Jaipur, Rajasthan | May 2026 | Jul 2026 | 8.5714285714286 Weeks | Campus Internship</t>
  </si>
  <si>
    <t>Coursera Spreadsheet for beginners</t>
  </si>
  <si>
    <t>P25700448</t>
  </si>
  <si>
    <t>HEMACHANDRAN</t>
  </si>
  <si>
    <t>C R</t>
  </si>
  <si>
    <t>Hemachandran C R</t>
  </si>
  <si>
    <t>crhemachandran@gmail.com</t>
  </si>
  <si>
    <t>p25700448@student.nicmar.ac.in</t>
  </si>
  <si>
    <t>17-Nov-2000</t>
  </si>
  <si>
    <t>ENGLISH, TELUGU, HINDI, TAMIL</t>
  </si>
  <si>
    <t>5375 9164 5299</t>
  </si>
  <si>
    <t>RAMAKISHAN R</t>
  </si>
  <si>
    <t>RETIRED FROM GOVERNMENT SERVICES</t>
  </si>
  <si>
    <t>RADHIKA R</t>
  </si>
  <si>
    <t>SENIOR ANALYST IN SOFTWARE DEVELOPMENT AT ACCENTURE SOLUTIONS PVT. LTD</t>
  </si>
  <si>
    <t>25/1, N.I.A. POST OFFICE,_x000D_
BALEWADI, PUNE â€“ 411045,_x000D_
MAHARASHTRA, INDIA</t>
  </si>
  <si>
    <t>W-Block First Street ; Number - 31/4 ; Annanagar ; Chennai-40</t>
  </si>
  <si>
    <t>S B O A SCHOOL &amp; JR COLLEGE</t>
  </si>
  <si>
    <t>D A V MATRIC HR SEC SCHOOL</t>
  </si>
  <si>
    <t>COLLEGE OF ENGINEERING GUINDY, CHENNAI</t>
  </si>
  <si>
    <t>Total Environment Building System Private Limited | Senior Executive as a Project Operation Coordinator | Bangalore | Jun 2024 | Jun 2025 | 1Y 0M | 6.5</t>
  </si>
  <si>
    <t>DELOITTE TOUCHE TOHMATSU INDIA LLP | Intern - Project Monitoring | Chennai | May 2026 | Jul 2026 | 8.5714285714286 Weeks | Campus Internship
EVERSENDAI CONSTRUCTIONS PRIVATE LIMITED | Intern | Chennai | Jul 2023 | Jul 2023 | 4.2857142857143 Weeks</t>
  </si>
  <si>
    <t>AutoCAD, Revit
Project Management Training using MS Project</t>
  </si>
  <si>
    <t>P25700449</t>
  </si>
  <si>
    <t>SHANTANU</t>
  </si>
  <si>
    <t>SARULE</t>
  </si>
  <si>
    <t>Shantanu Shivaji Sarule</t>
  </si>
  <si>
    <t>shantanu1187@gmail.com</t>
  </si>
  <si>
    <t>p25700449@student.nicmar.ac.in</t>
  </si>
  <si>
    <t>20-Mar-2003</t>
  </si>
  <si>
    <t>ENGLISH MARATHI HINDI</t>
  </si>
  <si>
    <t>7062 2310 0943</t>
  </si>
  <si>
    <t>SHIVAJI SARULE</t>
  </si>
  <si>
    <t>JYOTI SARULE</t>
  </si>
  <si>
    <t>Vikram Nagar Latur Maharashtra</t>
  </si>
  <si>
    <t>KESHAVRAJ VIDHYALAY LATUE</t>
  </si>
  <si>
    <t>SSC BOARD MAHARASHTRA LATUR MAHARASHTRA</t>
  </si>
  <si>
    <t>RAJARSHI SHAHU MAHAVIDHYALAY</t>
  </si>
  <si>
    <t>HSC BOARD LATUR MAHARASHTRA</t>
  </si>
  <si>
    <t>MIT WPU</t>
  </si>
  <si>
    <t>MIT WPU PUNE</t>
  </si>
  <si>
    <t>SHRI SWAMI DEVELOPERS | Jr Engineer | Akola | Jan 2025 | May 2025 | 20.285714285714 Weeks</t>
  </si>
  <si>
    <t>P25700450</t>
  </si>
  <si>
    <t>VASAIKAR</t>
  </si>
  <si>
    <t>RAMESHBHAI</t>
  </si>
  <si>
    <t>Vasaikar Ritesh Rameshbhai</t>
  </si>
  <si>
    <t>riteshvasaikar64@gmail.com</t>
  </si>
  <si>
    <t>p25700450@student.nicmar.ac.in</t>
  </si>
  <si>
    <t>21-Feb-2000</t>
  </si>
  <si>
    <t>Marathi, Gujarati, Hindi, English</t>
  </si>
  <si>
    <t>8817 8900 0288</t>
  </si>
  <si>
    <t>RAMESHBHAI VASAIKAR</t>
  </si>
  <si>
    <t>RAHSHREEBEN VASAIKAR</t>
  </si>
  <si>
    <t>A-25, MANGALTIRTH SOCIETY,_x000D_
OPP. AMITY SCHOOL,_x000D_
DAHEJ BYPASS ROAD,_x000D_
BHARUCH.</t>
  </si>
  <si>
    <t>Bharuch</t>
  </si>
  <si>
    <t>AMITY SCHOOL</t>
  </si>
  <si>
    <t>GUJARAT SECONDARY AND HIGHER SECONDARY EDUCATION BOARD</t>
  </si>
  <si>
    <t>PRATHNA VIDHYALAY</t>
  </si>
  <si>
    <t>SHRI S'AD VIDYA MANDAL INSTITUTE OF TECHNOLOGY, BHARUCH</t>
  </si>
  <si>
    <t>AutoCAD,MS Office,MS Project,Primavera,QUANTITY ESTIMATION,BBS,MS EXCEL,MS WORD,MS POWERPOINT</t>
  </si>
  <si>
    <t>GROWSTONE VENTURES LLP. | JUNIOR ENGINEER | JM Road, Shivajinagar, Pune. | Jun 2024 | Jun 2025 | 1Y 0M | 1.8</t>
  </si>
  <si>
    <t>Sobha India Limited | Intern - Project Management  | GIFT City, Gandhinagar | May 2026 | Jul 2026 | 9 Weeks | Campus Internship</t>
  </si>
  <si>
    <t>PROJECT PLANNING USING MICROSOFT PROJECT
QUANTITY SURVEYING AND PROJECT BILLING USING MS-EXCEL
POST GRADUATE PROGRAM IN CONSTRUCTION PROJECT MANAGEMENT</t>
  </si>
  <si>
    <t>P25700451</t>
  </si>
  <si>
    <t>DANGE</t>
  </si>
  <si>
    <t>Mayank Kumar Dange</t>
  </si>
  <si>
    <t>dange.mayank03@gmail.com</t>
  </si>
  <si>
    <t>p25700451@student.nicmar.ac.in</t>
  </si>
  <si>
    <t>09-Jun-2000</t>
  </si>
  <si>
    <t>2976 3773 5618</t>
  </si>
  <si>
    <t>DINESH DANGE</t>
  </si>
  <si>
    <t>SHOBHA DANGE</t>
  </si>
  <si>
    <t>HN 40 Ojha Colony Street No. 4</t>
  </si>
  <si>
    <t>Nagda</t>
  </si>
  <si>
    <t>ADITYA BIRLA SENIOR SECONDARY SCHOOL</t>
  </si>
  <si>
    <t>CENTREL BOARD OF SECONDARY EDUCATION, MADHYA PRADESH</t>
  </si>
  <si>
    <t>SCHOOL OF ARCHITECTURE, IPS ACADEMY</t>
  </si>
  <si>
    <t>AutoCAD,MS Office,MS Project,LUMION,V-RAY,ENSCAPE,RHINO,GRASSHOPPER,PHOTOSHOP,3DS MAX,REVIT ARCHITECTURE,TWINMOTION,SKETCHUP</t>
  </si>
  <si>
    <t>SINGHANIA BUILDCON | Site Execution | Raipur | May 2026 | Jul 2026 | 8.7142857142857 Weeks | Campus Internship
JDA ARCHITECTS | Architectural Intern | NAGPUR | Feb 2024 | Jun 2024 | 21.428571428571 Weeks
THE DESIGN CHARRETTE | Architectural Intern | INDORE | Jul 2023 | Dec 2023 | 21.857142857143 Weeks</t>
  </si>
  <si>
    <t>INTERNATIONAL ARCHITECTURAL CONFERENCE
SKETCHUP AND VRAY
PHOTOSHOP
LUMION
AUTOCAD
3DS MAX
REVIT ARCHITECTURE</t>
  </si>
  <si>
    <t>P25700452</t>
  </si>
  <si>
    <t>REGIKUMAR</t>
  </si>
  <si>
    <t>Rohan Regikumar</t>
  </si>
  <si>
    <t>rohanregi99@gmail.com</t>
  </si>
  <si>
    <t>p25700452@student.nicmar.ac.in</t>
  </si>
  <si>
    <t>MALAYALAM, ENGLISH, HINDI, TAMIL</t>
  </si>
  <si>
    <t>2890 3514 8381</t>
  </si>
  <si>
    <t>REHIKUMAR K</t>
  </si>
  <si>
    <t>GENERAL MANAGER</t>
  </si>
  <si>
    <t>MANJULA PAVITHRAN</t>
  </si>
  <si>
    <t>CHIEF MANAGER</t>
  </si>
  <si>
    <t>ROOM 339, SILVER JUBILEE HOSTEL, NICMAR UNIVERSITY</t>
  </si>
  <si>
    <t>ARRA 53, INDRANEELAM, ROYAL GARDEN, ADHAPPILLY RD, VENNALA, KOCHI, ERNAKULAM, KERALA</t>
  </si>
  <si>
    <t>BHAVANS ADARSHA VIDHYALAYA</t>
  </si>
  <si>
    <t>KERALA</t>
  </si>
  <si>
    <t>AutoCAD,MS Office,MS Project,Primavera,Candy,Revit Arch,Revit Structure,Navisworks</t>
  </si>
  <si>
    <t>RELIANCE JIO INFOCOM LTD | SENIOR TOWER ENGINEER | KOCHI, KERALA | Sep 2023 | Jun 2025 | 1Y 9M | 3</t>
  </si>
  <si>
    <t>Embassy developments limited  | Summer intern-procurement and contracts  | Mumbai  | May 2026 | Jul 2026 | 8.2857142857143 Weeks | Campus Internship</t>
  </si>
  <si>
    <t>P25700453</t>
  </si>
  <si>
    <t>UDAY</t>
  </si>
  <si>
    <t>AINCHWAR</t>
  </si>
  <si>
    <t>Pranay Uday Ainchwar</t>
  </si>
  <si>
    <t>pranay591999@gmail.com</t>
  </si>
  <si>
    <t>p25700453@student.nicmar.ac.in</t>
  </si>
  <si>
    <t>05-Sep-1999</t>
  </si>
  <si>
    <t>9679 4909 2141</t>
  </si>
  <si>
    <t>UDAY AINCHWAR</t>
  </si>
  <si>
    <t>VANITA  AINCHWAR</t>
  </si>
  <si>
    <t>Ward No 3, Bhangaram Talodhi Ta. Gondpipari</t>
  </si>
  <si>
    <t>SHREE SWAMINARAYAN GURUKUL VIDYALAYA</t>
  </si>
  <si>
    <t>CENTRAL BOARD OF SECONDARY EDUCATION, HYDERABAD</t>
  </si>
  <si>
    <t>SHIKSHAN MAHARSHI LATE SHRIHARI JIWATODE JUNIOR COLLEGE</t>
  </si>
  <si>
    <t>MAHARASHTRA STATE BOARD OF SECONDARY AND HIGHER SECONDARY EDUCATION, CHANDRAPUR</t>
  </si>
  <si>
    <t>PRIYADARSHINI COLLEGE OF ENGINEERING, NAGPUR</t>
  </si>
  <si>
    <t>AutoCAD,MS Office,MS Project,Primavera P6,Revit,CostX,Cet Configura Software</t>
  </si>
  <si>
    <t>HNI India Pvt. Ltd. | GET, Design &amp; Proposal | Nagpur, Maharashtra | Feb 2024 | Jun 2025 | 1Y 4M | 2.5</t>
  </si>
  <si>
    <t>SANGAM ENGINEERS | SITE EXECUTION &amp; PROJECT CONTROLS INTERN | Vapi, Gujrat | May 2026 | Jul 2026 | 8.7142857142857 Weeks | Campus Internship
CONCRETE TECHNO | INTERN  | CHANDRAPUR, MAHARASHTRA  | Jul 2021 | Aug 2021 | 4.2857142857143 Weeks</t>
  </si>
  <si>
    <t>Construction Equipment Maintenance &amp; Safety by L&amp;T
Foundations of Project Management
Data Analysis
Work Smarter with Microsoft Excel
Finance for Non-Financial Managers
Ethics in Engineering Practise
Green Building Assessment &amp; Certification by L&amp;T</t>
  </si>
  <si>
    <t>P25700454</t>
  </si>
  <si>
    <t>KIRUTHIK</t>
  </si>
  <si>
    <t>P G</t>
  </si>
  <si>
    <t>Kiruthik P G</t>
  </si>
  <si>
    <t>kiruthikpg@gmail.com</t>
  </si>
  <si>
    <t>p25700454@student.nicmar.ac.in</t>
  </si>
  <si>
    <t>28-Jul-2003</t>
  </si>
  <si>
    <t>TAMIL,ENGLISH</t>
  </si>
  <si>
    <t>5488 4253 4199</t>
  </si>
  <si>
    <t>GUNASEKARAN R</t>
  </si>
  <si>
    <t>PROPRIETOR</t>
  </si>
  <si>
    <t>KAVITHA G</t>
  </si>
  <si>
    <t>NO-4/171-1,PON NAGAR_x000D_
ANDANKOVIL EAST_x000D_
Andankovil East</t>
  </si>
  <si>
    <t>Karur</t>
  </si>
  <si>
    <t>SHREE SARAS SWATHI VIDHYAAH MANDHEER SCHOOL</t>
  </si>
  <si>
    <t>CENTRAL BOARD OF SECONDARY EDUCATION COIMBATORE</t>
  </si>
  <si>
    <t>PSG COLLEGE OF TECHNOLOGY</t>
  </si>
  <si>
    <t>AutoCAD,MS Office,Python,C++</t>
  </si>
  <si>
    <t>L&amp;T GeoStructure | Management Intern | Chennai  | May 2026 | Jul 2026 | 8.5714285714286 Weeks | Campus Internship
ATM ASSOCIATES | Site Supervision | Karur | May 2024 | Jun 2024 | 4.4285714285714 Weeks</t>
  </si>
  <si>
    <t>P25700455</t>
  </si>
  <si>
    <t>Akshay Raghunath Nawale</t>
  </si>
  <si>
    <t>arnawale.social@gmail.com</t>
  </si>
  <si>
    <t>p25700455@student.nicmar.ac.in</t>
  </si>
  <si>
    <t>29-Jul-1996</t>
  </si>
  <si>
    <t>2884 3355 1773</t>
  </si>
  <si>
    <t>VITHALWADI, DEHUGAON, HAVELI</t>
  </si>
  <si>
    <t>Shivajinagar, Dhumalwadi</t>
  </si>
  <si>
    <t>MARUTIRAO KOTE ABHINAV PUBLIC SCHOOL, AKOLE</t>
  </si>
  <si>
    <t>DR. DEVENDRA AMRUTLAL OHARA JUNIOR COLLEGE, SANGAMNER</t>
  </si>
  <si>
    <t>IMPERIAL COLLEGE OF ENGINEERING AND RESEARCH, PUNE</t>
  </si>
  <si>
    <t>AutoCAD,MS Office,MS Project,Primavera,MS Excel,Revit Architecture</t>
  </si>
  <si>
    <t>Sunil Babanrao Datir Engineers &amp; Contractors | Civil Engineer | Akole | Jan 2021 | Sep 2023 | 2Y 8M | 3
Sudhir V. Katore Engineer &amp; Govt. Contractor | Civil Engineer (Project Engineering) | Pune | Nov 2023 | Dec 2024 | 1Y 1M | 2.1</t>
  </si>
  <si>
    <t>ANAROCK Property Consultants Pvt. Ltd. | Project Management &amp; Engineering Services (PMES) Intern | Bangalore, Karnataka | May 2026 | Jul 2026 | 8.7142857142857 Weeks | Campus Internship</t>
  </si>
  <si>
    <t>Construction Project Management
Generative AI for Project Managers (Specialization)
digiQC Project Admin (Scholar)
Construction Equipment Maintenance &amp; Safety
Successful Negotiation: Essential Strategies and Skills
Legal Contracts and Agreements for Entrepreneurs
Draft Commercial Contracts: Checklists
Climate Change, Sustainability, and Global Public Health
Data Analysis
Generative AI Mastermind
Finance For Non-Financial Manager (Coursera)
Real Estate Project Quantity Surveying
AutoCAD 2D Drafting
Revit Architecture
Basic Course of Disaster Management</t>
  </si>
  <si>
    <t>P25700456</t>
  </si>
  <si>
    <t>SUMEET</t>
  </si>
  <si>
    <t>RUNWAL</t>
  </si>
  <si>
    <t>Sumeet Sachin Runwal</t>
  </si>
  <si>
    <t>sumeetrunwal0269@gmail.com</t>
  </si>
  <si>
    <t>p25700456@student.nicmar.ac.in</t>
  </si>
  <si>
    <t>28-Nov-1997</t>
  </si>
  <si>
    <t>English, Hindi, Marathi.</t>
  </si>
  <si>
    <t>7295 8233 0903</t>
  </si>
  <si>
    <t>SACHIN  SHANTILAL RUNWAL</t>
  </si>
  <si>
    <t>RAKHEE SACHIN RUNWAL</t>
  </si>
  <si>
    <t>PLOT NO. 56, VIKAS COLONY, NEAR INCOME TAX OFFICE, SAKRI ROAD, DHULE</t>
  </si>
  <si>
    <t>1735, Runwal Ledij Shopping, Agra Road, Dhule.</t>
  </si>
  <si>
    <t>CANOSSA CONVENT HIGH SCHOOL</t>
  </si>
  <si>
    <t>NASHIK DIVISIONAL BOARD</t>
  </si>
  <si>
    <t>SHRI NANA SAHEB ZULAL ZULAL BHILAJIRAO PATIL HIGHER SECONDARY SCHOOL</t>
  </si>
  <si>
    <t>SHRI SHIVAJI VIDYA PRASARAK SANSTHA'S BAPUSAHEB SHIVAJIRAO DEORE POLYTECHNIC, DHULE</t>
  </si>
  <si>
    <t>R. C. PATEL INSTITUTE OF TECHNOLOGY, SHIRPUR.</t>
  </si>
  <si>
    <t>Runwal groups | Junior Engineer | Mumbai | Oct 2022 | Jul 2025 | 2Y 9M | 4.42</t>
  </si>
  <si>
    <t>2 Years 9 Months</t>
  </si>
  <si>
    <t>Shilpkar Construction Pvt. Ltd. | Project planning and Management intern | Delhi | May 2026 | Jun 2026 | 8.1428571428571 Weeks | Campus Internship
Runwal Group | General Trainee Engineer | Mumbai | Mar 2022 | Sep 2022 | 26.285714285714 Weeks</t>
  </si>
  <si>
    <t>AutoCADD</t>
  </si>
  <si>
    <t>P25700457</t>
  </si>
  <si>
    <t>ABI</t>
  </si>
  <si>
    <t>SHRIYA V</t>
  </si>
  <si>
    <t>Abi Shriya V</t>
  </si>
  <si>
    <t>shriyavenki22@gmail.com</t>
  </si>
  <si>
    <t>p25700457@student.nicmar.ac.in</t>
  </si>
  <si>
    <t>22-May-2004</t>
  </si>
  <si>
    <t>English and Tamil</t>
  </si>
  <si>
    <t>6296 0640 6516</t>
  </si>
  <si>
    <t>VENKATESWARAN R</t>
  </si>
  <si>
    <t>SOUTHERN RAILWAY</t>
  </si>
  <si>
    <t>SATHYA PRIYA V</t>
  </si>
  <si>
    <t>No 2, Ramalingam Illam , Reddy Nagar 4th Cross Street, Olaiyur Main, Kk Nagar, Tiruchirappalli</t>
  </si>
  <si>
    <t>Tiruchirappalli</t>
  </si>
  <si>
    <t>JEGAN MATHA MATRIC HR. SEC. SCHOOL</t>
  </si>
  <si>
    <t>STATE BOARD OF SCHOOL EXAMINATION, TAMIL NADU</t>
  </si>
  <si>
    <t>AutoCAD,MS Project,STAAD PRO,Ansys,ABAQUS,MS Office</t>
  </si>
  <si>
    <t>Agami Realty | Site execution | Mumbai | May 2026 | Jul 2026 | 7.8571428571429 Weeks | Campus Internship</t>
  </si>
  <si>
    <t>Construction Equipment Maintenance &amp; Safety
Lean Six Sigma - Green Belt</t>
  </si>
  <si>
    <t>P25700458</t>
  </si>
  <si>
    <t>HARSHIT</t>
  </si>
  <si>
    <t>Kumar Harshit</t>
  </si>
  <si>
    <t>koulharshit03@gmail.com</t>
  </si>
  <si>
    <t>p25700458@student.nicmar.ac.in</t>
  </si>
  <si>
    <t>11-Oct-2001</t>
  </si>
  <si>
    <t>5526 7333 7635</t>
  </si>
  <si>
    <t>SANJAY KUMAR</t>
  </si>
  <si>
    <t>DENTAL ASSISITANT IN GOVT HOSPITAL</t>
  </si>
  <si>
    <t>RAJNI</t>
  </si>
  <si>
    <t>H. No 4 Vassant Enclave Gole Gujral Camp Road Jammu</t>
  </si>
  <si>
    <t>Jammu</t>
  </si>
  <si>
    <t>Jammu Kashmir</t>
  </si>
  <si>
    <t>SOS HERMANN GMEINER SCHOOL</t>
  </si>
  <si>
    <t>JC BOSE UNIVERSITY OF SCIENCE AND TECHNOLOGY, FARIDABAD</t>
  </si>
  <si>
    <t>YMCA, HARYANA</t>
  </si>
  <si>
    <t>AutoCAD, MS Office, MS Project, Video Editing, Problem Solving</t>
  </si>
  <si>
    <t>Shilpkar Construction Pvt. Ltd. | Project Planning and Management Intern | Sarita Vihar | May 2026 | Jun 2026 | 8.1428571428571 Weeks | Campus Internship
KRC Infraprojects pvt. ltd. | Engineer Trainee | Dehradun | Jan 2024 | Jul 2024 | 26 Weeks</t>
  </si>
  <si>
    <t>Six Sigma Green Belt
Project Management in Construction
Basic Construction Materials
Risk Job Simulation
Data Analysis by S.P.J.I.M.R.
Preparing Data for Analysis with Microsoft Excel
Principles of Management
Wildlife Ecology
E-Business
Intellectual Property</t>
  </si>
  <si>
    <t>P25700459</t>
  </si>
  <si>
    <t>HARSHAL</t>
  </si>
  <si>
    <t>Harshal Dilip Patil</t>
  </si>
  <si>
    <t>hdharshalpatil@gmail.com</t>
  </si>
  <si>
    <t>p25700459@student.nicmar.ac.in</t>
  </si>
  <si>
    <t>26-May-2001</t>
  </si>
  <si>
    <t>4850 6062 5772</t>
  </si>
  <si>
    <t>JAYA</t>
  </si>
  <si>
    <t>4, Dattadurga Nagar, Dr. Hedgewar Nagar, Dharangaon</t>
  </si>
  <si>
    <t>SARJAI DAMODAR KUDE HIGHSCHOOL, DHARANGAON</t>
  </si>
  <si>
    <t>SECONDARY SCHOOL CERTIFICATE EXAMINATION - NASHIK DIVISIONAL BOARD</t>
  </si>
  <si>
    <t>ARTS, COMMERCE AND SCIENCE COLLEGE, DHARANGAON</t>
  </si>
  <si>
    <t>HIGHER SECONDARY CERTIFICATE EXAMINATION - NASHIK DIVISIONAL BOARD</t>
  </si>
  <si>
    <t>G H RAISONI COLLEGE OF ENGINEERING AND MANAGEMENT, PUNE</t>
  </si>
  <si>
    <t>AutoCAD,MS Office,MS Project,Primavera,ArcGIS,SketchUp,Revit,CostX</t>
  </si>
  <si>
    <t>Acotech Consultants Private Limited | Contract Engineer | Mumbai | Aug 2023 | Jun 2025 | 1Y 9M | 4.75</t>
  </si>
  <si>
    <t>MASIN PROJECTS PRIVATE LIMITED | Summer Intern – Delay &amp; Quantum Analysis | Navi Mumbai | May 2026 | Jul 2026 | 8.7142857142857 Weeks | Campus Internship
CSIR - National Environmental Engineering Research Institute | Intern | Nagpur | Dec 2022 | Jun 2023 | 25.857142857143 Weeks</t>
  </si>
  <si>
    <t>Databricks Fundamentals Accreditation by Databricks, June 2025
GIS (Elite Mode) NPTEL by IIT Roorkee
Contract Management by The World Bank Group
Construction Project Management by Columbia University (Coursera), June 2025
Generative AI Overview for Project Managers by Project Management Institute (PMI), 2025
Finance for Non-Financial Managers - EMORY University (Coursera)
Construction Contract Management - Udemy
Data Analysis by S.P.J.I.M.R.</t>
  </si>
  <si>
    <t>P25700460</t>
  </si>
  <si>
    <t>KOUSHIK</t>
  </si>
  <si>
    <t>ARUNASALAM</t>
  </si>
  <si>
    <t>Koushik Arunasalam</t>
  </si>
  <si>
    <t>aksince2k4@gmail.com</t>
  </si>
  <si>
    <t>p25700460@student.nicmar.ac.in</t>
  </si>
  <si>
    <t>25-May-2004</t>
  </si>
  <si>
    <t>7651 7370 5778</t>
  </si>
  <si>
    <t>AMUTHA</t>
  </si>
  <si>
    <t>13/54, JAYAM GARDEN, RAKKIYAPLAYAM, AVINASHI, TIRUPPUR</t>
  </si>
  <si>
    <t>Tiruppur</t>
  </si>
  <si>
    <t>SRI SHAKTHI INTERNATIONAL SCHOOL</t>
  </si>
  <si>
    <t>COIMBATORE/TAMIL NADU</t>
  </si>
  <si>
    <t>VELLORE/TAMIL NADU</t>
  </si>
  <si>
    <t>Larsen &amp; Tubro limited construction ( heavy civil infrastructure ) | Management intern  | Chennai | May 2026 | Jul 2026 | 8.7142857142857 Weeks | Campus Internship
ECO PROTECTION ENGINEERING PVT.LTD | TRAINEE  | FAIZABAD, LUCKNOW, UTTER PRADESH | Sep 2023 | Oct 2023 | 4.2857142857143 Weeks</t>
  </si>
  <si>
    <t>Wild Life Ecology
Forests and their Management
Conservation Economics
Python Beginner Course
Finance for Non-Financial Managers
AutoCad</t>
  </si>
  <si>
    <t>P25700461</t>
  </si>
  <si>
    <t>SHANTARAM</t>
  </si>
  <si>
    <t>Yash Shantaram Kamble</t>
  </si>
  <si>
    <t>kambleyash6241@gmail.com</t>
  </si>
  <si>
    <t>p25700461@student.nicmar.ac.in</t>
  </si>
  <si>
    <t>27-Jun-2003</t>
  </si>
  <si>
    <t>7037 2460 5343</t>
  </si>
  <si>
    <t>HOUSE- WIFE</t>
  </si>
  <si>
    <t>At/ Navingar, Post-kangoan, Tal - Daund, Dis- Pune</t>
  </si>
  <si>
    <t>SHRI GOPINATH SECONDARY HIGHER SECONDARY &amp; TECHNICAL SCHOOL, VARVAND</t>
  </si>
  <si>
    <t>MAHARASHTRA STATE BOARD OF SECONDARY AND HIGHER SECONDARY EDUCATION, PUNE MAHARASHTRA</t>
  </si>
  <si>
    <t>GOVERNMENT POLYTECHNIC PUNE, MAHARASHTRA</t>
  </si>
  <si>
    <t>SINHGAD INSTITUTE OF TECHNOLOGY AND SCIENCE, PUNE MAHARASHTRA</t>
  </si>
  <si>
    <t>AutoCAD,MS Office,MS Project,Primavera,Revit Architecture,Revit Structure,Revit MEP</t>
  </si>
  <si>
    <t>PSP Projects Limited | Civil Intern  | Mahim, Dharavi, Mumbai, Maharashtra | May 2026 | Jul 2026 | 8.7142857142857 Weeks | Campus Internship
RAJAT UDAY FADTARE CIVIL ENGINEERS AND GOVT. CONTRACTOR | SITE ENGINEER | TAL-DAUND, PUNE | Dec 2023 | Jan 2024 | 4.4285714285714 Weeks</t>
  </si>
  <si>
    <t>PROFESSIONAL DIPLOMA IN CIVIL CAD (PDCC)</t>
  </si>
  <si>
    <t>P25700462</t>
  </si>
  <si>
    <t>REETIK</t>
  </si>
  <si>
    <t>Reetik Anand</t>
  </si>
  <si>
    <t>reetikanand9@gmail.com</t>
  </si>
  <si>
    <t>p25700462@student.nicmar.ac.in</t>
  </si>
  <si>
    <t>25-Mar-1998</t>
  </si>
  <si>
    <t>8849 5497 4490</t>
  </si>
  <si>
    <t>AJAY ANAND</t>
  </si>
  <si>
    <t>KAVITA ANAND</t>
  </si>
  <si>
    <t>D-704, YASHWIN HINJEWADI, PHASE - 2</t>
  </si>
  <si>
    <t>E-92, P.C. Colony, Kankarbagh, Lohiya Nagar</t>
  </si>
  <si>
    <t>ST. DOMINIC SAVIOS HIGH SCHOOL</t>
  </si>
  <si>
    <t>CENTRAL BOARD OF SECONDARY EDUCATION, BIHAR</t>
  </si>
  <si>
    <t>SHIVAM CONVENT SCHOOL</t>
  </si>
  <si>
    <t>AutoCAD,MS Office,MS Project,Digital Marketing,Python Programming Language</t>
  </si>
  <si>
    <t>Ram Kripal Singh Construction, Pvt. Ltd | Site , Billing &amp; Estimation Enginner | Patna | Nov 2023 | Dec 2024 | 1Y 1M | 1.8</t>
  </si>
  <si>
    <t>VSL India Private Limited | Site Execution | Patna | May 2026 | Jul 2026 | 8.7142857142857 Weeks | Campus Internship
SOLYTICS PARTNER | DATA RESEARCH CONSULTANT | REMOTE | Jan 2025 | Jul 2025 | 27.857142857143 Weeks</t>
  </si>
  <si>
    <t>Basic Digital Marketing Workshop</t>
  </si>
  <si>
    <t>P25700463</t>
  </si>
  <si>
    <t>KASHISHA</t>
  </si>
  <si>
    <t>PRABHAKAR</t>
  </si>
  <si>
    <t>Kashisha Prabhakar Kapse</t>
  </si>
  <si>
    <t>kashishakapse04@gmail.com</t>
  </si>
  <si>
    <t>p25700463@student.nicmar.ac.in</t>
  </si>
  <si>
    <t>7459 5345 0388</t>
  </si>
  <si>
    <t>PRABHAKAR SHRIRAM KAPSE</t>
  </si>
  <si>
    <t>DEEPTI PRABHAKAR KAPSE</t>
  </si>
  <si>
    <t>KABIRA APARTMENT, PLOT NO. 97, INDRAPRASTH SOCIETY, FLAT NO. 201,OMKAR NAGAR, NAGPUR</t>
  </si>
  <si>
    <t>NO. 43, NEAR N. M. C. SCHOOL, NEW BIDPETH, Ayodhya Nagar, Nagpur, Maharashtra, 440024</t>
  </si>
  <si>
    <t>KENDRIYA VIDYALAY, AJNI, NAGPUR</t>
  </si>
  <si>
    <t>TAYWADE JUNIOR COLLEGE, KORADI, NAGPUR</t>
  </si>
  <si>
    <t>RASHTRASANT TUKADOJI MAHARAJ NAGPUR UNIVERSITY (RTMNU)</t>
  </si>
  <si>
    <t>YASHWANTRAO CHAVAN COLLEGE OF ENGINEERING, NAGPUR, MAHARASHTRA</t>
  </si>
  <si>
    <t>AutoCAD,MS Project,Revit architecture,StaadPro</t>
  </si>
  <si>
    <t>New Consolidated Construction Company Ltd. | Planning intern  | Mumbai  | May 2026 | Jul 2026 | 8.7142857142857 Weeks | Campus Internship
PUBLIC WORKS DEPARTMENT | INTERN | NAGPUR | Jan 2025 | Apr 2025 | 15 Weeks</t>
  </si>
  <si>
    <t>P25700464</t>
  </si>
  <si>
    <t>SHIVA KRISHNA</t>
  </si>
  <si>
    <t>ARURI</t>
  </si>
  <si>
    <t>Shiva Krishna Aruri</t>
  </si>
  <si>
    <t>shivakrishna.aruri08@gmail.com</t>
  </si>
  <si>
    <t>p25700464@student.nicmar.ac.in</t>
  </si>
  <si>
    <t>12-Aug-2001</t>
  </si>
  <si>
    <t>English, Telugu &amp; Hindi</t>
  </si>
  <si>
    <t>9706 2950 9993</t>
  </si>
  <si>
    <t>SARANGAPANI</t>
  </si>
  <si>
    <t>GOVT. JOB</t>
  </si>
  <si>
    <t>H.No:6-85/2, Tharalapalli, Kazipet, Hanamkonda, Telangana 506003</t>
  </si>
  <si>
    <t>Hanamkonda</t>
  </si>
  <si>
    <t>SACRED HEART EM HIGH SCHOOL</t>
  </si>
  <si>
    <t>SVS POLYTECHNIC, TELANGANA</t>
  </si>
  <si>
    <t>BHARATH UNIVERSITY</t>
  </si>
  <si>
    <t>BHARATH INSTITUTE OF HIGHER EDUCATION AND RESEARCH, TAMILNADU</t>
  </si>
  <si>
    <t>Oracle Primavera, MS Project, Revit, AutoCAD, MS Office</t>
  </si>
  <si>
    <t>Karunya Constructions | Junior Engineer | Warangal | May 2024 | May 2025 | 1Y 0M | 2.04</t>
  </si>
  <si>
    <t>Kattu Construction Technology Services LLP | Project Management Intern | New BEL Road, Bangalore | May 2026 | Jul 2026 | 8.7142857142857 Weeks | Campus Internship
OFFICE OF EXECUTIVE ENGINEER (R&amp;B) NH DIVISION | INTERNSHIP | WARANGAL | Jun 2020 | Dec 2020 | 23.857142857143 Weeks</t>
  </si>
  <si>
    <t>P25700465</t>
  </si>
  <si>
    <t>Giri R</t>
  </si>
  <si>
    <t>giri752003@gmail.com</t>
  </si>
  <si>
    <t>p25700465@student.nicmar.ac.in</t>
  </si>
  <si>
    <t>07-May-2003</t>
  </si>
  <si>
    <t>English , Tamil , Malayalam</t>
  </si>
  <si>
    <t>9865 6695 4674</t>
  </si>
  <si>
    <t>RAJAGANESAN</t>
  </si>
  <si>
    <t>RETIRED DEPUTY COLLECTOR</t>
  </si>
  <si>
    <t>DEIVAYANAI</t>
  </si>
  <si>
    <t>SENIOR ELECTRICAL ENGINEER</t>
  </si>
  <si>
    <t>Plot No 30, 4th Street Indira Nagar , Medical College Road, Thanjavur</t>
  </si>
  <si>
    <t>Thanjavur</t>
  </si>
  <si>
    <t>BLOSSOM PUBLIC SCHOOL</t>
  </si>
  <si>
    <t>CENTRAL BOARD OF SECONDARY EDUCATION...THANJAVUR/TAMIL NADU</t>
  </si>
  <si>
    <t>THE VELAMMAL INTERNATIONAL SCHOOL</t>
  </si>
  <si>
    <t>CENTRAL BOARD OF SECONDARY EDUCATION, THIRUVALLUR/TAMIL NADU</t>
  </si>
  <si>
    <t>SRM UNIVERSITY</t>
  </si>
  <si>
    <t>SRM INSTITUTE OF SCIENCE AND TECHNOLOGY, KATTANKULATHUR, CHENNAI</t>
  </si>
  <si>
    <t>AutoCAD,MS Office,MS Project,Sketchup,Revit,Rhino &amp; Grasshopper,D5 Render,Adobe Photoshop,Adobe Indesign,Adobe Illustrator,Adobe After Effects,Lumion,Vray,ArcGIS</t>
  </si>
  <si>
    <t>GOA STATE INFRASTRUCTURE DEVELOPMENT CORPORATION LIMITED (GSIDC) | Site Execution Engineer | Goa | May 2026 | Jul 2026 | 8.7142857142857 Weeks | Campus Internship
BIOME ENVIRONMENTAL SOLUTIONS | FULL-TIME ARCHITECTURAL INTERN | BANGALORE | Jun 2024 | Dec 2024 | 26.285714285714 Weeks</t>
  </si>
  <si>
    <t>P25700466</t>
  </si>
  <si>
    <t>VIRAJ</t>
  </si>
  <si>
    <t>Sakshi Viraj Patil</t>
  </si>
  <si>
    <t>patilsakshi200230@gmail.com</t>
  </si>
  <si>
    <t>p25700466@student.nicmar.ac.in</t>
  </si>
  <si>
    <t>3644 6311 4962</t>
  </si>
  <si>
    <t>PRIMARY TEACHER</t>
  </si>
  <si>
    <t>GIRIRAJ DREAMS, BHASKAR COLONY, NAUPADA</t>
  </si>
  <si>
    <t>Sahjeevan Bungalow, Gandhare, Wada</t>
  </si>
  <si>
    <t>VIVEKANANDA PUBLIC SCHOOL, KHARIVALI</t>
  </si>
  <si>
    <t>VIVEKANANDA JR COLLEGE OF ARTS AND SCIENCE, KHARIVALI</t>
  </si>
  <si>
    <t>ANJUMAN-I-ISLAMS M.H SABOO SIDDIK COLLEGE OF ENGINEERING, BYCULLA</t>
  </si>
  <si>
    <t>MS Office, MS Project, AutoCAD(Basic), CostX, Revit (BIM Basic),Primavera</t>
  </si>
  <si>
    <t>Sneh Vastu Sampada | Trainee | Wada,Maharashtra | May 2026 | Jul 2026 | 8.7142857142857 Weeks | Campus Internship</t>
  </si>
  <si>
    <t>P25700467</t>
  </si>
  <si>
    <t>SURYANSH</t>
  </si>
  <si>
    <t>SONI</t>
  </si>
  <si>
    <t>Suryansh Soni</t>
  </si>
  <si>
    <t>suryanshsoni242003@gmail.com</t>
  </si>
  <si>
    <t>p25700467@student.nicmar.ac.in</t>
  </si>
  <si>
    <t>04-Feb-2004</t>
  </si>
  <si>
    <t>7776 9930 7378</t>
  </si>
  <si>
    <t>NARENDRA KUMAR SONI</t>
  </si>
  <si>
    <t>GOVERNMENT EMPOLYEE</t>
  </si>
  <si>
    <t>PRATIBHA PALLAV</t>
  </si>
  <si>
    <t>DAV Inter College Road, Chandu Ki Masjid Ke Pichhe, Mardan Naka, Kotwali Nagar, Banda</t>
  </si>
  <si>
    <t>Banda</t>
  </si>
  <si>
    <t>VIDYAWATI NIGAM MEMORIAL PUBLIC SCHOOL</t>
  </si>
  <si>
    <t>CBSE, NEW DELHI</t>
  </si>
  <si>
    <t>AutoCAD,MS Office,MS Project,Primavera,MS Excel,MS Powerpoint,ArcGIS,Power BI</t>
  </si>
  <si>
    <t>Prestige Estates Projects Limited | Site and Planning Engineer | Delhi | May 2026 | Jul 2026 | 8.5714285714286 Weeks | Campus Internship
Public Works Department (Building) Division Dhar Madhya Pradesh | Site engineer Intern | Dhar, Madhya Pradesh | Aug 2023 | Sep 2023 | 4 Weeks</t>
  </si>
  <si>
    <t>P25700468</t>
  </si>
  <si>
    <t>DEVARAJ</t>
  </si>
  <si>
    <t>MALI PATIL</t>
  </si>
  <si>
    <t>Devaraj B Mali Patil</t>
  </si>
  <si>
    <t>devarajmp327@gmail.com</t>
  </si>
  <si>
    <t>p25700468@student.nicmar.ac.in</t>
  </si>
  <si>
    <t>04-Apr-2000</t>
  </si>
  <si>
    <t>English,Kannada,Telugu,Hindi</t>
  </si>
  <si>
    <t>6305 5380 9851</t>
  </si>
  <si>
    <t>BSAVARAJ S MALI PATIL</t>
  </si>
  <si>
    <t>MAHADEVI</t>
  </si>
  <si>
    <t>AMARAPUR, SINDHANUR TALUK, RAICHUR DISTRICT.</t>
  </si>
  <si>
    <t>Raichur</t>
  </si>
  <si>
    <t>DAFFODILS CONCEPT SCHOOL</t>
  </si>
  <si>
    <t>COUNCIL FOR THE INDIAN SCHOOL CERTIFICATE EXAMINATION,  SINDHANUR, KARNATAKA</t>
  </si>
  <si>
    <t>SIR MV PU COLLEGE</t>
  </si>
  <si>
    <t>MS Office,MS Project,Primavera P6</t>
  </si>
  <si>
    <t>Bangalore Metro Rail Corporation Ltd. | Summer Intern | BENGALURU | May 2026 | Jul 2026 | 8.7142857142857 Weeks | Campus Internship
SWATHI CIVIL CONSULTANCY | INTERN | BENGALURU,YELAHANKA | Mar 2022 | Apr 2022 | 5.4285714285714 Weeks</t>
  </si>
  <si>
    <t>MS Project for civil engineering
Primavera P6</t>
  </si>
  <si>
    <t>P25700470</t>
  </si>
  <si>
    <t>KULKARNI</t>
  </si>
  <si>
    <t>Amrut Prakash Kulkarni</t>
  </si>
  <si>
    <t>kulkarniamrut098@gmail.com</t>
  </si>
  <si>
    <t>p25700470@student.nicmar.ac.in</t>
  </si>
  <si>
    <t>19-May-2003</t>
  </si>
  <si>
    <t>Kannada, Marathi, Hindi, English, German</t>
  </si>
  <si>
    <t>3211 6456 7597</t>
  </si>
  <si>
    <t>C-1001, SRK K52, Near Potnis Parisar, Karvenagar, Pune 411052</t>
  </si>
  <si>
    <t>DR. KALMADI SHAMARAO HIGH SCHOOL AND JR. COLLEGE</t>
  </si>
  <si>
    <t>AutoCAD, Revit, MS Office, MS Project, Primavera, CostX</t>
  </si>
  <si>
    <t>Cushman and Wakefield India Pvt. Ltd. | Project Management Intern | Shivajinagar, Pune 411016 | May 2026 | Jul 2026 | 8.7142857142857 Weeks | Campus Internship
ROHAN BUILDERS (INDIA) PVT. LTD. | INTERN | KHARADI, PUNE 411014 | Sep 2023 | Nov 2023 | 12.285714285714 Weeks</t>
  </si>
  <si>
    <t>Certificate in Concreting Techniques and Practices
Certificate in Mechanised Construction Techniques</t>
  </si>
  <si>
    <t>P25700471</t>
  </si>
  <si>
    <t>Aditya Gautam</t>
  </si>
  <si>
    <t>aadigautam25@gmail.com</t>
  </si>
  <si>
    <t>p25700471@student.nicmar.ac.in</t>
  </si>
  <si>
    <t>25-Aug-2000</t>
  </si>
  <si>
    <t>3542 4494 2704</t>
  </si>
  <si>
    <t>MR. SHIV GOVIND GAUTAM</t>
  </si>
  <si>
    <t>MRS. PUSHPLATA GAUTAM</t>
  </si>
  <si>
    <t>111, Pandey Gali , Gandhi Ganj, Mahatma Gandhi Ward Murwara Katni MP</t>
  </si>
  <si>
    <t>Katni</t>
  </si>
  <si>
    <t>SAINT PAUL HIGHER SEC SCHOOL, KATNI.</t>
  </si>
  <si>
    <t>CENTRAL BOARD OF SECONDARY EDUCATION, KATNI,MADHYA PRADESH.</t>
  </si>
  <si>
    <t>NOBLE HEART PUBLIC H. S. SCHOOL, KATNI.</t>
  </si>
  <si>
    <t>BOARD OF SECONDARY EDUCATION, MADHYA PRADESH.</t>
  </si>
  <si>
    <t>RAJIV GANDHI PROUDYOGIKI VISHWAVIDYALAYA, BHOPAL, MP</t>
  </si>
  <si>
    <t>ENGINEERING COLLEGE NOWGONG, CHHATARPUR</t>
  </si>
  <si>
    <t>Megha Engineering and Infrastructure Limited (MEIL) | Engineer Cons. Cord. | Agra UP | Oct 2023 | Jun 2025 | 1Y 8M | 3.48
CIVIL GURUJI PVT. LTD. | CORPORATE TRAINER | BHOPAL MP | Jan 2023 | Sep 2023 | 0Y 8M | 2.4
Sri SP ENGINEERING | Civil Site Engineer | BHOPAL MP | Jun 2022 | Oct 2022 | 0Y 4M | 1.44</t>
  </si>
  <si>
    <t>2 Years 10 Months</t>
  </si>
  <si>
    <t>Sobha Limited  | Project management intern  | Bengaluru  | May 2026 | Jul 2026 | 9 Weeks | Campus Internship</t>
  </si>
  <si>
    <t>BBS CALCULATION, BBS ADVANCE, DAILY PROGRESS REPORT, SALB RATE BILL, RECONCILIATION, PRICE ESCALATION</t>
  </si>
  <si>
    <t>P25700472</t>
  </si>
  <si>
    <t>Ganesh Ashok Shinde</t>
  </si>
  <si>
    <t>ganeshshinde7200@gmail.com</t>
  </si>
  <si>
    <t>p25700472@student.nicmar.ac.in</t>
  </si>
  <si>
    <t>09-Jun-2001</t>
  </si>
  <si>
    <t>3497 7815 4308</t>
  </si>
  <si>
    <t>ASHOK POPATRAO SHINDE</t>
  </si>
  <si>
    <t>SWATI ASHOK SHINDE</t>
  </si>
  <si>
    <t>BANKER</t>
  </si>
  <si>
    <t>SAI BUILDING FLAT NO 402, SHRIRAM NAGAR, AMBEGAON BUDRUK</t>
  </si>
  <si>
    <t>Shindemala ,Shindewadi, Shindewadi Dharmapuri Road</t>
  </si>
  <si>
    <t>BHARAT CHILDRENS ACADEMY AND JUNIOR COLLEGE</t>
  </si>
  <si>
    <t>TULJARAM CHATURCHAND COLLEGE OF ARTS, SCIENCE AND COMMERCE</t>
  </si>
  <si>
    <t>PIMPRI CHINCHWAD COLLEGE OF ENGINEERING AND RESEARCH, PIMPRI CHINCHWAD PUNE</t>
  </si>
  <si>
    <t>AutoCAD,MS Office,MS Project,Primavera,Autocad Architecture,Sketchup,Revit</t>
  </si>
  <si>
    <t>Yashada Realty | Graduate Engineer Trainee | Ravet, Pimpri Chinchwad | Aug 2023 | Dec 2023 | 0Y 4M | 1.8
Precision Precast Solutions Pvt Ltd | Designer | Baif Campus, Warje | Jul 2024 | Jul 2025 | 0Y 11M | 3.61</t>
  </si>
  <si>
    <t>New Consolidated Construction Company Limited | Planning Intern | Runwall Timeless, Pratiksha Nagar Depot Rd, Mkada Chawl, Sion East, Sion, Mumbai | May 2026 | Jul 2026 | 8.7142857142857 Weeks | Campus Internship
Rathi Developers | Intern | Tathawade | Jan 2022 | Feb 2022 | 5.4285714285714 Weeks</t>
  </si>
  <si>
    <t>Remote Sensing In Crop Monitoring And Assessment - By ISRO
Autocad 2D and 3D
Hit Office (Construction - ERP)
Geospatial technology for hydrological modelling - By ISRO
Disaster Management and Risk Reduction
Finance For Non-Financial Managers
Sustainable Construction Management
Ethics in Engineering Practice</t>
  </si>
  <si>
    <t>P25700473</t>
  </si>
  <si>
    <t>KHOSE</t>
  </si>
  <si>
    <t>PIYUSH</t>
  </si>
  <si>
    <t>DIGAMBAR</t>
  </si>
  <si>
    <t>Khose Piyush Digambar</t>
  </si>
  <si>
    <t>piyushkhose2k@gmail.com</t>
  </si>
  <si>
    <t>p25700473@student.nicmar.ac.in</t>
  </si>
  <si>
    <t>24-Oct-2000</t>
  </si>
  <si>
    <t>5669 7084 0976</t>
  </si>
  <si>
    <t>DIGAMBAR NAGURAO KHOSE</t>
  </si>
  <si>
    <t>RAMA DIGAMBAR KHOSE</t>
  </si>
  <si>
    <t>C1504, Ashar16, Wagle Estate, Nr. Brodma Company</t>
  </si>
  <si>
    <t>WEES ENGLISH HIGH SCHOOL</t>
  </si>
  <si>
    <t>AGNEL POLYTECHNIC, NAVI MUMBAI, MAHARASHTRA</t>
  </si>
  <si>
    <t>NEW HORIZON INSTITUTE OF TECHNOLOGY AND MANAGEMENT, THANE, MAHARASHTRA</t>
  </si>
  <si>
    <t>NB ASSOCIATES PVT.LTD. | Graduate Engineer Trainee | Bhiwandi (Lodha Upper Thane) | Jul 2022 | Nov 2022 | 0Y 4M | 1.44
STRANQUIL CONSTRUCTION PVT. LTD. | Site Engineer | Bhiwandi (Lodha Upper Thane) | Nov 2022 | May 2024 | 1Y 6M | 2.16
CAPACITE INFRAPROJECTS LIMITED | Planning Engineer | Bhandup | Dec 2024 | Jul 2025 | 0Y 6M | 3.24</t>
  </si>
  <si>
    <t>Prestige Estates Projects Ltd. | Site Execution Intern | Mulund (W), Mumbai | May 2026 | Jul 2026 | 8.5714285714286 Weeks | Campus Internship</t>
  </si>
  <si>
    <t>P25700474</t>
  </si>
  <si>
    <t>ANIRUDDHA</t>
  </si>
  <si>
    <t>DEVENDRA</t>
  </si>
  <si>
    <t>Kulkarni Aniruddha Devendra</t>
  </si>
  <si>
    <t>kulkarnianiruddhad@gmail.com</t>
  </si>
  <si>
    <t>p25700474@student.nicmar.ac.in</t>
  </si>
  <si>
    <t>11-Jun-2003</t>
  </si>
  <si>
    <t>7116 9188 8823</t>
  </si>
  <si>
    <t>GIRIJA</t>
  </si>
  <si>
    <t>EMPLOYED</t>
  </si>
  <si>
    <t>B/8, Bank Of India Colony, Aranyeshwar, Pune</t>
  </si>
  <si>
    <t>MUKTANGAN ENGLISH SCHOOL &amp; JR COLLEGE</t>
  </si>
  <si>
    <t>ALL INDIA SHRI SHIVAJI MEMORIAL SOCIETY'S COLLEGE OF ENGINEERING, PUNE</t>
  </si>
  <si>
    <t>AutoCAD,MS Project,Primavera,MS Word,MS Excel</t>
  </si>
  <si>
    <t>Pyramid Lifestyle LTD | Intern - Civil Dept | Pune | May 2026 | Jul 2026 | 8.1428571428571 Weeks | Campus Internship
Haardhik Impulse Developers LLP | Trainee | Moshi, Pune - 412105 | Dec 2023 | Jan 2024 | 4.4285714285714 Weeks</t>
  </si>
  <si>
    <t>P25700475</t>
  </si>
  <si>
    <t>G</t>
  </si>
  <si>
    <t>Avinash G</t>
  </si>
  <si>
    <t>avinash13157@gmail.com</t>
  </si>
  <si>
    <t>p25700475@student.nicmar.ac.in</t>
  </si>
  <si>
    <t>13-Oct-2003</t>
  </si>
  <si>
    <t>6249 6613 8986</t>
  </si>
  <si>
    <t>GUNASHEKAREN S</t>
  </si>
  <si>
    <t>PUSHPA G</t>
  </si>
  <si>
    <t>6/802E, E.B.COLONY, PARAMATHI ROAD_x000D_
NAMAKKAL.</t>
  </si>
  <si>
    <t>Namakkal</t>
  </si>
  <si>
    <t>CENTRAL BOARD OF SECONDARY EDUCATION, TAMILNADU</t>
  </si>
  <si>
    <t>VELLORE INSTITUTE OF TECHNOLOGY, VELLORE, TAMILNADU</t>
  </si>
  <si>
    <t>NBCC (India) Limited | Intern - Projects | Greater Noida | May 2026 | Jul 2026 | 9.5714285714286 Weeks | Campus Internship
LARSEN &amp; TOUBRO CONSTRUCTION | INTERN | CHENNAI | Jan 2025 | May 2025 | 20.571428571429 Weeks
DESIGN TREE SERVICE CONSULTANTS Pvt Ltd | INTERN | BANGALORE | Aug 2023 | Sep 2023 | 3.5714285714286 Weeks</t>
  </si>
  <si>
    <t>BIM Fundamentals for Engineers
Entrepreneurship (NPTEL)</t>
  </si>
  <si>
    <t>P25700476</t>
  </si>
  <si>
    <t>BIKI</t>
  </si>
  <si>
    <t>KHARKA</t>
  </si>
  <si>
    <t>Biki Kharka</t>
  </si>
  <si>
    <t>bikki.kharka@gmail.com</t>
  </si>
  <si>
    <t>p25700476@student.nicmar.ac.in</t>
  </si>
  <si>
    <t>27-Jan-1999</t>
  </si>
  <si>
    <t>English , Hindi , Assamese and Nepali</t>
  </si>
  <si>
    <t>6053 6816 7942</t>
  </si>
  <si>
    <t>TANKA BAHADUR KHARKA CHETRY</t>
  </si>
  <si>
    <t>SUNITA CHETRY</t>
  </si>
  <si>
    <t>Village :- Natun Hawly _x000D_
Post Office :- Natun Hawly_x000D_
District :- Tamulpur _x000D_
Police Station :- Tamulpur_x000D_
B.T.R , Assam</t>
  </si>
  <si>
    <t>Baksa</t>
  </si>
  <si>
    <t>SAINIK SCHOOL GOALPARA</t>
  </si>
  <si>
    <t>CENTRAL BOARD OF SECONDARY EDUCATION , GOALPARA / ASSAM</t>
  </si>
  <si>
    <t>RD JUNIOR COLLEGE DIGBOI</t>
  </si>
  <si>
    <t>ASSAM HIGHER SECONDARY EDUCATION COUNCIL , DIGBOI/ASSAM</t>
  </si>
  <si>
    <t>GAUHATI UNIVERSITY</t>
  </si>
  <si>
    <t>ASSAM ENGINEERING COLLEGE , GUWAHATI / ASSAM</t>
  </si>
  <si>
    <t>AutoCAD,MS Office,MS Project,Primavera,CostX , Revit</t>
  </si>
  <si>
    <t>Centre for Microfinance &amp; Livelihood (CML) An Initiative of TATA TRUSTS | Consultant - Programme Associate (Cluster Coordinator) | Assam | Aug 2021 | Apr 2023 | 1Y 8M | 3.6</t>
  </si>
  <si>
    <t>Jyoti Structures Limited | Intern | Bhuj Gujarat | May 2026 | Jul 2026 | 8.7142857142857 Weeks | Campus Internship</t>
  </si>
  <si>
    <t>P25700477</t>
  </si>
  <si>
    <t>GUNJAL</t>
  </si>
  <si>
    <t>Yash Prashant Gunjal</t>
  </si>
  <si>
    <t>yashgunjal694@gmail.com</t>
  </si>
  <si>
    <t>p25700477@student.nicmar.ac.in</t>
  </si>
  <si>
    <t>10-May-2001</t>
  </si>
  <si>
    <t>2387 9106 4731</t>
  </si>
  <si>
    <t>GAYATRI</t>
  </si>
  <si>
    <t>Panhale Road, Nhanave, Tal.Chandwad,Dist.Nashik</t>
  </si>
  <si>
    <t>SHREE NEMINATH JAIN HIGH SCHOOL</t>
  </si>
  <si>
    <t>GOVERMENT POLYTECHNIC AWASARI(KH),MAHARASTRA</t>
  </si>
  <si>
    <t>GH RAISONI COLLEGE OF ENGINEERING AND MANAGEMENT,PUNE,MAHARASTRA</t>
  </si>
  <si>
    <t>AutoCAD,MS Office,MS Project,Primavera,Revit Archetecture,ERP(Highrise),CQRA Quality Analysis Software,CostX</t>
  </si>
  <si>
    <t>Aishwaryam Group | Site engineer | Pune | Dec 2024 | Jun 2025 | 0Y 6M | 4.16</t>
  </si>
  <si>
    <t>TruBoard Partners | Asset management Intern | Mumbai | May 2026 | Jun 2026 | 8.1428571428571 Weeks | Campus Internship
COGNIZANT TECHNOLOGY SOLUTIONS INDIA PRIVATE LIMITED. | PROGRAMMER ANALYST TRAINEE | PUNE | May 2023 | Aug 2023 | 16.857142857143 Weeks</t>
  </si>
  <si>
    <t>Minor degree in Computer Engineering
National Cadet Corps (NCC)
Certificate Of Publication For Article
Revit Architecture</t>
  </si>
  <si>
    <t>P25700478</t>
  </si>
  <si>
    <t>SHRESHTH</t>
  </si>
  <si>
    <t>Shreshth Gupta</t>
  </si>
  <si>
    <t>shreshthgupta1608@gmail.com</t>
  </si>
  <si>
    <t>p25700478@student.nicmar.ac.in</t>
  </si>
  <si>
    <t>8939 2348 2045</t>
  </si>
  <si>
    <t>RITESH GUPTA</t>
  </si>
  <si>
    <t>PREETI GUPTA</t>
  </si>
  <si>
    <t>F-6c, Harinagar, Opp Desu Office,Mayapuri, New Delhi, 110064</t>
  </si>
  <si>
    <t>South West Delhi</t>
  </si>
  <si>
    <t>TAGORE SENIOR SECONDARY SCHOOL</t>
  </si>
  <si>
    <t>SHRI MATA VAISHNO DEVI UNIVERSITY, KATRA</t>
  </si>
  <si>
    <t>AutoCAD,MS Office,Primavera,Revit,Staad Pro,Microsoft Projects, RIB CostX</t>
  </si>
  <si>
    <t>Geoquest India | Operations (Project Management/Planning) | New Delhi | May 2026 | Jun 2026 | 8 Weeks | Campus Internship
GIRDHARI LAL CONSTRUCTIONS PRIV LIMITED | SUMMER INTERN | Gurgaon | Jun 2024 | Jul 2024 | 5.5714285714286 Weeks
GIRDHARI LAL CONSTRUCTIONS PRIV LIMITED | SUMMER INTERN | Delhi | Jun 2023 | Jul 2023 | 4.5714285714286 Weeks
KAMLADITYYA CONSTRUCTION PRIVATE LIMITED | Summer Intern | Delhi | Jul 2022 | Aug 2022 | 3.1428571428571 Weeks</t>
  </si>
  <si>
    <t>Primavera P6 Unveiled: Step-by-Step Beginner's Training
AutoCAD2020 2D Basics &amp; Advanced(Full Projects Civil + Arch)
Revit- Mass Modelling- From Basic to Advanced level
SketchUp 2023: The A-Z Course to Mastering 3D Modeling
Adobe Photoshop CC: Essentials Photoshop Course Zero to Hero
Diversity and Inclusion in the Workplace
Finance for Non-Financial Managers</t>
  </si>
  <si>
    <t>P25700479</t>
  </si>
  <si>
    <t>ALDAR</t>
  </si>
  <si>
    <t>SOHAN</t>
  </si>
  <si>
    <t>PANDHARINATH</t>
  </si>
  <si>
    <t>Aldar Sohan Pandharinath</t>
  </si>
  <si>
    <t>sohanaldar99@gmail.com</t>
  </si>
  <si>
    <t>p25700479@student.nicmar.ac.in</t>
  </si>
  <si>
    <t>22-May-2001</t>
  </si>
  <si>
    <t>9137 1254 4108</t>
  </si>
  <si>
    <t>Udanwadi</t>
  </si>
  <si>
    <t>SHREE BHAVANI VIDYALAYA ,ATAPADI</t>
  </si>
  <si>
    <t>MAHARASHTRA STATE BOARD OF SECONDARY EDUCATION ,PUNE[KOLHAPUR DIVISION]</t>
  </si>
  <si>
    <t>JSPN NARHE TECHNICAL CAMPUS,PUNE-411041</t>
  </si>
  <si>
    <t>AutoCAD,MS Project,Primavera,Cost X,Revit,Naviswork</t>
  </si>
  <si>
    <t>NIVARA ARCHITECTURE AND DEVELOPER | JUNIOR ENGINEER | solapur | Jun 2024 | Nov 2024 | 0Y 5M | 2.76
Sai Associates | Site Engineer | Pune | Aug 2020 | Aug 2021 | 0Y 11M | 1.2</t>
  </si>
  <si>
    <t>LYD Engineers | Contract Intern | Mumbai | May 2026 | Jul 2026 | 8.7142857142857 Weeks | Campus Internship
Rudra Supertech LLP | TRAINEE | NEW MUMBAI | Dec 2019 | Apr 2020 | 20 Weeks</t>
  </si>
  <si>
    <t>CERTIFICATE OF PRESENTATION</t>
  </si>
  <si>
    <t>P25700480</t>
  </si>
  <si>
    <t>KALLAPPA</t>
  </si>
  <si>
    <t>PUJARI</t>
  </si>
  <si>
    <t>Yash Kallappa Pujari</t>
  </si>
  <si>
    <t>yashupujari11@gmail.com</t>
  </si>
  <si>
    <t>p25700480@student.nicmar.ac.in</t>
  </si>
  <si>
    <t>19-Feb-2002</t>
  </si>
  <si>
    <t>6738 9615 8611</t>
  </si>
  <si>
    <t>RETIRED GOVERNMENT OFFICER</t>
  </si>
  <si>
    <t>Plot No.19 , "Pancharatna" Bunglow , Suryawanshi Colony, Daulatnagar ,Satara. Pincode- 415001</t>
  </si>
  <si>
    <t>NIRMALA CONVENT HIGHSCHOOL, SATARA</t>
  </si>
  <si>
    <t>CHHATRAPATI SHAHU ACADEMY &amp; SCIENCE JUNIOR COLLEGE, SATARA</t>
  </si>
  <si>
    <t>New Consolidated Construction Company limited (NCCCL) | Estimation and Costing Engineer | Navi Mumbai, Ghansoli | May 2026 | Jul 2026 | 8.7142857142857 Weeks | Campus Internship
SHREE DEVELOPERS | Site Execution | Satara | Jun 2024 | Jun 2024 | 3.4285714285714 Weeks
M/S SHREE KEDARBAJI CONSTRUCTION | Site Execution | Satara | Jun 2023 | Jul 2023 | 3.2857142857143 Weeks</t>
  </si>
  <si>
    <t>P25700481</t>
  </si>
  <si>
    <t>MATE</t>
  </si>
  <si>
    <t>Vivek Ulhas Mate</t>
  </si>
  <si>
    <t>vivekmate27@gmail.com</t>
  </si>
  <si>
    <t>p25700481@student.nicmar.ac.in</t>
  </si>
  <si>
    <t>17-Jan-2000</t>
  </si>
  <si>
    <t>English,hindi,marathi</t>
  </si>
  <si>
    <t>6321 3662 4892</t>
  </si>
  <si>
    <t>402,DATTA KRUPA NWAS APT.GOLEWADI BADLAPUR EAST.</t>
  </si>
  <si>
    <t>ADARSH VIDYA MANDIR</t>
  </si>
  <si>
    <t>R.K.TALREJA COLLEGE OF SCIENCE ,ARTS &amp; COMMERCE</t>
  </si>
  <si>
    <t>NAVSAHYADRI INSTITUTE OF TECHNOLOGY, PUNE</t>
  </si>
  <si>
    <t>PILLAI HOC COLLEGE OF ENGINEERING AND TECHNOLOGY, RASAYANI</t>
  </si>
  <si>
    <t>Bharat Petroleum Corporation Limited | Apprentice | MAHUL ,BPCL MUMBAI REFINERY | Nov 2023 | Nov 2024 | 0Y 11M | 2.16
CLR Facility Services Pvt. Ltd | supervisor | Mahul , BPCL Mumbai refinery | Feb 2025 | Apr 2025 | 0Y 2M | 3.2</t>
  </si>
  <si>
    <t>Embasssy Development Limited | Intern-Budgeting and Quantity surveying | Mumbai | May 2026 | Jul 2026 | 8.7142857142857 Weeks | Campus Internship
Mahindra Sustenâ€™s Centre of Excellence | Trainee | Karjat | Jun 2022 | Jul 2022 | 7.5714285714286 Weeks</t>
  </si>
  <si>
    <t>AUTO CAD CIVIL
Construction Equipment Maintenance &amp; Safety
Finance for Non-Financial Managers
Ethics in Engineering Practice
Foundations of Project Management
Project Valuation and the Capital Budgeting Process
Budgeting and Cost Control Techniques
Budgeting and Variance Analysis Techniques</t>
  </si>
  <si>
    <t>P25700482</t>
  </si>
  <si>
    <t>M P</t>
  </si>
  <si>
    <t>Arun M P</t>
  </si>
  <si>
    <t>arunmanivasakan@gmail.com</t>
  </si>
  <si>
    <t>p25700482@student.nicmar.ac.in</t>
  </si>
  <si>
    <t>10-Apr-2004</t>
  </si>
  <si>
    <t>4935 1488 7366</t>
  </si>
  <si>
    <t>MANIVASAKAN M</t>
  </si>
  <si>
    <t>PERIANAYAGHI M</t>
  </si>
  <si>
    <t>Plot No 80, Karups Nagar Extension, 3rd Street, New Bus Stand, Thanjavur. 613005</t>
  </si>
  <si>
    <t>CENTRAL BOARD OF SECONDARY EDUCATION, THANJAVUR</t>
  </si>
  <si>
    <t>DR. MAHALINGAM COLLEGE OF ENGINEERING AND TECHNOLOGY</t>
  </si>
  <si>
    <t>AutoCAD,MS Office,MS Project,Sketch UP,Staad Pro</t>
  </si>
  <si>
    <t>Sobha Limited | Site Execution | Bengaluru | May 2026 | Jul 2026 | 9 Weeks | Campus Internship
Cube Engineers | Technical Feild Engineer | Chennai | Dec 2024 | Mar 2025 | 14 Weeks
SURA Builders | Junior Engineer | Thanjavur  | Jun 2023 | Jul 2023 | 1.7142857142857 Weeks</t>
  </si>
  <si>
    <t>MS Project, Staad Pro and Technical skills</t>
  </si>
  <si>
    <t>P25700483</t>
  </si>
  <si>
    <t>SUDNESH</t>
  </si>
  <si>
    <t>PRAFULLA</t>
  </si>
  <si>
    <t>BORSE</t>
  </si>
  <si>
    <t>Sudnesh Prafulla Borse</t>
  </si>
  <si>
    <t>sudneshborse123@gmail.com</t>
  </si>
  <si>
    <t>p25700483@student.nicmar.ac.in</t>
  </si>
  <si>
    <t>03-Dec-2001</t>
  </si>
  <si>
    <t>7416 3942 9309</t>
  </si>
  <si>
    <t>PRAFULLA BHAGWAN BORSE</t>
  </si>
  <si>
    <t>DHANASHREE PRAFULLA BORSE</t>
  </si>
  <si>
    <t>Bunglow No. 232 Sarthak, Audumbar Nagar, Amrutdham, Panchavati</t>
  </si>
  <si>
    <t>ST FRANCIS HIGH SCHOOL</t>
  </si>
  <si>
    <t>BOYS TOWN JUNIOR COLLEGE</t>
  </si>
  <si>
    <t>K.K WAGH INSTITUTE OF ENGINEERING EDUCATION AND RESEARCH NASHIK MAHARASTRA</t>
  </si>
  <si>
    <t>AutoCAD,MS Office,MS Project,Primavera,REVIT,RIB costX,RSGIS</t>
  </si>
  <si>
    <t>JP Structural Engineers | Junior Structural Engineer | Nashik | Jun 2024 | Jun 2025 | 1Y 0M | 3.75</t>
  </si>
  <si>
    <t>Jyoti Structures Limited | Project Control | Pune | May 2026 | Jul 2026 | 8.7142857142857 Weeks | Campus Internship
Suvik Buildcon | SITE EXECUTION AND CONTROL | Nashik  | Jan 2023 | Feb 2023 | 4.4285714285714 Weeks</t>
  </si>
  <si>
    <t>Construction Equipment Maintenance &amp; Safety (L&amp;T)
Project Admin (Scholar)
Sustainable Structures Club
workshop on concrete mix design
Training Programme on Remote Sensing &amp; GIS</t>
  </si>
  <si>
    <t>P25700484</t>
  </si>
  <si>
    <t>PRITESH</t>
  </si>
  <si>
    <t>GHITRE</t>
  </si>
  <si>
    <t>Pritesh Prakash Ghitre</t>
  </si>
  <si>
    <t>priteshghitre07@gmail.com</t>
  </si>
  <si>
    <t>p25700484@student.nicmar.ac.in</t>
  </si>
  <si>
    <t>03-Aug-1999</t>
  </si>
  <si>
    <t>9102 4454 9577</t>
  </si>
  <si>
    <t>NEAR DONGAON ROAD, SHIKSHAK COLONY, LASUR STATION, CHH. SAMBHAJINAGAR</t>
  </si>
  <si>
    <t>At. Agathan, Post. Mehaboobkheda,Tq. Gangapur, Dist. Chh. Sambhajinagar</t>
  </si>
  <si>
    <t>MAHARASHTRA PUBLIC SCHOOL</t>
  </si>
  <si>
    <t>VIVEKANAND ARTS, SARDAR DALIPSINGH COMMERCE AND SCIENCE COLLEGE</t>
  </si>
  <si>
    <t>CSMSS COLLEGE OF POLYTECHNIC</t>
  </si>
  <si>
    <t>CSMSS, CHHATRAPATI SHAHU COLLEGE OF ENGINEERING, CHHATRAPATI SAMBHAJINAGAR</t>
  </si>
  <si>
    <t>GNY Group | Site Execution and Quantity Surveyor | Chhatrapati Sambhajinagar | May 2026 | Jul 2026 | 8.7142857142857 Weeks | Campus Internship
RAMA CONSTRUCTION | Planning and Site Co-ordination | AURANGABAD, | Feb 2023 | May 2023 | 13.571428571429 Weeks
YASHRAJ INFRASTRUCTURE | Site Engineer | AURANGABAD | May 2019 | Jun 2019 | 6 Weeks</t>
  </si>
  <si>
    <t>Ethics in Engineering Practice,NPTEL
Finance for Non-Financial Managers,Coursera</t>
  </si>
  <si>
    <t>P25700485</t>
  </si>
  <si>
    <t>PRATHAM</t>
  </si>
  <si>
    <t>DHANAJKAR</t>
  </si>
  <si>
    <t>Pratham Sanjay Dhanajkar</t>
  </si>
  <si>
    <t>dhanajkarpratham@gmail.com</t>
  </si>
  <si>
    <t>p25700485@student.nicmar.ac.in</t>
  </si>
  <si>
    <t>29-Oct-2001</t>
  </si>
  <si>
    <t>7136 5876 7526</t>
  </si>
  <si>
    <t>NANDA</t>
  </si>
  <si>
    <t>At Dhanaj Post Chondi, TQ Mukhed, Dist Nanded</t>
  </si>
  <si>
    <t>SHAHIR ANNABHAU SATHE VIDYALAYA,MUKHED</t>
  </si>
  <si>
    <t>SSC/NANDED/MAHARASHTRA</t>
  </si>
  <si>
    <t>SAHIR ANNABHAU SATHE JUNIOR COLLEGE, MUKHED</t>
  </si>
  <si>
    <t>HSC/NANDED/MAHARASHTRA</t>
  </si>
  <si>
    <t>2019-june</t>
  </si>
  <si>
    <t>SINHGAD COLLEGE OF ENGINEERING VADGAO BK,PUNE MAHARASHTRA</t>
  </si>
  <si>
    <t>AutoCAD,MS Office,MS Project,Primavera,Cost X,Autodesk Revit</t>
  </si>
  <si>
    <t>Pundlik Builders And Developers | Project Engineer  | Nanded | Jun 2024 | Jun 2025 | 1Y 0M | 2.04</t>
  </si>
  <si>
    <t>T and T Infra Pvt Ltd. | Site Execution &amp; Coordination Intern | Pune | May 2026 | Jul 2026 | 9.1428571428571 Weeks | Campus Internship
Electrocivil Corporation | Intern  | Pune | Feb 2023 | Mar 2023 | 6.4285714285714 Weeks</t>
  </si>
  <si>
    <t>P25700486</t>
  </si>
  <si>
    <t>TAHIRHUSEN</t>
  </si>
  <si>
    <t>ZAKIRHUSEN</t>
  </si>
  <si>
    <t>BAGWAN</t>
  </si>
  <si>
    <t>Tahirhusen Zakirhusen Bagwan</t>
  </si>
  <si>
    <t>bagwantahirhusen@gmail.com</t>
  </si>
  <si>
    <t>p25700486@student.nicmar.ac.in</t>
  </si>
  <si>
    <t>04-Apr-2002</t>
  </si>
  <si>
    <t>9683 5930 1206</t>
  </si>
  <si>
    <t>VEGETABLE MERCHANT</t>
  </si>
  <si>
    <t>HAFIJA</t>
  </si>
  <si>
    <t>Near Malti Cloth Shop, Nandani Road, Shahunagar, Jaysingpur - 416101</t>
  </si>
  <si>
    <t>JAYPRABHA ENGLISH MEDIUM HIGHSCHOOL, JAYSINGPUR</t>
  </si>
  <si>
    <t>MAHARASHTRA STATE BOARD OF  SECONDARY AND HIGHER SECONDARY EDUCATION, PUNE</t>
  </si>
  <si>
    <t>VYANKATRAO HIGH SCHOOL AND JUNIOR COLLEGE, ICHALKARANJI</t>
  </si>
  <si>
    <t>SAVITRIBAI PHULE PUNE UNIVERSITY  PUNE.</t>
  </si>
  <si>
    <t>COEP TECHNOLOGICAL UNIVERSITY, PUNE</t>
  </si>
  <si>
    <t>AutoCAD,MS Office,MS Project,Primavera,Revit Architecture,Revit Structure,Revit MEP,Staad Pro</t>
  </si>
  <si>
    <t xml:space="preserve"> National Buildings Construction Corporation Limited (NBCC) | Project Management Intern | Greater Noida (NCR) | May 2026 | Jul 2026 | 9.7142857142857 Weeks | Campus Internship
PATEL BUILDERS AND DEVELOPERS | Intern | Jaysingpur, Kolhapur | Jan 2025 | Jun 2025 | 25.714285714286 Weeks</t>
  </si>
  <si>
    <t>Project Planning and Execution Management
REVIT STRUCTURE Associated with Project Management Institution
STADD PRO Associated with Project Management Institution
REVIT MEP Associated with Project Management Institution
REVIT ARCHITECTURE Associated with Project Management Institution
AUTOCAD 2D AND 3D Associated with Project Management Institution</t>
  </si>
  <si>
    <t>P25700487</t>
  </si>
  <si>
    <t>SHIVKUMAR</t>
  </si>
  <si>
    <t>VITTHALRAO</t>
  </si>
  <si>
    <t>ARMAL</t>
  </si>
  <si>
    <t>Shivkumar Vitthalrao Armal</t>
  </si>
  <si>
    <t>shivkumararmal@gmail.com</t>
  </si>
  <si>
    <t>p25700487@student.nicmar.ac.in</t>
  </si>
  <si>
    <t>28-Dec-1999</t>
  </si>
  <si>
    <t>English,Marathi, Hindi</t>
  </si>
  <si>
    <t>6483 0436 9820</t>
  </si>
  <si>
    <t>SHILPA</t>
  </si>
  <si>
    <t>E-182/6 CSTPS COLONY, URJANAGAR</t>
  </si>
  <si>
    <t>VIDYA MANDIR HIGH SCHOOL, URJANAGAR</t>
  </si>
  <si>
    <t>MAHARASHTRA STATE BOARD OF SECONDARY AND HIGHER SECONDARY EDUCATION, PUNE,MAHARASHTRA</t>
  </si>
  <si>
    <t>VIDYA NIKETAN JUNIOR COLLEGE, URJANAGAR</t>
  </si>
  <si>
    <t>SIPNA COLLEGE ENGINEERING AND TECHNOLOGY, AMRAVATI</t>
  </si>
  <si>
    <t>AutoCAD,MS Office,MS Project,REVIT,NAVISWORK</t>
  </si>
  <si>
    <t>GREEN ECOMES SOLUTION PVT. LTD. | BIM MEP ENGINEER | PUNE | Mar 2024 | Oct 2024 | 0Y 7M | 2.82</t>
  </si>
  <si>
    <t>SOBHA LIMITED | Planning Intern-BIM | CPO-Bengaluru | May 2026 | Jul 2026 | 9 Weeks | Campus Internship
BLUEPRINTS DESIGN CONSULTING SERVICES PVT.LTD. | BIM INTERN | PUNE | Oct 2023 | Dec 2023 | 10.714285714286 Weeks</t>
  </si>
  <si>
    <t xml:space="preserve">BIM PROFESSIONAL COURSE
AUTODESK CERTIFIED USER REVIT FOR ARCHITECTURE
BIM : Fundamentals and Applications In AECO Industry </t>
  </si>
  <si>
    <t>P25700488</t>
  </si>
  <si>
    <t>CHINMAY</t>
  </si>
  <si>
    <t>GADADINNI</t>
  </si>
  <si>
    <t>Chinmay S Gadadinni</t>
  </si>
  <si>
    <t>gadadinnichinmay36@gmail.com</t>
  </si>
  <si>
    <t>p25700488@student.nicmar.ac.in</t>
  </si>
  <si>
    <t>29-Oct-1999</t>
  </si>
  <si>
    <t>6129 2349 5121</t>
  </si>
  <si>
    <t>SHRISHAIL</t>
  </si>
  <si>
    <t>SUREKHA</t>
  </si>
  <si>
    <t>S/o Shrishail, #87, Mayuri Garden, Gokul Road, Behind New Bus Stand.</t>
  </si>
  <si>
    <t>CHETAN PUBLIC SCHOOL</t>
  </si>
  <si>
    <t>KARNATAKA SECONDARY EDUCATION EXAMINATION BOARD, HUBLI, KARNATAKA</t>
  </si>
  <si>
    <t>VIDYANIKETAN SC PU COLLEGE</t>
  </si>
  <si>
    <t>DEPARTMENT OF PRE-UNIVERSITY EDUCATION,HUBLI, KARNATAKA</t>
  </si>
  <si>
    <t>KARNATAKA LINGAYAT EDUCATION SOCIETY'S INSTITUTE OF TECHNOLOGY, HUBLI</t>
  </si>
  <si>
    <t>AutoCAD,MS Office,MS Project,AUTODESK Revit</t>
  </si>
  <si>
    <t>SAMVARDDH ASSOCIATES Pvt Ltd | Site Engineer | Bengaluru | Feb 2024 | May 2024 | 0Y 2M | 3
Hella Infra Market Pvt Ltd | Graduate Engineer | Bengaluru | Sep 2021 | Apr 2022 | 0Y 6M | 4</t>
  </si>
  <si>
    <t>0 Years 9 Months</t>
  </si>
  <si>
    <t>Ahluwalia Contracts(India) Limited  | Planning Intern | Bangalore, Karnataka  | May 2026 | Jul 2026 | 8.5714285714286 Weeks | Campus Internship
SHEJAWADKAR CONSTRUCTION COMPANY PVT LTD | Intern | Hubli | Oct 2020 | Nov 2020 | 4.5714285714286 Weeks</t>
  </si>
  <si>
    <t>Diploma Course in Civil CAD</t>
  </si>
  <si>
    <t>P25700489</t>
  </si>
  <si>
    <t>GALANGE</t>
  </si>
  <si>
    <t>Siddharth Mohan Galange</t>
  </si>
  <si>
    <t>siddharthgalange.29@gmail.com</t>
  </si>
  <si>
    <t>p25700489@student.nicmar.ac.in</t>
  </si>
  <si>
    <t>29-Jul-2003</t>
  </si>
  <si>
    <t>3232 4389 1302</t>
  </si>
  <si>
    <t>GITANJALI</t>
  </si>
  <si>
    <t>Pratibimb, Plot No. 6354/28, Urmilanagar, Chougule Mala, Near Abhaynagar, Sangli</t>
  </si>
  <si>
    <t>NAV KRISHNA VALLEY JR. COLLEGE</t>
  </si>
  <si>
    <t>RAJARAMBAPU INSTITUTE OF TECHNOLOGY, RAJARAMNAGAR, WALWA, MAHARASHTRA</t>
  </si>
  <si>
    <t>AutoCAD,MS Office,MS Project,Primavera,BBS,CostX</t>
  </si>
  <si>
    <t>New Consolidated Construction Company Limited | Engineering Intern | Navi Mumbai | May 2026 | Jul 2026 | 8.5714285714286 Weeks | Campus Internship
Ascon Projects | Trainee Engineer | Sangli | Aug 2023 | Aug 2023 | 2.2857142857143 Weeks
Tejraj Group | Intern - Engineering | Baner, Pune | Jan 2025 | May 2025 | 20.714285714286 Weeks</t>
  </si>
  <si>
    <t>Construction Equipment Maintenance and Safety
Finance for Non-Financial Managers
Ethics in Engineering Practice</t>
  </si>
  <si>
    <t>P25700490</t>
  </si>
  <si>
    <t>RISHI</t>
  </si>
  <si>
    <t>PRADEEP</t>
  </si>
  <si>
    <t>DHAKULKAR</t>
  </si>
  <si>
    <t>Rishi Pradeep Dhakulkar</t>
  </si>
  <si>
    <t>rishidhakulkar12@gmail.com</t>
  </si>
  <si>
    <t>p25700490@student.nicmar.ac.in</t>
  </si>
  <si>
    <t>12-Mar-2001</t>
  </si>
  <si>
    <t>8905 4020 4531</t>
  </si>
  <si>
    <t>PRADEEP DHAKULKAR</t>
  </si>
  <si>
    <t>MANDA</t>
  </si>
  <si>
    <t>Wadgaon Road, Vitthalwadi Wani</t>
  </si>
  <si>
    <t>MACAROON STUDENTS ACADEMY WANI</t>
  </si>
  <si>
    <t>CENTRAL BOARD OF SECONDARY EDUCATION EDUCATION, MAHARASHTRA</t>
  </si>
  <si>
    <t>HISLOP COLLEGE NAGPUR</t>
  </si>
  <si>
    <t>SHRI RAMDEOBABA COLLEGE OF ENGINEERING AND MANAGEMENT, NAGPUR</t>
  </si>
  <si>
    <t>AutoCAD,MS Office,MS Project,Primavera,CostX,Revit,SAP</t>
  </si>
  <si>
    <t>Adani Realty | Assistant Manager | Mumbai | Jul 2023 | Jul 2025 | 2Y 0M | 8.48</t>
  </si>
  <si>
    <t>Shapoorji Pallonji Real Estate | Intern - Development Management  | Mumbai | May 2026 | Jul 2026 | 8.8571428571429 Weeks | Campus Internship
Godbole Gates Pvt Ltd | Trainee | Nagpur | Feb 2023 | Jun 2023 | 19.428571428571 Weeks
SMD Infrastructure | Intern | Wani | Jun 2021 | Aug 2021 | 11.428571428571 Weeks</t>
  </si>
  <si>
    <t>Primavera P6
FIDIC</t>
  </si>
  <si>
    <t>P25700491</t>
  </si>
  <si>
    <t>DHANAJIRAO</t>
  </si>
  <si>
    <t>Ganesh Dhanajirao Desai</t>
  </si>
  <si>
    <t>desaiganesh817@gmail.com</t>
  </si>
  <si>
    <t>p25700491@student.nicmar.ac.in</t>
  </si>
  <si>
    <t>4165 1267 6613</t>
  </si>
  <si>
    <t>DHANAJIRAO BALWANTRAO DESAI</t>
  </si>
  <si>
    <t>RETD. PROFESSOR</t>
  </si>
  <si>
    <t>URMILA DHANAJIRAO DESAI</t>
  </si>
  <si>
    <t>SCHOOL TEACHER</t>
  </si>
  <si>
    <t>TEERTH AVILLA,A-803,NEAR SUS,VIDYA VALLEY SCHOOL ROAD,PUNE</t>
  </si>
  <si>
    <t>Bal Pilae Sadan,Shikshak Colony,Karve Naka,Shaniwar Peth,Karad</t>
  </si>
  <si>
    <t>SHIKSHAN MANDAL SANSTHA'S ENGLISH MEDIUM SCHOOL,KARAD</t>
  </si>
  <si>
    <t>GOVERNMENT POLYTECHNIC,KARAD</t>
  </si>
  <si>
    <t>MIT WORLD PEACE UNIVERSITY,PUNE</t>
  </si>
  <si>
    <t>DR. VISHWANATH KARAD MIT WORLD PEACE UNIVERSITY,PUNE</t>
  </si>
  <si>
    <t>AutoCAD,MS Office,MS Project,Primavera,ARC-GIS,Q-GIS,BIM,Revit,Navisworks</t>
  </si>
  <si>
    <t>Millennium Engineers &amp; Contractors Pvt. Ltd. | Project Management Intern | Pune | May 2026 | Jul 2026 | 8.7142857142857 Weeks | Campus Internship
L.K. CONSTRUCTION, KARAD | ONSITE CIVIL INTERN TRAINEE(BUILDING CONSTRUCTION) | KARAD | Nov 2022 | May 2023 | 30.142857142857 Weeks</t>
  </si>
  <si>
    <t>Entrepreneurship -NPTEL Online Certification</t>
  </si>
  <si>
    <t>P25700492</t>
  </si>
  <si>
    <t>JATIN</t>
  </si>
  <si>
    <t>SHETIGAR</t>
  </si>
  <si>
    <t>Jatin Krishna Shetigar</t>
  </si>
  <si>
    <t>jatinshetigar2004@gmail.com</t>
  </si>
  <si>
    <t>p25700492@student.nicmar.ac.in</t>
  </si>
  <si>
    <t>22-Jan-2004</t>
  </si>
  <si>
    <t>6654 3940 1064</t>
  </si>
  <si>
    <t>GOVT CIVIL CONTRACTOR</t>
  </si>
  <si>
    <t>KALAVATI</t>
  </si>
  <si>
    <t>701,Yashwant Sankalp, Above Punjab National Bank, Old Viva College Road, Virar West</t>
  </si>
  <si>
    <t>MULJIBHAI MEHTA INTERNATIONAL SCHOOL</t>
  </si>
  <si>
    <t>UTKARSHA JR COLLEGE</t>
  </si>
  <si>
    <t>THAKUR COLLEGE OF ENGINEERING AND TECHNOLOGY, KANDIVALI EAST, MAHARASHTRA</t>
  </si>
  <si>
    <t>AutoCAD,MS Office,MS Project,Autodesk Revit,SketchUp</t>
  </si>
  <si>
    <t>Sobha Limited-India  | Project Management Intern | Gurugram | May 2026 | Jul 2026 | 9 Weeks | Campus Internship
Y.K. &amp; SONS | Site Engineer | Virar | Dec 2024 | Jan 2025 | 4.4285714285714 Weeks</t>
  </si>
  <si>
    <t>Associate Bar Bender and Steel Fixer</t>
  </si>
  <si>
    <t>P25700493</t>
  </si>
  <si>
    <t>Pranav Pradeep</t>
  </si>
  <si>
    <t>pranavprvk@gmail.com</t>
  </si>
  <si>
    <t>p25700493@student.nicmar.ac.in</t>
  </si>
  <si>
    <t>13-Apr-2000</t>
  </si>
  <si>
    <t>English, Malayalam, Hindi, Tamil</t>
  </si>
  <si>
    <t>7018 7092 6795</t>
  </si>
  <si>
    <t>PRADEEP SEKHARAN</t>
  </si>
  <si>
    <t>ACCOUNTS MANAGER</t>
  </si>
  <si>
    <t>SREERENJINI PRADEEP</t>
  </si>
  <si>
    <t>Sreenikethan_x000D_
Kuravilangad PO</t>
  </si>
  <si>
    <t>OUR OWN HIGH SCHOOL, AL WARQA'A, DUBAI, UAE</t>
  </si>
  <si>
    <t>CBSE - CENTRAL BOARD OF SECONDARY EDUCATION</t>
  </si>
  <si>
    <t>NATIONAL INSTITUTE OF TECHNOLOGY, CALICUT, KERALA</t>
  </si>
  <si>
    <t>AutoCAD,MS Office,MS Project,Revit / BIM,ERP Software</t>
  </si>
  <si>
    <t>L&amp;W Construction Pvt Ltd (INVRECO) | Assistant Manager - QS | Pune | Jul 2022 | May 2025 | 2Y 10M | 7.2</t>
  </si>
  <si>
    <t>Goa State Infrastructure Development Corporation | Management Intern | Goa | May 2026 | Jul 2026 | 8.7142857142857 Weeks | Campus Internship
AL BASTI &amp; MUKTHA LLC | TRAINEE INTERN | DUBAI, UAE | Dec 2021 | Dec 2021 | 3.2857142857143 Weeks</t>
  </si>
  <si>
    <t>Construction Cost Estimating and Cost Control
Construction Finance
Finance for Non-Financial Managers
Construction Equipment Maintenance &amp; Safety
Data Analysis (Statistics)
BIM Fundamentals for Engineers
Ethics in Engineering Practice
Indian Town Planning and Architecture
Introduction to Programming with MATLAB
Finlatics Financial Market Experience Program
Basics of Geocomputation and Geoweb Services</t>
  </si>
  <si>
    <t>P25700494</t>
  </si>
  <si>
    <t>P ADITHYA</t>
  </si>
  <si>
    <t>P Adithya Das</t>
  </si>
  <si>
    <t>padithyadas@gmail.com</t>
  </si>
  <si>
    <t>p25700494@student.nicmar.ac.in</t>
  </si>
  <si>
    <t>24-Jun-1998</t>
  </si>
  <si>
    <t>English Malayalam Hindi</t>
  </si>
  <si>
    <t>3574 4237 0116</t>
  </si>
  <si>
    <t>PC NARAYANA DAS</t>
  </si>
  <si>
    <t>SHYLAJA D</t>
  </si>
  <si>
    <t>Vaishnavam, House No 138, Street 12, Museum Cross Lane, Chembukkavu PO</t>
  </si>
  <si>
    <t>BHARATIYA VIDYA BHAVAN'S VIDYA MANDIR, POOCHATTY</t>
  </si>
  <si>
    <t>CENTRAL BOARD OF SECONDARY EDUCATION (CBSE)</t>
  </si>
  <si>
    <t>FEDERAL INSTITUTE OF SCIENCE AND TECHNOLOGY, ERNAKULAM, KERALA</t>
  </si>
  <si>
    <t>Primavera,Power BI,CAD,Costx,Autodesk Revit,Autodesk Navisworks,MS Office</t>
  </si>
  <si>
    <t>SOBHA LIMITED | Project Management Intern – Execution | Thrissur  | May 2026 | Jul 2026 | 9 Weeks | Campus Internship
FINCRUX TECHNOLOGIES LLP | MARKET RESEARCH ANALYST | MUMBAI | Jan 2026 | Apr 2026 | 9.2857142857143 Weeks</t>
  </si>
  <si>
    <t>Six Sigma Green Belt
Microsoft Data Visualization Fundamentals
Excel and Copilot Fundamentals -Microsoft
Finance for Non-Financial Managers - Emory University
Concreting Practices L&amp;T EduTech
Machinery for Concreting L&amp;T Edutech</t>
  </si>
  <si>
    <t>P25700495</t>
  </si>
  <si>
    <t>KOLHE</t>
  </si>
  <si>
    <t>Sahil Arun Kolhe</t>
  </si>
  <si>
    <t>sahilkolhe006@gmail.com</t>
  </si>
  <si>
    <t>p25700495@student.nicmar.ac.in</t>
  </si>
  <si>
    <t>11-Jul-2001</t>
  </si>
  <si>
    <t>7223 1566 1773</t>
  </si>
  <si>
    <t>ARUN KOLHE</t>
  </si>
  <si>
    <t>VARSHA KOLHE</t>
  </si>
  <si>
    <t>FLAT 14 WING 4 VISAVA HEIGHTS DP ROAD AUNDH, PUNE.</t>
  </si>
  <si>
    <t>DAV PUBLIC SCHOOL, PUNE.</t>
  </si>
  <si>
    <t>CENTRAL BOARD OF SECONDARY EDUCATION, CBSE, PUNE MAHARASHTRA</t>
  </si>
  <si>
    <t>ALL INDIA SHRI SHIVAJI MEMORIAL SOCIETY (AISSMS) POLYTECHNIC, PUNE.</t>
  </si>
  <si>
    <t>SAVITRIBAI PHULE PUNE UNIVERSITY, PUNE.</t>
  </si>
  <si>
    <t>DR. D.Y. PATIL INSTITUTE OF TECHNOLOGY, PIMPRI, PUNE.</t>
  </si>
  <si>
    <t>2023-Nov</t>
  </si>
  <si>
    <t>STATE STREET GLOBAL ADVISORS | Investment banking analyst | Bangalore, India | Feb 2024 | Aug 2024 | 0Y 6M | 3</t>
  </si>
  <si>
    <t>P25700496</t>
  </si>
  <si>
    <t>SAMYAK</t>
  </si>
  <si>
    <t>SANCHETI</t>
  </si>
  <si>
    <t>Samyak Shailesh Sancheti</t>
  </si>
  <si>
    <t>sanchetisamyak450@gmail.com</t>
  </si>
  <si>
    <t>p25700496@student.nicmar.ac.in</t>
  </si>
  <si>
    <t>13-Aug-2000</t>
  </si>
  <si>
    <t>English , Hindi , Marathi , Marwadi</t>
  </si>
  <si>
    <t>9198 2908 1677</t>
  </si>
  <si>
    <t>SAPNA</t>
  </si>
  <si>
    <t>FLAT NO 202 , LIVIA BY RATHI , DANGE CHOWK ROAD , BHUMKAR NAGAR, WAKAD , PIMPRI CHINCHWAD</t>
  </si>
  <si>
    <t>Shri Arihant Kapad Dalan  Tilak Road , Vaijapur</t>
  </si>
  <si>
    <t>SAINT MONICA HIGH SCHOOL</t>
  </si>
  <si>
    <t>MAHARASHTRA STATE BOARD OF SECONDARY AND HIGHER SECONDARY EDUCATION , AURANGABAD</t>
  </si>
  <si>
    <t>RAJE SAMBHAJI JUNIOR COLLEGE</t>
  </si>
  <si>
    <t>SAVITRIBAI PHULE UNIVERSITY</t>
  </si>
  <si>
    <t>SNJB'S LATE SAU K.B JAIN COLLEGE OF ENGINEERING , CHANDWAD , MAHARASHTRA</t>
  </si>
  <si>
    <t>Senghani creators pvt ltd | Trainee engineer  | Dombivli ,thane | Aug 2023 | Nov 2024 | 1Y 3M | 2.16
Runwal group | junior engineer | Dombivli Thane | Dec 2024 | Jun 2025 | 0Y 6M | 3.5</t>
  </si>
  <si>
    <t>Sribal construction company  | Intern | Bengaluru | May 2026 | Jul 2026 | 8.7142857142857 Weeks | Campus Internship</t>
  </si>
  <si>
    <t>Managing team conflict
Managing your emotional response to workplace stress
Communication foundations
Develop interpersonal skills for inclusive workplaces
Construction cost estimating and cost control
Renewable energy and green building entrepreneurship</t>
  </si>
  <si>
    <t>P25700497</t>
  </si>
  <si>
    <t>NANDANA</t>
  </si>
  <si>
    <t>Akshay Nandana</t>
  </si>
  <si>
    <t>akshaynandana4@gmail.com</t>
  </si>
  <si>
    <t>p25700497@student.nicmar.ac.in</t>
  </si>
  <si>
    <t>13-Aug-2003</t>
  </si>
  <si>
    <t>7603 3858 4616</t>
  </si>
  <si>
    <t>SUDHAKAR NANDANA</t>
  </si>
  <si>
    <t>SRIDEVI NANDANA</t>
  </si>
  <si>
    <t>7-365, Komati Peta, Palakonda</t>
  </si>
  <si>
    <t>SEETHA MAHALAKSHMI DAV PUB SCH</t>
  </si>
  <si>
    <t>CENTRAL BOARD OF SECONDARY EDUCATON , PALAKONDA</t>
  </si>
  <si>
    <t>TIRUMALA JUNIOR COLLEGE</t>
  </si>
  <si>
    <t>BOARD OF INTERMEDIATE EDUCATION ANDHRA PRADESH , RAJULATALLAVALASA</t>
  </si>
  <si>
    <t>J.N.T. UNIVERSITY KAKINADA</t>
  </si>
  <si>
    <t>GAYATRI VIDYA PARISHAD COLLEGE OF ENGINEERING , VISAKHAPATNAM</t>
  </si>
  <si>
    <t>AutoCAD,MS Office,MS Project,Primavera,BIM,RIB CostX</t>
  </si>
  <si>
    <t>VAISAKHI DEVELOPERS | Project Management Intern | Visakhapatnam | May 2026 | Jul 2026 | 9 Weeks | Campus Internship
SAI SRI CONSTRUCTIONS | Intern | VISAKHAPATNAM | Dec 2024 | Mar 2025 | 13.142857142857 Weeks
The Sri Sai Kruoa Homes | Intern | SRIKAKULAM | May 2023 | Jun 2023 | 2.7142857142857 Weeks</t>
  </si>
  <si>
    <t>BIM using Revit Architecture
Design and Drafting using Autocad 2D &amp; 3D</t>
  </si>
  <si>
    <t>P25700498</t>
  </si>
  <si>
    <t>PANIGRAHI</t>
  </si>
  <si>
    <t>Vedant Panigrahi</t>
  </si>
  <si>
    <t>vpanigrahidec22@gmail.com</t>
  </si>
  <si>
    <t>p25700498@student.nicmar.ac.in</t>
  </si>
  <si>
    <t>22-Dec-2001</t>
  </si>
  <si>
    <t>8508 2355 5016</t>
  </si>
  <si>
    <t>BISWAJIT PANIGRAHI</t>
  </si>
  <si>
    <t>RETIRED STATE GOVT OF ODISHA ENGINEER IN IRRIGATION DEPARTMENT</t>
  </si>
  <si>
    <t>GITANJALI PANIGRAHI</t>
  </si>
  <si>
    <t>PANIGRAHI BHAWAN INFRONT OF SINDHI BHAWAN_x000D_
SHAKTINAGAR BARGARH</t>
  </si>
  <si>
    <t>Bargarh</t>
  </si>
  <si>
    <t>VIKASH RESIDENTIAL SCHOOL</t>
  </si>
  <si>
    <t>CENTRAL BOARD OF SECONDARY EDUCATION,ODISHA</t>
  </si>
  <si>
    <t>BIJU PATTNAIK UNIVERSITY OF TECHNOLOGY,ODISHA ROURKELA</t>
  </si>
  <si>
    <t>PARALA MAHARAJA ENGINEERING COLLEGE,BERHAMPUR</t>
  </si>
  <si>
    <t>AutoCAD,MS Office,MS Project,SAP S4 HANA</t>
  </si>
  <si>
    <t>BOXOFFICE SPACES | PROCUREMENT INTERN | PUNE | May 2026 | Jul 2026 | 8.7142857142857 Weeks | Campus Internship
SAAT PHERE INDIA | PROGRAMME MANAGER | BHILLAI | Oct 2022 | Oct 2022 | 4.1428571428571 Weeks
ROURKELA STEEL PLANT | TOWN PLANING DEPARTMENT | ROURKELA | May 2024 | Jun 2024 | 4.2857142857143 Weeks</t>
  </si>
  <si>
    <t>SAP Certified Associate - SAP S/4HANA Cloud Private Edition, SourcingÂ andÂ Procurement</t>
  </si>
  <si>
    <t>P25700499</t>
  </si>
  <si>
    <t>SINGH SHUBHAM</t>
  </si>
  <si>
    <t>ASHWANI KUMAR</t>
  </si>
  <si>
    <t>Singh Shubham Kumar Ashwani Kumar</t>
  </si>
  <si>
    <t>ss1881720@gmail.com</t>
  </si>
  <si>
    <t>p25700499@student.nicmar.ac.in</t>
  </si>
  <si>
    <t>13-Oct-1998</t>
  </si>
  <si>
    <t>3241 6462 9550</t>
  </si>
  <si>
    <t>ASHWANI SHIVMURTI SINGH</t>
  </si>
  <si>
    <t>RIKSHA DRIVER</t>
  </si>
  <si>
    <t>SHEELA SINGH</t>
  </si>
  <si>
    <t>D/wing 304, Om Sai Shraddha Apt Ostwal Nagari Nalasopara East</t>
  </si>
  <si>
    <t>B L RUIA HIGH SCHOOL</t>
  </si>
  <si>
    <t>MAHARASHTRA STATE BOARD OF SECONDARY AND HIGHER SECONDARY EDUCATION- MUMBAI- MAHARASHTRA</t>
  </si>
  <si>
    <t>BHAVANS COLLEGE</t>
  </si>
  <si>
    <t>STALLION CONSTRUCTIONS | SITE ENGINNER | KANDIVALI- MUMBAI | May 2021 | Nov 2022 | 1Y 6M | 1.92
BKS ASSOCIATE | JUNIOR ENGINNER | THANE- MUMBAI | Nov 2022 | Oct 2023 | 0Y 11M | 2.68
Talib and shamsi construction pvt ltd | JUNIOR ENGINNER | THANE-BORIVALI-MUMBAI | Nov 2023 | Jun 2025 | 1Y 7M | 3.32</t>
  </si>
  <si>
    <t>4 Years 1 Month</t>
  </si>
  <si>
    <t>Sobha Limited India  | Costing Intern  | Bengaluru | May 2026 | Jul 2026 | 9 Weeks | Campus Internship</t>
  </si>
  <si>
    <t>APTECH COMPUTER EDUCATION</t>
  </si>
  <si>
    <t>P25700720</t>
  </si>
  <si>
    <t>SHWETA</t>
  </si>
  <si>
    <t>MOHITE</t>
  </si>
  <si>
    <t>Shweta Anil Mohite</t>
  </si>
  <si>
    <t>shwetamohite2025@gmail.com</t>
  </si>
  <si>
    <t>p25700720@student.nicmar.ac.in</t>
  </si>
  <si>
    <t>19-Dec-2001</t>
  </si>
  <si>
    <t>8371 0595 0677</t>
  </si>
  <si>
    <t>ANIL MOHITE</t>
  </si>
  <si>
    <t>SHUBHANGI MOHITE</t>
  </si>
  <si>
    <t>Amrutnagar, Nawalewadi, Tal. Akole</t>
  </si>
  <si>
    <t>DHRUV  ACADEMY</t>
  </si>
  <si>
    <t>DELHI</t>
  </si>
  <si>
    <t>AGASTI COLLEGE</t>
  </si>
  <si>
    <t>PUNE</t>
  </si>
  <si>
    <t>SAVITRIBAI PHULE UNIVERSITY, PUNE</t>
  </si>
  <si>
    <t>TRINITY COLLEGE OF ARCHITECTURE, PUNE</t>
  </si>
  <si>
    <t>AutoCAD,MS Office,MS Project,Lumion,Enscape,Photoshop,Vray</t>
  </si>
  <si>
    <t>P25700625</t>
  </si>
  <si>
    <t>Tanmay</t>
  </si>
  <si>
    <t>Roy</t>
  </si>
  <si>
    <t>Tanmay Roy</t>
  </si>
  <si>
    <t>p25700625@student.nicmar.ac.in</t>
  </si>
  <si>
    <t>No Uploaded</t>
  </si>
  <si>
    <t>P25700500</t>
  </si>
  <si>
    <t>ARURU</t>
  </si>
  <si>
    <t>CHARAN SAI</t>
  </si>
  <si>
    <t>Aruru Charan Sai</t>
  </si>
  <si>
    <t>aruru.charansai31@gmail.com</t>
  </si>
  <si>
    <t>p25700500@student.nicmar.ac.in</t>
  </si>
  <si>
    <t>31-Jul-2002</t>
  </si>
  <si>
    <t>8230 1506 6300</t>
  </si>
  <si>
    <t>ARURU ARAVIND KRISHNA</t>
  </si>
  <si>
    <t>ARURU MADHURI</t>
  </si>
  <si>
    <t>00,ARURU Village,Chitamuru Mandal,Tirupati Dist.</t>
  </si>
  <si>
    <t>RATNAM EM HIGH SCHOOL</t>
  </si>
  <si>
    <t>TIRUMALA JUNIOR KALASALA</t>
  </si>
  <si>
    <t>SRI VENKATESWARA UNIVERSITY</t>
  </si>
  <si>
    <t>SRI VENKATESWARA UNIVERSITY COLLEGE OF ENGINEERING-TIRUPATI/ANDHRA PRADESH</t>
  </si>
  <si>
    <t>AutoCAD,MS Office,MS Project,Primavera,infor</t>
  </si>
  <si>
    <t>NAGARJUNA CONSTRUCTION COMPANY (NCC) Ltd. | Quantity Surveyor-GET | Navi Mumbai | May 2024 | May 2025 | 1Y 0M | 3.2</t>
  </si>
  <si>
    <t>Deloitte Touche Tohmatsu India LLP | Intern-Audit and Assurance | Bengaluru | May 2026 | Jul 2026 | 8.5714285714286 Weeks | Campus Internship
GOVERNAMENT OF ANDHRA PRADESH | STUDENT | RAYADURG | May 2023 | May 2023 | 4.2857142857143 Weeks</t>
  </si>
  <si>
    <t>NPTEL-Air Pollution and Control
NPTEL-Ethics in Engineering
NPTEL-Leadership and Team Effectiveness
NPTEL-Soft Skills</t>
  </si>
  <si>
    <t>P25700501</t>
  </si>
  <si>
    <t>RAMINENI</t>
  </si>
  <si>
    <t>SAI SHIFRANTH</t>
  </si>
  <si>
    <t>VARMA</t>
  </si>
  <si>
    <t>Ramineni Sai Shifranth Varma</t>
  </si>
  <si>
    <t>shifranth@gmail.com</t>
  </si>
  <si>
    <t>p25700501@student.nicmar.ac.in</t>
  </si>
  <si>
    <t>English Hindi Telugu</t>
  </si>
  <si>
    <t>5234 3964 6126</t>
  </si>
  <si>
    <t>RAMINENI VENKATESHWARLU</t>
  </si>
  <si>
    <t>GOVT TEACHER (SA MATHS)</t>
  </si>
  <si>
    <t>Y SNEHA</t>
  </si>
  <si>
    <t>GOVT TEACHER (SA BIOSCIENCE)</t>
  </si>
  <si>
    <t>Plot No 95 Road No 10/B Sree Venkateshwara Colony Kuntloor Hayathnagar Abdulapurmet Mandal Kv Ranga Reddy District Hyderabad Telangana</t>
  </si>
  <si>
    <t>NARAYANA HIGH SCHOOL</t>
  </si>
  <si>
    <t>OSMANIA UNIVERSITY HYDERABAD</t>
  </si>
  <si>
    <t>MVSR ENGINEERING COLLEGE, HYDERABAD</t>
  </si>
  <si>
    <t>AutoCAD,MS Office,MS Project,Primavera,MS Word,MS Excel,Sketchup,Enscape</t>
  </si>
  <si>
    <t>EZ REALTY | Management Consultant | Pune | May 2026 | Jul 2026 | 8.7142857142857 Weeks | Campus Internship
GREATER HYDERABAD MUNICIPAL CORPORATION, GOVERNMENT OF TELANGANA | SUMMER INTERNSHIP | HYDERABAD | May 2023 | Jun 2023 | 4.4285714285714 Weeks
National Academy Of Construction | Finishing School Programme | Hyderabad  | Dec 2024 | Mar 2025 | 13.285714285714 Weeks</t>
  </si>
  <si>
    <t>4 DAYS HAND'S ON WORKSHOP AT LAURIE BAKER Centre for Habitat Studies, Trivandrum, Kerala
INFRASTRUCTURE ENTREPRENEURSHIP COURSE, CONTRACTOR DEVLOPMENT INISTITUTE HYDERABAD
3-MONTHS FINISHING SCHOOL PROGRAM, NATIONAL ACADEMY OF CONSTRUCTION, HYDERABAD
Project - Monitoring and Control
Lean Six Sigma - Green Belt
Resource and Waste Management in Buildings
Comforts In Building by L&amp;T Edu Tech
Finance for Non-Financial Managers</t>
  </si>
  <si>
    <t>P25700502</t>
  </si>
  <si>
    <t>SHAIKH</t>
  </si>
  <si>
    <t>UMAR</t>
  </si>
  <si>
    <t>FAROOQ</t>
  </si>
  <si>
    <t>Shaikh Umar Farooq</t>
  </si>
  <si>
    <t>shaikharumar018@gmail.com</t>
  </si>
  <si>
    <t>p25700502@student.nicmar.ac.in</t>
  </si>
  <si>
    <t>17-Nov-2001</t>
  </si>
  <si>
    <t>9753 9170 4273</t>
  </si>
  <si>
    <t>SHAIKH ISMAIL</t>
  </si>
  <si>
    <t>MOHAMMEDI</t>
  </si>
  <si>
    <t>5-993/78/B_x000D_
RING ROAD MAHBOOB NAGAR_x000D_
NEAR MADEENA MASJID GULBARGA</t>
  </si>
  <si>
    <t>FARAAN ENGLISH MEDIUM HIGH SCHOOL</t>
  </si>
  <si>
    <t>KALABURAGI/KARNATAKA</t>
  </si>
  <si>
    <t>AL SHARAY PU COLLEGE OF SCIENCE</t>
  </si>
  <si>
    <t>SHARNBASAVA UNIVERSITY</t>
  </si>
  <si>
    <t>SHARNBASAVA UNIVERSITY KALABURAGI/KARNATAKA</t>
  </si>
  <si>
    <t>AutoCAD,,Sketchup,lumion,Revit,Navisworks,COSTx,MS Office,MS Project,Primavera</t>
  </si>
  <si>
    <t>THE BIG STOREY | Junior Architect | kalaburagi | Jul 2024 | Jun 2025 | 0Y 11M | 1.44</t>
  </si>
  <si>
    <t>vConstruct Private Limited  | Project Intern – VB  | Pune, Maharashtra  | May 2026 | Jul 2026 | 9.5714285714286 Weeks | Campus Internship
THE BIG STOREY | Intern  | KALABURAGI | Feb 2024 | May 2024 | 17.142857142857 Weeks
NA ARCHITECTS | Intern  | Hyderabad | Sep 2023 | Jan 2024 | 15.571428571429 Weeks</t>
  </si>
  <si>
    <t>P25700503</t>
  </si>
  <si>
    <t>JEVANAND</t>
  </si>
  <si>
    <t>Jevanand B</t>
  </si>
  <si>
    <t>jevabalakavi@gmail.com</t>
  </si>
  <si>
    <t>p25700503@student.nicmar.ac.in</t>
  </si>
  <si>
    <t>03-May-2002</t>
  </si>
  <si>
    <t>8683 1073 4212</t>
  </si>
  <si>
    <t>BALAMURUGAN M</t>
  </si>
  <si>
    <t>EMPLOYEE IN MNC</t>
  </si>
  <si>
    <t>KAVITHA B</t>
  </si>
  <si>
    <t>WORKING IN MEDICAL SHOP</t>
  </si>
  <si>
    <t>MIG-2, Plot.No-4, Phase - 15 TNHB, Mullainagar, Hosur</t>
  </si>
  <si>
    <t>Krishnagiri</t>
  </si>
  <si>
    <t>ST. JOSEPH'S MATRIC HIGH SCHOOL SIPCOT HOUSING COLONY, DHARGA</t>
  </si>
  <si>
    <t>SRI VIJAY VIDYALAYA MATRIC HR SEC SCHOOL HOSUR</t>
  </si>
  <si>
    <t>SCHOOL OF ARCHITECTURE AND PLANNING, CHENNAI</t>
  </si>
  <si>
    <t>AutoCAD,MS Office,MS Project,Primavera,Sketchup,Revit,Illustrator,Photoshop,Indesign,DaVinci Resolve,CostX</t>
  </si>
  <si>
    <t>M. ARUNACHALAM PROJECTS AND INFRASTRUCTURE COMPANY PRIVATE LIMITED | CONSTRUCTION PROJECT MANAGEMENT INTERN | CHENNAI | May 2026 | Jul 2026 | 8.2857142857143 Weeks | Campus Internship
SPONGE COLLABORATIVE, SAMANEA CONSULTANCY PRIVATE LIMITED | INTERN ARCHITECT | CHENNAI | Jan 2024 | Jun 2024 | 19.285714285714 Weeks</t>
  </si>
  <si>
    <t>Introduction To Cognitive Psychology - NPTEL
Registered Architect in COA (Council of Architecture)
Finance for Non-Financial Managers - Coursera
Gem Sports Prize for Best Sportsperson for the Year 2024 in School of Architecture and Planning, Anna University
Ethics in Engineering Practice - NPTEL</t>
  </si>
  <si>
    <t>P25700504</t>
  </si>
  <si>
    <t>PATHADE</t>
  </si>
  <si>
    <t>Ankit Ashok Pathade</t>
  </si>
  <si>
    <t>ankitpathade7@gmail.com</t>
  </si>
  <si>
    <t>p25700504@student.nicmar.ac.in</t>
  </si>
  <si>
    <t>28-Jan-2000</t>
  </si>
  <si>
    <t>9422 0100 6743</t>
  </si>
  <si>
    <t>ASHOK PATHADE</t>
  </si>
  <si>
    <t>SAVITA PATHADE</t>
  </si>
  <si>
    <t>FLAT NO -302, 3RD FLOOR, SHANTI RESIDENCY, SIDHATEK SOCIETY</t>
  </si>
  <si>
    <t>HOUSE NO.1475/3, GURUKRUPA NIWAS, AHILYADEVINAGAR, JAFRABAD, JALNA</t>
  </si>
  <si>
    <t>Jalna</t>
  </si>
  <si>
    <t>SWAMI VIVEKANAND ACADEMY</t>
  </si>
  <si>
    <t>STATE BOARD/CHHATRAPATI SAMBHAJINAGAR</t>
  </si>
  <si>
    <t>SIDDHARTH ARTS,SCIENCE AND COMMERCE COLLEGE</t>
  </si>
  <si>
    <t>STATE BOARD/ JAFRABAD,JALNA</t>
  </si>
  <si>
    <t>CTES COLLEGE OF ARCHITECTURE / MAHARASHTRA</t>
  </si>
  <si>
    <t>AutoCAD,MS Office,MS Project,sketch up,d-5 render,revit,Photoshop,Enscape</t>
  </si>
  <si>
    <t>Design 11 | Junior Architect | Baner, pune | Jan 2024 | Jun 2025 | 1Y 5M | 2.52</t>
  </si>
  <si>
    <t>Savvy infrastructure  | Quantity surveying and billing  | Gift city, Gandhinagar,Gujrat | May 2026 | Jul 2026 | 8.7142857142857 Weeks | Campus Internship
PLANOSCAPES ARCHITECTS AND PLANNERS | INTERN | MUMBAI | Dec 2021 | Apr 2022 | 21.428571428571 Weeks</t>
  </si>
  <si>
    <t>P25700505</t>
  </si>
  <si>
    <t>PRUTHVIRAJ</t>
  </si>
  <si>
    <t>KHANDVE</t>
  </si>
  <si>
    <t>Pruthviraj Prashant Khandve</t>
  </si>
  <si>
    <t>pruthvirajkhandve5@gmail.com</t>
  </si>
  <si>
    <t>p25700505@student.nicmar.ac.in</t>
  </si>
  <si>
    <t>23-Dec-2001</t>
  </si>
  <si>
    <t>7138 3894 8457</t>
  </si>
  <si>
    <t>PRASHANT VITTHALRAO KHANDVE</t>
  </si>
  <si>
    <t>CIVIL ENGINEER &amp; GOVERNMENT  CONTRACTOR</t>
  </si>
  <si>
    <t>NEHA PRASHANT KHANDVE</t>
  </si>
  <si>
    <t>Lane Number 5, Neelanjali Society, Kalyani Nagar,_x000D_
Pune - 411006</t>
  </si>
  <si>
    <t>THE BISHOPS SCHOOL, KALYANI NAGAR, PUNE-411006</t>
  </si>
  <si>
    <t>INDIAN CERTIFICATE OF SECONDARY EDUCATION, PUNE, MAHARASHTRA</t>
  </si>
  <si>
    <t>FERGUSSON JUNIOR COLLEGE</t>
  </si>
  <si>
    <t>HIGHER SECONDARY CERTIFICATE, PUNE, MAHARASHTRA.</t>
  </si>
  <si>
    <t>SAVITRIBAI PUNE PHULE UNIVERSITY</t>
  </si>
  <si>
    <t>SINHGAD COLLEGE OF ENGINEERING, PUNE, MAHARASHTRA.</t>
  </si>
  <si>
    <t>Pune Metro Rail Corporation Limited | Civil, constrtuction intern | Phugewadi metro office | May 2026 | Jul 2026 | 9.7142857142857 Weeks | Campus Internship
SIDDHIVINAYAK ENTERPRISES | INTERN | VISHRANTWADI-TINGRE NAGAR  | Sep 2024 | Mar 2025 | 25.857142857143 Weeks
AMAR BUTTEPATIL GROUP | INTERN | SAHAKAR NAGAR | Jan 2023 | Feb 2023 | 4.4285714285714 Weeks</t>
  </si>
  <si>
    <t>P25700506</t>
  </si>
  <si>
    <t>ANIMESH</t>
  </si>
  <si>
    <t>Animesh Sinha</t>
  </si>
  <si>
    <t>animeshsinha001@gmail.com</t>
  </si>
  <si>
    <t>p25700506@student.nicmar.ac.in</t>
  </si>
  <si>
    <t>02-Jul-2000</t>
  </si>
  <si>
    <t>6028 9875 0134</t>
  </si>
  <si>
    <t>AWADHESH KUMAR SINHA</t>
  </si>
  <si>
    <t>ABHA SINHA</t>
  </si>
  <si>
    <t>ULTIMA HOSTEL, NICMAR UNIVERSITY, BANER, PUNE</t>
  </si>
  <si>
    <t>303 B Block, Shiv Shankar Apartment Kitadih, Jamshedpur</t>
  </si>
  <si>
    <t>East Singhbhum</t>
  </si>
  <si>
    <t>DBMS KADMA HIGH SCHOOL</t>
  </si>
  <si>
    <t>KOLHAN INTER COLLEGE CHALIYAMA DAM</t>
  </si>
  <si>
    <t>JHARKHAND ACADEMIC COUNCIL RANCHI, JHARKHAND</t>
  </si>
  <si>
    <t>CV RAMAN GLOBAL UNIVERSITY</t>
  </si>
  <si>
    <t>CV RAMAN GLOBAL UNIVERSITY, ODISHA</t>
  </si>
  <si>
    <t>Primavera P6,MS Project,Navisworks,AutoCAD,MS Office</t>
  </si>
  <si>
    <t>HINDUSTAN CONSTRUCTION COMPANY LTD | PLANNING ENGINEER | MURUD, RAIGHAD, MAHARASHTRA | Jul 2023 | Jul 2025 | 2Y 0M | 6.22</t>
  </si>
  <si>
    <t>Masin Projects Private Limited | DELAY/QUANTUM  INTERN | Gurgaon | May 2026 | Jul 2026 | 8.7142857142857 Weeks | Campus Internship
SNTI TATA STEEL | CONSTRUCTION PLANNING AND MANAGEMENT | JAMSHEDPUR | Jun 2022 | Jun 2022 | 4 Weeks</t>
  </si>
  <si>
    <t>P25700507</t>
  </si>
  <si>
    <t>RUPESH</t>
  </si>
  <si>
    <t>Rupesh Ramesh Kadam</t>
  </si>
  <si>
    <t>rupeshkadam463@gmail.com</t>
  </si>
  <si>
    <t>p25700507@student.nicmar.ac.in</t>
  </si>
  <si>
    <t>07-Nov-1999</t>
  </si>
  <si>
    <t>3617 8513 9886</t>
  </si>
  <si>
    <t>RAMESH KADAM</t>
  </si>
  <si>
    <t>RUPALI KADAM</t>
  </si>
  <si>
    <t>101, DAFFODILE B WING, KAILASH NAGAR, VADAVALI SECTION, MIDC ROAD, AMBERNATH EAST</t>
  </si>
  <si>
    <t>GURUKUL GRAND UNION HIGH SCHOOL</t>
  </si>
  <si>
    <t>B R HARNE COLLEGE OF ENGINEERING AND TECHNOLOGY</t>
  </si>
  <si>
    <t>SHIVAJIRAO S JONDHLE COLLEGE OF ENGINEERING AND TECHNOLOGY</t>
  </si>
  <si>
    <t>AutoCAD,MS Office,MS Project,Primavera,STAAD PRO,ETABS,REVIT</t>
  </si>
  <si>
    <t>J Kumar Infraprojects Ltd. | Intern – Project Execution | Thane, Maharashtra | May 2026 | Jul 2026 | 9.7142857142857 Weeks | Campus Internship</t>
  </si>
  <si>
    <t>AUTO CAD
STAAD PRO
ETABS
REVIT</t>
  </si>
  <si>
    <t>P25700508</t>
  </si>
  <si>
    <t>SAVALE</t>
  </si>
  <si>
    <t>UMESH</t>
  </si>
  <si>
    <t>Savale Atharva Umesh</t>
  </si>
  <si>
    <t>17.savale@gmail.com</t>
  </si>
  <si>
    <t>p25700508@student.nicmar.ac.in</t>
  </si>
  <si>
    <t>17-Sep-2000</t>
  </si>
  <si>
    <t>4794 9545 0814</t>
  </si>
  <si>
    <t>UMESH GOVIND SAVALE</t>
  </si>
  <si>
    <t>VIJAYA UMESH SAVALE</t>
  </si>
  <si>
    <t>Lane No- B-18, Flat No-12, Ujwal Kunj 2, Raikar Nagar, Dhayari, Pune</t>
  </si>
  <si>
    <t>DNYANGANGA ENGLISH MEDIUM SCHOOL, PUNE</t>
  </si>
  <si>
    <t>SOU VENUTAI CHAVAN POLYTECHNIC, PUNE</t>
  </si>
  <si>
    <t>RMD SINHGAD SCHOOL OF ENGINEERING, WARJE, PUNE</t>
  </si>
  <si>
    <t xml:space="preserve">MS Office, AutoCAD, Revit, MS Project, Primavera, Cost X </t>
  </si>
  <si>
    <t>Aditya Constructions | Site Engineer | Pune | Sep 2022 | Nov 2023 | 1Y 2M | 1.8
Calypso Reality | Junior Site Engineer | Pune | Dec 2023 | Sep 2024 | 0Y 9M | 2.28</t>
  </si>
  <si>
    <t>Goa State Infrastructure Development Corporation | Site Execution | Goa, India | May 2026 | Jul 2026 | 8.7142857142857 Weeks | Campus Internship</t>
  </si>
  <si>
    <t>P25700510</t>
  </si>
  <si>
    <t>NIMBARTE</t>
  </si>
  <si>
    <t>Prathamesh Arun Nimbarte</t>
  </si>
  <si>
    <t>prathameshnimbarte99@gmail.com</t>
  </si>
  <si>
    <t>p25700510@student.nicmar.ac.in</t>
  </si>
  <si>
    <t>03-Jun-1999</t>
  </si>
  <si>
    <t>9123 9996 9266</t>
  </si>
  <si>
    <t>NO</t>
  </si>
  <si>
    <t>NALINI</t>
  </si>
  <si>
    <t>SADHGURU RESIDENCY, BEHIND YASHORAHI HOSPITAL, SHIVANE, PUNE</t>
  </si>
  <si>
    <t>24, ANAND VIHAR COLONY, VIDYUT NAGAR, V.M.V ROAD, AMRAVATI</t>
  </si>
  <si>
    <t>PRATHAMESH ARUN NIMBARTE</t>
  </si>
  <si>
    <t>PRAVIN RAMCHANDRAJI PATIL INSTITUTE OF POLYTECHNIC AND TECHNOLOGY, AMRAVATI</t>
  </si>
  <si>
    <t>GYANCHAD HARIKISANDAS RAISONI COLLEGE OF ENGINEERING, AMRAVATI</t>
  </si>
  <si>
    <t>AutoCAD,MS Office,MS Project,Primavera,CostX Software,BIM REVIT</t>
  </si>
  <si>
    <t>PINNACLE CONSTRUCTIONS | JUNIOR / SITE ENGINEER | Pune | Aug 2024 | May 2025 | 0Y 8M | 2.4</t>
  </si>
  <si>
    <t>Sobha Limited | Project Management Intern  | Gurugram, Harayana | May 2026 | Jul 2026 | 9 Weeks | Campus Internship
F.CAD.CONSTRUCTION | AUTO-CAD Drafter | Amravati | May 2018 | Jul 2018 | 7.4285714285714 Weeks</t>
  </si>
  <si>
    <t>P25700511</t>
  </si>
  <si>
    <t>JAY</t>
  </si>
  <si>
    <t>Jay Kiran Jadhav</t>
  </si>
  <si>
    <t>jayjadhav811@gmail.com</t>
  </si>
  <si>
    <t>p25700511@student.nicmar.ac.in</t>
  </si>
  <si>
    <t>26-Dec-2002</t>
  </si>
  <si>
    <t>6906 8512 0121</t>
  </si>
  <si>
    <t>KIRAN JADHAV</t>
  </si>
  <si>
    <t>At Post Pande Taluka - Wai District - Satara</t>
  </si>
  <si>
    <t>SINHGAD SPRING DALE PUBLIC SCHOOL</t>
  </si>
  <si>
    <t>BHARTI VIDHYAPEETH'S JAWAHARLAL NEHRU INSTITUTE OF TECHNOLOGY PUNE MAHARASHTRA</t>
  </si>
  <si>
    <t>RMD SINHGAD SCHOOL OF ENGINEERING PUNE MAHARASHTRA</t>
  </si>
  <si>
    <t>AutoCAD,MS Project,Primavera,Revit,CostX</t>
  </si>
  <si>
    <t>Badiyani Constructions | Design Coordination + Execution  | Pune  | May 2026 | Jul 2026 | 9.7142857142857 Weeks | Campus Internship
Ravindra Construction | Promoters And Builders | Pune | Oct 2024 | Apr 2025 | 30.142857142857 Weeks</t>
  </si>
  <si>
    <t>P25700512</t>
  </si>
  <si>
    <t>D H</t>
  </si>
  <si>
    <t>Akhil Gowda D H</t>
  </si>
  <si>
    <t>dhakhilgowda@gmail.com</t>
  </si>
  <si>
    <t>p25700512@student.nicmar.ac.in</t>
  </si>
  <si>
    <t>2117 1976 8262</t>
  </si>
  <si>
    <t>HEMANTH KUMAR</t>
  </si>
  <si>
    <t>AGRICULTURIST</t>
  </si>
  <si>
    <t>SUKANYA</t>
  </si>
  <si>
    <t>#143, Salagame Road, Dasarakoppalu Hassan</t>
  </si>
  <si>
    <t>Hassan</t>
  </si>
  <si>
    <t>HOLY CROSS SISTERS HIGH SCHOOL</t>
  </si>
  <si>
    <t>MASTERS PU COLLEGE</t>
  </si>
  <si>
    <t>Microsoft Excel, Microsoft PowerPoint, Microsoft Word, Microsoft Project, Primavera P6</t>
  </si>
  <si>
    <t>CBRE India | Valuation &amp; Advisory Intern | Bengaluru, Karnataka | May 2026 | Jul 2026 | 11 Weeks | Campus Internship
KHAM DESIGN | ARCHITECTURAL INTERN | BENGALURU | Jan 2025 | Apr 2025 | 15.571428571429 Weeks</t>
  </si>
  <si>
    <t>Real Estate Development: Building Value in Your Community
Urban Land Economics and Real Estate Market Dynamics
Real Estate Financial Modeling
The Three Pillars of Effective Communications by PMI
Six Sigma: Green Belt by Project management Institute</t>
  </si>
  <si>
    <t>P25700513</t>
  </si>
  <si>
    <t>Rakesh V</t>
  </si>
  <si>
    <t>rakeshreddyraki1211@gmail.com</t>
  </si>
  <si>
    <t>p25700513@student.nicmar.ac.in</t>
  </si>
  <si>
    <t>06-Oct-2002</t>
  </si>
  <si>
    <t>ENGLISH, HINDI, KANNADA ,TELUGU</t>
  </si>
  <si>
    <t>2804 7148 2601</t>
  </si>
  <si>
    <t>VENKATA REDDY</t>
  </si>
  <si>
    <t>GEETHAMMA</t>
  </si>
  <si>
    <t>15, 1ST CROSS RD, MARUTHI LAYOUT, ROYAL SHELTERS STAGE 4,BOMMANAHALLI,BENGALURU,</t>
  </si>
  <si>
    <t>KADEHALLI VILLAGE, GUDIBANDE TALUK, CHIKKABALLAPUR DISTRICT</t>
  </si>
  <si>
    <t>Chikkaballapur</t>
  </si>
  <si>
    <t>NEW HORIZON ENGLISH SCHOOL</t>
  </si>
  <si>
    <t>VARADADRI PU COLLEGE</t>
  </si>
  <si>
    <t>NITTE MEENAKSHI INSTITUTE OF TECHNOLOGY,BANGALORE</t>
  </si>
  <si>
    <t>AutoCAD,MS Office,MS Project,Primavera,BIM,STAAD PRO,costx</t>
  </si>
  <si>
    <t>MANA PROJECTS PVT LTD | PROJECT INTERN | BENGALURU | May 2026 | Jul 2026 | 8.7142857142857 Weeks | Campus Internship
ANR CONSTRUCTIONS | INTERN | Bagepalli  | Jul 2023 | Nov 2023 | 17.714285714286 Weeks</t>
  </si>
  <si>
    <t>PROJECT PLANING AND MANAGEMENT
AROGYA BHARATHI TRUST (NGO)
GEOGRAPHIC INFORMATION SYSTEM
SAFETY IN CONSTRUCTION
3D MODEL CREATION WITH AUTODESK FUSION 360
BIM FUNDAMENTALS FOR  ENGINEERS
BIM APPLICATION FOR ENGINEERS
BIM Revit</t>
  </si>
  <si>
    <t>P25700514</t>
  </si>
  <si>
    <t>Abhinav Sharma</t>
  </si>
  <si>
    <t>abhinav.info15@gmail.com</t>
  </si>
  <si>
    <t>p25700514@student.nicmar.ac.in</t>
  </si>
  <si>
    <t>26-Sep-2002</t>
  </si>
  <si>
    <t>8143 4072 6007</t>
  </si>
  <si>
    <t>RAKESH KUMAR SHARMA</t>
  </si>
  <si>
    <t>DECEASED</t>
  </si>
  <si>
    <t>RITA SHARMA</t>
  </si>
  <si>
    <t>Haryana Lodge Tutikandi Shimla - 171004</t>
  </si>
  <si>
    <t>DAYANAND PUBLIC SCHOOL</t>
  </si>
  <si>
    <t>CENTRAL BOARD OF SECONDARY EDUCATION SHIMLA/HIMACHAL PRADESH</t>
  </si>
  <si>
    <t>GOVERNMENT SENIOR SECONDARY SCHOOL LALPANI</t>
  </si>
  <si>
    <t>HIMACHAL PRADESH BOARD OF SCHOOL EDUCATION SHIMLA/HIMACHAL PRADESH</t>
  </si>
  <si>
    <t>HIMACHAL PRADESH UNIVERSITY</t>
  </si>
  <si>
    <t>UNIVERSITY INSTITUTE OF TECHNOLOGY SHIMLA/HIMACHAL PRADESH</t>
  </si>
  <si>
    <t>MS Office,MS Project,Primavera,CostX,AutoCAD</t>
  </si>
  <si>
    <t>NCCCL | Contracts &amp; Commercial Intern | Dombivili, Mumbai | May 2026 | Jul 2026 | 8.5714285714286 Weeks | Campus Internship
SJVN LIMITED | INTERN | SHIMLA | Jan 2024 | Feb 2024 | 4.4285714285714 Weeks
M/S RAVINDER CHAUHAN | SITE ENGINEER  | SHIMLA | Aug 2024 | Jan 2025 | 26.142857142857 Weeks</t>
  </si>
  <si>
    <t>Current Ground Improvement Practices in India: A Research &amp; Industrial Advancement</t>
  </si>
  <si>
    <t>P25700515</t>
  </si>
  <si>
    <t>SAPKAL</t>
  </si>
  <si>
    <t>Vishwaraj Ramesh Sapkal</t>
  </si>
  <si>
    <t>rajsapkal4030@gmail.com</t>
  </si>
  <si>
    <t>p25700515@student.nicmar.ac.in</t>
  </si>
  <si>
    <t>2200 8637 4420</t>
  </si>
  <si>
    <t>TRUPTI</t>
  </si>
  <si>
    <t>587 Shantinagar, Shahbaug, Wai</t>
  </si>
  <si>
    <t>BLOSSOM CHILDREN'S ACADEMY, WAI</t>
  </si>
  <si>
    <t>KISANVEER JUNIOR MAHAVIDYALAYA, WAI</t>
  </si>
  <si>
    <t>SINHGAD COLLEGE OF ENGINEERING, VADGAON BK</t>
  </si>
  <si>
    <t>PRIMARK ASSOCIATES | Project Management Intern | Pune | May 2026 | Jul 2026 | 8.7142857142857 Weeks | Campus Internship
SHRADDHA ENTERPRISES | INTERNSHIP TRAINEE | WAI | Jan 2023 | Feb 2023 | 3.1428571428571 Weeks</t>
  </si>
  <si>
    <t>P25700516</t>
  </si>
  <si>
    <t>DABHOLKAR</t>
  </si>
  <si>
    <t>Yash Suresh Dabholkar</t>
  </si>
  <si>
    <t>dabholkaryash90@gmail.com</t>
  </si>
  <si>
    <t>p25700516@student.nicmar.ac.in</t>
  </si>
  <si>
    <t>28-Feb-2000</t>
  </si>
  <si>
    <t>2846 3808 1620</t>
  </si>
  <si>
    <t>SNEHA</t>
  </si>
  <si>
    <t>GROUND FLOOR, NAVBHARAT SOCIETY, NEAR YASHODEEP CHOWK, WARJE</t>
  </si>
  <si>
    <t>At Post Gavane, Gavaliwadi Taluka Lanja Dist Ratnagiri</t>
  </si>
  <si>
    <t>NEW ENGLISH SCHOOL, LANJA</t>
  </si>
  <si>
    <t>GOVERNMENT POLYTECHNIC, RATNAGIRI</t>
  </si>
  <si>
    <t>SINHGAD ACADEMY OF ENGINEERING, KONDHWA (BK), PUNE</t>
  </si>
  <si>
    <t>AutoCAD,MS Office, Microsoft Project</t>
  </si>
  <si>
    <t>Watmov Engineering Pvt Ltd | Associate Design Engineer | Pune | Dec 2022 | Apr 2024 | 1Y 4M | 3.5
Precision Precast Solutions (PPS) | Designer | Pune | May 2024 | Jul 2025 | 1Y 2M | 4.4</t>
  </si>
  <si>
    <t>Cushman &amp; Wakefield | Project Management Intern | Pune | May 2026 | Jul 2026 | 8.7142857142857 Weeks | Campus Internship</t>
  </si>
  <si>
    <t>P25700518</t>
  </si>
  <si>
    <t>INDRAKUMAR</t>
  </si>
  <si>
    <t>MISHRA</t>
  </si>
  <si>
    <t>Ganesh Indrakumar Mishra</t>
  </si>
  <si>
    <t>ganeshmishra.23.08@gmail.com</t>
  </si>
  <si>
    <t>p25700518@student.nicmar.ac.in</t>
  </si>
  <si>
    <t>English,Hindi,Marathi.</t>
  </si>
  <si>
    <t>2960 7573 6040</t>
  </si>
  <si>
    <t>INDRAKUMAR MISHRA</t>
  </si>
  <si>
    <t>PRODUCTION MANAGER</t>
  </si>
  <si>
    <t>KUSUM MISHRA</t>
  </si>
  <si>
    <t>Room No. 9, Pandey Bhavan C Chinchpada Road, Near Model College Kalyan East,Thane, Maharashtra</t>
  </si>
  <si>
    <t>NATIONAL ENGLISH HIGH SCHOOL</t>
  </si>
  <si>
    <t>SAKET COLLEGE</t>
  </si>
  <si>
    <t>TERNA ENGINEERING COLLEGE,NERUL/ MAHARASHTRA</t>
  </si>
  <si>
    <t>AutoCAD,MS Office,MS Project,Primavera,Revit,costx</t>
  </si>
  <si>
    <t>ICICI Bank | Assitant Technical Manager | Dombivali | Jun 2023 | Jun 2025 | 1Y 11M | 4.4</t>
  </si>
  <si>
    <t>Firstspace Development Management Private Limited | Intern-Projects (Planning) | BKC-Mumbai | May 2026 | Jun 2026 | 8.1428571428571 Weeks | Campus Internship
CIDCO | INTERNSHIP TRAINEE | TALOJA | Dec 2021 | Jan 2022 | 2.5714285714286 Weeks</t>
  </si>
  <si>
    <t>MS-CIT</t>
  </si>
  <si>
    <t>P25700519</t>
  </si>
  <si>
    <t>SHRINIVAS</t>
  </si>
  <si>
    <t>KURAPATI</t>
  </si>
  <si>
    <t>Rushikesh Shrinivas Kurapati</t>
  </si>
  <si>
    <t>rishikurapati6@gmail.com</t>
  </si>
  <si>
    <t>p25700519@student.nicmar.ac.in</t>
  </si>
  <si>
    <t>English , Marathi , Hindi , Telegu</t>
  </si>
  <si>
    <t>4887 0179 3122</t>
  </si>
  <si>
    <t>AMBIKA</t>
  </si>
  <si>
    <t>KRISHNAKUNJ, SR. NO. 17/4B/7, DATTARAJ COLONY, LANE NO. 7, MANGALNAGAR, WAKAD, PUNE</t>
  </si>
  <si>
    <t>08/218 , Raghavendra Nagar , MIDC Road , Solapur</t>
  </si>
  <si>
    <t>H D HIGH SCHOOL SOLAPUR</t>
  </si>
  <si>
    <t>SECONDARY AND HIGHER SECONDARY EDUCATION PUNE</t>
  </si>
  <si>
    <t>A.G. PATIL INSTITUTE OF TECHNOLOGY SOLAPUR</t>
  </si>
  <si>
    <t>N. B. NAVALE SINHGAD COLLEGE OF ENGINEERING SOLAPUR</t>
  </si>
  <si>
    <t>AutoCAD,MS Office,MS Project,Revit,Etabs</t>
  </si>
  <si>
    <t>Core Management Services | Junior Planning Engineer | Pune Maharashtra  | Jan 2024 | Dec 2024 | 0Y 11M | 1.68
Bhate Raje Construction Pvt Ltd | Junior Planning Engineer | Pimpri-Chinchwad, Maharashtra 411057 | Jan 2025 | Jun 2025 | 0Y 5M | 3</t>
  </si>
  <si>
    <t>Sagar Skyscrapper LLP | Trainee Junior Engineer.  | Pune | May 2026 | Jun 2026 | 7.7142857142857 Weeks | Campus Internship
SRUSHTI ENGINEERS AND CONSULTANT | PROJECT TRAINEE ENGINEER | SOLAPUR, MAHARASHTRA | Jul 2022 | Dec 2022 | 25.714285714286 Weeks</t>
  </si>
  <si>
    <t>Microsoft Project
Maharashtra State Board of Skill, Vocational Education and Training
SAP01 Training Program
Construction Equipment Maintenance &amp; Safety
Revit Arc. Certificate 
ETABS Certificate
Finance for non - Financial Manager  
Data Analysis</t>
  </si>
  <si>
    <t>P25700520</t>
  </si>
  <si>
    <t>Patil Hemanth Kumar</t>
  </si>
  <si>
    <t>patilhemanth6601@gmail.com</t>
  </si>
  <si>
    <t>p25700520@student.nicmar.ac.in</t>
  </si>
  <si>
    <t>English, Hindi, Telugu, Marathi, Kannada</t>
  </si>
  <si>
    <t>3322 4663 2302</t>
  </si>
  <si>
    <t>PATIL VENKAT</t>
  </si>
  <si>
    <t>PHARMACIST</t>
  </si>
  <si>
    <t>PATIL JYOTHI</t>
  </si>
  <si>
    <t>1-2-497, RAKASIPET, BODHAN, NIZAMABAD DIST._x000D_
503185 TELANGANA, INDIA</t>
  </si>
  <si>
    <t>VIJAYA MARY HIGH SCHOOL RAKASIPET BODHAN NIZAMABAD DISTRICT</t>
  </si>
  <si>
    <t>NARAYANA JUNIOR COLLEGE SAPTHAGIRI COLONY KUKATPALLY HYDERABAD</t>
  </si>
  <si>
    <t>TELANGANA STATE BOARD OF INTERMEDIATE EDUCATION HYDERABAD TELANGANA STATE INDIA</t>
  </si>
  <si>
    <t>JAWAHARLAL NEHRU TECHNOLOGICAL UNIVERSITY HYDERABAD TELANGANA STATE INDIA</t>
  </si>
  <si>
    <t>ANURAG GROUP OF INSTITUTIONS HYDERABAD TELANGANA INDIA</t>
  </si>
  <si>
    <t>2023-Mar</t>
  </si>
  <si>
    <t>AutoCAD,MS Office,MS Project,Primavera, Advanced Excel,Autodesk Revit</t>
  </si>
  <si>
    <t>D.E.C. INFRASTRUCTURE AND PROJECTS (INDIA) PRIVATE LIMITED | GRADUATE ENGINEER TRAINEE - QUALITY CONTROL | MANCHERIAL MEDICAL COLLEGE PROJECT | May 2024 | Nov 2024 | 0Y 6M | 2.64</t>
  </si>
  <si>
    <t>Ernst &amp; Young LLP | Business Consulting Risk | Ahmedabad | May 2026 | Jul 2026 | 8.2857142857143 Weeks | Campus Internship
PRIYA CONSTRUCTIONS (RAILWAY AND CIVIL WORK) | INTERN | NIZAMABAD | Oct 2023 | Mar 2024 | 26 Weeks</t>
  </si>
  <si>
    <t>PROJECT MANAGEMENT FOUNDATIONS
COMPLETE   AUTOCAD 2D + 3D COURSE
MICROSOFT EXCEL - EXCEL FROM BEGINNER TO ADVANCED</t>
  </si>
  <si>
    <t>P25700521</t>
  </si>
  <si>
    <t>SAURABH</t>
  </si>
  <si>
    <t>PANDURANG</t>
  </si>
  <si>
    <t>BURADE</t>
  </si>
  <si>
    <t>Saurabh Pandurang Burade</t>
  </si>
  <si>
    <t>saurabhburade0990@gmail.com</t>
  </si>
  <si>
    <t>p25700521@student.nicmar.ac.in</t>
  </si>
  <si>
    <t>21-Mar-2000</t>
  </si>
  <si>
    <t>8350 6439 0011</t>
  </si>
  <si>
    <t>PANDURANG BURADE</t>
  </si>
  <si>
    <t>VILLAGE DEVLOPMENT OFFICER</t>
  </si>
  <si>
    <t>PRATIBHA BURADE</t>
  </si>
  <si>
    <t>Pilare Complex,, Near Sahare Hospital,, Desaiganj Main Road, Desaiganj, Maharashtra</t>
  </si>
  <si>
    <t>SCHOOL OF SCHOLARS , GADCHIROLI</t>
  </si>
  <si>
    <t>CENTER BOARD OF SECONDARY EDUCATION , DELHI</t>
  </si>
  <si>
    <t>SHIVKRUPA JR. SCIENCE COLLAGE , GADCHIROLI</t>
  </si>
  <si>
    <t>HIGHER SECONDARY EDUCATION , PUNE (NAGPUR DIVISION BOARD)</t>
  </si>
  <si>
    <t>DR. D . Y . PATIL COLLAGE ENGINEERING ,AKURDI ,PUNE</t>
  </si>
  <si>
    <t>Manisha Groups PVT. LTD. | Jr. Site Engineer | Pheonix Mall Of The Millennium ,Wakad ,Pune  | Apr 2024 | Nov 2024 | 0Y 6M | 1.8</t>
  </si>
  <si>
    <t>Tejraj group  | Planing Department  | Pune | May 2026 | Jul 2026 | 8.7142857142857 Weeks | Campus Internship</t>
  </si>
  <si>
    <t>P25700522</t>
  </si>
  <si>
    <t>SAYAN</t>
  </si>
  <si>
    <t>HALDER</t>
  </si>
  <si>
    <t>Sayan Halder</t>
  </si>
  <si>
    <t>sayanhalder948@gmail.com</t>
  </si>
  <si>
    <t>p25700522@student.nicmar.ac.in</t>
  </si>
  <si>
    <t>26-Dec-1999</t>
  </si>
  <si>
    <t>2283 6001 0855</t>
  </si>
  <si>
    <t>PUTUL KUMAR HALDER</t>
  </si>
  <si>
    <t>CENTRAL GOVT. EMPLOYE</t>
  </si>
  <si>
    <t>SUSHAMA HALDER</t>
  </si>
  <si>
    <t>UTTAR HAZIPUR,DIAMOND HARBOUR,WORD NO. -15</t>
  </si>
  <si>
    <t>SARISHA RAMKRISHNA MISSION SIKSHA MANDIR</t>
  </si>
  <si>
    <t>FATEPUR SRINATH INSTITUTION</t>
  </si>
  <si>
    <t>MAULANA ABUL KALAM AZAD UNIVERSITY OF TECHNOLOGY , WEST BENGAL</t>
  </si>
  <si>
    <t>NETAJI SUBHASH ENGINEERING COLLEGE</t>
  </si>
  <si>
    <t xml:space="preserve">AutoCAD,MS Office,MS Project,Primavera,BIM,COSTX </t>
  </si>
  <si>
    <t>SAJAL DEB GOVT. CONTRACTOR OF C.P.W.D.&amp; P.W.D. GENERAL ORDER SUPPLIERS | SITE ENGINEER | NORTH TRIPURA | Dec 2021 | Feb 2025 | 3Y 2M | 3.24</t>
  </si>
  <si>
    <t>Central Public Works Department    ( C.P.W.D.) |  Planning And Execution | Kolkata | May 2026 | Jul 2026 | 9.5714285714286 Weeks | Campus Internship</t>
  </si>
  <si>
    <t>BEHAVIORAL SKILLS &amp; TECHNICAL SKILLS -IT
DIPLOMA IN COMPUTER APPLICATION</t>
  </si>
  <si>
    <t>P25700524</t>
  </si>
  <si>
    <t>NOEL</t>
  </si>
  <si>
    <t>JOY</t>
  </si>
  <si>
    <t>Noel Joy</t>
  </si>
  <si>
    <t>noelrj003@gmail.com</t>
  </si>
  <si>
    <t>p25700524@student.nicmar.ac.in</t>
  </si>
  <si>
    <t>Malayalam, English</t>
  </si>
  <si>
    <t>5617 6727 2556</t>
  </si>
  <si>
    <t>JOY SCARIA</t>
  </si>
  <si>
    <t>LIGY JOSEPH</t>
  </si>
  <si>
    <t>Mangattu, Poonjar P.O</t>
  </si>
  <si>
    <t>ST ALPHONSA PUBLIC SCHOOL &amp; JUNIOR COLLEGE, ARUVITHURA KOTTAYAM</t>
  </si>
  <si>
    <t>CBSE, KOTTAYAM KERALA</t>
  </si>
  <si>
    <t>SMV HIGHER SECONDARY SCHOOL, POONJAR KOTTAYAM</t>
  </si>
  <si>
    <t>DHSE KERALA KOTTAYAM</t>
  </si>
  <si>
    <t>RAJAGIRI SCHOOL OF ENGINEERING &amp; TECHNOLOGY, KOCHI, KERALA</t>
  </si>
  <si>
    <t>AutoCAD, MS Project, Primavera, Revit</t>
  </si>
  <si>
    <t>VSL INDIA PVT LTD | SITE EXECUTION INTERN | CHENNAI | May 2026 | Jul 2026 | 8.7142857142857 Weeks | Campus Internship
AMRUTHA CONSULTANTS | CIVIL ENGINEERING INTERN | KOCHI, KERALA | Mar 2023 | Apr 2023 | 2.7142857142857 Weeks</t>
  </si>
  <si>
    <t>Data Analytics
Repair and Maintenance of Buildings
QGIS
Energy Simulation in Buildings
Construction Equipment Maintenance &amp; Safety
Construction Machinery for Concreting /Roads &amp; Earth Moving
TBMs,Pile Rigs,Cranes &amp; Hauling Vehicles
German - I</t>
  </si>
  <si>
    <t>P25700525</t>
  </si>
  <si>
    <t>CHAURASIA</t>
  </si>
  <si>
    <t>Om Rajesh Chaurasia</t>
  </si>
  <si>
    <t>omchaurasia739@gmail.com</t>
  </si>
  <si>
    <t>p25700525@student.nicmar.ac.in</t>
  </si>
  <si>
    <t>01-Mar-2001</t>
  </si>
  <si>
    <t>6355 8310 1375</t>
  </si>
  <si>
    <t>RAJESH CHAURASIA</t>
  </si>
  <si>
    <t>ANITA CHAURASIA</t>
  </si>
  <si>
    <t>Room No. 5, Ashok Bhavan, M D Road, Opp Power House, Kandivali East</t>
  </si>
  <si>
    <t>THAKUR VIDYA MANDIR HIGH SCHOOL</t>
  </si>
  <si>
    <t>THAKUR COLLEGE OF ENGINEERING &amp; TECHNOLOGY</t>
  </si>
  <si>
    <t>Shreeji Sharan Group Of Companies | Junior Engineer | Mumbai | Jun 2022 | Jun 2025 | 3Y 0M | 2.52</t>
  </si>
  <si>
    <t>SOBHA LIMITED | Planning | Kerala | May 2026 | Jul 2026 | 9 Weeks | Campus Internship
SACHIN GUPTA BUILDCON PVT. LTD. | JUNIOR ENGINEER | MUMBAI | Dec 2021 | Jan 2022 | 8.7142857142857 Weeks</t>
  </si>
  <si>
    <t>Maharashtra State Certificate in Information Technology
Extension Work Team</t>
  </si>
  <si>
    <t>P25700526</t>
  </si>
  <si>
    <t>RITIKA</t>
  </si>
  <si>
    <t>MESHRAM</t>
  </si>
  <si>
    <t>Ritika Gautam Meshram</t>
  </si>
  <si>
    <t>ritikameshram995@gmail.com</t>
  </si>
  <si>
    <t>p25700526@student.nicmar.ac.in</t>
  </si>
  <si>
    <t>6675 6808 8799</t>
  </si>
  <si>
    <t>GAUTAM MESHRAM</t>
  </si>
  <si>
    <t>SEEMA MESHRAM</t>
  </si>
  <si>
    <t>SHUBHAM COLONY,LOHARA BYPASS YAVATMAL</t>
  </si>
  <si>
    <t>SANSKAR ENGLISH MEDIUM SCHOOL</t>
  </si>
  <si>
    <t>PEOPLES JR COLLEGE</t>
  </si>
  <si>
    <t>DR DY PATIL INSTITUTE OF TECHNOLOGY,PIMPRI,PUNE.</t>
  </si>
  <si>
    <t>BHATE&amp;RAJE CONSTRUCTION COMPANY PVT.LTD. | JUNIOR ENGINEER | PUNE | Dec 2023 | Jan 2024 | 4.2857142857143 Weeks</t>
  </si>
  <si>
    <t>Revit
Autocad</t>
  </si>
  <si>
    <t>P25700527</t>
  </si>
  <si>
    <t>LIKITHA</t>
  </si>
  <si>
    <t>BHOOPATHI</t>
  </si>
  <si>
    <t>Likitha Priya Bhoopathi</t>
  </si>
  <si>
    <t>likithapriyabhoopathi@gmail.com</t>
  </si>
  <si>
    <t>p25700527@student.nicmar.ac.in</t>
  </si>
  <si>
    <t>05-Dec-2003</t>
  </si>
  <si>
    <t>5014 9201 0207</t>
  </si>
  <si>
    <t>BHOOPATHI VYAS CHANDER</t>
  </si>
  <si>
    <t>JONNALA SREEDEVI</t>
  </si>
  <si>
    <t>2-11-201/1/401 Hari Hara Towers, KUC X Road</t>
  </si>
  <si>
    <t>SPR SCHOOL OF EXCELLENCE</t>
  </si>
  <si>
    <t>BOARD OF SECONDARY EDUCATION/TELANGANA</t>
  </si>
  <si>
    <t>VMR POLYTECHNIC/TELANGANA</t>
  </si>
  <si>
    <t>KAKATIYA INSTITUTE OF TECHNOLOGY ANDÂ SCIENCE/TELANGANA</t>
  </si>
  <si>
    <t>AutoCAD,MS Office,MS Project,Primavera,Staad pro,Revit,CostX</t>
  </si>
  <si>
    <t>Artizen Project LLp | Project Coordinate Intern | Hyderabad | May 2026 | Jul 2026 | 8.7142857142857 Weeks | Campus Internship
National Institute Of Construction Management And Reseach | Intern | Hyderabad | Jun 2024 | Jun 2024 | 2.4285714285714 Weeks
Government of telangana IRRIGATION &amp; CAD Department | intern | Parkal | May 2023 | Jun 2023 | 3.4285714285714 Weeks</t>
  </si>
  <si>
    <t>P25700528</t>
  </si>
  <si>
    <t>VISHWANATH</t>
  </si>
  <si>
    <t>Riya Vishwanath</t>
  </si>
  <si>
    <t>29riyav@gmail.com</t>
  </si>
  <si>
    <t>p25700528@student.nicmar.ac.in</t>
  </si>
  <si>
    <t>5880 8641 0461</t>
  </si>
  <si>
    <t>VIKRAMADITYA VISHWANATH</t>
  </si>
  <si>
    <t>KAVITA VISHWANATH</t>
  </si>
  <si>
    <t>First Floor, Saijyot Apartment, Vataremala, BT Kawde Road</t>
  </si>
  <si>
    <t>AIR FORCE SCHOOL VIMAN NAGAR</t>
  </si>
  <si>
    <t>SPRINGDALES CHILDREN'S SCHOOL</t>
  </si>
  <si>
    <t>SYMBIOSIS INSTITUTE OF TECHNOLOGY, PUNE</t>
  </si>
  <si>
    <t>Cushman &amp; Wakefield | Project Management Intern | Pune | May 2026 | Jul 2026 | 8.7142857142857 Weeks | Campus Internship
KOLTE-PATIL INTEGRATED TOWNSHIPS LTD. | Executive Intern | MARUNJI | Jan 2025 | May 2025 | 20.714285714286 Weeks</t>
  </si>
  <si>
    <t>Diploma in Business management
Primavera P6 Professional Training
Six Sigma White belt
Environmental health and safety on construction projects</t>
  </si>
  <si>
    <t>P25700529</t>
  </si>
  <si>
    <t>JANHAVI</t>
  </si>
  <si>
    <t>Janhavi Vijay Patil</t>
  </si>
  <si>
    <t>patiljanhavi6283@gmail.com</t>
  </si>
  <si>
    <t>p25700529@student.nicmar.ac.in</t>
  </si>
  <si>
    <t>29-Sep-1998</t>
  </si>
  <si>
    <t>8874 1543 5853</t>
  </si>
  <si>
    <t>VIJAY NANA PATIL</t>
  </si>
  <si>
    <t>FABRICATION WORKS</t>
  </si>
  <si>
    <t>SANGITA VIJAY PATIL</t>
  </si>
  <si>
    <t>B6, Flat No. 16, Ganesh Complex, Manikbaug, Sinhgad Road, Opp. Brahma Garden Hotel, Near Nava Sinhgad Parisar Office.</t>
  </si>
  <si>
    <t>RMD SINHGAD TECHNICAL INSTITUTE CAMPUS, WARJE, PUNE, MAHARASHTRA</t>
  </si>
  <si>
    <t>AutoCAD,MS Office,MS Project,Primavera,Revit,Naviswork</t>
  </si>
  <si>
    <t>TCG REAL ESTATE - TCG IBPL | JUNIOR ENGINEER | Hinjewadi Phase 2, Pune, Maharashtra | Jul 2023 | Jun 2025 | 1Y 11M | 3.71
Mazagon Dock Shipbuilders Ltd. | Graduate Apprentice | Mumbai, Maharashtra | Mar 2021 | Mar 2022 | 0Y 11M | 1.08</t>
  </si>
  <si>
    <t>Primark Associates | Project Management Services | Baner, Pune | May 2026 | Jul 2026 | 8.5714285714286 Weeks | Campus Internship</t>
  </si>
  <si>
    <t>Diploma in Building Design</t>
  </si>
  <si>
    <t>P25700530</t>
  </si>
  <si>
    <t>GOHIL</t>
  </si>
  <si>
    <t>MANSIBA</t>
  </si>
  <si>
    <t>JAYDEEPSINH</t>
  </si>
  <si>
    <t>Gohil Mansiba Jaydeepsinh</t>
  </si>
  <si>
    <t>mgohil472003@gmail.com</t>
  </si>
  <si>
    <t>p25700530@student.nicmar.ac.in</t>
  </si>
  <si>
    <t>04-Jul-2003</t>
  </si>
  <si>
    <t>9142 8941 4570</t>
  </si>
  <si>
    <t>MR. JAYDEEPSINH GOHIL</t>
  </si>
  <si>
    <t>MRS. REKHABA GOHIL</t>
  </si>
  <si>
    <t>Ghogha Road, Murlidhar Society, Block10/A, Bhavnagar, Gujarat</t>
  </si>
  <si>
    <t>Bhavnagar</t>
  </si>
  <si>
    <t>ST. MARYâ€™S ENGLISH SCHOOL, BHAVNAGAR</t>
  </si>
  <si>
    <t>GUJARAT SECONDARY AND HIGHER SECONDARY EDUCATION BOARD, GANDHINAGAR</t>
  </si>
  <si>
    <t>GYANMANJARI HIGHER SECONDARY SCHOOL, BHAVNAGAR</t>
  </si>
  <si>
    <t>GOVERNMENT ENGINEERING COLLEGE, BHAVNAGAR</t>
  </si>
  <si>
    <t>AutoCAD,MS Office,MS Project,SketchUp</t>
  </si>
  <si>
    <t>Pidilite Industries Ltd.  | Summer Intern | Mumbai | May 2026 | Jul 2026 | 7.2857142857143 Weeks | Campus Internship
SETU Infrastructure | Trainee | 701-704 The First, behind ITC Narmada Vastrapur, Ahmedabad 380015, Gujarat  | Jan 2025 | Apr 2025 | 11.857142857143 Weeks
Er. Akul Pandya | Intern | 204, Atlanta Complex, Opp. Joggers Park, Bhavnagar 364001, Gujarat  | Jun 2024 | Jul 2024 | 1.8571428571429 Weeks</t>
  </si>
  <si>
    <t>P25700531</t>
  </si>
  <si>
    <t>TALBIYA</t>
  </si>
  <si>
    <t>ASIF IQBAL</t>
  </si>
  <si>
    <t>Talbiya Asif Iqbal Shaikh</t>
  </si>
  <si>
    <t>talbiyashaikh31@gmail.com</t>
  </si>
  <si>
    <t>p25700531@student.nicmar.ac.in</t>
  </si>
  <si>
    <t>31-Jan-2004</t>
  </si>
  <si>
    <t>ENGLISH, HINDI, MARATHI, URDU</t>
  </si>
  <si>
    <t>7628 2275 2076</t>
  </si>
  <si>
    <t>AISF IQBAL SHAIKH</t>
  </si>
  <si>
    <t>ALMAS SHAIKH</t>
  </si>
  <si>
    <t>Flat No.13, Arsheen Apartment, Modi Khana, Saat Rasta.</t>
  </si>
  <si>
    <t>LITTLE FLOWER CONVENT HIGH SCHOOL</t>
  </si>
  <si>
    <t>WALCHAND COLLEGE OF ARTS &amp; SCIENCE</t>
  </si>
  <si>
    <t>NAGESH KARAJAGI ORCHID COLLEGE OF ENGINEERING &amp; TECHNOLOGY, SOLAPUR, MAHARASHTRA</t>
  </si>
  <si>
    <t>SOBHA Limited  | Project Planning   | Hyderabad  | May 2026 | Jul 2026 | 9 Weeks | Campus Internship
Ar. Bhavik Gandhi &amp; Associates | Civil Design &amp; Site Supervision  | Solapur, Maharashtra  | Dec 2024 | Feb 2025 | 10 Weeks</t>
  </si>
  <si>
    <t>BIM REVIT</t>
  </si>
  <si>
    <t>P25700532</t>
  </si>
  <si>
    <t>NETRAVATI</t>
  </si>
  <si>
    <t>T</t>
  </si>
  <si>
    <t>SHEPUR</t>
  </si>
  <si>
    <t>Netravati T Shepur</t>
  </si>
  <si>
    <t>shepurnetra@gmail.com</t>
  </si>
  <si>
    <t>p25700532@student.nicmar.ac.in</t>
  </si>
  <si>
    <t>15-Mar-1990</t>
  </si>
  <si>
    <t>ENGLISH HINDI KANNADA TELUGU</t>
  </si>
  <si>
    <t>5676 1811 6715</t>
  </si>
  <si>
    <t>DR T A SHEPUR</t>
  </si>
  <si>
    <t>SUJATHA T SHEPUR</t>
  </si>
  <si>
    <t>#89, 13Th Cross, Lingarajnagar , Vidyanagar , Patil Layout</t>
  </si>
  <si>
    <t>ST ANTONY'S PUBLIC SCHOOL</t>
  </si>
  <si>
    <t>CENTRAL BOARD OF SECONDAY EDUCATION , DELHI</t>
  </si>
  <si>
    <t>SRI CHAITANYA KALASHALA</t>
  </si>
  <si>
    <t>BOARD OF INTERMEDIATE EDUCATION , ANDHRA PRADESH</t>
  </si>
  <si>
    <t>2008-Apr</t>
  </si>
  <si>
    <t>VTU BELAGUM</t>
  </si>
  <si>
    <t>B V BHOORADDI COLLEGE OF ENGINEERING AND TECHNOLOGY, HUBLI</t>
  </si>
  <si>
    <t>2008-Jul</t>
  </si>
  <si>
    <t>2012-Sep</t>
  </si>
  <si>
    <t>2014-Oct</t>
  </si>
  <si>
    <t>AutoCAD,MS Office,MS Project,STAADPRO,ETABS,RCDC,REVIT</t>
  </si>
  <si>
    <t>SUPRADA CONSTRUCTIONS PRIVATE LIMITED | STRUCTURAL ENGINEER | BENGALURU | Apr 2023 | Dec 2024 | 1Y 8M | 7.18
SMEC INDIA PVT LTD | JUNIOR DESIGN ENGINEER | BENGALURU | Feb 2022 | Dec 2022 | 0Y 9M | 5.04
MARS PLANNING AND ENGINEERING SERVICES | SENIOR ENGINEER-PROJECTS | BENGALURU | Jan 2025 | Apr 2025 | 0Y 3M | 10.8
CRYSTAL INFOTECH SERVICES | STRUCTURAL ENGINEER | BENGALURU | Jul 2020 | Feb 2022 | 1Y 7M | 4.05
SEAN ENGINEERS | DESIGN ENGINEER | BENGALURU | Sep 2019 | Jun 2020 | 0Y 9M | 3
VALDEL ENGINEERS | ENGINEER-CIVIL/STRUCTURAL | BENGALURU | Dec 2022 | Mar 2023 | 0Y 3M | 7
YELLAMMA DASAPPA INSTITUTE OF TECHNOLOGY | Assistant Professor | BENGALURU | Aug 2014 | Aug 2019 | 5Y 0M | 2.52</t>
  </si>
  <si>
    <t>10 Years 5 Months</t>
  </si>
  <si>
    <t>Prestige Estates Projects Limited  | Intern | Bangalore | May 2026 | Jul 2026 | 8.5714285714286 Weeks | Campus Internship</t>
  </si>
  <si>
    <t>Quantity surveying and Billing Engineer 
IJERT PAPER PUBLICATION</t>
  </si>
  <si>
    <t>P25700533</t>
  </si>
  <si>
    <t>GUNJAN</t>
  </si>
  <si>
    <t>DHOBLE</t>
  </si>
  <si>
    <t>Gunjan Shivaji Dhoble</t>
  </si>
  <si>
    <t>gunjandhoble7@gmail.com</t>
  </si>
  <si>
    <t>p25700533@student.nicmar.ac.in</t>
  </si>
  <si>
    <t>5173 3776 4431</t>
  </si>
  <si>
    <t>SHIVAJI DHOBLE</t>
  </si>
  <si>
    <t>SUNANDA DHOBLE</t>
  </si>
  <si>
    <t>AT KHANDHALA (KHURD) , POST-LADGAON THASIL-KATOL DISTRICT- NAGPUR</t>
  </si>
  <si>
    <t>BANARASIDAS RUIYA HIGH SCHOOL KATOL</t>
  </si>
  <si>
    <t>KATOL / MAHARASHTRA</t>
  </si>
  <si>
    <t>NATIONAL INSTITUTE OF TECHNOLOGY NAGPUR</t>
  </si>
  <si>
    <t>PRIYADARSHANI BHAGWATI COLLEGE OF ENGINEERING NAGPUR</t>
  </si>
  <si>
    <t>AutoCAD,MS Office,MS Project,Primavera,Cost X,REVIT</t>
  </si>
  <si>
    <t>Bangalore Metro Rail Corporation Ltd. | Site Execution Intern | Bangalore | May 2026 | Jul 2026 | 8.7142857142857 Weeks | Campus Internship
Er. Prashant M. Kalbande | Trainee | Katol | Apr 2024 | May 2025 | 60.571428571429 Weeks</t>
  </si>
  <si>
    <t>Autocad
NCC
Ethics and Engineering Practices
Coursera Finance for Non-Financial Managers</t>
  </si>
  <si>
    <t>P25700534</t>
  </si>
  <si>
    <t>DIVYA</t>
  </si>
  <si>
    <t>HIRALAL</t>
  </si>
  <si>
    <t>WAILTHARE</t>
  </si>
  <si>
    <t>Divya Hiralal Wailthare</t>
  </si>
  <si>
    <t>dhwailthare29@gmail.com</t>
  </si>
  <si>
    <t>p25700534@student.nicmar.ac.in</t>
  </si>
  <si>
    <t>9879 4083 6493</t>
  </si>
  <si>
    <t>HIRALAL WAILTHARE</t>
  </si>
  <si>
    <t>ASSISTANT POLICE INSPECTOR</t>
  </si>
  <si>
    <t>NANDA WAILTHARE</t>
  </si>
  <si>
    <t>Shiv Apartment, Ganesh Nagar, Tukum, Chandrapur</t>
  </si>
  <si>
    <t>CENTRAL BOARD OF SECONDARY EDUCATION, CHANDRAPUR, MAHARASHTRA</t>
  </si>
  <si>
    <t>MIT ADT UNIVERSITY</t>
  </si>
  <si>
    <t>MIT ADT SCHOOL OF ENGINEERING AND SCIENCES</t>
  </si>
  <si>
    <t>Rodic Consultants | Operation Intern | Delhi | May 2026 | Jul 2026 | 8.5714285714286 Weeks | Campus Internship
MAHARASHTRA METRO RAIL CORPORATION LIMITED | INTERN | PUNE | Feb 2025 | Feb 2025 | 3.8571428571429 Weeks</t>
  </si>
  <si>
    <t>Construction Scheduling</t>
  </si>
  <si>
    <t>P25700535</t>
  </si>
  <si>
    <t>BHARVEE</t>
  </si>
  <si>
    <t>Bharvee Manoj Mokashi</t>
  </si>
  <si>
    <t>bharveemanoj21@gmail.com</t>
  </si>
  <si>
    <t>p25700535@student.nicmar.ac.in</t>
  </si>
  <si>
    <t>21-Apr-2003</t>
  </si>
  <si>
    <t>HINDI,MARATHI, ENGLISH</t>
  </si>
  <si>
    <t>7883 6680 0734</t>
  </si>
  <si>
    <t>MANOJ MOKASHI</t>
  </si>
  <si>
    <t>VRUNDA MOKASHI</t>
  </si>
  <si>
    <t>Damodar Nivas 3rd Flr Vitawa Thane Belapur Road</t>
  </si>
  <si>
    <t>JVM'S NEW ENGLISH SCHOOL KALWA</t>
  </si>
  <si>
    <t>GOVERNMENT POLYTECHNIC THANE, MAHARASHTRA</t>
  </si>
  <si>
    <t>DATTA MEGHE COLLEGE OF ENGINEERING AIROLI NAVI MUMBAI, MAHARASHTRA</t>
  </si>
  <si>
    <t>AutoCAD,MS Office,MS Project,Primavera,ArcGIS,QGIS</t>
  </si>
  <si>
    <t>CUSHMAN AND WAKEFIELD | TEMP ASSOCIATE | BKC | Dec 2024 | Jan 2025 | 4.4285714285714 Weeks
CIDCO | TESTING INTERN | NAVIMUMBAI | Dec 2023 | Jan 2024 | 3.5714285714286 Weeks
CIDCO | EXECUTION INTERN  | NAVIMUMBAI | Jun 2023 | Jul 2023 | 4.4285714285714 Weeks</t>
  </si>
  <si>
    <t>P25700536</t>
  </si>
  <si>
    <t>Preeti</t>
  </si>
  <si>
    <t>Sinha</t>
  </si>
  <si>
    <t>Preeti Sinha</t>
  </si>
  <si>
    <t>sinha.preeti6534@gmail.com</t>
  </si>
  <si>
    <t>p25700536@student.nicmar.ac.in</t>
  </si>
  <si>
    <t>27-Mar-1997</t>
  </si>
  <si>
    <t>Travelling,Reading,Music,Painting,Cooking</t>
  </si>
  <si>
    <t>7529 3195 5151</t>
  </si>
  <si>
    <t xml:space="preserve">Paras Nath Sinha </t>
  </si>
  <si>
    <t>Retired Government Employee</t>
  </si>
  <si>
    <t>Asha Sinha</t>
  </si>
  <si>
    <t>Homemaker</t>
  </si>
  <si>
    <t xml:space="preserve">Tower I1 Flat Number 1706 IITL Nimbus Express Park View 2, Chi-V, Greater Noida </t>
  </si>
  <si>
    <t>D.A.V. PUBLIC SCHOOL CANTONMENT AREA GAYA</t>
  </si>
  <si>
    <t>MAHARSHI DAYANAND UNIVERSITY, ROHTAK</t>
  </si>
  <si>
    <t>RABINDRANATH TAGORE INSTITUTE OF ARCHITECTURE, FARIDABAD, HARYANA</t>
  </si>
  <si>
    <t>AutoCAD,MS Office,MS Project,Revit,Lumion,Autocad Sketchup,Vray</t>
  </si>
  <si>
    <t>Fotress Infracon Limited | Infrastructure &amp; Project Advisory Intern | Thane, Mumbai | May 2026 | Jul 2026 | 8.7142857142857 Weeks | Campus Internship
Ankur &amp; Associates, Mayapuri | Architectural Design Intern | New Delhi | Dec 2019 | May 2020 | 23.285714285714 Weeks</t>
  </si>
  <si>
    <t>Diploma in Revit Architecture</t>
  </si>
  <si>
    <t>P25700537</t>
  </si>
  <si>
    <t>DEVIKA</t>
  </si>
  <si>
    <t>Devika Raj</t>
  </si>
  <si>
    <t>devikaraj1202@gmail.com</t>
  </si>
  <si>
    <t>p25700537@student.nicmar.ac.in</t>
  </si>
  <si>
    <t>5488 4231 7231</t>
  </si>
  <si>
    <t>RAJAN C</t>
  </si>
  <si>
    <t>RETIRED GOVT OFFICIAL</t>
  </si>
  <si>
    <t>REJITHA M</t>
  </si>
  <si>
    <t>GOVT OFFICIAL</t>
  </si>
  <si>
    <t>SREEPADAM, C KANNAN NAGAR COLONY, ELAYAVOOR, P.O. MUNDAYAD</t>
  </si>
  <si>
    <t>ST. FRANCIS ENGLISH MEDIUM SCHOOL, KANNUR</t>
  </si>
  <si>
    <t>VIMAL JYOTHI ENGINEERING COLLEGE, KANNUR</t>
  </si>
  <si>
    <t>Godrej Properties Limited | Operations-Planning | Bangalore | May 2026 | Jul 2026 | 8.7142857142857 Weeks | Campus Internship</t>
  </si>
  <si>
    <t>Budgeting and Scheduling Projects
Project Management Fundamentals
Construction Equipment Maintenance &amp; Safety
Foundations of Project Management
AI Fundamentals
GERMAN-1</t>
  </si>
  <si>
    <t>P25700538</t>
  </si>
  <si>
    <t>SREYA</t>
  </si>
  <si>
    <t>Sreya Raj</t>
  </si>
  <si>
    <t>sreyaraj27@gmail.com</t>
  </si>
  <si>
    <t>p25700538@student.nicmar.ac.in</t>
  </si>
  <si>
    <t>04-Jan-2002</t>
  </si>
  <si>
    <t>5025 4395 4610</t>
  </si>
  <si>
    <t>PADMARAJAN</t>
  </si>
  <si>
    <t>RTD. SUBENGINEER</t>
  </si>
  <si>
    <t>SUJITHA</t>
  </si>
  <si>
    <t>SREYAS,CHARUKADU, CHEMMAKADU PO, PANAYAM,KOLLAM</t>
  </si>
  <si>
    <t>SREYA RAJ</t>
  </si>
  <si>
    <t>GOVERNMENT HIGHER SECONDARY SCHOOL ANCHALOOMOOD</t>
  </si>
  <si>
    <t>KERALA STATE BOARD OF HSE</t>
  </si>
  <si>
    <t>AutoCAD,MS Office,MS Project,REVIT,NAVISWORK,3DS MAX</t>
  </si>
  <si>
    <t>SOBHA LIMITED | Project Management Intern | Bengaluru, Karnataka, India | May 2026 | Jul 2026 | 9 Weeks | Campus Internship
RDS INFOPARK | BIM MODELER | KORATTY,THRISSUR | Apr 2025 | Apr 2025 | 2.5714285714286 Weeks
BIM CAFE LEARNING HUB | BIM MODELER | ERNAKULAM | Oct 2024 | Mar 2025 | 22.142857142857 Weeks
PWD BUILDINGS SUB DIVISION | STUDENT INTERN | KOLLAM | May 2023 | May 2023 | 0.57142857142857 Weeks</t>
  </si>
  <si>
    <t>Building Information Modeling
Revit Architecture
3DS Max
Navisworks Manage
AutoCAD
Construction Equipment Maintenance &amp; Safety</t>
  </si>
  <si>
    <t>P25700539</t>
  </si>
  <si>
    <t>NANSHAL</t>
  </si>
  <si>
    <t>BAJAJ</t>
  </si>
  <si>
    <t>Nanshal Bajaj</t>
  </si>
  <si>
    <t>nanshalbajaj@gmail.com</t>
  </si>
  <si>
    <t>p25700539@student.nicmar.ac.in</t>
  </si>
  <si>
    <t>01-Sep-1998</t>
  </si>
  <si>
    <t>English, Hindi, Sindhi and Marathi</t>
  </si>
  <si>
    <t>2155 3196 7822</t>
  </si>
  <si>
    <t>VINOD BAJAJ</t>
  </si>
  <si>
    <t>ANSHU BAJAJ</t>
  </si>
  <si>
    <t>A3-25, ADITYA BREEZE PARK, BALEWADI</t>
  </si>
  <si>
    <t>Ward No. 08, Kotma Road, Burhar</t>
  </si>
  <si>
    <t>Shahdol</t>
  </si>
  <si>
    <t>CARMEL CONVENT HR SEC SCHOOL SOHAGPUR SHAHDOL MP</t>
  </si>
  <si>
    <t>S.B. PATIL COLLEGE OF ARCHITECTURE AND DESIGN</t>
  </si>
  <si>
    <t>AutoCAD,MS Office,MS Project,Primavera,Sketchup,Revit,Enscape,Lumion</t>
  </si>
  <si>
    <t>About the Space | Junior Architect | Pune | Jul 2023 | Sep 2024 | 1Y 2M | 2.4
Chopra Design Studio | Junior Architect | Indore | Nov 2022 | Jun 2023 | 0Y 7M | 1.8</t>
  </si>
  <si>
    <t>Ahluwalia Contracts (India) Ltd. | Intern | Mumbai | May 2026 | Jun 2026 | 8.1428571428571 Weeks | Campus Internship
Renu Khanna and Associates | Architectural Intern | Panchkula, Chandigarh | Jul 2021 | Nov 2021 | 21 Weeks</t>
  </si>
  <si>
    <t>Diploma in Architecture Softwares</t>
  </si>
  <si>
    <t>P25700540</t>
  </si>
  <si>
    <t>AMEYA</t>
  </si>
  <si>
    <t>MILIND</t>
  </si>
  <si>
    <t>BUJONE</t>
  </si>
  <si>
    <t>Ameya Milind Bujone</t>
  </si>
  <si>
    <t>ameya.bujone21@gmail.com</t>
  </si>
  <si>
    <t>p25700540@student.nicmar.ac.in</t>
  </si>
  <si>
    <t>6158 1738 6492</t>
  </si>
  <si>
    <t>MILIND GOVINDRAO BUJONE</t>
  </si>
  <si>
    <t>RASHMI MILIND BUJONE</t>
  </si>
  <si>
    <t>SAI SHREE APARTMENT, PIMPLE SAUDAGAR, PUNE</t>
  </si>
  <si>
    <t>Maxx Glory Society, Beltarodi, Nagpur</t>
  </si>
  <si>
    <t>VIDYA NIKETAN, CHANDRAPUR</t>
  </si>
  <si>
    <t>VIDYA NIKETAN</t>
  </si>
  <si>
    <t>RASHTRASANT TUKDOJI MAHARAJ NAGPUR UNIVERSITY, NAGPUR</t>
  </si>
  <si>
    <t>AutoCAD,MS Project,Primavera,QS &amp; Billing of Govt. Projects and Commercial offices.,liaisoning,People management &amp; conflict resolution,Revit,BIM,Contracts and dispute management,planning and procurement</t>
  </si>
  <si>
    <t>The Indian Hume Pipe Co. Ltd. | Engineer | Gadakota, Madhya pradesh | Aug 2022 | Mar 2024 | 1Y 7M | 3.6
Jagdish Prasad Agarwal | Site Engineer | Aspur, Rajasthan | May 2024 | Sep 2024 | 0Y 3M | 4.05</t>
  </si>
  <si>
    <t>CHERRY HILL INTERIOR PVT. LTD. | QS AND BILLING INTERN | BANGLORE  | May 2026 | Jul 2026 | 8.7142857142857 Weeks | Campus Internship
SD Construction and Gharkul Construction | Intern  | Chandrapur, Maharashtra | Dec 2020 | Feb 2021 | 5.8571428571429 Weeks</t>
  </si>
  <si>
    <t>NPTEL- German 1
Ethics in Engineering practice</t>
  </si>
  <si>
    <t>P25700541</t>
  </si>
  <si>
    <t>PARIMAL</t>
  </si>
  <si>
    <t>ALAWANE</t>
  </si>
  <si>
    <t>Parimal Pradip Alawane</t>
  </si>
  <si>
    <t>parimalalawane2214@gmail.com</t>
  </si>
  <si>
    <t>p25700541@student.nicmar.ac.in</t>
  </si>
  <si>
    <t>7525 4078 2883</t>
  </si>
  <si>
    <t>Musale Vasti,Road No.2,B18,Parimal Bunglow</t>
  </si>
  <si>
    <t>PRAVARA PUBLIC SCHOOL,PRAVARANAGAR</t>
  </si>
  <si>
    <t>PADMASHRI VIKHE PATIL COLLEGE OF ARTS,SCIENCE AND COMMERCE,PRAVARANAGAR</t>
  </si>
  <si>
    <t>K.K. WAGH INSTITUTE OF ENGINEERING EDUCATION AND RESEARCH,NASHIK</t>
  </si>
  <si>
    <t>Larsen &amp; Toubro Construction, HCI IC | Construction Management Intern | Orange Gate Urban Tunnel Project, Mumbai, Maharashtra | May 2026 | Jun 2026 | 8.1428571428571 Weeks | Campus Internship
SANDIP KHATALE (GOVERNMENT CONTRACTOR,MAHARASHTRA STATE) | SUPERVISING ENGINEER | NASHIK | Jan 2022 | Feb 2022 | 4.2857142857143 Weeks
VIRA INFRACTRUCTURE | TRAINING ENGINEER | AHMEDNAGAR | Jul 2020 | Dec 2020 | 26.142857142857 Weeks</t>
  </si>
  <si>
    <t>CERTIFICATE OF PROFICIENCY BY DIRECTORATE OF SPORTS AND YOUTH SERVICES,MAHARASHTRA STATE,PUNE
HANDS-ON TRAINING ON REMOTE SENSING AND GIS
MS-CIT</t>
  </si>
  <si>
    <t>P25700542</t>
  </si>
  <si>
    <t>MANAS</t>
  </si>
  <si>
    <t>Manas Deepak Jadhav</t>
  </si>
  <si>
    <t>manasdjadhav0902@gmail.com</t>
  </si>
  <si>
    <t>p25700542@student.nicmar.ac.in</t>
  </si>
  <si>
    <t>2470 6822 1512</t>
  </si>
  <si>
    <t>DEEPAK DAULAT JADHAV</t>
  </si>
  <si>
    <t>MANISHA DEEPAK JADHAV</t>
  </si>
  <si>
    <t>13, Down Town A, Chaitanya Nagar, Gangapur Road, Nashik, 422013</t>
  </si>
  <si>
    <t>NEW MARATHA HIGHSCHOOL, NASHIK</t>
  </si>
  <si>
    <t>MATOSHRI JUNIOR COLLEGE, MHASRUL, NASHIK</t>
  </si>
  <si>
    <t>COLLEGE OF ENGINEERING, PUNE</t>
  </si>
  <si>
    <t>AutoCAD,MS Project,Primavera,CostX,Revit</t>
  </si>
  <si>
    <t>Pyramid Lifestyle LLP | Civil Intern | Pune | May 2026 | Jul 2026 | 8.1428571428571 Weeks | Campus Internship
Anand Builders And Developers, Nashik | Execution and Planning Intern | Nashik | Aug 2024 | May 2025 | 39 Weeks</t>
  </si>
  <si>
    <t>Minor in Financial Engineering</t>
  </si>
  <si>
    <t>P25700543</t>
  </si>
  <si>
    <t>NAVEEN</t>
  </si>
  <si>
    <t>JOSON</t>
  </si>
  <si>
    <t>Naveen Joson</t>
  </si>
  <si>
    <t>naveenjoson@gmail.com</t>
  </si>
  <si>
    <t>p25700543@student.nicmar.ac.in</t>
  </si>
  <si>
    <t>29-Sep-1999</t>
  </si>
  <si>
    <t>6160 5414 4107</t>
  </si>
  <si>
    <t>JOSON MANAVALAN</t>
  </si>
  <si>
    <t>LAKSHMI T</t>
  </si>
  <si>
    <t>62/980 Thottekkat House, Thottekkat Compound, Durbar Hall Road, Kochi</t>
  </si>
  <si>
    <t>BHAVANS VIDYA MANDIR GIRINAGAR COCHIN KERALA</t>
  </si>
  <si>
    <t>SCHOOL  OF ENGINEERING, CUSAT, KOCHI</t>
  </si>
  <si>
    <t>MS Office,Java,Tableau,MySQL</t>
  </si>
  <si>
    <t>Tata Consultancy Services | Assistant Systems Engineer | Kochi, Kerala | Dec 2021 | Jan 2024 | 2Y 0M | 3.88</t>
  </si>
  <si>
    <t>Sobha Limited | Project Management Intern | Hyderabad, Telangana | May 2026 | Jul 2026 | 9 Weeks | Campus Internship
The Fertilisers and Chemicals Travancore Limited | Internship Trainee | Udyogamandal, Ernakulam, Kerala | Jun 2019 | Jun 2019 | 0.71428571428571 Weeks</t>
  </si>
  <si>
    <t>Professional Certificate Course in Data Analytics</t>
  </si>
  <si>
    <t>P25700544</t>
  </si>
  <si>
    <t>NASANAKOTA</t>
  </si>
  <si>
    <t>TARUN</t>
  </si>
  <si>
    <t>Nasanakota Tarun Krishna</t>
  </si>
  <si>
    <t>ntk6219@gmail.com</t>
  </si>
  <si>
    <t>p25700544@student.nicmar.ac.in</t>
  </si>
  <si>
    <t>03-Aug-2001</t>
  </si>
  <si>
    <t>English,Hindi,Telugu,Kannada</t>
  </si>
  <si>
    <t>2423 2106 0439</t>
  </si>
  <si>
    <t>NASANAKOTA RAMA MOHAN</t>
  </si>
  <si>
    <t>NASANAKOTA LEELE</t>
  </si>
  <si>
    <t>7-3-100,Old Bellary Road,Beside Chruch</t>
  </si>
  <si>
    <t>BOARD OF SECONDARY EDUCATION,ANDHRA PRADESH</t>
  </si>
  <si>
    <t>SRI CHAITANYA BOYS JR.COLLEGE</t>
  </si>
  <si>
    <t>BOARD OF INTERMEDIATE EDUCATION,ANDHRA PRADESH</t>
  </si>
  <si>
    <t>Cost control &amp; forecasting , Cashflows Forecasting, Risk Management, MS Office,MS Project,Primavera,Revit,Power BI,Delay analysis,MIS and performance reporting,Job Cost Reporting (JCR),Naviswork,RIB CostX,Quantum analysis</t>
  </si>
  <si>
    <t>L&amp;T Construction | Project Controls  | Bengaluru | Oct 2022 | Jun 2025 | 2Y 8M | 7.3
Ashiana Housing Ltd | Graduate Trainee Engineer | Jaipur | Jun 2022 | Oct 2022 | 0Y 3M | 3.6</t>
  </si>
  <si>
    <t>MASIN PROJECTS | INTERN, QUANTUM DEPARTMENT | GURUGRAM | May 2026 | Jul 2026 | 8.7142857142857 Weeks | Campus Internship</t>
  </si>
  <si>
    <t>Project Management Professional (PMP)Â®-4215403
Essentials of project planning and control(EPCC) 2.0
Oil &amp; Gas Industry Operations and Markets
BIM professional course for Architects and Engineers</t>
  </si>
  <si>
    <t>P25700545</t>
  </si>
  <si>
    <t>KASUKURTHI</t>
  </si>
  <si>
    <t>MAHESH BABU</t>
  </si>
  <si>
    <t>Kasukurthi Mahesh Babu</t>
  </si>
  <si>
    <t>maheshbabuk2003@gmail.com</t>
  </si>
  <si>
    <t>p25700545@student.nicmar.ac.in</t>
  </si>
  <si>
    <t>17-Feb-2003</t>
  </si>
  <si>
    <t>8567 1193 1994</t>
  </si>
  <si>
    <t>KASUKURTHI SRINU</t>
  </si>
  <si>
    <t>KASUKURTHI MAHESH BABU</t>
  </si>
  <si>
    <t>LAKSHMI GANAPTHI BOYS PG, EMERALD PARK-2, PATIL WASTI, PATI NAGAR, BALEWADI</t>
  </si>
  <si>
    <t>14 -121, Ambedkar Nagar, Tanguturu, Prakasam</t>
  </si>
  <si>
    <t>Prakasam</t>
  </si>
  <si>
    <t>ANDHRA PRADESH RESIDENTIAL JUNIOR COLLEGE</t>
  </si>
  <si>
    <t>BOARD OF INTERMEDIATE EDUCATION ANDHARA PRAESH</t>
  </si>
  <si>
    <t>VELAGAPUDI RAMAKRISHNA SIDDHARTHA ENGINEERING COLLEGE VIJAYAWADA</t>
  </si>
  <si>
    <t>AutoCAD,MS Office,MS Project,Staad Pro</t>
  </si>
  <si>
    <t>Kalpataru projects international limited | Graduate Engineer Trainee | Mangalagiri, Guntur district, Andhra Pradesh  | Jul 2024 | Aug 2025 | 1Y 1M | 4.5</t>
  </si>
  <si>
    <t>Fortress Infracon Limited | Project Management Consultancy Intern | Pune | May 2026 | Jul 2026 | 9.5714285714286 Weeks | Campus Internship
AURO REALITY | GET | HYDERABAD | May 2023 | Jun 2023 | 4.4285714285714 Weeks</t>
  </si>
  <si>
    <t>P25700546</t>
  </si>
  <si>
    <t>ABHIRISHI</t>
  </si>
  <si>
    <t>JASWANT</t>
  </si>
  <si>
    <t>Abhirishi Jaswant Kumar</t>
  </si>
  <si>
    <t>abhirishijk@gmail.com</t>
  </si>
  <si>
    <t>pachimatlarevanth@gmail.com</t>
  </si>
  <si>
    <t>15-Nov-2002</t>
  </si>
  <si>
    <t>Travelling,Badminton,Networking</t>
  </si>
  <si>
    <t>6587 0517 8805</t>
  </si>
  <si>
    <t>MR. JASWANT KUMAR SINGH</t>
  </si>
  <si>
    <t>MRS. ASHA RANI</t>
  </si>
  <si>
    <t>B-204, Ishwari Enclave, Vidyapati Nagar, Kanke Road, Ranchi.</t>
  </si>
  <si>
    <t>DAV PUBLIC SCHOOL, GANDHI NAGAR CCL, RANCHI, JHARKHAND.</t>
  </si>
  <si>
    <t>CENTRAL BOARD OF SECONDARY EDUCATION RANCHI/JHARKHAND</t>
  </si>
  <si>
    <t>DY PATIL UNIVERSITY, PUNE, AMBI</t>
  </si>
  <si>
    <t>DY PATIL UNIVERSITY PUNE/MAHARASHTRA</t>
  </si>
  <si>
    <t>AutoCAD,MS Office,MS Project,Primavera,CostX,Revit,Naviswork</t>
  </si>
  <si>
    <t>GOA STATE INFRASTRUCTURE DEVELOPMENT CORPORATION LIMITED (GSIDC), GOA | Project Manager Intern | PANAJI, GOA | May 2026 | Jul 2026 | 8.7142857142857 Weeks | Campus Internship
RAM KRIPAL SINGH CONSTRUCTION PVT. LTD. | Civil Engineering Intern | Ranchi, Jharkhand. | Jun 2024 | Jul 2024 | 4.4285714285714 Weeks
ABHISHEK SOLAR INDUSTRIES PVT. LTD. | Site Engineering Intern | GUMLA, JHARKHAND | Jul 2023 | Aug 2023 | 4.4285714285714 Weeks</t>
  </si>
  <si>
    <t>Student Mobility Program - INTI International University, Malaysia</t>
  </si>
  <si>
    <t>P25700547</t>
  </si>
  <si>
    <t>SRI SAI VENKAT</t>
  </si>
  <si>
    <t>VANKAYALA</t>
  </si>
  <si>
    <t>Sri Sai Venkat Vankayala</t>
  </si>
  <si>
    <t>venkatvankayala23@gmail.com</t>
  </si>
  <si>
    <t>p25700547@student.nicmar.ac.in</t>
  </si>
  <si>
    <t>14-Jul-2004</t>
  </si>
  <si>
    <t>ENGLISH,TELUGU,TAMIL,HINDI</t>
  </si>
  <si>
    <t>4260 1140 5334</t>
  </si>
  <si>
    <t>VANKAYALA KAMESWARA RAO</t>
  </si>
  <si>
    <t>VANKAYALA RATNA LAKSHMI</t>
  </si>
  <si>
    <t>55-14-9/1, Ground Floor , Jayaram Enclave, A.P.S.E.B Layout, Seethammadhara , Visakhapatnam</t>
  </si>
  <si>
    <t>SARANYA CONCEPT SCHOOL</t>
  </si>
  <si>
    <t>CENTRAL BOARD OF SECONDARY EDUCATON , KORINGA POST , KAKINADA</t>
  </si>
  <si>
    <t>ADITYA JUNIOR COLLEGE</t>
  </si>
  <si>
    <t>BOARD OF INTERMEDIATE EDUCATION ANDHRA PRADESH , KAKINADA</t>
  </si>
  <si>
    <t>AMRITA SCHOOL OF ENGINEERING , COIMBATORE</t>
  </si>
  <si>
    <t>AutoCAD,MS Office,MS Project,Sketch Up 3D,BIM</t>
  </si>
  <si>
    <t>VAISAKHI DEVELOPERS | Project Management Intern | Visakhapatnam | May 2026 | Jul 2026 | 9 Weeks | Campus Internship
LIXIL Window System PVT.LTD | Graduate Engineer Trainee | Gurugram, Delhi | Jan 2025 | May 2025 | 16 Weeks
L&amp;T EDUTECH | INDUSTRY INTERNSHIP | CHENNAI | Jul 2023 | Aug 2023 | 1.5714285714286 Weeks
L&amp;T EDUTECH | INDUSTRY INTERNSHIP | Chennai | Jun 2024 | Jul 2024 | 1.5714285714286 Weeks</t>
  </si>
  <si>
    <t>Finance for Non-Financial Managers
NATIONAL STUDENTS PARYAVARAN COMPETITION
Principles of Construction Management
Concreting Techniques and Practices
Building Information Modeling
Safety for Professionals
Precast Members - Systems and Construction
Bridge Engineering Design Practices
Design of Structural Steel Members
Ethics in Engineering Practice</t>
  </si>
  <si>
    <t>P25700548</t>
  </si>
  <si>
    <t>HARISH</t>
  </si>
  <si>
    <t>SALVI</t>
  </si>
  <si>
    <t>Harish Shivaji Salvi</t>
  </si>
  <si>
    <t>salviharish59@gmail.com</t>
  </si>
  <si>
    <t>p25700548@student.nicmar.ac.in</t>
  </si>
  <si>
    <t>3202 2383 2378</t>
  </si>
  <si>
    <t>A/203, Om Sai Kiran, Damodar Nagar, Netivali, Kalyan East</t>
  </si>
  <si>
    <t>LOK KALYAN PUBLIC SCHOOL</t>
  </si>
  <si>
    <t>RAMCHAND KIMATRAM TALREJA COLLEGE OF ARTS, SCIENCE &amp; COMMERCE</t>
  </si>
  <si>
    <t>DIPLOMA IN  CIVIL ENGINEERING</t>
  </si>
  <si>
    <t>G.V. ACHARYA POLYTECHNIC, SHELU</t>
  </si>
  <si>
    <t>A.P. SHAH INSTITUTE OF TECHNOLOGY</t>
  </si>
  <si>
    <t>AutoCAD,MS Office,MS Project,Revit (Architecture)</t>
  </si>
  <si>
    <t>Prestige Estates Projects Limited | Project Management Intern | Mulund | May 2026 | Jul 2026 | 8.5714285714286 Weeks | Campus Internship
Radhika Construction Company | Inplant Trainee Engineer | Dombivli | Jun 2023 | Jul 2023 | 4.2857142857143 Weeks</t>
  </si>
  <si>
    <t>P25700549</t>
  </si>
  <si>
    <t>SHAURYA</t>
  </si>
  <si>
    <t>Shaurya Mishra</t>
  </si>
  <si>
    <t>smishra2032000@gmail.com</t>
  </si>
  <si>
    <t>D25701002@student.nicmar.ac.in</t>
  </si>
  <si>
    <t>20-Mar-2000</t>
  </si>
  <si>
    <t>Cricket,Fitness</t>
  </si>
  <si>
    <t>9295 6617 5131</t>
  </si>
  <si>
    <t>AWANISH KUMAR MISHRA</t>
  </si>
  <si>
    <t>SHABNAM MISHRA</t>
  </si>
  <si>
    <t>4E, Vyas Enclave, Antu Chowk, Tagore Hill Road, Morabadi, Ranchi</t>
  </si>
  <si>
    <t>DHANBAD PUBLIC SCHOOL</t>
  </si>
  <si>
    <t>DHANBAD , JHARKHAND</t>
  </si>
  <si>
    <t>SHIV JYOTI SR SEC SCHOOL</t>
  </si>
  <si>
    <t>KOTA, RAJASTHAN</t>
  </si>
  <si>
    <t>MANIPAL INSTITUTE OF TECHNOLOGY, MANIPAL UDUPI, KARNATAKA</t>
  </si>
  <si>
    <t>Dalmia Bharat Limited | Senior Executive Engineer Civil | Umrangso, Dima Hasao District, Assam | May 2024 | Jun 2025 | 1Y 1M | 5.5</t>
  </si>
  <si>
    <t>TATA STEEL LIMITED | Civil Engineering Intern | Joda, Odisha | May 2026 | Jul 2026 | 8.7142857142857 Weeks | Campus Internship
NHAI ( Chaitanya Projects) | Intern | Sawai Madhopur , Rajasthan | Feb 2022 | May 2022 | 15.857142857143 Weeks
NAGARJUNA CONSTRUCTION COMPANY LTD ( NCC LTD) | Intern | PATNA | Jul 2021 | Aug 2021 | 4.2857142857143 Weeks</t>
  </si>
  <si>
    <t>Finance for Non Financial Managers by Coursera
NPTEL Ethics in Engineering by IIT Kharagpur
digi QC Project Admin Role
Construction Equipment Maintenance &amp; Safety by  L&amp;T Edtech Coursera</t>
  </si>
  <si>
    <t>P25700550</t>
  </si>
  <si>
    <t>MANGESHRAO</t>
  </si>
  <si>
    <t>KHONDE</t>
  </si>
  <si>
    <t>Krishna Mangeshrao Khonde</t>
  </si>
  <si>
    <t>krishnakhonde39@gmail.com</t>
  </si>
  <si>
    <t>p25700550@student.nicmar.ac.in</t>
  </si>
  <si>
    <t>30-Apr-2004</t>
  </si>
  <si>
    <t>English, Hindi , Marathi</t>
  </si>
  <si>
    <t>4382 9454 4788</t>
  </si>
  <si>
    <t>MANGESH DAMODHARRAO KHONDE</t>
  </si>
  <si>
    <t>SHARDA MANGESHRAO KHONDE</t>
  </si>
  <si>
    <t>C-104,7 AVENUES ,PATIL WASTI , BALEWADI ,PUNE , 411045</t>
  </si>
  <si>
    <t>DEEP NAGAR NO 1, CHATRI TALAO ROAD, AMRAVATI</t>
  </si>
  <si>
    <t>DNYANMATA HIGH SCHOOL</t>
  </si>
  <si>
    <t>NARAYAN JUNIOR COLLEGE</t>
  </si>
  <si>
    <t>TELANGANA STATE BOARD OF INTERMEDIATE EDUCATION, VIDYA BHAVAN, NAMPALLY, HYDERABAD</t>
  </si>
  <si>
    <t>SAVITRIBAI PHULE PUNE UNIVERSITY , GANESHKHIND PUNE,411007</t>
  </si>
  <si>
    <t>D.Y.PATIL COLLEGE OF ENGINEERING, AKURDI , PUNE, MAHARASHTRA</t>
  </si>
  <si>
    <t>AutoCAD,Revit Architecture</t>
  </si>
  <si>
    <t>Vikas Constructions | Project Management Intern | Lonavala, Maharashtra | May 2026 | Jul 2026 | 8.4285714285714 Weeks | Campus Internship
Pethkar Projects | Site Engineer | pune | Dec 2023 | Jan 2024 | 4.4285714285714 Weeks</t>
  </si>
  <si>
    <t>Construction Skill Development Council Of India
Revit Architecture
AUTOCAD</t>
  </si>
  <si>
    <t>P25700551</t>
  </si>
  <si>
    <t>DHARMADHIKARI</t>
  </si>
  <si>
    <t>Atharva Sanjay Dharmadhikari</t>
  </si>
  <si>
    <t>atharvadharmadhikari2001@gmail.com</t>
  </si>
  <si>
    <t>p25700551@student.nicmar.ac.in</t>
  </si>
  <si>
    <t>ENGLISH HINDI MARATHI GERMAN</t>
  </si>
  <si>
    <t>6043 7630 5341</t>
  </si>
  <si>
    <t>SANJAY DHARMADHIKARI</t>
  </si>
  <si>
    <t>SNEHA DHARMADHIKARI</t>
  </si>
  <si>
    <t>Atharva Residency, Govt Colony, Vishrambag, Sangli, 416415</t>
  </si>
  <si>
    <t>ALPHONSA SCHOOL, MIRAJ</t>
  </si>
  <si>
    <t>2009-Jun</t>
  </si>
  <si>
    <t>CAMBRIDGE JUNIOR SCHOOL, MIRAJ</t>
  </si>
  <si>
    <t>PVPIT,BUDHGOAN, SANGLI</t>
  </si>
  <si>
    <t>AutoCAD,MS Office,MS Project,Primavera,Stadd pro,Rcdc,CostX,BIM</t>
  </si>
  <si>
    <t>Revespaces  | Business development  | Pune | May 2026 | Jul 2026 | 8.7142857142857 Weeks | Campus Internship
Rajvardhan Constructions | Civil Engineer | Sangli | Sep 2024 | Jun 2025 | 39.714285714286 Weeks
Gayatri Developers | Junior Engineer | Sangli | Jun 2024 | Aug 2024 | 13 Weeks</t>
  </si>
  <si>
    <t>P25700552</t>
  </si>
  <si>
    <t>TANUJ</t>
  </si>
  <si>
    <t>MADHUKAR</t>
  </si>
  <si>
    <t>SAHARE</t>
  </si>
  <si>
    <t>Tanuj Madhukar Sahare</t>
  </si>
  <si>
    <t>saharetanuj65@gmail.com</t>
  </si>
  <si>
    <t>p25700552@student.nicmar.ac.in</t>
  </si>
  <si>
    <t>24-Sep-1998</t>
  </si>
  <si>
    <t>7880 6902 7367</t>
  </si>
  <si>
    <t>MADHUKAR SAHARE</t>
  </si>
  <si>
    <t>DURGA SAHARE</t>
  </si>
  <si>
    <t>DENA NAGAR , BEHIND BHOLE PETROL PUMP, NH6 , AT POST TAL:- BHUSAWAL</t>
  </si>
  <si>
    <t>Ram Mandir Ward , Ram Mandir Road , Sindewahi</t>
  </si>
  <si>
    <t>TAPTI PUBLIC SCHOOL, BHUSAWAL</t>
  </si>
  <si>
    <t>P.0.NAHATA COLLEGE , BHUSAWAL</t>
  </si>
  <si>
    <t>DR. BABASAHEB AMBEDKAR TECHNOLOGICAL UNIVERSITY, LONERE, RAIGAD</t>
  </si>
  <si>
    <t>SHRI SANT GADGE BABA COLLEGE OF ENGINEERING AND TECHNOLOGY,ZTC, BHUSAWAL</t>
  </si>
  <si>
    <t>AutoCAD,MS Office,MS Project,Primavera,3D MAX,EXCEL</t>
  </si>
  <si>
    <t>M/s. Chaturbhuj Constructions , Bhusawal | Senior Site engineer | Bhusawal | May 2022 | May 2025 | 3Y 0M | 2.2</t>
  </si>
  <si>
    <t>SINGHANIA BUILDCON Pvt. Ltd | PLanning , Site execution and Control | Raipur | May 2026 | Jul 2026 | 8.7142857142857 Weeks | Campus Internship
Jivan Pramod Sarode | Site Engineer | BHusawal | Dec 2021 | Apr 2022 | 21.428571428571 Weeks
Dhananjay Nath Tiwari | Intern at site | Bhusawal | Dec 2018 | Dec 2018 | 2.1428571428571 Weeks</t>
  </si>
  <si>
    <t>Elementary and Intermediate grade Drawing Examination
E Tendering programme
Auto Cad , 3d MAX</t>
  </si>
  <si>
    <t>P25700553</t>
  </si>
  <si>
    <t>SAMEEP</t>
  </si>
  <si>
    <t>KUMBALKAR</t>
  </si>
  <si>
    <t>Sameep Jagdish Kumbalkar</t>
  </si>
  <si>
    <t>sameepk31@gmail.com</t>
  </si>
  <si>
    <t>p25700553@student.nicmar.ac.in</t>
  </si>
  <si>
    <t>31-Jul-2003</t>
  </si>
  <si>
    <t>4147 9757 1147</t>
  </si>
  <si>
    <t>JAGDISH BHAGWANTRAO KUMBALKAR</t>
  </si>
  <si>
    <t>SUJATA JAGDISH KUMBALKAR</t>
  </si>
  <si>
    <t>FLAT 605 AMAR SERINITY E WING PASHAN PUNE 411021</t>
  </si>
  <si>
    <t>12, VIJSNEHI COLONY KATHORA ROAD AMRAVATI 444604</t>
  </si>
  <si>
    <t>TOMOAE PRIMARY ENGLISH MEDIUM SCHOOL , RAHATGAON</t>
  </si>
  <si>
    <t>COUNCIL FOR INDIAN SCHOOL CERTIFICATE EXAMINATIONS , NEW DELHI</t>
  </si>
  <si>
    <t>P. R. POTE PATIL KANISHTHA MAHAVIDYALAYA , AMRAVATI</t>
  </si>
  <si>
    <t>MAHARASHTRA STATE BOARD OF SECONDARY AND HIGHER EDUCATION , PUNE</t>
  </si>
  <si>
    <t>AISSMS COLLEGE OF ENGINEERING , PUNE</t>
  </si>
  <si>
    <t>Pyramid Lifestyle LTD | Intern - Civil Dep. | Pune | May 2026 | Jul 2026 | 8.1428571428571 Weeks | Campus Internship
HAARDHIK IMPULSE DEVELOPERS LLP | TRAINEE ENGINEER | MOSHI , PUNE 412105 | Dec 2023 | Jan 2024 | 4.4285714285714 Weeks</t>
  </si>
  <si>
    <t>P25700554</t>
  </si>
  <si>
    <t>Shubham Dilip Shinde</t>
  </si>
  <si>
    <t>shubhamshinde5175@gmail.com</t>
  </si>
  <si>
    <t>p25700554@student.nicmar.ac.in</t>
  </si>
  <si>
    <t>04-Mar-2000</t>
  </si>
  <si>
    <t>marathi, english,hindi</t>
  </si>
  <si>
    <t>7847 5502 8276</t>
  </si>
  <si>
    <t>VANITA</t>
  </si>
  <si>
    <t>604 Brindavan Vatika, Near KDMC B WARD OFFICE, OPP. Cinemax, Barave Road, Khadakpada, Kalyan(W)</t>
  </si>
  <si>
    <t>SHREE  GAJANAN VIDHALAY</t>
  </si>
  <si>
    <t>MAHARASHTRA STATE BOARD OF SECONDARY AND HIGHER EDUCATION</t>
  </si>
  <si>
    <t>K. M. AGARRWAL</t>
  </si>
  <si>
    <t>S.H. JONDHALE COLLEGE  POLYTECHNIC DOMBIVLI</t>
  </si>
  <si>
    <t>M.G.M COLLEGE OF ENGINEERING AND TECHNOLOGY. KAMOTHE.</t>
  </si>
  <si>
    <t>PSP Projects | Civil Intern | mahim, mumbai | May 2026 | Jul 2026 | 8.7142857142857 Weeks | Campus Internship
Ethics Infotech | intern  | Thane | May 2019 | Jun 2019 | 5.8571428571429 Weeks
Eagle Design And Construction | intern  | kalyan | Oct 2024 | Jan 2025 | 13.571428571429 Weeks</t>
  </si>
  <si>
    <t>P25700555</t>
  </si>
  <si>
    <t>KARTIK</t>
  </si>
  <si>
    <t>SHELKE</t>
  </si>
  <si>
    <t>Kartik Sunil Shelke</t>
  </si>
  <si>
    <t>kartikshelke976@gmail.com</t>
  </si>
  <si>
    <t>p25700555@student.nicmar.ac.in</t>
  </si>
  <si>
    <t>6191 2097 1746</t>
  </si>
  <si>
    <t>SUNIL SHELKE</t>
  </si>
  <si>
    <t>LATA SHELKE</t>
  </si>
  <si>
    <t>PARK CONNECT RAJIV GANDHI IT PARK, HINJEWADI PHASE 1 , 411057</t>
  </si>
  <si>
    <t>Samarth Super Shop, Ekta Nagar , Buldana , 443001</t>
  </si>
  <si>
    <t>BHARAT VIDAYALAYA BULDANA</t>
  </si>
  <si>
    <t>SHARAD PAWAR VIDYALAYA AND KANISTHA MAHAVIDYALAYA BULDANA</t>
  </si>
  <si>
    <t>DR.D Y PATIL INSTITUTE OF ENGINEERING MANAGEMENT AND RESEARCH,PUNE</t>
  </si>
  <si>
    <t>AutoCAD,MS Office,MS Project,Oracle Fusion</t>
  </si>
  <si>
    <t>Kirloskar Ferrous Industries limited | Senior Engineer | Baramati | Oct 2024 | May 2025 | 0Y 7M | 4.65
Kirloskar Ferrous Industries limited | Graduate Enginner Trainee | Baramati | Oct 2023 | Oct 2024 | 0Y 11M | 4</t>
  </si>
  <si>
    <t>EZ Realty | Management Consultant | Kharadi , Pune | May 2026 | Jul 2026 | 8.7142857142857 Weeks | Campus Internship</t>
  </si>
  <si>
    <t>P25700557</t>
  </si>
  <si>
    <t>JAYWANT</t>
  </si>
  <si>
    <t>Chinmay Jaywant Patil</t>
  </si>
  <si>
    <t>patilchinmay2000@gmail.com</t>
  </si>
  <si>
    <t>p25700557@student.nicmar.ac.in</t>
  </si>
  <si>
    <t>14-Nov-2000</t>
  </si>
  <si>
    <t>6774 2379 2603</t>
  </si>
  <si>
    <t>JAYWANT RAGHO PATIL</t>
  </si>
  <si>
    <t>SUSHILA</t>
  </si>
  <si>
    <t>FLAT NO-403, 4TH FLOOR, AURUS SOCIETY, VIRBHADRA NAGAR, BANER- PUNE</t>
  </si>
  <si>
    <t>Plot No- 319, Near Vajreshwari Temple, Shivaji Nagar, Jalgaon</t>
  </si>
  <si>
    <t>LALJI NARAYANJI SARVAJANIK VIDYALAY, JALGAON</t>
  </si>
  <si>
    <t>SECONDARY AND HIGHER SECONDARY EDUCATION, PUNE/MAHARSHTRA</t>
  </si>
  <si>
    <t>GOVERNMENT POLYTECHNIC, AWSARI(KH), PUNE</t>
  </si>
  <si>
    <t>SINHGAD ACADEMY OF ENGINEERING, PUNE</t>
  </si>
  <si>
    <t>MSP (Microsoft Project), Primavera P6, SAP (ERP), MS Office, Revit, Intermediate Drawing Grade Examination, MS- CIT, KLiC Certificate Courses of AutoCAD</t>
  </si>
  <si>
    <t>J. K. Construction | Site Engineer | Pune | Sep 2023 | Mar 2024 | 0Y 6M | 1
Ganesh B. Dabak | Site Engineer | Pune | Apr 2024 | Apr 2025 | 1Y 0M | 1.1</t>
  </si>
  <si>
    <t>Hiranandani Group | Project Contract and Planning Intern | Powai, Mumbai | May 2026 | Jul 2026 | 9 Weeks | Campus Internship
NIRTMITEE | TRAINEE ENGINEER | VILE PAREL (EAST), MUMBAI | Mar 2022 | Apr 2022 | 6.5714285714286 Weeks</t>
  </si>
  <si>
    <t>MS- CIT
Intermediate Drawing Grade Examination
KLiC Certificate Course in AutoCAD</t>
  </si>
  <si>
    <t>P25700558</t>
  </si>
  <si>
    <t>YADHNESHRAJE</t>
  </si>
  <si>
    <t>Yadhneshraje Kishor Burade</t>
  </si>
  <si>
    <t>yadhnesh01@gmail.com</t>
  </si>
  <si>
    <t>p25700558@student.nicmar.ac.in</t>
  </si>
  <si>
    <t>22-Oct-2001</t>
  </si>
  <si>
    <t>Hindi, Marathi, English</t>
  </si>
  <si>
    <t>7253 0245 6462</t>
  </si>
  <si>
    <t>KISHOR S. BURADE</t>
  </si>
  <si>
    <t>GOVERMENT SERVENT</t>
  </si>
  <si>
    <t>JYOTI S. BURADE</t>
  </si>
  <si>
    <t>BALEWADI, PUNE, MAHARASHTRA</t>
  </si>
  <si>
    <t>Mahal, Nagpur, Maharashtra</t>
  </si>
  <si>
    <t>NITYANAND VIDYALAY</t>
  </si>
  <si>
    <t>NAGPUR</t>
  </si>
  <si>
    <t>NANDANWAN HIGH SCHOOL</t>
  </si>
  <si>
    <t>PRIYADARSHINI INSTITUTE OF ARCHITECTURE AND DESIGN STUDIES</t>
  </si>
  <si>
    <t>AutoCAD,MS Office,Photoshop,Lumion,Sketchup,Blender,Revit</t>
  </si>
  <si>
    <t>BLUBRICK REALTY | Sales Executive  | Pune | May 2026 | Jul 2026 | 8.7142857142857 Weeks | Campus Internship
SHITESH AGRAWAL ARCHITECTS PVT. LTD. | ARCHITECTURAL INTERN | PUNE | Jan 2023 | Sep 2023 | 34 Weeks</t>
  </si>
  <si>
    <t>BIM Fundamentals for Engineers
Finance for Non-Financial Managers</t>
  </si>
  <si>
    <t>P25700559</t>
  </si>
  <si>
    <t>GADA</t>
  </si>
  <si>
    <t>Anant Gada</t>
  </si>
  <si>
    <t>anantgada5011@gmail.com</t>
  </si>
  <si>
    <t>D25700022@student.nicmar.ac.in</t>
  </si>
  <si>
    <t>21-Feb-2003</t>
  </si>
  <si>
    <t>ENGLISH ,KANNADA ,HINDI , TELUGU</t>
  </si>
  <si>
    <t>Buildability focused on Meta- Architecture,Indian Philosophy and Cultural Science</t>
  </si>
  <si>
    <t>8334 8418 8547</t>
  </si>
  <si>
    <t>SURENDRA GADA</t>
  </si>
  <si>
    <t>VEENA S GADA</t>
  </si>
  <si>
    <t>HNO 1-6/3,Garden Road,Gada Complex , Vasant Rao Jajee Layout</t>
  </si>
  <si>
    <t>SWAMINARAYAN INTERNATIONAL SCHOOL GULBARGA</t>
  </si>
  <si>
    <t>GURUKUL PU COLLEGEOF SC</t>
  </si>
  <si>
    <t>DEPARTMENT OF PRE-UNIVERSITY EDUCTATION,KARNATAKA</t>
  </si>
  <si>
    <t>SJB SCHOOL OF ARCHITECTURE AND PLANNING</t>
  </si>
  <si>
    <t>AutoCAD,MS Office,MS Project,Primavera,RIB CostX,Revit,SketchUp,Photoshop,Canva,D5</t>
  </si>
  <si>
    <t>Ahluwalia Contracts (India) Limited | Tendering &amp; Technical Coordination Intern | New Delhi | May 2026 | Jul 2026 | 8.7142857142857 Weeks | Campus Internship
SANKALP ASSOCIATES | INTERN  | KALABURAGI  | Dec 2024 | Apr 2025 | 15.857142857143 Weeks
EdiGlobe | Construction Planning Intern | Remote | Mar 2026 | May 2026 | 8.7142857142857 Weeks</t>
  </si>
  <si>
    <t>P25700560</t>
  </si>
  <si>
    <t>INDULE</t>
  </si>
  <si>
    <t>Rohit Sanjay Indule</t>
  </si>
  <si>
    <t>rohitindule@gmail.com</t>
  </si>
  <si>
    <t>p25700560@student.nicmar.ac.in</t>
  </si>
  <si>
    <t>06-Feb-2002</t>
  </si>
  <si>
    <t>8931 4429 5243</t>
  </si>
  <si>
    <t>Flat No. E - 1103, The Metropolitan Society, Opposite Darshan Hall, Pimpri-Chinchwad Link Road, Chinchwad, Pune 411033</t>
  </si>
  <si>
    <t>CITY INTERNATONAL SCHOOL AUNDH PUNE MR</t>
  </si>
  <si>
    <t>THE ORCHID SCHOOL PUNE MAHARASHTRA</t>
  </si>
  <si>
    <t>PIMPRI CHINCHWAD EDUCATION TRUST'S  PIMPRI CHINCHWAD COLLEGE OF ENGINEERING NIGDI PUNE</t>
  </si>
  <si>
    <t>EZ Realty | Real Estate Marketing Intern | PUNE | May 2026 | Jul 2026 | 8.7142857142857 Weeks | Campus Internship
know How Schools LLP | Onsite Civil Training Intern (Building Construction)) | Pune | Jun 2023 | Jul 2023 | 4.2857142857143 Weeks</t>
  </si>
  <si>
    <t>P25700561</t>
  </si>
  <si>
    <t>ROHAN KUMAR</t>
  </si>
  <si>
    <t>RAMADUGU</t>
  </si>
  <si>
    <t>Rohan Kumar Ramadugu</t>
  </si>
  <si>
    <t>rohankumarramadugu@gmail.com</t>
  </si>
  <si>
    <t>p25700561@student.nicmar.ac.in</t>
  </si>
  <si>
    <t>14-Sep-2001</t>
  </si>
  <si>
    <t>ENGLISH, HINDI AND TELUGU</t>
  </si>
  <si>
    <t>8250 2153 3467</t>
  </si>
  <si>
    <t>RAMADUGU SREENIVASULU</t>
  </si>
  <si>
    <t>RAMADUGU SRIDEVI</t>
  </si>
  <si>
    <t>H.no 6-3-1113 JM Apartment, Flat No 102, 1st Floor, Nishat Bagh Colony, Somajiguda, Hyderabad, Telangana</t>
  </si>
  <si>
    <t>BOARD OF SECONDARY EDUCATION, TELANGANA STATE</t>
  </si>
  <si>
    <t>DELTA JUNIOR COLLEGE</t>
  </si>
  <si>
    <t>JAWAHARLAL NEHRU ARCHITECTURE AND FINE ARTS UNIVERSITY, SPA</t>
  </si>
  <si>
    <t>AutoCAD,MS Office,MS Project,Primavera,Revit,BIM,Navisworks,CostX,SketchUp,Adobe Photoshop,Adobe Indesign,Lumion</t>
  </si>
  <si>
    <t>Team One India Pvt.Ltd | Architect (Design Co-ordination) | Hyderabad, Telangana | Jul 2024 | Jun 2025 | 0Y 11M | 3.6</t>
  </si>
  <si>
    <t>Cherry Hill Interiors Pvt Ltd | Project Management Intern | Hyderabad, Telangana | May 2026 | Jul 2026 | 8.5714285714286 Weeks | Campus Internship
LIQUID SPACE ARCHITECTURE AND DESIGN PVT.LTD | Architectural Intern | HYDERABAD, TELANGANA | Jul 2023 | Dec 2023 | 20 Weeks</t>
  </si>
  <si>
    <t>Registered Architect, Council of Architecture (COA), India
IGBC AP Associate from CII - Indian Green Building Council (IGBC)
Certificate of Participation/CII-IGBC's Certification Course on Green Buildings &amp; Built Environment
Lean Six Sigma Green Belt Certificate from KPMG
Certificate of Achievement/Solar Decathlon India
Certificate of Completion/Self-Learning Modules on Net-Zero Energy and Water Buildings
Certificate of Participation/The Indian Institute of Architects
Ethics in Engineering Practice from NPTEL
Introduction to Japanese Language and Culture from NPTEL
Certificate of Appreciation / Student Volunteer for ICCRIP held at NICMAR University
Certificate of Participation/ATELIER INTERNATIONAL D'ARCHITECTURE CONSTRUITE
Certificate of Participation/Solar Decathlon India</t>
  </si>
  <si>
    <t>P25700562</t>
  </si>
  <si>
    <t>CS DEVADATHAN</t>
  </si>
  <si>
    <t>NAMBOOTHIRY</t>
  </si>
  <si>
    <t>Cs Devadathan Namboothiry</t>
  </si>
  <si>
    <t>devadathanchandramana@gmail.com</t>
  </si>
  <si>
    <t>D25600010@student.nicmar.ac.in</t>
  </si>
  <si>
    <t>English, Malayalam,Tamil</t>
  </si>
  <si>
    <t>Cricket,Movies,Gaming</t>
  </si>
  <si>
    <t>6513 0758 0801</t>
  </si>
  <si>
    <t>CS SREEDHARAN NAMBOOTHIRY</t>
  </si>
  <si>
    <t>COOPERATIVE EMPLOYEE</t>
  </si>
  <si>
    <t>GEETHA DEVI M</t>
  </si>
  <si>
    <t>Chandramana ,Pathirappally. P.0-
Alappuzha</t>
  </si>
  <si>
    <t>MATHA SENIOR SECONDARY SCHOOL</t>
  </si>
  <si>
    <t>CBSE BOARD - ALAPPUZHA , KERALA</t>
  </si>
  <si>
    <t>HSS THIRUVAMBADY</t>
  </si>
  <si>
    <t>DHSE BOARD -ALAPPUZHA, KERALA</t>
  </si>
  <si>
    <t>RAJAGIRI SCHOOL OF ENGINEERING AND TECHNOLOGY ,ERNAKULAM , KERALA</t>
  </si>
  <si>
    <t>AutoCAD,MS Project,Primavera,eQUEST</t>
  </si>
  <si>
    <t>Sobha Limited  | Intern-Project Planning  | Thiruvananthapuram,Kerala | May 2026 | Jul 2026 | 9 Weeks | Campus Internship
J &amp; J CONSTRUCTION | INTERN | THIRUVANANTHAPURAM, VAIKOM | Jul 2024 | Jul 2024 | 1.2857142857143 Weeks</t>
  </si>
  <si>
    <t>P25700563</t>
  </si>
  <si>
    <t>ANTONY</t>
  </si>
  <si>
    <t>THOMAS</t>
  </si>
  <si>
    <t>Antony Thomas</t>
  </si>
  <si>
    <t>antonykt2000@gmail.com</t>
  </si>
  <si>
    <t>D25600011@student.nicmar.ac.in</t>
  </si>
  <si>
    <t>18-Mar-2000</t>
  </si>
  <si>
    <t>7689 3134 1942</t>
  </si>
  <si>
    <t>K.PAUL THOMAS</t>
  </si>
  <si>
    <t>INSURANCE AGENT</t>
  </si>
  <si>
    <t>JIBI THOMAS</t>
  </si>
  <si>
    <t>HOUSE NO. 92A-KURUSSUVEETTIL HOUSE, THOTTUMUGHOM P.O, ALUVA</t>
  </si>
  <si>
    <t>MAR ATHANASIUS COLLEGE OF ENGINEERING, KOTHAMANGALAM</t>
  </si>
  <si>
    <t>AutoCAD, Revit, Navisworks, MS Office, MS Project, Primavera, RIB CostX, Facts ERP</t>
  </si>
  <si>
    <t>ASTRA ENGINEERING &amp; CONSTRUCTION LLC | ENGINEER - PLANNING | SHARJAH, UNITED ARAB EMIRATES | May 2023 | Apr 2025 | 1Y 11M | 15.18</t>
  </si>
  <si>
    <t>JYOTI STRUCTURES LIMITED | SUMMER INTERN | GUJARAT | May 2026 | Jul 2026 | 8.5714285714286 Weeks | Campus Internship</t>
  </si>
  <si>
    <t>PRIMAVERA WITH PPM CONCEPTS
REVIT ARCHITECTURE
AutoCAD (CIVIL)</t>
  </si>
  <si>
    <t>P25700564</t>
  </si>
  <si>
    <t>JALLELA</t>
  </si>
  <si>
    <t>Dinesh Yadav Jallela</t>
  </si>
  <si>
    <t>dineshjallela@gmail.com</t>
  </si>
  <si>
    <t>p25700564@student.nicmar.ac.in</t>
  </si>
  <si>
    <t>15-Oct-2002</t>
  </si>
  <si>
    <t>3821 8084 7178</t>
  </si>
  <si>
    <t>JALLELA LAXMAIAH</t>
  </si>
  <si>
    <t>JALLELA SHIVALEELA</t>
  </si>
  <si>
    <t>PLOT NO 100, SAI BRUNDAVAN COLONY, RAGANNAGUDA, RANGAREDDY, TELANGANA</t>
  </si>
  <si>
    <t>Ranga Reddy</t>
  </si>
  <si>
    <t>IICT ZM HIGH SCHOOL</t>
  </si>
  <si>
    <t>JN GOVERNMENT POLYTECHNIC, RAMANTHAPUR, HYDERABAD</t>
  </si>
  <si>
    <t>ACE ENGINEERING COLLEGE, MEDCHAL-MALKAJGIRI, TELANGANA</t>
  </si>
  <si>
    <t>AutoCAD,BIM,CostX,MS Office,MS Project,Primavera P6,STAAD Pro,Documentation,Teamwork</t>
  </si>
  <si>
    <t>Pramukh Omkar Group | Construction Management Intern | Gandhinagar, Gujarat | May 2026 | Jul 2026 | 8.7142857142857 Weeks | Campus Internship
Internshala Trainings | Technical Trainee | Hyderabad | Apr 2023 | May 2023 | 6.2857142857143 Weeks
Greater Hyderabad Municipal Corporation | Summer Intern Trainee | Uppal, Hyderabad | Jun 2020 | Dec 2020 | 26 Weeks</t>
  </si>
  <si>
    <t>Certificate program in Contract Management
Lean six sigma Green belt certification</t>
  </si>
  <si>
    <t>P25700565</t>
  </si>
  <si>
    <t>LOKESH</t>
  </si>
  <si>
    <t>S.</t>
  </si>
  <si>
    <t>MARGHADE</t>
  </si>
  <si>
    <t>Lokesh S. Marghade</t>
  </si>
  <si>
    <t>lmarghade2003@gmail.com</t>
  </si>
  <si>
    <t>agnik482@gmail.com</t>
  </si>
  <si>
    <t>02-May-2003</t>
  </si>
  <si>
    <t>Travelling</t>
  </si>
  <si>
    <t>2712 8747 0207</t>
  </si>
  <si>
    <t>Babaji Nivas, Near Aditi Automobile, Deoli, Wardha</t>
  </si>
  <si>
    <t>JNATA VIDYALAYA PAWAN NAGAR, CIDCO, NASHIK</t>
  </si>
  <si>
    <t>MAHARASHTRA STATE BOARD OF SECONDARY AND HIGHER SECONDARY EDUCATION, NASHIK/ MAHARASHTRA</t>
  </si>
  <si>
    <t>ACHARYA SHRIMANNARAYAN POLYTECHNIC PIPRI, WARDHA/ MAHARASHTRA</t>
  </si>
  <si>
    <t>ST. VINCENT PALLOTTI COLLEGE OF ENGINEERING &amp; TECHNOLOGY, NAGPUR/ MAHARASHTRA</t>
  </si>
  <si>
    <t>AutoCAD,MS Office,MS Project,Primavera,Naviswork,Revit Architecture</t>
  </si>
  <si>
    <t>R Sandesh LLP | Construction Management Trainee | Nagpur | May 2026 | Jul 2026 | 9.5714285714286 Weeks | Campus Internship
PLA PROJECT PRIVATE LIMITED | TRAINEE ENGINEER | NAGPUR | Dec 2024 | Apr 2025 | 19 Weeks</t>
  </si>
  <si>
    <t>P25700566</t>
  </si>
  <si>
    <t>Akhil V</t>
  </si>
  <si>
    <t>akhilvenugopal08@gmail.com</t>
  </si>
  <si>
    <t>p25700566@student.nicmar.ac.in</t>
  </si>
  <si>
    <t>08-May-1999</t>
  </si>
  <si>
    <t>English Hindi Malayalam</t>
  </si>
  <si>
    <t>7921 2701 9603</t>
  </si>
  <si>
    <t>VENUGOPALAN NAIR A</t>
  </si>
  <si>
    <t>RETIRED GOVT SERVANT</t>
  </si>
  <si>
    <t>B S BINDU KUMARI</t>
  </si>
  <si>
    <t>Suresh Sadanam, Kalliyoor P.o Vallamcode Thiruvananthapuram</t>
  </si>
  <si>
    <t>KENDRIYA VIDYALAYA PATTOM THIRUVANANTHAPURAM</t>
  </si>
  <si>
    <t>CENTRAL BOARD OF SECONDRY EDUCATION, DELHI</t>
  </si>
  <si>
    <t>A P J ABDUL KALAM TECHNOLOGICAL UNIVERSITY</t>
  </si>
  <si>
    <t>MAR BASELIOS COLLEGE OF ENGINEERING &amp; TECHNOLOGY, THIRUVANANTHAPURAM</t>
  </si>
  <si>
    <t>Uralungal Labour Contractive co-operative Society | Site Engineer | Trivandrum | Dec 2022 | Dec 2024 | 2Y 0M | 3</t>
  </si>
  <si>
    <t>E-Construct Design &amp; Build Pvt Ltd | Management Intern | Banglore | May 2026 | Jun 2026 | 8.1428571428571 Weeks | Campus Internship
P.W.D Special Buildings Section Thiruvananthapuram | Site Intern | Thiruvananthapuram | Jul 2019 | Jul 2019 | 0.57142857142857 Weeks
P.W.D Bridges section Thiruvananthapuram | Site intern | Thiruvananthapuram | Jun 2018 | Jul 2018 | 2.1428571428571 Weeks</t>
  </si>
  <si>
    <t>Microsoft Project for Project Manager &amp; Civil Engineers
Proffesional Certificate in Project Management</t>
  </si>
  <si>
    <t>P25700567</t>
  </si>
  <si>
    <t>VISHAD</t>
  </si>
  <si>
    <t>Vishad Ramesh Patil</t>
  </si>
  <si>
    <t>vishad.patil2001@gmail.com</t>
  </si>
  <si>
    <t>p25700567@student.nicmar.ac.in</t>
  </si>
  <si>
    <t>26-Apr-2001</t>
  </si>
  <si>
    <t>2021 0722 6038</t>
  </si>
  <si>
    <t>RAMESH PATIL</t>
  </si>
  <si>
    <t>EXPIRE</t>
  </si>
  <si>
    <t>SANDHYA PATIL</t>
  </si>
  <si>
    <t>C-17/202, Shree Sagar Darshan CHS, Sector-16, Nerul, Navi Mumbai</t>
  </si>
  <si>
    <t>MAHATMA GANDHI MISSION PRIMARY &amp; SECONDARY SCHOOL, NERUL</t>
  </si>
  <si>
    <t>CENTRAL BOARD OF SECONDARY EDUCATION (CBSE), NAVI MUMBAI/MAHARASHTRA</t>
  </si>
  <si>
    <t>MAHARASHTRA STATE BOARD OF TECHNICAL EDUCATION</t>
  </si>
  <si>
    <t>AGNEL POLYTECHNIC, VASHI, NAVI MUMBAI/MAHARASHTRA</t>
  </si>
  <si>
    <t>MAHATMA GANDHI MISSION'S COLLEGE OF ENGINEERING &amp; TECHNOLOGY</t>
  </si>
  <si>
    <t>DMart - Avenue Supermarts Limited | GET - Procurement | Thane, Maharashtra | Jan 2025 | May 2025 | 0Y 4M | 4
Biltrax Construction Data | Analyst | Turbhe, Navi Mumbai | Aug 2023 | Oct 2024 | 1Y 2M | 1.92</t>
  </si>
  <si>
    <t>PSP Projects Limited | Civil - Intern | Mumbai, Maharashtra | May 2026 | Jul 2026 | 8.7142857142857 Weeks | Campus Internship
J.KUMAR INFRAPROJECTS LTD. | INTERN | WAHAL, ULWE | May 2019 | Jun 2019 | 5.8571428571429 Weeks</t>
  </si>
  <si>
    <t>P25700568</t>
  </si>
  <si>
    <t>TOKALE</t>
  </si>
  <si>
    <t>Rutuja Dhanaji Tokale</t>
  </si>
  <si>
    <t>rututokale2000@gmail.com</t>
  </si>
  <si>
    <t>p25700568@student.nicmar.ac.in</t>
  </si>
  <si>
    <t>01-Jan-2001</t>
  </si>
  <si>
    <t>4624 8815 8830</t>
  </si>
  <si>
    <t>DHANAJI GANAPATRAO TOKALE</t>
  </si>
  <si>
    <t>SATYABHAMA TOKALE</t>
  </si>
  <si>
    <t>Reddy Colony, College Road, Behind Reddy Petrol Pump, Ahmedpur</t>
  </si>
  <si>
    <t>YESHAWANT VIDYALAYA, AHMEDPUR.</t>
  </si>
  <si>
    <t>SAVITRIBAI PHULE PUNE UNVIVERSITY</t>
  </si>
  <si>
    <t>D. Y. PATIL SCHOOL OF ARCHITECTURE, AMBI, PUNE, MAHARASHTRA</t>
  </si>
  <si>
    <t>AutoCAD,MS Office,Sketchup,Vray,Enscape,Lumion,Photoshop</t>
  </si>
  <si>
    <t>Hauspire Luxury Interiors | Junior Architect | Pune | Mar 2024 | Mar 2025 | 1Y 0M | 2</t>
  </si>
  <si>
    <t>Medigence solutions | Project management role | Ahmedabad | May 2026 | Jul 2026 | 8.7142857142857 Weeks | Campus Internship</t>
  </si>
  <si>
    <t>Leadership and emotional intelligence
Project Network
Coursera - Digital Manufacturing &amp; Design</t>
  </si>
  <si>
    <t>P25700569</t>
  </si>
  <si>
    <t>HARSHARAJ</t>
  </si>
  <si>
    <t>Harsharaj Singh</t>
  </si>
  <si>
    <t>harsharaj2099@gmail.com</t>
  </si>
  <si>
    <t>p25700569@student.nicmar.ac.in</t>
  </si>
  <si>
    <t>20-Oct-1999</t>
  </si>
  <si>
    <t>English,Hindi,Bengali</t>
  </si>
  <si>
    <t>2958 3452 1847</t>
  </si>
  <si>
    <t>PURUSHOTTAM KUMAR SINGH</t>
  </si>
  <si>
    <t>LT MEENAKSHI SINGH</t>
  </si>
  <si>
    <t>D12 806, Shriram Grand City,Konnagar</t>
  </si>
  <si>
    <t>Hooghly</t>
  </si>
  <si>
    <t>HOLY HOME, SERAMPORE</t>
  </si>
  <si>
    <t>COUNCIL FOR THE INDIAN SCHOOL CERTIFICATE EXAMINATIONS,NEW DELHI</t>
  </si>
  <si>
    <t>SIDDAGANGA INSTITUTE OF TECHNOLOGY, KARNATAKA</t>
  </si>
  <si>
    <t>Adani Infra (India) Ltd | Graduate Engineer Trainee-Project Management | Mundra,Gujarat | Aug 2022 | Apr 2023 | 0Y 8M | 6</t>
  </si>
  <si>
    <t>Ernst &amp; Young LLP | Business Consulting Risk | Ahmedabad | May 2026 | Jul 2026 | 8.2857142857143 Weeks | Campus Internship</t>
  </si>
  <si>
    <t>P25700570</t>
  </si>
  <si>
    <t>Patil Jay Sunil</t>
  </si>
  <si>
    <t>rohanpati6279@gmail.com</t>
  </si>
  <si>
    <t>p25700570@student.nicmar.ac.in</t>
  </si>
  <si>
    <t>20-Jun-2000</t>
  </si>
  <si>
    <t>4050 6933 1656</t>
  </si>
  <si>
    <t>SUNIL JIJABRAO PATIL</t>
  </si>
  <si>
    <t>SWATI SUNIL PATIL</t>
  </si>
  <si>
    <t>Uttam Bhai Chal Taloda Road, Nandurbar</t>
  </si>
  <si>
    <t>SMT. HIRIBEN GOVINDDAS SHROFF HIGHSCHOOL</t>
  </si>
  <si>
    <t>UPADHYE COLLEGE OF SCIENCE, NASHIK</t>
  </si>
  <si>
    <t>MET BHUJBAL KNOWLEDGE CITY, NASHIK</t>
  </si>
  <si>
    <t>NORTH MAHARASHTRA UNIVERSITY JALGAON</t>
  </si>
  <si>
    <t>SHRI JAYKUMAR RAVAL INSTITUTE OF TECHNOLOGY DONDAICHA DHULE</t>
  </si>
  <si>
    <t>BLUBRICK REALTY  | Sales Intern | Pune | May 2026 | Jul 2026 | 8.7142857142857 Weeks | Campus Internship</t>
  </si>
  <si>
    <t>P25700571</t>
  </si>
  <si>
    <t>OMPRAKASH</t>
  </si>
  <si>
    <t>HEDA</t>
  </si>
  <si>
    <t>Abhishek Omprakash Heda</t>
  </si>
  <si>
    <t>hedaabhishek9@gmail.com</t>
  </si>
  <si>
    <t>p25700571@student.nicmar.ac.in</t>
  </si>
  <si>
    <t>09-May-2001</t>
  </si>
  <si>
    <t>8263 3506 5451</t>
  </si>
  <si>
    <t>OMPRAKASH HEDA</t>
  </si>
  <si>
    <t>SONAL HEDA</t>
  </si>
  <si>
    <t>19, Mahesh Nagar, Behind Dmart, Badnera Road, Amravati</t>
  </si>
  <si>
    <t>JUBLI ENGLISH HIGH SCHOOL AKOLA MAHARASHTRA</t>
  </si>
  <si>
    <t>CBSE, AKOLA MAHARASHTRA</t>
  </si>
  <si>
    <t>GOVERNMENT POLYTECHNIC, ARVI, WARDHA</t>
  </si>
  <si>
    <t>ST. VINCENT PALLOTTI COLLEGE OF ENGINEERING &amp; TECHNOLOGY, NAGPUR, MAHARASHTRA</t>
  </si>
  <si>
    <t>Sobha Limited | Project Management Intern | Ernakulam, Kerala | May 2026 | Jul 2026 | 9 Weeks | Campus Internship
INTEGRITY CONSTRUCTION PVT. LTD. | SITE/FIELD INTERN | NAGPUR | Jan 2024 | Apr 2024 | 14 Weeks</t>
  </si>
  <si>
    <t>Ethics in Engineering Practice
Green Building Assessment &amp;  Certification
Project Management</t>
  </si>
  <si>
    <t>P25700572</t>
  </si>
  <si>
    <t>MANGAONKAR</t>
  </si>
  <si>
    <t>Swapnil Sanjay Mangaonkar</t>
  </si>
  <si>
    <t>swapnilmangaonkar10@gmail.com</t>
  </si>
  <si>
    <t>p25700572@student.nicmar.ac.in</t>
  </si>
  <si>
    <t>3424 4046 1914</t>
  </si>
  <si>
    <t>1/15,sahakar Niwas ,haryali Village_x000D_
Ganesh Marg, Vikhroli (E), Mumbai - 40083</t>
  </si>
  <si>
    <t>VIKAS HIGH SCHOOL, VIKHROLI, MUMBAI</t>
  </si>
  <si>
    <t>DIPLOMA IN CIVIL ENGINEERING (DCE)</t>
  </si>
  <si>
    <t>VEERMATA JIJABAI TECHNOLOGICAL INSTITUTE, MATUNGA, MUMBAI</t>
  </si>
  <si>
    <t>NEW HORIZON INSTITUTE OF TECHNOLOGY AND MANAGEMENT, THANE</t>
  </si>
  <si>
    <t>Aurum Girnar Pvt. Ltd | PMC Execution - Junior Site Engineer | Q parc, Ghansoli, Navi Mumbai | Nov 2022 | Jun 2025 | 2Y 7M | 4.75</t>
  </si>
  <si>
    <t>2 Years 7 Months</t>
  </si>
  <si>
    <t>Firstspace Development Management Private Limited | Intern - Projects | Bkc, Mumbai | May 2026 | Jun 2026 | 8.1428571428571 Weeks | Campus Internship
AURUM PLATZ IT PVT LTD | CIVIL ENGINEER INTERN | GHANSOLI | Jul 2022 | Sep 2022 | 13 Weeks</t>
  </si>
  <si>
    <t>Mr. Swapnil Mangaonkar, Prof. Yashwanth Kumar Shetty " Comparison Between EPS Construction and Brick Construction" International Research Journal of Modernization in Engineering and Technology and Science (IRJMETS), E-ISSN:2582-5208, Volume 04, Issue 04.
Finance for Non-Financial Manager, Emory University</t>
  </si>
  <si>
    <t>P25700573</t>
  </si>
  <si>
    <t>KUNDALWAL</t>
  </si>
  <si>
    <t>Pranav Rajesh Kundalwal</t>
  </si>
  <si>
    <t>pranavkundalwal@gmail.com</t>
  </si>
  <si>
    <t>p25700573@student.nicmar.ac.in</t>
  </si>
  <si>
    <t>8327 7249 0544</t>
  </si>
  <si>
    <t>RAJESH KUNDALWAL</t>
  </si>
  <si>
    <t>BABY KUNDALWAL</t>
  </si>
  <si>
    <t>GODREJ HILL SIDE 1, MAHALUNGE, PUNE</t>
  </si>
  <si>
    <t>Ambika Nagar, Yavatmal</t>
  </si>
  <si>
    <t>JAJOO JUNIOR COLLEGE</t>
  </si>
  <si>
    <t>SANT GADGE BABA UNIVERSITY, AMRAVATI</t>
  </si>
  <si>
    <t>JAWAHARLAL DARDA INSTITUTE OF ENGINEERING AND TECHNOLOGY, YAVATMAL</t>
  </si>
  <si>
    <t>JAGANNATH CONSTRUCTION COMPANY | site engineer  | YAVATMAL | Jan 2023 | Jan 2023 | 1.8571428571429 Weeks</t>
  </si>
  <si>
    <t>P25700574</t>
  </si>
  <si>
    <t>DEEKSHITH</t>
  </si>
  <si>
    <t>Deekshith N</t>
  </si>
  <si>
    <t>deekshith9778@gmail.com</t>
  </si>
  <si>
    <t>p25700574@student.nicmar.ac.in</t>
  </si>
  <si>
    <t>14-Nov-2002</t>
  </si>
  <si>
    <t>English Hindi Kannada</t>
  </si>
  <si>
    <t>4102 9400 9115</t>
  </si>
  <si>
    <t>NARAYANA N</t>
  </si>
  <si>
    <t>SUJATHA K</t>
  </si>
  <si>
    <t>Door No.105, Gangamma Garden, Malagala, Nagarabhavi 2nd Stage, Bengaluru</t>
  </si>
  <si>
    <t>VIDYANIKETAN PUBLIC SCHOOL ULLAL BANGALORE</t>
  </si>
  <si>
    <t>VIDYA VARDHAKA SANGHA SARDAR PATEL PRE-UNIVERSITY COLLEGE</t>
  </si>
  <si>
    <t>DEPARTMENT OF PRE-UNIVERSITY EDUCATION KARNATAKA</t>
  </si>
  <si>
    <t>RASHTREEYA VIDYALAYA COLLEGE OF ENGINEERING BENGALURU</t>
  </si>
  <si>
    <t>Primavera,MS Project,AutoCAD,Revit</t>
  </si>
  <si>
    <t>Sobha India Limited | Site Execution | Bengaluru | May 2026 | Jul 2026 | 9 Weeks | Campus Internship
JNY INFRASTRUCTURES PVT. LTD. | SITE ENGINEER | BENGALURU | May 2024 | Jun 2025 | 54.285714285714 Weeks</t>
  </si>
  <si>
    <t>Introduction To Revit
ASCE Student Chapter Secretary
Indian Concrete Institute Student Membership
NPTEL - The Joy of Computing Using Python</t>
  </si>
  <si>
    <t>P25700575</t>
  </si>
  <si>
    <t>RAJENDRAKUMAR</t>
  </si>
  <si>
    <t>NARALE</t>
  </si>
  <si>
    <t>Rohit Rajendrakumar Narale</t>
  </si>
  <si>
    <t>rohitnarale9999@gmail.com</t>
  </si>
  <si>
    <t>p25700575@student.nicmar.ac.in</t>
  </si>
  <si>
    <t>30-Jun-2002</t>
  </si>
  <si>
    <t>English, Hindi, Marathi, Kannada</t>
  </si>
  <si>
    <t>5425 3957 2334</t>
  </si>
  <si>
    <t>SADHANA</t>
  </si>
  <si>
    <t>Near S.RA.More School, 9, Ganesh Nagar Bhag 4 Vijapur Road, Solapur</t>
  </si>
  <si>
    <t>BHARATI VIDHYAPEETH , SOLAPUR</t>
  </si>
  <si>
    <t>MAHARASHTRA STATE BOARD OF SECONDARY  AND HIGHER SECONDARY EDUCATION, PUNE</t>
  </si>
  <si>
    <t>SWAMI VIVEKANAND ART AND SCIENCE JUNIOR COLLEGE, SOLAPUR</t>
  </si>
  <si>
    <t>COLLEGE OF ENGINEERING, PANDHARPUR</t>
  </si>
  <si>
    <t>AutoCAD,MS Office,MS Project,Primavera,SketchUP,Revit,BIM,MS EXCEL,Naviswork,Cost X</t>
  </si>
  <si>
    <t>Goel Ganga Group | Site Execution &amp; Project control Intern | Pune | May 2026 | Jul 2026 | 8.7142857142857 Weeks | Campus Internship
GURU DEVELOPERS AND ASSOCIATES | TRAINEE ENGINEER | PUNE | Aug 2023 | Mar 2024 | 32.428571428571 Weeks</t>
  </si>
  <si>
    <t>P25700576</t>
  </si>
  <si>
    <t>DANGAT</t>
  </si>
  <si>
    <t>Arya Umesh Dangat</t>
  </si>
  <si>
    <t>aryadangat4843@gmail.com</t>
  </si>
  <si>
    <t>p25700576@student.nicmar.ac.in</t>
  </si>
  <si>
    <t>6018 9523 5086</t>
  </si>
  <si>
    <t>UMESH DANGAT</t>
  </si>
  <si>
    <t>ASHA DANGAT</t>
  </si>
  <si>
    <t>Flat No. 24 Indralok Apt_x000D_
Pune Satara Road</t>
  </si>
  <si>
    <t>CITY INTERNATIONAL SCHOOL, SATARA ROAD</t>
  </si>
  <si>
    <t>SIR PARSHURAMBHAU COLLEGE</t>
  </si>
  <si>
    <t>HIGHER SECONDARY  CERTIFICATE</t>
  </si>
  <si>
    <t>AISSMS COLLEGE OF ENGINEERING , PUNE/ MAHARASHTRA</t>
  </si>
  <si>
    <t>Sobha Limited | Project Management | Trivandrum,Kerala | May 2026 | Jul 2026 | 9 Weeks | Campus Internship
Dhankawde Group | Intern  | Pune  | Dec 2023 | Jan 2024 | 4.4285714285714 Weeks</t>
  </si>
  <si>
    <t>Finance for Non-Financial Managers
Ethics In Engineering Practice
Journal Of Technology
LEAN SIX SIGMA YELLOW BELT</t>
  </si>
  <si>
    <t>P25700577</t>
  </si>
  <si>
    <t>SUSHRUT</t>
  </si>
  <si>
    <t>BHAISWAR</t>
  </si>
  <si>
    <t>Sushrut Anant Bhaiswar</t>
  </si>
  <si>
    <t>sushrut.bhaiswar@gmail.com</t>
  </si>
  <si>
    <t>p25700577@student.nicmar.ac.in</t>
  </si>
  <si>
    <t>25-Apr-2002</t>
  </si>
  <si>
    <t>6120 9221 0167</t>
  </si>
  <si>
    <t>ANANT BHAISWAR</t>
  </si>
  <si>
    <t>SUNITA BHAISWAR</t>
  </si>
  <si>
    <t>17, Buty Layout ,Rajnagar, Nagpur, Maharashtra,440013</t>
  </si>
  <si>
    <t>BHAVAN'S B.P VIDYA MANDIR ASHTI</t>
  </si>
  <si>
    <t>CENTER POINT SCHOOL KATOL ROAD</t>
  </si>
  <si>
    <t>SHRI RAMDEOBABA COLLEGE OF ENGINEERING AND MANAGEMENT NAGPUR MAHARASHTRA</t>
  </si>
  <si>
    <t>AutoCAD,MS Office,MS Project,Primavera,Arcgis,Costx,Revit</t>
  </si>
  <si>
    <t>Sobha Ltd. | Project Management | GIFT City, Gandhinagar, Gujrat | May 2026 | Jul 2026 | 9 Weeks | Campus Internship
PWD Nagpur | Intern | Nagpur | May 2025 | Jun 2025 | 5.7142857142857 Weeks
IMAGIS ENGINEERING SOLUTIONS PVT LTD | INTERN | NAGPUR | Jan 2024 | Jun 2024 | 21.571428571429 Weeks</t>
  </si>
  <si>
    <t>P25700578</t>
  </si>
  <si>
    <t>ANUJA</t>
  </si>
  <si>
    <t>Anuja Deepak Deshmukh</t>
  </si>
  <si>
    <t>anujadeshmukh1907@gmail.com</t>
  </si>
  <si>
    <t>p25700578@student.nicmar.ac.in</t>
  </si>
  <si>
    <t>19-Jul-2003</t>
  </si>
  <si>
    <t>7766 7587 5348</t>
  </si>
  <si>
    <t>DEEPAK DESHMUKH</t>
  </si>
  <si>
    <t>SANDHYA DESHMUKH</t>
  </si>
  <si>
    <t>Flat No 05 Jai Ambe Appartment Sudhir Colony Akola</t>
  </si>
  <si>
    <t>SCHOOL OF SCHOLARS</t>
  </si>
  <si>
    <t>CENTRAL BOARD OF SECONDARY EDUCATION AKOLA, MAHARASHTRA</t>
  </si>
  <si>
    <t>SRI. R.L.T COLLEGE OF SCIENCE AND ARTS AKOLA</t>
  </si>
  <si>
    <t>B.A.C.R.T'S VISHWAKARMA INSTITUTE OF INFORMATION AND TECHNOLOGY PUNE, MAHARASHTRA</t>
  </si>
  <si>
    <t>AutoCAD,MS Office,MS Project,ETABS</t>
  </si>
  <si>
    <t>LAGOO APTE DEVELOPERS  | Site Intern  | Pune , Swargate  | May 2026 | Jun 2026 | 8.1428571428571 Weeks | Campus Internship
Snivaa Structural Consultants | Design Intern  | Pune ,Hadapsar | Jul 2024 | Dec 2024 | 24.571428571429 Weeks</t>
  </si>
  <si>
    <t>P25700579</t>
  </si>
  <si>
    <t>MEHANDI</t>
  </si>
  <si>
    <t>D S</t>
  </si>
  <si>
    <t>Mehandi D S</t>
  </si>
  <si>
    <t>dsmehandi@gmail.com</t>
  </si>
  <si>
    <t>p25700579@student.nicmar.ac.in</t>
  </si>
  <si>
    <t>24-Jul-1998</t>
  </si>
  <si>
    <t>English, Hindi, Tamil, Kannada</t>
  </si>
  <si>
    <t>2056 6614 0185</t>
  </si>
  <si>
    <t>D SARAVANA KUMAR</t>
  </si>
  <si>
    <t>ASSISTANT COMMISSIONER CGST</t>
  </si>
  <si>
    <t>DEVI SARAVANA KUMAR</t>
  </si>
  <si>
    <t>B-305, Amrutha Grandeur Apt_x000D_
Rachenhalli , Thanisandra Main Road</t>
  </si>
  <si>
    <t>KENDRIYA VIDYALAYA IISC</t>
  </si>
  <si>
    <t>VISHVESHWARYA TECHNICAL UNIVERSITY</t>
  </si>
  <si>
    <t>ACHARYA NRV SCHOOL OF ARCHITECTURE, BANGALORE</t>
  </si>
  <si>
    <t>AutoCAD,MS Project,Autodesk Revit,Sketchup,Adobe Photoshop</t>
  </si>
  <si>
    <t>Total Environment Building Systems | Design Manager  | Bangalore  | Apr 2023 | Sep 2024 | 1Y 4M | 5.67
Studio Alaya Projects pvt lmt | Architect | Bangalore, India  | May 2022 | Jan 2023 | 0Y 8M | 3.24
Meragi Events | Design Consultant  | Bangalore, Karnataka, India  | Nov 2024 | May 2025 | 0Y 5M | 6.6</t>
  </si>
  <si>
    <t>Deloitte Touche Tohmatsu India LLP | Controls : Audit and Assurance Intern   | Bangalore | May 2026 | Jul 2026 | 8.5714285714286 Weeks | Campus Internship
Manasaram Architects | Intern | Bangalore, Karnataka, India | Feb 2021 | Aug 2021 | 25.571428571429 Weeks</t>
  </si>
  <si>
    <t>P25700580</t>
  </si>
  <si>
    <t>AWAIS</t>
  </si>
  <si>
    <t>KUTUBUDDIN</t>
  </si>
  <si>
    <t>PINJARI</t>
  </si>
  <si>
    <t>Awais Kutubuddin Pinjari</t>
  </si>
  <si>
    <t>pinjari.awais@gmail.com</t>
  </si>
  <si>
    <t>D25700018@student.nicmar.ac.in</t>
  </si>
  <si>
    <t>23-Aug-2003</t>
  </si>
  <si>
    <t>9810 3144 4997</t>
  </si>
  <si>
    <t>SELF-EMPLOYEE</t>
  </si>
  <si>
    <t>SULTANA</t>
  </si>
  <si>
    <t>Plot No 25, Muslim Nagar, Near Sagar Hotel</t>
  </si>
  <si>
    <t>SHREEJI ENGLISH MEDIUM SCHOOL</t>
  </si>
  <si>
    <t>SHRI VILE PARLE KELAVANI MANDAL INSTITUTE OF TECHNOLOGY</t>
  </si>
  <si>
    <t>AutoCAD,MS Office,MS Project,Primavera,Revit Architecture,V-Ray,Sketchup</t>
  </si>
  <si>
    <t>New Consolidated Construction Company Limited | Planning Engineer | L&amp;T Realty – Island Cove, Mahim, Mumbai | May 2026 | Jul 2026 | 8.5714285714286 Weeks | Campus Internship
GROW HIGH ENGINEERS | Site Engineer | Nashik, Maharashtra | Dec 2024 | Feb 2025 | 12.714285714286 Weeks</t>
  </si>
  <si>
    <t>REVIT
3DS MAX
AUTOCAD</t>
  </si>
  <si>
    <t>P25700581</t>
  </si>
  <si>
    <t>ARAJU</t>
  </si>
  <si>
    <t>LATIF</t>
  </si>
  <si>
    <t>ATTAR</t>
  </si>
  <si>
    <t>Araju Latif Attar</t>
  </si>
  <si>
    <t>arajuattar69@gmail.com</t>
  </si>
  <si>
    <t>p25700581@student.nicmar.ac.in</t>
  </si>
  <si>
    <t>30-May-2003</t>
  </si>
  <si>
    <t>Hindi , Marathi , English</t>
  </si>
  <si>
    <t>4900 4774 6576</t>
  </si>
  <si>
    <t>LATIF MUBARAK ATTAR</t>
  </si>
  <si>
    <t>VAHIDA LATIF ATTAR</t>
  </si>
  <si>
    <t>At/post - Walwa, Taluka - Walwa , District - Sangli</t>
  </si>
  <si>
    <t>JIJAMATA VIDYALAYA, WALWA</t>
  </si>
  <si>
    <t>RAJARAMBAPU INSTITUTE OF TECHNOLOGY , RAJARAMNAGAR</t>
  </si>
  <si>
    <t>DR.BABASAHEB AMBEDKAR TECHNOLOGICAL UNIVERSITY LONERE - RAIGAD, MAHARASHTRA</t>
  </si>
  <si>
    <t>NANASAHEB MAHADIK COLLEGE OF ENGINEERING ,PETH MAHARASHTRA</t>
  </si>
  <si>
    <t>AutoCAD,MS Project,Diploma in BIM Professional (4D BIM)</t>
  </si>
  <si>
    <t>New Consolidated Construction Company Limited  | Project Planning  | Mumbai  | May 2026 | Jul 2026 | 8.7142857142857 Weeks | Campus Internship</t>
  </si>
  <si>
    <t xml:space="preserve">BIM Professional </t>
  </si>
  <si>
    <t>P25700582</t>
  </si>
  <si>
    <t>GUNWANT</t>
  </si>
  <si>
    <t>GALANDE</t>
  </si>
  <si>
    <t>Sagar Gunwant Galande</t>
  </si>
  <si>
    <t>sagargalande.sg@gmail.com</t>
  </si>
  <si>
    <t>p25700582@student.nicmar.ac.in</t>
  </si>
  <si>
    <t>8204 5771 8557</t>
  </si>
  <si>
    <t>RAJSHRI</t>
  </si>
  <si>
    <t>FLAT NO. 103, KESHAV KUNJ, PLOT NO. 11, SECTOR 26, TALOJA PHASE-2</t>
  </si>
  <si>
    <t>V &amp; C PATEL ENGLISH SCHOOL</t>
  </si>
  <si>
    <t>CBSE ANAND</t>
  </si>
  <si>
    <t>ANANDALAYA</t>
  </si>
  <si>
    <t>WALCHAND INSTITUTE OF TECHNOLOGY</t>
  </si>
  <si>
    <t>Shapoorji Pallonji and Company Private Limited | GET | Mulund  | Aug 2023 | Feb 2024 | 0Y 5M | 3.75</t>
  </si>
  <si>
    <t>EY LLP | Risk Analyst | Mumbai | May 2026 | Jul 2026 | 8.2857142857143 Weeks | Campus Internship
RCM INFRASTRUCTURE | Intern | Paithan, Maharashtra | Jul 2022 | Aug 2022 | 2 Weeks
B.G. Shirke | Intern | Taloja, Mumbai | Jan 2022 | Feb 2022 | 2.2857142857143 Weeks</t>
  </si>
  <si>
    <t>P25700583</t>
  </si>
  <si>
    <t>LABDHE</t>
  </si>
  <si>
    <t>Mihir Bharat Labdhe</t>
  </si>
  <si>
    <t>mihirlabdhe0@gmail.com</t>
  </si>
  <si>
    <t>p25700583@student.nicmar.ac.in</t>
  </si>
  <si>
    <t>5368 2836 2222</t>
  </si>
  <si>
    <t>MEDHA</t>
  </si>
  <si>
    <t>Ap.Shirgaon , Tal.Chiplun , Dist.Ratnagiri</t>
  </si>
  <si>
    <t>ALORE HIGHSCHOOL ALORE</t>
  </si>
  <si>
    <t>MAHARASHTRA  STATE BOARD OF SECONDARY AND HIGHER SECONDARY EDUCATION PUNE / MAHARASHTRA</t>
  </si>
  <si>
    <t>SHIRGAON SECONDARY AND HIGHER SECONDARY SCHOOL</t>
  </si>
  <si>
    <t>AJEENKYA DY PATIL SCHOOL OF ENGINEERING , PUNE / MAHARASHTRA</t>
  </si>
  <si>
    <t>AutoCAD,MS Project,Revit</t>
  </si>
  <si>
    <t>Sobha Limited | Procurement Auditing Intern | Banglore | May 2026 | Jul 2026 | 9 Weeks | Campus Internship
KNOW HOW SCHOOLS | INTERN | PUNE | Feb 2023 | Mar 2023 | 4 Weeks
RUMAS CONSULTANCY AND INFRA | INTERN | CHIPLUN,RATNAGIRI | Jul 2024 | May 2025 | 47.714285714286 Weeks</t>
  </si>
  <si>
    <t>P25700585</t>
  </si>
  <si>
    <t>GIRISH</t>
  </si>
  <si>
    <t>N C</t>
  </si>
  <si>
    <t>Girish . N C</t>
  </si>
  <si>
    <t>girishnc2001@gmail.com</t>
  </si>
  <si>
    <t>p25700585@student.nicmar.ac.in</t>
  </si>
  <si>
    <t>09-Sep-2001</t>
  </si>
  <si>
    <t>ENGLISH, HINDI, KANNADA</t>
  </si>
  <si>
    <t>8168 1094 0814</t>
  </si>
  <si>
    <t>CHANDRAPPA N H</t>
  </si>
  <si>
    <t>FDAA</t>
  </si>
  <si>
    <t>LINGAMMA M</t>
  </si>
  <si>
    <t>#213/15 SHIVA PRAVATHI BADAVANE, SHAMNUR DAVANAGERE.</t>
  </si>
  <si>
    <t>SRI SOMASHWARA VIDYALAYA</t>
  </si>
  <si>
    <t>KARNATAKA SCHOOL EXAMINATION AND ASSESSMENT BOARD</t>
  </si>
  <si>
    <t>G M POLYTECHNIC, DAVANAGERE, KARNATAKA</t>
  </si>
  <si>
    <t>G M INSTITUTE OF TECHNOLOGY , DAVANAGERE, KARNATAKA.</t>
  </si>
  <si>
    <t>AutoCAD,MS Office,MS Project,REVIT ARCHITECTURE,STAAD PRO</t>
  </si>
  <si>
    <t>SOBHA LIMITED | Planning Department | BANGALORE | May 2026 | Jul 2026 | 9 Weeks | Campus Internship
MY TECH TRAINING INSTITUTE | INPLANT TRAINING PROGRAM | DAVANAGERE | Jan 2020 | Jan 2020 | 1.5714285714286 Weeks
MISSION AMRIT SAROVAR JAL DHAROHAR SANRAKSHAN INTERNSHIP | SITE ENGINEER | MUSSAFIRKHANA AND HONDA ,SANTHEBENNUR, DAVANAGERE. | Jul 2022 | Aug 2022 | 5 Weeks
RNS Infrastructure limited | Site Engineer | Chitradurga  | Aug 2022 | Sep 2022 | 4.4285714285714 Weeks</t>
  </si>
  <si>
    <t>AUTOCAD 2D AND 3D
FINANCE FOR NON FINANCIAL MANAGERS
DIGI QC ACADEMY</t>
  </si>
  <si>
    <t>P25700586</t>
  </si>
  <si>
    <t>VAIBHAVI</t>
  </si>
  <si>
    <t>SAKHALKAR</t>
  </si>
  <si>
    <t>Vaibhavi Vinod Sakhalkar</t>
  </si>
  <si>
    <t>vaibhavi1051@gmail.com</t>
  </si>
  <si>
    <t>p25700586@student.nicmar.ac.in</t>
  </si>
  <si>
    <t>9006 6189 0194</t>
  </si>
  <si>
    <t>VINOD GAJANAN SAKHALKAR</t>
  </si>
  <si>
    <t>SHRUTI VINOD SAKAHLKAR</t>
  </si>
  <si>
    <t>B/701 FAITH SOCIETY, FAITH SOCIETY ROAD,BALEWADI</t>
  </si>
  <si>
    <t>B/701 Madhuban Chs Oppo Vitthal Mandir Dahisar West</t>
  </si>
  <si>
    <t>VPM'S VIDYA MANDIR SCHOOL</t>
  </si>
  <si>
    <t>SAMTA VIDYA MANDIR, KANDIVALI EAST</t>
  </si>
  <si>
    <t>THAKUR SCHOOL OF ARCHITECTURE AND PLANNING, MUMBAI MAHARASHTRA</t>
  </si>
  <si>
    <t>AutoCAD,MS Office,MS Project,Photoshop</t>
  </si>
  <si>
    <t>Embassy Developments Limited  | Business strategy and operations  | Prabhadevi ,Mumbai  | May 2026 | Jul 2026 | 8.7142857142857 Weeks | Campus Internship
MAULI ENTERPRISES | ARCHITECTURAL INTERN | BORIVALI, MUMBAI MAHARASHTRA | Nov 2022 | Feb 2023 | 15 Weeks</t>
  </si>
  <si>
    <t>Certificate of participation for Solar Decathlon India, 2021-'22.
Certificate of participation in the Indian Conclave's Janvaad: Astihiva Edition, 2023.
Certificate for the workshop,'Research Paper and Writing and Publication Masterclass' organized by Kaarwan,2023.
Certificate of completion, Explore Human Resources Job Simulations,2025.
Certificate on McKinsey.org Forward Program, 2025.</t>
  </si>
  <si>
    <t>P25700587</t>
  </si>
  <si>
    <t>VARUN</t>
  </si>
  <si>
    <t>SHARAD</t>
  </si>
  <si>
    <t>Varun Sharad Deshmukh</t>
  </si>
  <si>
    <t>varund1155@gmail.com</t>
  </si>
  <si>
    <t>p25700587@student.nicmar.ac.in</t>
  </si>
  <si>
    <t>14-Jun-2002</t>
  </si>
  <si>
    <t>7821 3416 0412</t>
  </si>
  <si>
    <t>SHARAD S. DESHMUKH</t>
  </si>
  <si>
    <t>NANDINI SHARAD DESHMUKH</t>
  </si>
  <si>
    <t>Flat No. B/4, Sawali Apartment, Tapadiya Nagar, Near Maa Hospital, Akola.</t>
  </si>
  <si>
    <t>BAL SHIVAJI HIGH SCHOOL, JATHARPETH, AKOLA. 444005</t>
  </si>
  <si>
    <t>SHRI SHIVAJI JUNIOR COLLEGE, NIMBA, TQ. BALAPUR, DIST. AKOLA.</t>
  </si>
  <si>
    <t>SAVITRIBAI PHULE UNIVERSITY, PUNE.</t>
  </si>
  <si>
    <t>JSPM NARHE TECHNICAL CAMPUS, PUNE.</t>
  </si>
  <si>
    <t>AutoCAD,MS Office,MS Project,Excel,CostX</t>
  </si>
  <si>
    <t>Ahluwalia Contracts India Limited | Project Management Intern | Sion,Mumbai | May 2026 | Jul 2026 | 8.7142857142857 Weeks | Campus Internship
VEDNIRMITEE projects | Intern | pune | Jul 2024 | Feb 2025 | 33.285714285714 Weeks</t>
  </si>
  <si>
    <t>P25700588</t>
  </si>
  <si>
    <t>JAHNAVI</t>
  </si>
  <si>
    <t>VIJAYA PRAKASH</t>
  </si>
  <si>
    <t>Jahnavi Vijaya Prakash</t>
  </si>
  <si>
    <t>jahnavivijayaprakash@gmail.com</t>
  </si>
  <si>
    <t>p25700588@student.nicmar.ac.in</t>
  </si>
  <si>
    <t>23-Jan-2001</t>
  </si>
  <si>
    <t>8122 8290 0772</t>
  </si>
  <si>
    <t>DR . VIJAYA PRAKASH A M</t>
  </si>
  <si>
    <t>GEETHA S</t>
  </si>
  <si>
    <t>#18 , 6th Cross , 6th Block , 2nd Stage , Nagarbhavi _x000D_
Bengaluru - 72</t>
  </si>
  <si>
    <t>NATIONAL PUBLIC SCHOOL , YESHWANTHPUR</t>
  </si>
  <si>
    <t>DEEKSHA CENTER FOR LEARNING</t>
  </si>
  <si>
    <t>GOVT. OF KARNATAKA</t>
  </si>
  <si>
    <t>SJB SCHOOL FOR ARCHITECTURE AND PLANNING , KENGERI/KARNATAKA</t>
  </si>
  <si>
    <t>AutoCAD,MS Office,MS Project,Primavera,Sketchup,Lumion,Enscape,D5,Revit,Adobe Photoshop,MS Power Point,MS Excel,CostX</t>
  </si>
  <si>
    <t>STUDIO 9 ARCHITECTURE | ARCHITECT  | BENGALURU  | Sep 2024 | Jun 2025 | 0Y 9M | 2.5
AD Studio 9 | Human Resource Executive | Bengaluru  | Jul 2025 | Apr 2027 | 1Y 9M</t>
  </si>
  <si>
    <t>Adrianse India Pvt Ltd | Project Management  | Bengaluru | May 2026 | Jul 2026 | 8.5714285714286 Weeks | Campus Internship
ASHWIN ARCHITECTS | Intern  | Bengaluru  | Jan 2024 | Apr 2024 | 15.714285714286 Weeks</t>
  </si>
  <si>
    <t>TERI â€“ Building Performance Simulation Certification
Autodesk Navisworks Certification
EDGE â€“ Green Building Certification (IFC / World Bank Group)
UDL Photoshop Cetification
Council of Architecture (COA) â€“ Registered Architect
Procore Certification</t>
  </si>
  <si>
    <t>P25700589</t>
  </si>
  <si>
    <t>CHATURVEDI</t>
  </si>
  <si>
    <t>Shubham Chaturvedi</t>
  </si>
  <si>
    <t>shubhamchaturvedi592@gmail.com</t>
  </si>
  <si>
    <t>P25700589@student.nicmar.ac.in</t>
  </si>
  <si>
    <t>14-Dec-1999</t>
  </si>
  <si>
    <t>Reading Newspapers,Watching Sports</t>
  </si>
  <si>
    <t>5285 2468 9797</t>
  </si>
  <si>
    <t>DINESH KUMAR CHATURVEDI</t>
  </si>
  <si>
    <t>KAMLESH CHATURVEDI</t>
  </si>
  <si>
    <t>HN 299, Shanti Nagar B Gujar Ki Thadi, Mansarover, Jaipur, 302019</t>
  </si>
  <si>
    <t>ST SOLDIER'S PUB SCHOOL B D ROAD JAIPUR RAJ</t>
  </si>
  <si>
    <t>CBSE JAIPUR/RAJASTHAN</t>
  </si>
  <si>
    <t>BLUE HEAVEN VIDYALAYA SFS,MANSAROVAR JAIPUR</t>
  </si>
  <si>
    <t>CBSE JAIPUR / RAJASTHAN</t>
  </si>
  <si>
    <t>MANIPAL UNIVERSITY JAIPUR , JAIPUR / RAJASTHAN</t>
  </si>
  <si>
    <t>AutoCAD,MS Office,Primavera,APMS (Adani project management system )</t>
  </si>
  <si>
    <t>Adani Green energy limited | Assitsant Manager in project management and assurance group (PMAG ) | Ahemdabad | Jul 2022 | Aug 2023 | 1Y 0M | 6.5</t>
  </si>
  <si>
    <t>Goa State Infrastruture Development Corporation Limited (GSIDC) | Site Execution Intern  | Goa medical college ,Bambolim ,goa  | May 2026 | Jul 2026 | 8.7142857142857 Weeks | Campus Internship
JAIPUR INTERNATIONAL AIRPORT LIMITED | INTERN AT PROJECTS DEPARTMENT  | JAIPUR | Feb 2022 | May 2022 | 16.857142857143 Weeks</t>
  </si>
  <si>
    <t>P25700590</t>
  </si>
  <si>
    <t>Chinmay Kumar Das</t>
  </si>
  <si>
    <t>chinmaydas03@gmail.com</t>
  </si>
  <si>
    <t>p25700590@student.nicmar.ac.in</t>
  </si>
  <si>
    <t>07-Aug-1998</t>
  </si>
  <si>
    <t>5156 7593 7315</t>
  </si>
  <si>
    <t>PABITRA RANJAN DAS</t>
  </si>
  <si>
    <t>SUSMITA DAS</t>
  </si>
  <si>
    <t>C/O Pabitra Ranjan Das, Salandi Colony, Near Salandi Bypass</t>
  </si>
  <si>
    <t>Bhadrak</t>
  </si>
  <si>
    <t>RANGE SCHOOL</t>
  </si>
  <si>
    <t>CBSE BALASORE/ODISHA</t>
  </si>
  <si>
    <t>VEER SURENDRA SAI UNIVERSITY OF TECHNOLOGY BURLA/ODISHA</t>
  </si>
  <si>
    <t>SOBHA | Site Execution (Under Planning Department) | Banglore  | May 2026 | Jul 2026 | 9 Weeks | Campus Internship
UltraTech Cement | Technical Intern | Bhubaneshwar, Odisha, India | May 2023 | Jun 2023 | 4.2857142857143 Weeks</t>
  </si>
  <si>
    <t>ESG Virtual Experience Program</t>
  </si>
  <si>
    <t>P25700591</t>
  </si>
  <si>
    <t>ADHYAYAN</t>
  </si>
  <si>
    <t>ARVIND</t>
  </si>
  <si>
    <t>ALTEKAR</t>
  </si>
  <si>
    <t>Adhyayan Arvind Altekar</t>
  </si>
  <si>
    <t>altekaradhyayan44@gmail.com</t>
  </si>
  <si>
    <t>p25700591@student.nicmar.ac.in</t>
  </si>
  <si>
    <t>08-Mar-2001</t>
  </si>
  <si>
    <t>English,Hindi, Marathi,Kannada</t>
  </si>
  <si>
    <t>7906 7200 1693</t>
  </si>
  <si>
    <t>ARVIND NARAYAN ALTEKAR</t>
  </si>
  <si>
    <t>B.COM</t>
  </si>
  <si>
    <t>GAYATRI ARVIND ALTEKAR</t>
  </si>
  <si>
    <t>B.A</t>
  </si>
  <si>
    <t>Plot No 40 Jadhav Park Rama Nand Nagar Kolhapur</t>
  </si>
  <si>
    <t>SM LOHIYA HIGH SCHOOL KOLHAPUR</t>
  </si>
  <si>
    <t>NEW COLLEGE KOLHAPUR</t>
  </si>
  <si>
    <t>NEW POLYTECHNIC KOLHAPUR</t>
  </si>
  <si>
    <t>DYPATIL COLLEGE OF ENGINEERING AND TECHNOLOGY KOLHAPUR</t>
  </si>
  <si>
    <t>AutoCAD,MS Office,MS Project,MS EXCELS POWER POINT</t>
  </si>
  <si>
    <t>Atal Real Tech Limited | Junior Engineer | Pune | Jun 2024 | May 2025 | 0Y 11M | 3</t>
  </si>
  <si>
    <t>New consolidated construction company limited  | Site and planning intern | Alibaug ,Maharashtra  | May 2026 | Jul 2026 | 8.7142857142857 Weeks | Campus Internship
SHUBHAM EPC PVT LTD | GRADUATE ENGINEERING TRAINEE | PUNE | Dec 2023 | May 2024 | 21.571428571429 Weeks</t>
  </si>
  <si>
    <t>P25700592</t>
  </si>
  <si>
    <t>PRATHMESH</t>
  </si>
  <si>
    <t>Prathmesh Singh</t>
  </si>
  <si>
    <t>prathmesh080thakur@gmail.com</t>
  </si>
  <si>
    <t>p25700592@student.nicmar.ac.in</t>
  </si>
  <si>
    <t>04-May-2002</t>
  </si>
  <si>
    <t>2271 1307 4331</t>
  </si>
  <si>
    <t>DINESH SINGH</t>
  </si>
  <si>
    <t>KUSUM</t>
  </si>
  <si>
    <t>WARD SISTER</t>
  </si>
  <si>
    <t>ROOM NO. 704 NICMAR UNIVERSITY PUNE</t>
  </si>
  <si>
    <t>House No 13a/5 Chatrokhri Sundernagar Mandi (175018)</t>
  </si>
  <si>
    <t>DAYANAND ANGLO VEDIC PUBLIC SCHOOL SUNDERNAGAR MANDI HP</t>
  </si>
  <si>
    <t>HIMACHAL PRADESH TECHNICAL UNIVERSITY</t>
  </si>
  <si>
    <t>JAWAHAR LAL NEHRU GOVERNMENT ENGINEERING COLLEGE</t>
  </si>
  <si>
    <t>SOBHA Ltd | Project Management Trainee | Gurugram | May 2026 | Jul 2026 | 9 Weeks | Campus Internship
Satluj Jal Vidyut Nigam | Intern | Rampur, HP | Aug 2022 | Sep 2022 | 4.2857142857143 Weeks
BEE GEE BUILTECH | INTERN | MOHALI | Feb 2023 | Jun 2023 | 17 Weeks</t>
  </si>
  <si>
    <t>P25700593</t>
  </si>
  <si>
    <t>DHRUV</t>
  </si>
  <si>
    <t>CHALODE</t>
  </si>
  <si>
    <t>Dhruv Rajendra Chalode</t>
  </si>
  <si>
    <t>dhruvchalode@gmail.com</t>
  </si>
  <si>
    <t>p25700593@student.nicmar.ac.in</t>
  </si>
  <si>
    <t>MARATHI, HINDI, ENGLISH.</t>
  </si>
  <si>
    <t>2309 3981 9204</t>
  </si>
  <si>
    <t>RAJENDRA CHALODE</t>
  </si>
  <si>
    <t>SHOBHA PARANJE</t>
  </si>
  <si>
    <t>EX ADMINISTRATIVE OFFICER AT TECHNICAL EDUCATION DEPARTMENT MAHARASHTRA</t>
  </si>
  <si>
    <t>Whispering Winds Phase 1,Wing -A, Flat No.6 Baner Pashan Link Road -411021</t>
  </si>
  <si>
    <t>RIVERDALE HIGH SCHOOL</t>
  </si>
  <si>
    <t>AURANGABAD, MAHARASHTRA</t>
  </si>
  <si>
    <t>RJ INTERNATIONAL</t>
  </si>
  <si>
    <t>MARATHWADA MITRA MANDAL COLLEGE OF ARCHITECTURE</t>
  </si>
  <si>
    <t>AutoCAD,MS Office,MS Project,Primavera,Autodesk Sketchbook,Sketchup,Enscape,Revit,Photoshop,Excel,CostX,Procreate,Canva</t>
  </si>
  <si>
    <t>Basil Decor | Project Manager | Pune | May 2026 | Jul 2026 | 9.2857142857143 Weeks | Campus Internship
MVK associates | Architectural Intern  | Aurangabad, Maharashtra  | Jun 2024 | Sep 2024 | 17 Weeks</t>
  </si>
  <si>
    <t>Heritage and Documentation Workshop</t>
  </si>
  <si>
    <t>P25700594</t>
  </si>
  <si>
    <t>SHRIYA</t>
  </si>
  <si>
    <t>BAGARIA</t>
  </si>
  <si>
    <t>Shriya Bagaria</t>
  </si>
  <si>
    <t>shriyabagaria@gmail.com</t>
  </si>
  <si>
    <t>p25700594@student.nicmar.ac.in</t>
  </si>
  <si>
    <t>23-Nov-2000</t>
  </si>
  <si>
    <t>5165 8383 6125</t>
  </si>
  <si>
    <t>RAJESH BAGARIA</t>
  </si>
  <si>
    <t>RASHMI BAGARIA</t>
  </si>
  <si>
    <t>C-9, Third Floor, Power Emperia Rise, Laluram Colony, TP Nagar</t>
  </si>
  <si>
    <t>Korba</t>
  </si>
  <si>
    <t>DELHI PUBLIC SCHOOL, NTPC, JAMNIPALI, KORBA</t>
  </si>
  <si>
    <t>INSTITUTE OF DESIGN EDUCATION AND ARCHITECTURAL STUDIES, NAGPUR</t>
  </si>
  <si>
    <t>AutoCAD,MS Project,Report Writing,MS Excel,Sketchup</t>
  </si>
  <si>
    <t>Homelane | Design Associate | Mumbai | Feb 2025 | Jul 2025 | 0Y 4M | 3.45</t>
  </si>
  <si>
    <t>Ahluwalia Contracts India Limited | Summer Intern | Delhi, India | May 2026 | Jul 2026 | 8.7142857142857 Weeks | Campus Internship
Scarlett Design Private Limited | Architectural Intern | Ahmedabad, Gujrat | Jul 2022 | Oct 2022 | 16.142857142857 Weeks
Design Cell | Architectural Intern | Raipur, Chhattisgarh | Mar 2022 | May 2022 | 11.428571428571 Weeks</t>
  </si>
  <si>
    <t>P25700595</t>
  </si>
  <si>
    <t>VIDHI</t>
  </si>
  <si>
    <t>SHET</t>
  </si>
  <si>
    <t>Vidhi Sanjay Shet</t>
  </si>
  <si>
    <t>vidhishet09@gmail.com</t>
  </si>
  <si>
    <t>p25700595@student.nicmar.ac.in</t>
  </si>
  <si>
    <t>English, Hindi, Marathi &amp; Konkani</t>
  </si>
  <si>
    <t>7895 5949 5045</t>
  </si>
  <si>
    <t>SANJAY SHET</t>
  </si>
  <si>
    <t>VANDANA SHET</t>
  </si>
  <si>
    <t>G-5, Saraswati Apartment ,Near Kamat Nursing Home , Durga-bhat, Ponda -Goa.</t>
  </si>
  <si>
    <t>South Goa</t>
  </si>
  <si>
    <t>A . J . DE ALMEIDA HIGH SCHOOL</t>
  </si>
  <si>
    <t>GOA BOARD OF SECONDARY AND HIGHER SECONDARY EDUCATION ,GOA</t>
  </si>
  <si>
    <t>ADARSH HIGHER SECONDARY</t>
  </si>
  <si>
    <t>GOA UNIVERSITY</t>
  </si>
  <si>
    <t>GOA COLLEGE OF ENGINEERING ,GOA</t>
  </si>
  <si>
    <t>Sobha Limited | Site Execution | Banglore | May 2026 | Jul 2026 | 9 Weeks | Campus Internship
Raj Housing Development Private Limited | Site Engineer | Ponda ,Goa | Jul 2023 | Sep 2023 | 7.7142857142857 Weeks</t>
  </si>
  <si>
    <t>Autocad</t>
  </si>
  <si>
    <t>P25700596</t>
  </si>
  <si>
    <t>SUSHMA</t>
  </si>
  <si>
    <t>Sushma Prasad Bhat</t>
  </si>
  <si>
    <t>sushmabhat1100@gmail.com</t>
  </si>
  <si>
    <t>p25700596@student.nicmar.ac.in</t>
  </si>
  <si>
    <t>9227 9172 6912</t>
  </si>
  <si>
    <t>PRASAD BHAT</t>
  </si>
  <si>
    <t>SULAKSHANA BHAT</t>
  </si>
  <si>
    <t>Flat No-B2-202, Empire Estate, Pimpri Chinchwad, Near Old Pune-Mumbai Highway.</t>
  </si>
  <si>
    <t>KAMALNAYAN BAJAJ HIGH SCHOOL</t>
  </si>
  <si>
    <t>MAHARASHTRA STATE BOARD OF SECONDARY &amp; HIGHER SECONDARY EDUCATION, PUNE</t>
  </si>
  <si>
    <t>JAYSHREE PERIWAL HIGH SCHOOL</t>
  </si>
  <si>
    <t>S.B PATIL COLLEGE OF ARCHITECTURE &amp; DESIGN, PUNE, MAHARASHTRA</t>
  </si>
  <si>
    <t>MS Project, Primavera, MS Office, Revit, ACC ( Autodesk Construction cloud ), BIM Coordination, Sketchup, Lumion, Figma, Photoshop, AutoCAD</t>
  </si>
  <si>
    <t>Morphogenesis | Project Architect | Pune, Maharashtra | Jul 2023 | Jun 2025 | 1Y 11M | 5.78</t>
  </si>
  <si>
    <t>Cushman &amp; Wakefield | Project Management Intern | Pune, Maharashtra, India | May 2026 | Jul 2026 | 8.7142857142857 Weeks | Campus Internship
Sandeep Shikre &amp; Associates | Trainee Architect | Pune, Maharashtra, India | Jun 2022 | Dec 2022 | 26.714285714286 Weeks</t>
  </si>
  <si>
    <t>Advanced Revit &amp; BIM Certification Course
IGBC AP Associate
Microsoft project
B.Arch 4th Year-Academic topper
Architectural Thesis  Competition 2024-Shortlisted in TOP 20
BIM + Revit Workshop-1 Day
Advance Graphic Design Course for Architects
9 Day Advance Portfolio and Presentation Design Course for Architects
Facade Design
Landscape Design for Architects
Site analysis &amp; Climate study
Sketchup Modelling
2 Day Parametric Modelling
Architectural Thesis workshop</t>
  </si>
  <si>
    <t>P25700597</t>
  </si>
  <si>
    <t>SAHANA</t>
  </si>
  <si>
    <t>VILASKUMAR</t>
  </si>
  <si>
    <t>MASHETTY</t>
  </si>
  <si>
    <t>Sahana Vilaskumar Mashetty</t>
  </si>
  <si>
    <t>sahanamashetty24@gmail.com</t>
  </si>
  <si>
    <t>p25700597@student.nicmar.ac.in</t>
  </si>
  <si>
    <t>24-Jan-2001</t>
  </si>
  <si>
    <t>5066 1168 2047</t>
  </si>
  <si>
    <t>RTD ENGINEER</t>
  </si>
  <si>
    <t>VIJAYLAXMI</t>
  </si>
  <si>
    <t>H No 1-1495/43/2_x000D_
MSK Mill Road_x000D_
Behind Central Bustand_x000D_
Bhagwati Nagar_x000D_
House Name - "Vilas Nivas"_x000D_
585102 - Pincode_x000D_
Plot No - 22_x000D_
Gulbarga, Karnataka</t>
  </si>
  <si>
    <t>SHARANABASAVESWAR RES. HIGH SCHOOL KALABURAGI</t>
  </si>
  <si>
    <t>KARNATAKA SECONDARY EDUCATION EXAMINATION BOARD KARNATAKA</t>
  </si>
  <si>
    <t>SBASAVESHWAR RESI PU COL, SHARANA NAGAR, GULBARGA 585103</t>
  </si>
  <si>
    <t>GOVT OF KARNATAKA</t>
  </si>
  <si>
    <t>POOJYA DODDAPPA APPA COLLEGE OF ENGINEERING, KALABURAGI</t>
  </si>
  <si>
    <t>AutoCAD,MS Office,MS Project,Primavera,MS Excel,MS Powerpoint,Lumion,Sketch up,Revit,Adobe photoshop</t>
  </si>
  <si>
    <t>RAINEO ARCHITECTS | ARCHITECT  | BANGLORE  | Jan 2024 | Jun 2025 | 1Y 5M | 3.01</t>
  </si>
  <si>
    <t>J Kumar Infraprojects | Project Coordination | Chennai | May 2026 | Jul 2026 | 8.7142857142857 Weeks | Campus Internship
SHOBHA &amp; MAHESH ASSOCIATES | INTERN  | BANGLORE | Aug 2022 | Jan 2023 | 18 Weeks</t>
  </si>
  <si>
    <t>Creative Landscape Design</t>
  </si>
  <si>
    <t>P25700598</t>
  </si>
  <si>
    <t>DHEERAJ</t>
  </si>
  <si>
    <t>MAHAJAN</t>
  </si>
  <si>
    <t>Dheeraj Satish Mahajan</t>
  </si>
  <si>
    <t>dhirajmahajan444@gmail.com</t>
  </si>
  <si>
    <t>p25700598@student.nicmar.ac.in</t>
  </si>
  <si>
    <t>7381 4685 2362</t>
  </si>
  <si>
    <t>AUTO DRIVER</t>
  </si>
  <si>
    <t>KARLA ROAD SWAGAT  COLONY SABDALE LAYOUT WARDHA</t>
  </si>
  <si>
    <t>AGRAGAMIHIGH SCHOOL WARDHA</t>
  </si>
  <si>
    <t>WARDHA/MAHARASHTRA</t>
  </si>
  <si>
    <t>VITHALRAO CHAMAT HIGH  SCHOOL NAGPUR</t>
  </si>
  <si>
    <t>NAGPUR /MAHARASHTRA</t>
  </si>
  <si>
    <t>DR BABASAHEB AMBEDKAR TECHNOLOGICAL  UNIVERSITY LONERE RAIGADH</t>
  </si>
  <si>
    <t>BAJAJ INSTITUTE OF TECHNOLOGY WARDHA /MAHARASHTRA</t>
  </si>
  <si>
    <t>P25700599</t>
  </si>
  <si>
    <t>RISHIKA</t>
  </si>
  <si>
    <t>Rishika Menon</t>
  </si>
  <si>
    <t>rishikamenon27@gmail.com</t>
  </si>
  <si>
    <t>p25700599@student.nicmar.ac.in</t>
  </si>
  <si>
    <t>English, Hindi, Bengali, Malayalam</t>
  </si>
  <si>
    <t>5755 1234 0060</t>
  </si>
  <si>
    <t>SADANANDA MANOJ KUMAR</t>
  </si>
  <si>
    <t>INDU MENON</t>
  </si>
  <si>
    <t>NICMAR, POST OFFICE, 25/1, NICMAR UNIVERSITY, N.I.A, BALEWADI RD, RAM NAGAR, BANER, PUNE, MAHARASHTRA 411045</t>
  </si>
  <si>
    <t>Flat No 2-D, Srinibas Mansion, Riverside Road, Burnpur, Asansol, West Bengal- 713325_x000D_</t>
  </si>
  <si>
    <t>Paschim Bardhaman</t>
  </si>
  <si>
    <t>BURNPUR RIVERSIDE SCHOOL</t>
  </si>
  <si>
    <t>CENTRAL BOARD OF SECONDARY EDUCATION, ASANSOL/WEST BENGAL</t>
  </si>
  <si>
    <t>SCHOOL OF PLANNING AND ARCHITECTURE, VIJAYAWADA/ANDHRA PRADESH</t>
  </si>
  <si>
    <t>AutoCAD,MS Office,MS Project,sketchup,revit,photoshop</t>
  </si>
  <si>
    <t>Agami Realty | Site Execution and Control | Bandra, Mumbai | May 2026 | Jul 2026 | 7.8571428571429 Weeks | Campus Internship
Milestone Design Studio | Junior Architect | Bengalurtu | Sep 2023 | Dec 2023 | 10.428571428571 Weeks
Between Spaces | Junior Architect | Bangaluru | Jun 2023 | Sep 2023 | 15.571428571429 Weeks</t>
  </si>
  <si>
    <t>P25700600</t>
  </si>
  <si>
    <t>DHANAVATHULA</t>
  </si>
  <si>
    <t>UDAY SAI</t>
  </si>
  <si>
    <t>Dhanavathula Uday Sai Naik</t>
  </si>
  <si>
    <t>sainaik939@gmail.com</t>
  </si>
  <si>
    <t>p25700600@student.nicmar.ac.in</t>
  </si>
  <si>
    <t>14-Dec-2000</t>
  </si>
  <si>
    <t>4538 2100 8563</t>
  </si>
  <si>
    <t>DHANAVATHULA SRINIVAS</t>
  </si>
  <si>
    <t>RAILWAY EMPLOYEE</t>
  </si>
  <si>
    <t>DHANAVATHULA PATHINI BAI</t>
  </si>
  <si>
    <t>POORNANDAM PETA ,MOHAMMED BAIG STREET,VIJAYAWADA, ANDHRA PRDESH</t>
  </si>
  <si>
    <t>Krishna</t>
  </si>
  <si>
    <t>SRI CHAITANYA</t>
  </si>
  <si>
    <t>SRI CHAITANYA JR COLLAGE</t>
  </si>
  <si>
    <t>VELAGAPUDI RAMAKRISHNA SIDDHARTHA ENGINEERING COLLAGE</t>
  </si>
  <si>
    <t>AutoCAD,MS Office,MS Project,Primavera,ARC GIS,QGIS</t>
  </si>
  <si>
    <t>Pidilite Industries Limited | Summer Intern | Goa | May 2026 | Jun 2026 | 7.5714285714286 Weeks | Campus Internship
GARUDALYTICS PRIVATE LIMITED | GIS TRAINING /INTERNSHIP PROGRAM | VIJAYAWADA | Jul 2022 | Aug 2022 | 7.2857142857143 Weeks</t>
  </si>
  <si>
    <t>P25700601</t>
  </si>
  <si>
    <t>SUMUKH</t>
  </si>
  <si>
    <t>VATS</t>
  </si>
  <si>
    <t>Sumukh Vats</t>
  </si>
  <si>
    <t>sumukhvats788@gmail.com</t>
  </si>
  <si>
    <t>p25700601@student.nicmar.ac.in</t>
  </si>
  <si>
    <t>03-Jun-2002</t>
  </si>
  <si>
    <t>3021 0980 7245</t>
  </si>
  <si>
    <t>MANOJ VATS</t>
  </si>
  <si>
    <t>BUILDER</t>
  </si>
  <si>
    <t>MEENU VATS</t>
  </si>
  <si>
    <t>HNO 15 VPO MITRAON VILLAGE, NAJAFGARGH, SOUTH WEST DELHI</t>
  </si>
  <si>
    <t>MAXFORT SCHOOL</t>
  </si>
  <si>
    <t>SACHDEVA GLOBAL SCHOOL</t>
  </si>
  <si>
    <t>SHREE GURU GOBIND SINGH TRICENTENARY UNIVERSITY,GURUGRAM</t>
  </si>
  <si>
    <t>SHREE GURU GOBIND SINGH TRICENTENARY UNIVERSITY, GURUGRAM</t>
  </si>
  <si>
    <t>AutoCAD,MS Office,MS Project,MSP,ETABS,STAAD PRO</t>
  </si>
  <si>
    <t>Cushman and Wakefield  | Project Management Intern  | DLF CyberHub (Gurugram, Haryana) | May 2026 | Jul 2026 | 8.7142857142857 Weeks | Campus Internship
ACE Infracity Developers Pvt Ltd. | Site Trainee | Noida , sector 150 | Feb 2024 | Jun 2024 | 18.285714285714 Weeks
AIRPORT AUTHORITY OF INDIA. | Site trainee | New Delhi | Jul 2023 | Aug 2023 | 6 Weeks</t>
  </si>
  <si>
    <t>Construction Project Management
Construction Cost Estimating and Cost Control
EPFL- Smart Cities â€“ Management of Smart Urban
Investment Risk Management
Business Analysis &amp; Process Management
Google-Foundations Data, Data, Everywhere
The Construction Industry The Way Forward
Mastering bitumen for better roads and innovative</t>
  </si>
  <si>
    <t>P25700602</t>
  </si>
  <si>
    <t>Riya Singh</t>
  </si>
  <si>
    <t>riyasingh41911@gmail.com</t>
  </si>
  <si>
    <t>p25700602@student.nicmar.ac.in</t>
  </si>
  <si>
    <t>16-Dec-2001</t>
  </si>
  <si>
    <t>ENGLISH AND HINDI</t>
  </si>
  <si>
    <t>5339 2470 4706</t>
  </si>
  <si>
    <t>SANJAY SINGH</t>
  </si>
  <si>
    <t>SIYA SINGH</t>
  </si>
  <si>
    <t>WHITE HOUSE PG HINJEWADI PHASE 1</t>
  </si>
  <si>
    <t>Ward No 2 Infront Of Balram Ice Factory</t>
  </si>
  <si>
    <t>ST. ALOYSIUS HIGH SCHOOL, SHAHDOL</t>
  </si>
  <si>
    <t>BOARD OF SECONDARY EDUCATION, MADHYA PRADESH, BHOPAL</t>
  </si>
  <si>
    <t>DAV BURHAR PUBLIC SCHOOL PAKARIA BURHAR SHAHDOL, M.P.</t>
  </si>
  <si>
    <t>LAKSHMI NARAIN COLLEGE OF TECHNOLOGY, BHOPAL</t>
  </si>
  <si>
    <t>AutoCAD,MS Office,Ms excel,QGIS,Google earth Pro</t>
  </si>
  <si>
    <t>Sombansi Enviro Engg. Pvt. Ltd. | Graduate Engineer Trainee | Ghaziabad (U.P.) | May 2023 | Nov 2023 | 0Y 5M | 2.4
Deccan Technical Consultant LLP | Engineer- Projects | Bhopal (M.P.) | Dec 2023 | Jul 2025 | 1Y 7M | 3</t>
  </si>
  <si>
    <t>Primark associate  | Project coordination and management  | Pune | May 2026 | Jul 2026 | 9.2857142857143 Weeks | Campus Internship</t>
  </si>
  <si>
    <t>P25700603</t>
  </si>
  <si>
    <t>DIVYANSH</t>
  </si>
  <si>
    <t>Divyansh Gupta</t>
  </si>
  <si>
    <t>divyanshtushar11@gmail.com</t>
  </si>
  <si>
    <t>p25700603@student.nicmar.ac.in</t>
  </si>
  <si>
    <t>11-Apr-2001</t>
  </si>
  <si>
    <t>2044 4439 7245</t>
  </si>
  <si>
    <t>RAJESH KUMAR GUPTA</t>
  </si>
  <si>
    <t>PRAMILA GUPTA</t>
  </si>
  <si>
    <t>Choubey Colony Near Family Super Store</t>
  </si>
  <si>
    <t>Chhatarpur</t>
  </si>
  <si>
    <t>MARIA MATA CONVENT HIGH SCHOOL</t>
  </si>
  <si>
    <t>CENTRAL BOARD OF SECONDARY EDUCATION CHHATARPUR/MADHYA PRADESH</t>
  </si>
  <si>
    <t>MEDI-CAPS UNIVERSITY</t>
  </si>
  <si>
    <t>Sobha Limited  | Project Planning  | Gurugram  | May 2026 | Jul 2026 | 9 Weeks | Campus Internship
PATH HIGHWAYS | Trainee | Indore | Jan 2021 | Jan 2021 | 2 Weeks
RS Associate's | Civil Engineer | Indore | Oct 2023 | Oct 2024 | 52.285714285714 Weeks
Public Work Department | Intern | Chhatarpur | Jan 2022 | Apr 2022 | 17 Weeks</t>
  </si>
  <si>
    <t>P25700604</t>
  </si>
  <si>
    <t>MAHESHWARI</t>
  </si>
  <si>
    <t>AHIRE</t>
  </si>
  <si>
    <t>Maheshwari Ahire</t>
  </si>
  <si>
    <t>mhshwriahr01@gmail.com</t>
  </si>
  <si>
    <t>p25700604@student.nicmar.ac.in</t>
  </si>
  <si>
    <t>6790 8127 3141</t>
  </si>
  <si>
    <t>ASHOK AHIRE</t>
  </si>
  <si>
    <t>NAYANA</t>
  </si>
  <si>
    <t>64, NAYAN VILLA, RENUKA NAGAR, WADIBHOKAR ROAD, DHULE, MAHARASHTRA, 424002</t>
  </si>
  <si>
    <t>A/P Borvihir, Dhule, Maharashtra, 424311</t>
  </si>
  <si>
    <t>JAI HIND HIGH SCHOOL &amp; JUNIOR COLLEGE, DHULE</t>
  </si>
  <si>
    <t>SHRI NANASAHEB ZULAL BHILAJIRAO PATIL HIGHER SECONDARY SCHOOL, DHULE</t>
  </si>
  <si>
    <t>VEERMATA JIJABAI TECHNOLOGICAL INSTITUTE, MATUNGA, MUMBAI,400019</t>
  </si>
  <si>
    <t>Jones Lang LaSalle | Project Engineer | Mumbai | Jul 2023 | Dec 2024 | 1Y 5M | 4.5</t>
  </si>
  <si>
    <t>Suryapriya Construction pvt lmt  | Project Planning | Banglore, Karnataka  | May 2026 | Jul 2026 | 8.7142857142857 Weeks | Campus Internship
K H CONSTRUCTION, MUMBAI | INTERN | MUMBAI | Jun 2022 | Jul 2022 | 8.5714285714286 Weeks</t>
  </si>
  <si>
    <t>P25700605</t>
  </si>
  <si>
    <t>ARYAN</t>
  </si>
  <si>
    <t>ABHIJIT</t>
  </si>
  <si>
    <t>DIGHOLE</t>
  </si>
  <si>
    <t>Aryan Abhijit Dighole</t>
  </si>
  <si>
    <t>aryandighole@gmail.com</t>
  </si>
  <si>
    <t>p25700605@student.nicmar.ac.in</t>
  </si>
  <si>
    <t>07-Sep-2000</t>
  </si>
  <si>
    <t>2712 6145 7842</t>
  </si>
  <si>
    <t>VRUSHALI</t>
  </si>
  <si>
    <t>A-303, ASHTAVINAYAK TOWER, BEHIND HDFC BANK, THATTE NAGAR, GANGAPUR ROAD, NASHIK</t>
  </si>
  <si>
    <t>PLOT NO. 53, AKSHAY BUNGALOW, OPPOSITE YES BANK, KULKARNI BAUG, COLLEGE ROAD, NASHIK</t>
  </si>
  <si>
    <t>SYMBIOSIS SCHOOL</t>
  </si>
  <si>
    <t>CENTRAL BOARD OF SECONDARY EDUCATION, MAHARASHTRA</t>
  </si>
  <si>
    <t>K.V.N NAIK COLLEGE OF ARTS, COMMERCE AND SCIENCE</t>
  </si>
  <si>
    <t>HIGHER SECONDARY EDUCATION, MAHARASHTRA</t>
  </si>
  <si>
    <t>K.K. WAGH COLLEGE OF ENGINEERING EDUCATION AND RESEARCH</t>
  </si>
  <si>
    <t>AutoCAD, MS Office, MS Project, Primavera P6</t>
  </si>
  <si>
    <t>SOBHA LIMITED | SITE EXECUTION | SOBHA ATLANTIS, KOCHI, KERALA | May 2026 | Jul 2026 | 9 Weeks | Campus Internship</t>
  </si>
  <si>
    <t>Estimation and Costing
AUTOCAD
Finance for Non-finance managers</t>
  </si>
  <si>
    <t>P25700606</t>
  </si>
  <si>
    <t>BABARAOJI</t>
  </si>
  <si>
    <t>Gunjan Babaraoji Khandare</t>
  </si>
  <si>
    <t>khandaregunjankhandare@gmail.com</t>
  </si>
  <si>
    <t>p25700606@student.nicmar.ac.in</t>
  </si>
  <si>
    <t>24-Dec-1998</t>
  </si>
  <si>
    <t>6191 7004 0445</t>
  </si>
  <si>
    <t>SITE SUPERVISOR</t>
  </si>
  <si>
    <t>MAYAWATI</t>
  </si>
  <si>
    <t>SANT TUKDOJI WARD PIMPALGAON ROAD BEHIND COTTAGE HOSPITAL HINGANGHAT DISTRICT WARDHA</t>
  </si>
  <si>
    <t>MAHESH GYANPEETH HIGH SCHOOL</t>
  </si>
  <si>
    <t>GOVERNMENT POLYTECHNIC, JALGAON</t>
  </si>
  <si>
    <t>PROF RAM MEGHE COLLEGE OF ENGINEERING &amp; MANAGEMENT, BADNERA</t>
  </si>
  <si>
    <t>AutoCAD,MS Office,MS Project,Primavera,Advanced Excel Certification.,CERTIFIED POWER BI PROFESSIONAL (CBIP).</t>
  </si>
  <si>
    <t>PRAMUKH REAL ESTATE LLP | GRADUATE ENGINEER TRAINEE | VAPI | Dec 2021 | Sep 2024 | 2Y 9M | 1.44
SILVERBELL REALTY | PROJECT ENGINEER | VAPI | Nov 2024 | Feb 2025 | 0Y 3M | 3.12
DREAMBOAT PARTNERS | CHIEF PROJECT ENGINEER | VAPI | Feb 2025 | Jun 2025 | 0Y 3M | 5.28</t>
  </si>
  <si>
    <t>P25700607</t>
  </si>
  <si>
    <t>GREGORY</t>
  </si>
  <si>
    <t>JOHN</t>
  </si>
  <si>
    <t>Gregory John</t>
  </si>
  <si>
    <t>gregoyjohn911@gmail.com</t>
  </si>
  <si>
    <t>p25700607@student.nicmar.ac.in</t>
  </si>
  <si>
    <t>09-Nov-2003</t>
  </si>
  <si>
    <t>English, Tamil , Malayalam</t>
  </si>
  <si>
    <t>7911 1484 8347</t>
  </si>
  <si>
    <t>JOHN MATHEN</t>
  </si>
  <si>
    <t>JILLY JOHN</t>
  </si>
  <si>
    <t>108, Government Arts College Road, Race Course, Coimbatore, Tamil Nadu</t>
  </si>
  <si>
    <t>STANES ANGLO INDIAN HIGHER SECONDARY SCHOOL</t>
  </si>
  <si>
    <t>TAMIL NADU STATE BOARD</t>
  </si>
  <si>
    <t>AMRITA SCHOOL OF ENGINEERING</t>
  </si>
  <si>
    <t>J Kumar Infra Projects | Intern- Site Execution | Chennai | May 2026 | Jun 2026 | 8 Weeks | Campus Internship
Josmi Constructions | Trainee Engineer | Coimbatore | Jan 2025 | Jun 2025 | 25.714285714286 Weeks
URC Construction Private Limited | Intern | Chennai | Jun 2024 | Jun 2024 | 2.4285714285714 Weeks</t>
  </si>
  <si>
    <t>Sustainable Design Of Buildings
Principles Of Construction Management</t>
  </si>
  <si>
    <t>P25700608</t>
  </si>
  <si>
    <t>ISHITA</t>
  </si>
  <si>
    <t>SARAGADA</t>
  </si>
  <si>
    <t>Ishita Saragada</t>
  </si>
  <si>
    <t>ishitasaragada@gmail.com</t>
  </si>
  <si>
    <t>p25700608@student.nicmar.ac.in</t>
  </si>
  <si>
    <t>19-Sep-2002</t>
  </si>
  <si>
    <t>ENGLISH, TELUGU</t>
  </si>
  <si>
    <t>7910 2573 1200</t>
  </si>
  <si>
    <t>SURESH REDDY SARAGADA LATE</t>
  </si>
  <si>
    <t>EX-SERVICEMEN (NAVY)</t>
  </si>
  <si>
    <t>JAYA LAKSHMI SARAGADA</t>
  </si>
  <si>
    <t>BANK EMPLOYEE</t>
  </si>
  <si>
    <t>D. No 53-7-7/2, Atchi Vari Street_x000D_
Maddilapalem,Visakhapatnam</t>
  </si>
  <si>
    <t>SRI PRAKSH VIDYANIKETAN</t>
  </si>
  <si>
    <t>ANDHRA UNIVERSITY</t>
  </si>
  <si>
    <t>ANIL NEERUKONDA INSTITUTE OF TECHNOLOGY AND SCIENCES, VISAKHAPATNAM, ANDHRA PRADESH</t>
  </si>
  <si>
    <t>ASIAN PAINTS | Summer Intern - Project Sales | Chennai, Tamil Nadu | May 2026 | Jul 2026 | 8.7142857142857 Weeks | Campus Internship
SHAPOORJI PALLONJI CONSTRUCTION PRIVATE LIMITED | Intern â€“ Project Controls &amp; Commercial Operations at IIM Visakhapatnam  | VISAKHAPATNAM | Jul 2024 | Aug 2024 | 4.2857142857143 Weeks</t>
  </si>
  <si>
    <t>P25700609</t>
  </si>
  <si>
    <t>SURESHKUMAR</t>
  </si>
  <si>
    <t>Shubham Sureshkumar Prasad</t>
  </si>
  <si>
    <t>shubhamprasad338@gmail.com</t>
  </si>
  <si>
    <t>p25700609@student.nicmar.ac.in</t>
  </si>
  <si>
    <t>3106 9386 1891</t>
  </si>
  <si>
    <t>SURESHKUMAR PRASAD</t>
  </si>
  <si>
    <t>REETA PRASAD</t>
  </si>
  <si>
    <t>Tiranga Society, C-8, 3-16, Sector 25, Juinagar, Navi Mumbai</t>
  </si>
  <si>
    <t>CENTRAL BOARD OF SECONDARY EDUCATION ( CBSE )</t>
  </si>
  <si>
    <t>TERNA ENGINEERING COLLEGE, NERUL, NAVI-MUMBAI</t>
  </si>
  <si>
    <t>RIB CostX, Excel, AutoCAD, MS Project, Primavera, Revit</t>
  </si>
  <si>
    <t>BOXOFFICE SPACE | INTERN | Pune | May 2026 | Jul 2026 | 8.7142857142857 Weeks | Campus Internship
DIRECTORATE OF CONSTRUCTION, SERVICES AND ESTATE MANAGEMENT, DEPARTMENT OF ATOMIC ENERGY, GOVERNMENT OF INDIA | INTERN | MUMBAI | Dec 2022 | Jan 2023 | 4 Weeks
VIKAS CONSTRUCTION | Estimation &amp; Costing intern | Mumbai | Jan 2025 | Apr 2025 | 12.857142857143 Weeks</t>
  </si>
  <si>
    <t>Construction Cost Estimating and Cost Control 
Data Analysis
Project Planning and Execution Management
Project - Monitoring and Control
Project Management - Initiation and Planning
Project Management in  Construction</t>
  </si>
  <si>
    <t>P25700610</t>
  </si>
  <si>
    <t>LLOYD</t>
  </si>
  <si>
    <t>ALBAN</t>
  </si>
  <si>
    <t>MORAES</t>
  </si>
  <si>
    <t>Lloyd Alban Moraes</t>
  </si>
  <si>
    <t>lloydmrs007@gmail.com</t>
  </si>
  <si>
    <t>p25700610@student.nicmar.ac.in</t>
  </si>
  <si>
    <t>11-Dec-1996</t>
  </si>
  <si>
    <t>4347 9465 4807</t>
  </si>
  <si>
    <t>ABC</t>
  </si>
  <si>
    <t>LORRENE</t>
  </si>
  <si>
    <t>A-101,EMERALD,MAHAVIR UNIVERSE,OPP. DMART,CHILHAR ROAD,BOISAR(E)</t>
  </si>
  <si>
    <t>MORAES LLOYD ALBAN</t>
  </si>
  <si>
    <t>TARAPUR VIDYA MANDIR</t>
  </si>
  <si>
    <t>2015-Feb</t>
  </si>
  <si>
    <t>ST.JOHN COLLEGE OF ENGINEERING AND MANAGEMENT,PALGHAR/MAHARSHTRA</t>
  </si>
  <si>
    <t>AutoCAD, MS Office, MS Project, Primavera, Revit, RIB CostX, Bexel Manager</t>
  </si>
  <si>
    <t>AGAMI REALTY | SITE ENGINEER | BANDRA,MUMBAI | Dec 2020 | May 2025 | 4Y 5M | 4.2</t>
  </si>
  <si>
    <t>4 Years 6 Months</t>
  </si>
  <si>
    <t>Cherry Hill Interiors Pvt. Ltd. | Project Management Trainee | Banglore | May 2026 | Jul 2026 | 8.5714285714286 Weeks | Campus Internship
ADHIKARI RMC | QA/QC | BOISAR,MAHARASHTRA | Jun 2019 | Jul 2019 | 6.8571428571429 Weeks
K K BUILDERS | TRAINEE | PALGHAR,MAHARASHTRA | May 2016 | Jun 2016 | 4.2857142857143 Weeks</t>
  </si>
  <si>
    <t>APTECH MSP CERTIFICATION
Finance for non financial Managers
Construction Management Project Delivery Methods &amp; Contracts</t>
  </si>
  <si>
    <t>P25700611</t>
  </si>
  <si>
    <t>WAMAN</t>
  </si>
  <si>
    <t>Omkar Santosh Waman</t>
  </si>
  <si>
    <t>omkar.waman99@gmail.com</t>
  </si>
  <si>
    <t>p25700611@student.nicmar.ac.in</t>
  </si>
  <si>
    <t>9611 4444 4338</t>
  </si>
  <si>
    <t>SANTOSH RAMBHAU WAMAN</t>
  </si>
  <si>
    <t>SUREKHA SANTOSH WAMAN</t>
  </si>
  <si>
    <t>301/10,Celebration KH4,Sector 17,Kharghar,Navi Mumbai</t>
  </si>
  <si>
    <t>I.E.S.V.N.SULE GURUJI ENGLISH MEDIUM SCHOOL</t>
  </si>
  <si>
    <t>MAHARASHTRA STATE BOARD ,MUMBAI/MAHARSHTRA</t>
  </si>
  <si>
    <t>MAHARSHI DAYANAND COLLEGE OF ARTS, COMMERCE AND SCIENCE</t>
  </si>
  <si>
    <t>ANJUMAN-I-ISLAMS M.H.SABOO SIDDIK COLLEGE OF ENGINEERING,MUMBAI/MAHARASHTRA</t>
  </si>
  <si>
    <t>GIRISH ENTERPRISES PRIVATE LIMITED | TRAINEE CIVIL ENGINEER | Taloja, Navi Mumbai | Nov 2024 | Jun 2025 | 0Y 6M | 3</t>
  </si>
  <si>
    <t>SOBHA LIMITED | Project Management Intern | GIFT City, Ahmedabad | May 2026 | Jul 2026 | 9 Weeks | Campus Internship
CITY AND INDUSTRIAL DEVLOPMENT CORPORATION OF MAHARASHTRA LIMITED | INTERN | TALOJA, NAVI MUMBAI | Jun 2023 | Jun 2023 | 4.1428571428571 Weeks</t>
  </si>
  <si>
    <t>P25700612</t>
  </si>
  <si>
    <t>SANGMESHWAR</t>
  </si>
  <si>
    <t>SHAMBHU</t>
  </si>
  <si>
    <t>JALKOTE</t>
  </si>
  <si>
    <t>Sangmeshwar Shambhu Jalkote</t>
  </si>
  <si>
    <t>jalkotesangmeshwar@gmail.com</t>
  </si>
  <si>
    <t>p25700612@student.nicmar.ac.in</t>
  </si>
  <si>
    <t>3490 0542 7678</t>
  </si>
  <si>
    <t>SHAMBHU JALKOTE</t>
  </si>
  <si>
    <t>MAHADEVI JALKOTE</t>
  </si>
  <si>
    <t>R1/6 Ramesh Wande Nagar Near Mari Aai Mandir, Upper Village Kolshet</t>
  </si>
  <si>
    <t>KENDRIYA VIDYALA AFS THANE</t>
  </si>
  <si>
    <t>KENDRIYA VIDYALAYA AFS THANE</t>
  </si>
  <si>
    <t>A.P SHAH INSTITUTE OF TECHNOLOGY THANE</t>
  </si>
  <si>
    <t>AutoCAD,MS Office,MS Project,Primavera,BIM,Market Research &amp; Feasibility Support,Tender Documentation &amp; Vendor Coordination</t>
  </si>
  <si>
    <t>Asian Paints Limited | Project Sales | Mumbai, Navi Mumbai | May 2026 | Jul 2026 | 8.7142857142857 Weeks | Campus Internship
HARSH CONSTRUCTION PVT LTD | INTERN | THANE | May 2023 | Jul 2023 | 7.4285714285714 Weeks
ADITIYA ENTERPRISES | INTERN | MUMBAI | Dec 2021 | Jan 2023 | 57.857142857143 Weeks
GUBBI CIVIL ENGINEERS | INTERN | MUMBAI | Jun 2024 | Jun 2025 | 56.285714285714 Weeks</t>
  </si>
  <si>
    <t>Professional Drafting and Presentation
Universal Human Values
Finance for non Finance mangers
Six Sigma</t>
  </si>
  <si>
    <t>P25700613</t>
  </si>
  <si>
    <t>SARUMATHI</t>
  </si>
  <si>
    <t>Sarumathi C</t>
  </si>
  <si>
    <t>sarumathichinnaiyan32@gmail.com</t>
  </si>
  <si>
    <t>p25700613@student.nicmar.ac.in</t>
  </si>
  <si>
    <t>ENGLISH,TAMIL,HINDI</t>
  </si>
  <si>
    <t>2607 5741 3904</t>
  </si>
  <si>
    <t>CHINNAIYAN.S</t>
  </si>
  <si>
    <t>RAMAMIRTHAM.C</t>
  </si>
  <si>
    <t>615,SOUTH STREET,THIRUMANGALAKKOTAI WEST,ORATHANADU(TK),THANJAVUR(DT)</t>
  </si>
  <si>
    <t>BRINDHAVAN HIGHER SECONDARY SCHOOL</t>
  </si>
  <si>
    <t>STATE BOARD OF SCHOOL EXAMINATIONS,TAMILNADU</t>
  </si>
  <si>
    <t>SASTRA DEEMED TO BE UNIVERSITY,THANJAVUR</t>
  </si>
  <si>
    <t>AutoCAD, MS Office, MS Project, Primavera, Excel, ArcGIS, Power BI</t>
  </si>
  <si>
    <t>DRA HOMES AND DEVELOPERS | GET-CONTRACTS &amp; QS | CHENNAI | Jul 2024 | Feb 2025 | 0Y 6M | 2.16</t>
  </si>
  <si>
    <t>BECHTEL INDIA PRIVATE LIMITED | PROJECT CONTROLS | Gurgaon, HaryanaGurgaon,Haryana | May 2026 | Jul 2026 | 7.5714285714286 Weeks | Campus Internship
CHENNAI METROPOLITIAN DEVELOPMENT AUTHORITY-CMDA | SUMMER INTERN | CHENNAI | Dec 2023 | Mar 2024 | 14.857142857143 Weeks</t>
  </si>
  <si>
    <t>Shaping Urban Futures
Renewable Energy and Green Building  Entrepreneurship</t>
  </si>
  <si>
    <t>P25700614</t>
  </si>
  <si>
    <t>OKTE</t>
  </si>
  <si>
    <t>Ayush Okte</t>
  </si>
  <si>
    <t>ayushokte76@gmail.com</t>
  </si>
  <si>
    <t>p25700614@student.nicmar.ac.in</t>
  </si>
  <si>
    <t>06-Jul-2002</t>
  </si>
  <si>
    <t>Hindi,English or Marathi</t>
  </si>
  <si>
    <t>2187 4952 9582</t>
  </si>
  <si>
    <t>RATNAKAR OKTE</t>
  </si>
  <si>
    <t>SUNITA OKTE</t>
  </si>
  <si>
    <t>HOUSHE WIFE</t>
  </si>
  <si>
    <t>CM. RISE HIGH SCHOOL KE PAS GURAIYA USHARIYA WARD NO.20 CHHINDWARA</t>
  </si>
  <si>
    <t>GOVERNMENT HIGHER SECONDARY SCHOOL GURRAIYA CHHINDWARA</t>
  </si>
  <si>
    <t>GOVT. ADARSH MULTI PURPOSH HIGHER SECONDARY EXCELLENCE SCHOOL, CHHINDWARA</t>
  </si>
  <si>
    <t>RAJIV GANDHI PROUDYOGIKI VISHWAVIDYALAYA BHOPAL</t>
  </si>
  <si>
    <t>MALWA INSTITUTE OF TECHNOLOGY,INDORE MADHYA PRADESH</t>
  </si>
  <si>
    <t>DEV BHOOMI DEVELOPERS | SITE ENGINEER | CHHINDWARA | Jun 2023 | Dec 2023 | 0Y 6M | 1.8</t>
  </si>
  <si>
    <t>Goa State Infrastructure Development Corporation Limited | Site execution |  Construction of Panchayat Ghar and Shopping Complex along with Community Hall at Bazar Shiroda in the Property of V.P. Shiroda.  | May 2026 | Jul 2026 | 8.7142857142857 Weeks | Campus Internship</t>
  </si>
  <si>
    <t>P25700615</t>
  </si>
  <si>
    <t>PANICKER</t>
  </si>
  <si>
    <t>Vishnu Sunil Panicker</t>
  </si>
  <si>
    <t>vishnus8005@gmail.com</t>
  </si>
  <si>
    <t>p25700615@student.nicmar.ac.in</t>
  </si>
  <si>
    <t>18-May-2001</t>
  </si>
  <si>
    <t>ENGLISH, HINDI, MARATHI, MALAYALAM</t>
  </si>
  <si>
    <t>8824 4047 2522</t>
  </si>
  <si>
    <t>SUNIL KUMAR C PANICKER</t>
  </si>
  <si>
    <t>SIMMY SUNIL PANICKER</t>
  </si>
  <si>
    <t>104, B-4 Nandkishor CHS LTD, Vrindavan Complex, Sukapur, New Panvel</t>
  </si>
  <si>
    <t>CHANGU KHANA THAKUR VIDYALAYA &amp; JR. COLLEGE</t>
  </si>
  <si>
    <t>PILLAI HOC COLLEGE OF ENGINEERING AND TECHNOLOGY, RASAYANI, MAHARASHTRA.</t>
  </si>
  <si>
    <t>Ajwani Infrastructure Pvt Ltd | Assistant resident Engineer | Navade, Taloja, Maharashtra | Dec 2023 | Jun 2025 | 1Y 6M | 2.71</t>
  </si>
  <si>
    <t>Cherry Hill Pvt Ltd | Management Trainee | Pune | May 2026 | Jul 2026 | 8.7142857142857 Weeks | Campus Internship
SIMSA Infraprojects PVT LTD | Jr. Engineer | Rasayani, Maharashtra  | Jun 2023 | Aug 2023 | 12.857142857143 Weeks
CITY AND INDUSTRIAL DEVELOPMENT CORPORATION OF MAHARASHTRA | INTERNSHIP TRAINEE | TALOJA, MAHARASHTRA. BHAMANDONGIRI | Jun 2022 | Jul 2022 | 4.2857142857143 Weeks
THAKUR INFRAPROJECTS PVT LTD | CIVIL SUPERVISOR | JASAI, URAN | Dec 2021 | Jan 2022 | 3.5714285714286 Weeks</t>
  </si>
  <si>
    <t>P25700617</t>
  </si>
  <si>
    <t>KALAMBE</t>
  </si>
  <si>
    <t>Devanshu Vikas Kalambe</t>
  </si>
  <si>
    <t>kalambedevanshu@gmail.com</t>
  </si>
  <si>
    <t>p25700617@student.nicmar.ac.in</t>
  </si>
  <si>
    <t>4931 0718 4976</t>
  </si>
  <si>
    <t>VIKAS KALAMBE</t>
  </si>
  <si>
    <t>SHUBHANGI KALAMBE</t>
  </si>
  <si>
    <t>53/B, Ramna Maruti Nagar</t>
  </si>
  <si>
    <t>TEJASWINI VIDYAMANDIR</t>
  </si>
  <si>
    <t>WANI Projects &amp; Infra | Site Execution + Control Intern | PUNE | May 2026 | Jun 2026 | 8.1428571428571 Weeks | Campus Internship
Panacea Civil India Pvt. ltd. | Site Engineer Intern | Pune | Jan 2025 | Jun 2025 | 25.714285714286 Weeks</t>
  </si>
  <si>
    <t>P25700618</t>
  </si>
  <si>
    <t>ANKUR</t>
  </si>
  <si>
    <t>KOLTE</t>
  </si>
  <si>
    <t>Ankur Sanjay Kolte</t>
  </si>
  <si>
    <t>kolteankur28@gmail.com</t>
  </si>
  <si>
    <t>p25700618@student.nicmar.ac.in</t>
  </si>
  <si>
    <t>28-Apr-2002</t>
  </si>
  <si>
    <t>9834 5479 0283</t>
  </si>
  <si>
    <t>SANJAY KOLTE</t>
  </si>
  <si>
    <t>DEEPALI KOLTE</t>
  </si>
  <si>
    <t>C808,Palm Springs,SB Patil College Road,Ravet,PCMC,Pune</t>
  </si>
  <si>
    <t>SONA I ENGLISH MEDIUM HIGH SCHOOL,PUNE</t>
  </si>
  <si>
    <t>BHARATI VIDYAPEETH'S COLLEGE OF ENGINEERING,LAVALE,PUNE</t>
  </si>
  <si>
    <t>AutoCAD, MS Office, MS Project, Primavera, RIB COSTX, Quantity Surveying Building Estimation BBS with Excel &amp;CAD</t>
  </si>
  <si>
    <t>PSC Infracon Pvt. Ltd. | Junior Engineer | Wakad,Pune | Jul 2024 | May 2025 | 0Y 9M | 2.71</t>
  </si>
  <si>
    <t>EMBASSY DEVELOPMENTS LIMITED | BUSINESS DEVELOPMENT INTERN | Mumbai,Maharashtra | May 2026 | Jul 2026 | 8.2857142857143 Weeks | Campus Internship
VANCON ENGINEERS | INTERN | PUNE | Jan 2023 | Feb 2023 | 4.1428571428571 Weeks
KOLTE-PATIL DEVELOPERS LTD. | INTERN | UNDRI,PUNE | Sep 2021 | Nov 2021 | 12.857142857143 Weeks</t>
  </si>
  <si>
    <t>Real Estate Financial Modeling by CFI
Data Analysis
Quantity Surveying Building Estimation BBS with EXCEL and CAD
Finance for Non-Financial Managers</t>
  </si>
  <si>
    <t>P25700619</t>
  </si>
  <si>
    <t>Chirag Kumar</t>
  </si>
  <si>
    <t>chiragpratibha1997@gmail.com</t>
  </si>
  <si>
    <t>p25700619@student.nicmar.ac.in</t>
  </si>
  <si>
    <t>23-Jan-1997</t>
  </si>
  <si>
    <t>9690 4789 1076</t>
  </si>
  <si>
    <t>RAVINDRA KUMAR</t>
  </si>
  <si>
    <t>PRATIBHA KUMARI</t>
  </si>
  <si>
    <t>E-1008, Fusion Homes, TechZone 4, Greater Noida West</t>
  </si>
  <si>
    <t>DAV PUBLIC SCHOOL, VASANT KUNJ</t>
  </si>
  <si>
    <t>MANIPAL UNIVERSITY JAIPUR, RAJASTHAN</t>
  </si>
  <si>
    <t>Pidilite Industries Ltd. | Summer Intern | Delhi NCR | May 2026 | Jun 2026 | 7.5714285714286 Weeks | Campus Internship</t>
  </si>
  <si>
    <t>P25700620</t>
  </si>
  <si>
    <t>AGRAWAL</t>
  </si>
  <si>
    <t>Aditya Agrawal</t>
  </si>
  <si>
    <t>aditya.agrawal.1930@gmail.com</t>
  </si>
  <si>
    <t>p25700620@student.nicmar.ac.in</t>
  </si>
  <si>
    <t>03-Jan-2002</t>
  </si>
  <si>
    <t>7279 9916 6529</t>
  </si>
  <si>
    <t>ROOPESH AGRAWAL</t>
  </si>
  <si>
    <t>MAMTA AGRAWAL</t>
  </si>
  <si>
    <t>T-49, Shalin-3, New Vavol</t>
  </si>
  <si>
    <t>Gandhinagar</t>
  </si>
  <si>
    <t>HILLWOODS SCHOOL</t>
  </si>
  <si>
    <t>CBSE GANDHINAGAR/GUJARAT</t>
  </si>
  <si>
    <t>AHMEDABAD PUBLIC SCHOOL INTERNATIONAL</t>
  </si>
  <si>
    <t>CENTRE FOR ENVIRONMENTAL PLANNING AND TECHNOLOGY</t>
  </si>
  <si>
    <t>CENTRE FOR ENVIRONMENTAL PLANNING AND TECHNOLOGY, AHMEDABAD, GUJARAT</t>
  </si>
  <si>
    <t>AutoCAD,MS Office,Sketchup,STAAD Pro,Photoshop,Enscape</t>
  </si>
  <si>
    <t>Masin Projects Pvt. Ltd. | Intern - Quantum Analysis | Gurugram | May 2026 | Jul 2026 | 8.7142857142857 Weeks | Campus Internship
Prajukti Consultants Pvt. Ltd. | Structural Design | Gurugram | Jan 2023 | Apr 2023 | 16.857142857143 Weeks</t>
  </si>
  <si>
    <t>Human Resources Management Essentials
Finance for Non-financial managers
Ethics in Engineering Practice
DIGI QC
Data Analysis
Construction Equipment Maintenance &amp; Safety</t>
  </si>
  <si>
    <t>P25700621</t>
  </si>
  <si>
    <t>RISHAV</t>
  </si>
  <si>
    <t>Rishav Raj</t>
  </si>
  <si>
    <t>rishav0013@gmail.com</t>
  </si>
  <si>
    <t>p25700621@student.nicmar.ac.in</t>
  </si>
  <si>
    <t>03-Jun-2003</t>
  </si>
  <si>
    <t>3413 6652 2703</t>
  </si>
  <si>
    <t>PRAMOD KUMAR</t>
  </si>
  <si>
    <t>SANGITA DEVI</t>
  </si>
  <si>
    <t>NICMAR UNIVERSITY</t>
  </si>
  <si>
    <t>A/54, Matru Sadan, Mitramandal Colony_x000D_</t>
  </si>
  <si>
    <t>VIDYA NIKETAN (BIRLA PUBLIC SCH) PILANI RAJ</t>
  </si>
  <si>
    <t>PILANI, RAJASTHAN</t>
  </si>
  <si>
    <t>P. P. M. SCHOOL VENKATESHWAR NAGER</t>
  </si>
  <si>
    <t>MOHALI, PUNJAB</t>
  </si>
  <si>
    <t>AutoCAD,MS Office,MS Project,Primavera,ARC GIS,Open Roads,Revit,CostX,QGIS,3DsMax</t>
  </si>
  <si>
    <t>JAKSON LIMITED | Execution | NOIDA | May 2026 | Jul 2026 | 8.4285714285714 Weeks | Campus Internship
REHLANI INFRATECH PVT. LTD. | PROJECT SUPERVISOR | AJMER | May 2024 | Jul 2024 | 6.1428571428571 Weeks</t>
  </si>
  <si>
    <t>Ethics in Engineering Practice
Finance for Non-Financial Managers
Application of GIS &amp; Remote Sensing in Civil Engineering</t>
  </si>
  <si>
    <t>P25700622</t>
  </si>
  <si>
    <t>KETAN</t>
  </si>
  <si>
    <t>UPASE</t>
  </si>
  <si>
    <t>Yash Ketan Upase</t>
  </si>
  <si>
    <t>yashupase02@gmail.com</t>
  </si>
  <si>
    <t>p25700622@student.nicmar.ac.in</t>
  </si>
  <si>
    <t>English, Marathi, Hindi, Kannada</t>
  </si>
  <si>
    <t>6532 2821 1497</t>
  </si>
  <si>
    <t>KETAN UPASE</t>
  </si>
  <si>
    <t>BHAGYASHREE</t>
  </si>
  <si>
    <t>HIREMATH HOUSE, BEHIND SHREE GURU INDEPENDENT PU COLLEGE, OZA LAYOUT</t>
  </si>
  <si>
    <t>House No 68, Om Nilaya, 5th Cross  Swami Vivekanand Nagar</t>
  </si>
  <si>
    <t>LITTLE FLOWER CONVENT HIGH SCHOOL, SOLAPUR</t>
  </si>
  <si>
    <t>PUNE DIVISIONAL BOARD, SOLAPUR, MAHARASHTRA</t>
  </si>
  <si>
    <t>SANGAMESHWAR COLLEGE, SOLAPUR</t>
  </si>
  <si>
    <t>SHARNBASVA UNIVERSITY</t>
  </si>
  <si>
    <t>SHARNBASVA UNIVERSITY, KALABURAGI, KARNATAKA</t>
  </si>
  <si>
    <t>Rodic Consultants Pvt Ltd | Business Development | New Delhi | May 2026 | Jul 2026 | 8.5714285714286 Weeks | Campus Internship
Sakshi Enterprises | Intern | Jejuri, Pune | Mar 2024 | May 2024 | 8.5714285714286 Weeks</t>
  </si>
  <si>
    <t>ICCRIP Conference Certificate (Hospitallity Management)
Finance for Non- Financial Managers</t>
  </si>
  <si>
    <t>P25700623</t>
  </si>
  <si>
    <t>TRIPATHI</t>
  </si>
  <si>
    <t>Sejal . Tripathi</t>
  </si>
  <si>
    <t>p25700623@student.nicmar.ac.in</t>
  </si>
  <si>
    <t>25-Feb-2002</t>
  </si>
  <si>
    <t>6396 8316 8116</t>
  </si>
  <si>
    <t>SANJAY TRIPATHI</t>
  </si>
  <si>
    <t>POONAM TRIPATHI</t>
  </si>
  <si>
    <t>Kasaridih Borsi Road Mukt Nagar Durg</t>
  </si>
  <si>
    <t>Durg</t>
  </si>
  <si>
    <t>SRI SANKARA VIDYALAYA SECTOR-X BHILAI DURG CG</t>
  </si>
  <si>
    <t>SHRI SHANKARACHARYA VIDYALAYA AMDI NGR BHILAI CG</t>
  </si>
  <si>
    <t>CHHATTISGARH SWAMI VIVEKANAND TECHNICAL UNIVERSITY, BHILAI</t>
  </si>
  <si>
    <t>SHRI  SHANKARACHARYA TECHNICAL CAMPUS, BHILAI CHHATTISGARH</t>
  </si>
  <si>
    <t>Suryapriya Construction Pvt Ltd | Project Planning | Banglore | May 2026 | Jul 2026 | 8.7142857142857 Weeks | Campus Internship
BHILAI STEEL PLANT | Civil Engineer Trainee | BHILAI CHHATTISGARH | Jul 2023 | Aug 2023 | 3.7142857142857 Weeks
DESIGN CONSULTANT | Civil Engineer Trainee | BHILAI CHHATTISGARH | Jun 2023 | Jul 2023 | 2.5714285714286 Weeks
WATER RESOURCE DEPARTMENT | Civil Engineer Trainee | BHILAI CHHATTISGARH | Jun 2022 | Jul 2022 | 4.1428571428571 Weeks</t>
  </si>
  <si>
    <t>P25700624</t>
  </si>
  <si>
    <t>BHARATI</t>
  </si>
  <si>
    <t>Gayatri Mohan Bharati</t>
  </si>
  <si>
    <t>gayatribharti9371@gmail.com</t>
  </si>
  <si>
    <t>p25700624@student.nicmar.ac.in</t>
  </si>
  <si>
    <t>8927 9835 7212</t>
  </si>
  <si>
    <t>MOHAN BHARTI</t>
  </si>
  <si>
    <t>RASHMI BHARTI</t>
  </si>
  <si>
    <t>STAMP VENDOR</t>
  </si>
  <si>
    <t>Near Balaji Book Depo Gandhi Chowk Ward No.2 Gadchandur</t>
  </si>
  <si>
    <t>HOLY FAMILY CONVENT SCHOOL</t>
  </si>
  <si>
    <t>CENTRAL BOARD OF SECONDARY EDUCATION MAHARASHTRA</t>
  </si>
  <si>
    <t>INSPIRE JR. COLLEGE OF SCIENCE</t>
  </si>
  <si>
    <t>SECONDARY AND HIGHER SECONDARY EDUCATION ,PUNE</t>
  </si>
  <si>
    <t>G.H RAISONI COLLEGE OF ENGINEERING ,NAGPUR</t>
  </si>
  <si>
    <t>AutoCAD,MS Office,MS Project,Primavera, cost x , Revit , Naviswork</t>
  </si>
  <si>
    <t>SOBHA | Planning intern | Bangalore | May 2026 | Jul 2026 | 9 Weeks | Campus Internship
R S CONSTRUCTION | TRAINEE | NAGPUR | Feb 2024 | Jun 2024 | 18.285714285714 Weeks</t>
  </si>
  <si>
    <t>P25700626</t>
  </si>
  <si>
    <t>Aishwarya P</t>
  </si>
  <si>
    <t>aishwaryapyarilal@gmail.com</t>
  </si>
  <si>
    <t>p25700626@student.nicmar.ac.in</t>
  </si>
  <si>
    <t>25-Sep-2001</t>
  </si>
  <si>
    <t>8931 7549 6390</t>
  </si>
  <si>
    <t>PYARILAL P</t>
  </si>
  <si>
    <t>SINDHU P</t>
  </si>
  <si>
    <t>Chithra Nivas, Chelambra, Malappuram</t>
  </si>
  <si>
    <t>NAVABHARATH CENT SCH PARAMBILPEEDIKA MALAPRM KL</t>
  </si>
  <si>
    <t>CENTRAL BOARD OF SECONDARY EDUCATION - KERALA</t>
  </si>
  <si>
    <t>GOVT. HIGHER SECONDARY SCHOOL CHELARI</t>
  </si>
  <si>
    <t>BOARD OF HIGHER SECONDARY EXAMINATIONS - KERALA</t>
  </si>
  <si>
    <t>FEDERAL INSTITUTE OF SCIENCE AND TECHNOLOGY - KERALA</t>
  </si>
  <si>
    <t xml:space="preserve">AutoCAD, MS Project, Primavera, ERP, Power BI, Revit </t>
  </si>
  <si>
    <t>Nina Percept Pvt Ltd ( A subsidiary of Pidilite Industries Ltd) | Executive - Project Planning, Monitoring &amp; Controls | Mumbai | Aug 2023 | Jun 2025 | 1Y 9M | 4.44</t>
  </si>
  <si>
    <t>Bechtel India Private Limited | Intern - Project Controls | Gurgaon | May 2026 | Jul 2026 | 7.5714285714286 Weeks | Campus Internship
Uralungal Labour Contract Co-operative Society (ULCCS) Ltd. | Trainee | Kerala | Oct 2022 | Oct 2022 | 1.2857142857143 Weeks</t>
  </si>
  <si>
    <t>AutoCAD: 2D and 3D
Waterproofing and Insulation
Quantity Surveying Elevate Course and Live Project
Leading AI Agents at Work</t>
  </si>
  <si>
    <t>P25700627</t>
  </si>
  <si>
    <t>SAURAV</t>
  </si>
  <si>
    <t>Saurav Sunil</t>
  </si>
  <si>
    <t>sauravsunil101@gmail.com</t>
  </si>
  <si>
    <t>p25700627@student.nicmar.ac.in</t>
  </si>
  <si>
    <t>ENGLISH,HINDI,MALAYALAM ,TAMIL</t>
  </si>
  <si>
    <t>7348 7884 5080</t>
  </si>
  <si>
    <t>SUNIL KUMAR VV</t>
  </si>
  <si>
    <t>SONA PV</t>
  </si>
  <si>
    <t>SREELAKAM _x000D_
Velippara Street No 4 , Karimbam (PO)_x000D_
Taliparamba.</t>
  </si>
  <si>
    <t>CHINMAYA VIDYALAYA  , TALIPARAMBA</t>
  </si>
  <si>
    <t>CENTRAL BOARD OF SECONDARY EDUCATION , KERALA</t>
  </si>
  <si>
    <t>MOOTHEDATH HIGHER SECONDARY SCHOOL , TALIPARAMBA</t>
  </si>
  <si>
    <t>VIMAL JYOTHI ENGINEERING COLLEGE , KERALA</t>
  </si>
  <si>
    <t>AutoCAD,MS Office,MS Project,Primavera,BIM,Revit,Navisworks</t>
  </si>
  <si>
    <t>MILLENNIUM ENGINEERS &amp; CONTRACTORS PVT. LTD. ( Project : Godrej Emerald Waters, Pune) | Summer Intern | Pimpri, Pune | May 2026 | Jul 2026 | 8.7142857142857 Weeks | Campus Internship
VR4BIM LLP | BIM MODELER - INTERN | KOCHI , KERALA | Dec 2024 | Feb 2025 | 12.571428571429 Weeks
ACADEMIC PROJECT | INFLUENCE OF SUGARCANE BAGASSE ASH IN SELF COMPACTING CONCRETE | KANNUR, KERALA | Jul 2023 | Jul 2024 | 52.285714285714 Weeks</t>
  </si>
  <si>
    <t>BIM LABS CERTIFIED BIM MODELLER IN ARCHITECTURE
Power Bi workshop</t>
  </si>
  <si>
    <t>P25700628</t>
  </si>
  <si>
    <t>KATA</t>
  </si>
  <si>
    <t>Ganesh Kumar Kata</t>
  </si>
  <si>
    <t>ganeshkumarkata@gmail.com</t>
  </si>
  <si>
    <t>p25700628@student.nicmar.ac.in</t>
  </si>
  <si>
    <t>16-Jan-2002</t>
  </si>
  <si>
    <t>4904 4786 3765</t>
  </si>
  <si>
    <t>KATA SIVAYYA</t>
  </si>
  <si>
    <t>KATA BHAGYA LAKSHMI</t>
  </si>
  <si>
    <t>Tarvanipeta, 4-10-20, Dr.B.R. Ambedkar Konaseema . Near Bus Stand.</t>
  </si>
  <si>
    <t>ST ANN'S (EM) HS MANDAPETA</t>
  </si>
  <si>
    <t>KAKINADA INSTITUTE OF ENGINEERING &amp; TECHNOLOGY KORANGI.</t>
  </si>
  <si>
    <t>JAWAHARLAL NEHRU TECHNOLOGICAL UNIVERSITY KAKINADA.</t>
  </si>
  <si>
    <t>ADITYA ENGINEERING COLLEGE SURAMPALEM</t>
  </si>
  <si>
    <t>AutoCAD,MS Office,MS Project,Primavera,Schedule &amp; Cost Awareness,Strategic Thinking,Presentation &amp; Reporting,Project Documentation,Stakeholder Coordination,Problem Solving,Project Planning,Project Monitoring &amp; Control</t>
  </si>
  <si>
    <t>VA Tech Wabag Limited  | Planning Intern  | Chennai | May 2026 | Jul 2026 | 7.8571428571429 Weeks | Campus Internship
Ap police housing corporation limited | Trainee  | Kakinada | Oct 2020 | Jan 2021 | 12.428571428571 Weeks
ULTRATECH CEMENT | INTERN | RAJAHMUNDRY  | Jul 2023 | Jul 2023 | 3 Weeks</t>
  </si>
  <si>
    <t>Ethics in Engineering Practice ( NPTEL )
Finance for Non-Financial Managers ( Emory University )
ETABS Workshop by IIT Bombay
Primavera P6 Project Planning and Scheduling Masterclass
Associate Member Institute Of Engineers India ( AMIE )
21st Century Employability Skills Program - Advanced
Revit Architecture ( APSCHE )
Building Information Modelling ( L&amp;T EduTech )
Certified Associate In Project Management ( CAPM )
Lean Six Sigma Green Belt</t>
  </si>
  <si>
    <t>P25700629</t>
  </si>
  <si>
    <t>JINIA</t>
  </si>
  <si>
    <t>DUTTA</t>
  </si>
  <si>
    <t>Jinia Dutta</t>
  </si>
  <si>
    <t>jinia.slg@gmail.com</t>
  </si>
  <si>
    <t>p25700629@student.nicmar.ac.in</t>
  </si>
  <si>
    <t>25-Aug-1999</t>
  </si>
  <si>
    <t>English, Hindi and Bengali</t>
  </si>
  <si>
    <t>7735 1683 2431</t>
  </si>
  <si>
    <t>PRATIM DUTTA</t>
  </si>
  <si>
    <t>SOMA DUTTA</t>
  </si>
  <si>
    <t>Ward No.27,Biplabi Ganesh Ghosh Sarani, South Babupara ,Siliguri</t>
  </si>
  <si>
    <t>Darjeeling</t>
  </si>
  <si>
    <t>ST. JOSEPH'S HIGH SCHOOL , MATIGARA</t>
  </si>
  <si>
    <t>INDIAN CERTIFICATE OF SECONDARY EXAMINATION ,SILIGURI ,WEST BENGAL</t>
  </si>
  <si>
    <t>INDIAN SCHOOL CERTIFICATE , SILIGURI, WEST BENGAL</t>
  </si>
  <si>
    <t>BHARATI VIDYAPEETH (DEEMED TO BE UNIVERSITY)</t>
  </si>
  <si>
    <t>BHARATI VIDYAPEETH (DEEMED TO BE UNIVERSITY) COLLEGE OF ARCHITECTURE , PUNE ,MAHARASHTRA</t>
  </si>
  <si>
    <t>AutoCAD,MS Office,MS Project,Primavera P6, Revit,Navisworks,Sketchup,Lumion,Twinmotion,Adobe Photoshop,Adobe InDesign</t>
  </si>
  <si>
    <t>Green Architecture Consulting Engineers Pvt. Ltd. | Architect | Siliguri , West Bengal | Nov 2022 | Jun 2025 | 2Y 7M | 5.28</t>
  </si>
  <si>
    <t>Cherry Hill Interiors Pvt. Ltd. | Project Intern | Hyderabad | May 2026 | Jul 2026 | 8.5714285714286 Weeks | Campus Internship
Habib Modara Art and Architecture | Trainee Architect | Bahrain | Jul 2022 | Sep 2022 | 12.714285714286 Weeks
GREEN ARCHITECTURE CONSULTING ENGINEERS PVT. LTD. | TRAINEE ARCHITECT | SILIGURI, WEST BENGAL | Jul 2021 | Dec 2021 | 23.857142857143 Weeks</t>
  </si>
  <si>
    <t>Council of Architecture</t>
  </si>
  <si>
    <t>P25700630</t>
  </si>
  <si>
    <t>THAMBAN</t>
  </si>
  <si>
    <t>Navya Thamban</t>
  </si>
  <si>
    <t>navyathamban253@gmail.com</t>
  </si>
  <si>
    <t>p25700630@student.nicmar.ac.in</t>
  </si>
  <si>
    <t>ENGLISH,MALAYALAM,HINDI,TAMIL</t>
  </si>
  <si>
    <t>8300 4079 2816</t>
  </si>
  <si>
    <t>PV THAMBAN</t>
  </si>
  <si>
    <t>PWD CONTRACTOR</t>
  </si>
  <si>
    <t>GEETHA O</t>
  </si>
  <si>
    <t>KAVYA NIVAS , ONAKKUNNU, Karivellur, PO:Karivellur</t>
  </si>
  <si>
    <t>ST. MARY'S HIGH SCHOOL FOR GIRLS , PAYYANNUR</t>
  </si>
  <si>
    <t>BOARD OF PUBLIC EXAMINATIONS , KERALA</t>
  </si>
  <si>
    <t>AVS GOVT. HIGHER SECONDARY SCHOOL KARIVELLUR</t>
  </si>
  <si>
    <t>BOARD OF HIGHER SECONDARY EXAMINATIONS , KERALA</t>
  </si>
  <si>
    <t>COCHIN UNIVERSITY OF SCIENCE AND TECHNOLOGY , KERALA</t>
  </si>
  <si>
    <t>AutoCAD,MS Office,MS Project,Primavera,REVIT,SUMO,STAAD pro</t>
  </si>
  <si>
    <t>Sobha Limited | Summer Intern | Thiruvananthapuram, Kerala | May 2026 | Jul 2026 | 9 Weeks | Campus Internship
KSCSTE-NATPAC | Project Student-Traffic Management &amp; Transportation Planning | Ernakulam | Aug 2023 | Apr 2024 | 34.857142857143 Weeks
KOCHI MUNICIPAL CORPORATION | Intern | Ernakulam | May 2023 | May 2023 | 2 Weeks</t>
  </si>
  <si>
    <t>Course on AutoCAD Essential
Master Certification in BIM</t>
  </si>
  <si>
    <t>P25700631</t>
  </si>
  <si>
    <t>AVAGADDA</t>
  </si>
  <si>
    <t>LIKITH</t>
  </si>
  <si>
    <t>Avagadda Likith Karthikeya</t>
  </si>
  <si>
    <t>likithkarthikeya.avagadda@gmail.com</t>
  </si>
  <si>
    <t>p25700631@student.nicmar.ac.in</t>
  </si>
  <si>
    <t>06-Dec-2003</t>
  </si>
  <si>
    <t>ENGLISH ,TELUGU ,HINDI</t>
  </si>
  <si>
    <t>7885 7857 2155</t>
  </si>
  <si>
    <t>AVAGADDA SURYA RAO</t>
  </si>
  <si>
    <t>AVAGADDA JAMUNA</t>
  </si>
  <si>
    <t>DOOR NO. 39-8-36/5,MURALINAGAR,</t>
  </si>
  <si>
    <t>H No. 1-32,pulagalipalem,near Ramalayam,Pendhurthi</t>
  </si>
  <si>
    <t>APOORVA HIGH SCHOOL</t>
  </si>
  <si>
    <t>BOARD OF SECONDRY EDUCATION ANDHRA PRADESH</t>
  </si>
  <si>
    <t>ANDHRA UNIVERSITY COLLEGE OF ENGINEERING</t>
  </si>
  <si>
    <t>ANDHRA UNIVERSITY COLLEGE OF ENGINEERING ANDHRA PRADESH</t>
  </si>
  <si>
    <t>AutoCAD,MS Office,MS Project,Primavera,Staad.pro</t>
  </si>
  <si>
    <t>SB URBANSCAPES | Project Management Intern | Bengaluru, Karnataka | May 2026 | Jul 2026 | 8 Weeks | Campus Internship
VISHWANADH AVENUES  IND PVT,LTD | Intern | Visakhapatnam,Andhra Pradesh | May 2024 | Jun 2024 | 4.2857142857143 Weeks</t>
  </si>
  <si>
    <t>NATIONAL CADET CORPS
Total Station Training Program
AUTOCAD</t>
  </si>
  <si>
    <t>P25700632</t>
  </si>
  <si>
    <t>NIYATI</t>
  </si>
  <si>
    <t>VENUGOPAL</t>
  </si>
  <si>
    <t>Niyati Venugopal Shetty</t>
  </si>
  <si>
    <t>niyatishetty01@gmail.com</t>
  </si>
  <si>
    <t>p25700632@student.nicmar.ac.in</t>
  </si>
  <si>
    <t>21-Jan-2001</t>
  </si>
  <si>
    <t>English, Hindi, Marathi, Tulu</t>
  </si>
  <si>
    <t>9167 9551 6641</t>
  </si>
  <si>
    <t>VENUGOPAL SHIVANNA SHETTY</t>
  </si>
  <si>
    <t>SAPNA VENUGOPAL SHETTY</t>
  </si>
  <si>
    <t>4/57, Runwal Park, Near Marketyard Last Bus Depot. Jawaharlal Road, Gultekadi, Pune, Maharashtra</t>
  </si>
  <si>
    <t>ST. ANNE'S HIGH SCHOOL</t>
  </si>
  <si>
    <t>S.M. CHOKSEY HIGH SCHOOL AND JUNIOR COLLEGE</t>
  </si>
  <si>
    <t>MARATHWADA MITRA MANDAL'S COLLEGE OF ARCHITECTURE (MMCOA),MAHARASHTRA,PUNE</t>
  </si>
  <si>
    <t>AutoCAD, Revit, Navisworks, Archicad, Sketchup, Lumion, D5 Render, Primavera P6, MS Project, CostX, MS Office, Adobe Photoshop, Adobe InDesign, Adobe Illustrator</t>
  </si>
  <si>
    <t>Alkove-Design | Junior Architect | Pune | Sep 2024 | Jun 2025 | 0Y 9M | 2.52</t>
  </si>
  <si>
    <t>Cherry Hill Interiors Pvt. Ltd. | Site Execution - Project Management &amp; Coordination | Bengaluru | May 2026 | Jul 2026 | 8.5714285714286 Weeks | Campus Internship
d6thD design studio | Architectural Intern | Ahmedabad | Jun 2023 | Nov 2023 | 20.142857142857 Weeks</t>
  </si>
  <si>
    <t>P25700633</t>
  </si>
  <si>
    <t>KRITHIKA</t>
  </si>
  <si>
    <t>Krithika R</t>
  </si>
  <si>
    <t>p25700633@student.nicmar.ac.in</t>
  </si>
  <si>
    <t>English, Kannada, Tamil, Hindi</t>
  </si>
  <si>
    <t>8894 5206 7659</t>
  </si>
  <si>
    <t>RAJAN M</t>
  </si>
  <si>
    <t>APCQCO</t>
  </si>
  <si>
    <t>BANU T</t>
  </si>
  <si>
    <t>#625, 15th Cross, BDA Layout Lingarajapuram  Bangalore North,St Thomas Town, Bangalore-560084, Karnataka</t>
  </si>
  <si>
    <t>ST CHARLES HIGH SCHOOL</t>
  </si>
  <si>
    <t>ST ANNE'S GIRLS PU COLLEGE</t>
  </si>
  <si>
    <t>REVA UNIVERSITY, BENGALURU, KARNATAKA</t>
  </si>
  <si>
    <t>AutoCAD,MS Office,MS Project,Primavera,POWER BI,STAAD PRO</t>
  </si>
  <si>
    <t>VESTIAN GLOBAL WORKSPACE SERVICES PVT LTD | Graduate Engineer -Trainee  | Bangalore ,Karnataka | Aug 2023 | Jun 2025 | 1Y 10M | 4.6</t>
  </si>
  <si>
    <t>DEBRIQUE CREATIVE LABS PRIVATE LIMITED  | INTERN-Supply Chain Management Team | CHENNAI, TAMILNADU | May 2026 | Jul 2026 | 8.7142857142857 Weeks | Campus Internship
VESTIAN GLOBAL WORKSPACE SERVICES PVT LTD | INTERN  | BANGALORE, KARNATAKA  | Mar 2023 | Jul 2023 | 20 Weeks
L&amp;T CONSTRUCTION | INTERN  | BANGALORE  | Jul 2022 | Aug 2022 | 4.5714285714286 Weeks</t>
  </si>
  <si>
    <t>Coursera-Managing Project Risks and Changes
Coursera-Initiating and Planning Projects
Coursera-Budgeting and Scheduling Projects</t>
  </si>
  <si>
    <t>P25700634</t>
  </si>
  <si>
    <t>SAIRAJ</t>
  </si>
  <si>
    <t>Sairaj Ashish Kadam</t>
  </si>
  <si>
    <t>sairajkadam910@gmail.com</t>
  </si>
  <si>
    <t>p25700634@student.nicmar.ac.in</t>
  </si>
  <si>
    <t>19-Feb-2004</t>
  </si>
  <si>
    <t>9726 1023 0689</t>
  </si>
  <si>
    <t>ASHISH KADAM</t>
  </si>
  <si>
    <t>PRAJAKTA KADAM</t>
  </si>
  <si>
    <t>601; GAURISHANKAR BLDG ; SHANTIVAN ; BORIVALI EAST.</t>
  </si>
  <si>
    <t>B.D.D Chawl No.11; Room No. 50 ; Dr. G.M Bhosle Marg ; Near Jambori Maidan.</t>
  </si>
  <si>
    <t>NARAYANA E-TECHNO</t>
  </si>
  <si>
    <t>MUMBAI / MAHARASHTRA</t>
  </si>
  <si>
    <t>NARAYANA</t>
  </si>
  <si>
    <t>DR. VISHWANATH KARAD</t>
  </si>
  <si>
    <t>MIT-WPU PUNE / MAHARASHTRA</t>
  </si>
  <si>
    <t>Yash Constructions | Site execution  | Mumbai | May 2026 | Jul 2026 | 8.7142857142857 Weeks | Campus Internship
SHREE CONTRACTOR | JR. SITE ENGINEER  | MUMBAI | Jan 2025 | Jun 2025 | 22.714285714286 Weeks</t>
  </si>
  <si>
    <t>P25700635</t>
  </si>
  <si>
    <t>DETH</t>
  </si>
  <si>
    <t>Hari Deth</t>
  </si>
  <si>
    <t>harideth666@gmail.com</t>
  </si>
  <si>
    <t>p25700635@student.nicmar.ac.in</t>
  </si>
  <si>
    <t>31-May-2001</t>
  </si>
  <si>
    <t>English,Malayalam,Hindi,Tamil</t>
  </si>
  <si>
    <t>6388 6394 3968</t>
  </si>
  <si>
    <t>GURUDATHAN.V</t>
  </si>
  <si>
    <t>BANK MANAGER(CURRENTLY RETIRED)</t>
  </si>
  <si>
    <t>SUNITHA.V</t>
  </si>
  <si>
    <t>White Pearl,nellicode,vadasserikonam P.O Varkala</t>
  </si>
  <si>
    <t>HARIDETH</t>
  </si>
  <si>
    <t>CENTRAL BOARD OF SECONDARY EDUCATION-KERALA</t>
  </si>
  <si>
    <t>MARIAN ENGINEERING COLLEGE</t>
  </si>
  <si>
    <t>AutoCAD,MS Office,MS Project,Planswift,MS Excel</t>
  </si>
  <si>
    <t>Bond interiors International | Quantity surveyor-Estimator | Thiruvananthapuram  | Jul 2023 | Apr 2025 | 1Y 9M | 2.4</t>
  </si>
  <si>
    <t>Uralungal Labour Contract Co-operative Society (ULCCS) | Intern | Government Taluk Hospital, Varkala, Thiruvananthapuram, Kerala | May 2026 | Jul 2026 | 8 Weeks | Campus Internship</t>
  </si>
  <si>
    <t>P25700636</t>
  </si>
  <si>
    <t>FURQUANZIYA</t>
  </si>
  <si>
    <t>SHAKEEL</t>
  </si>
  <si>
    <t>Furquanziya Shakeel Shaikh</t>
  </si>
  <si>
    <t>furquanshaikh3130@gmail.com</t>
  </si>
  <si>
    <t>p25700636@student.nicmar.ac.in</t>
  </si>
  <si>
    <t>22-Nov-2001</t>
  </si>
  <si>
    <t>6959 9604 4285</t>
  </si>
  <si>
    <t>SHAKEEL SHAIKH</t>
  </si>
  <si>
    <t>PARVEEN SHAIKH</t>
  </si>
  <si>
    <t>FL-01 UTKARSH NAGAR, BEHIND SHAKUNTALA NIKAM UDYAN, GOKHALENAGAR, PUNE</t>
  </si>
  <si>
    <t>Behind National Enterprises, Methwada Road, Maheshwar</t>
  </si>
  <si>
    <t>Khargone</t>
  </si>
  <si>
    <t>D.A.V PUBLIC SCHOOL</t>
  </si>
  <si>
    <t>CBSE PUNE MAHARASHTRA</t>
  </si>
  <si>
    <t>CBSE ,PUNE, MAHARASHTRA</t>
  </si>
  <si>
    <t>MIT ACADEMY OF ENGINEERING, ALANDI, PUNE</t>
  </si>
  <si>
    <t>AutoCAD,MS Office,REVIT, MS Project, Primavera, CostX, Navisworks</t>
  </si>
  <si>
    <t>Pune Metro Rail Corporation | Site Execution | Pune | May 2026 | Jul 2026 | 9.7142857142857 Weeks | Campus Internship
CQRA PVT LTD | Management Trainee | Pune | Jan 2025 | Jun 2025 | 19.857142857143 Weeks
MIllennium Engineers and Contractors PVT LTD | Site Intern | Lohegoan, Pune | Jun 2024 | Jul 2024 | 4.1428571428571 Weeks</t>
  </si>
  <si>
    <t>NPTEL Air Pollution and Control
Basics of Financial Management
Revit for Architecture</t>
  </si>
  <si>
    <t>P25700637</t>
  </si>
  <si>
    <t>WAGHMARE</t>
  </si>
  <si>
    <t>Kunal Rajendra Waghmare</t>
  </si>
  <si>
    <t>kunalwaghmare.301091@gmail.com</t>
  </si>
  <si>
    <t>p25700637@student.nicmar.ac.in</t>
  </si>
  <si>
    <t>6038 5343 9663</t>
  </si>
  <si>
    <t>FLAT NO.1708. R16- A BUILDING REPUBLIC MULSHI PUNE MARUNGI</t>
  </si>
  <si>
    <t>Aatipati Ward, Allipur,</t>
  </si>
  <si>
    <t>ST. JOHN'S SCHOOL ALLIPUR</t>
  </si>
  <si>
    <t>ACHARYA SHRIMANNARAYAN POLYTECHNIC, PIPRI, WARDHA</t>
  </si>
  <si>
    <t>ST.VINCENT PALLOTTI COLLEGE OF ENGINEERING AND TECHNOLOGY , NAGPUR</t>
  </si>
  <si>
    <t>AutoCAD,MS Office,MS Project,Primavera,Naviswork,Revit Architecture,CostX</t>
  </si>
  <si>
    <t>Singaniya Buildcon | Planning, Site Execution &amp; Control, and Procurement | Raipur | May 2026 | Jul 2026 | 8.7142857142857 Weeks | Campus Internship
PLA PROJECT PRIVATE LIMITED | TRAINEE ENGINEER | NAGPUR | Dec 2024 | Apr 2025 | 19 Weeks</t>
  </si>
  <si>
    <t>Revit Architecture
Naviswork
Primavera,</t>
  </si>
  <si>
    <t>P25700638</t>
  </si>
  <si>
    <t>Vivek Dilip Deshmukh</t>
  </si>
  <si>
    <t>deshmukhvivek098@gmail.com</t>
  </si>
  <si>
    <t>p25700638@student.nicmar.ac.in</t>
  </si>
  <si>
    <t>4034 3937 2176</t>
  </si>
  <si>
    <t>GOVERMENT CONTRACTOR</t>
  </si>
  <si>
    <t>Sane Guruji Nagar, Khadki, Akola</t>
  </si>
  <si>
    <t>MOUNT CARMEL HIGH SCHOOL AKOLA</t>
  </si>
  <si>
    <t>MAHARASHTRA STATE BOARD OF SECONDARY AND HIGHER SECONDARY EDUCATION ,PUNE</t>
  </si>
  <si>
    <t>SUDHAKARRAO NAIK ART,SCIENCE &amp; UMASHANKAR KHETAN COMMERCE JR.COLLAGE AKOLA</t>
  </si>
  <si>
    <t>COLLAGE OF ENGINEERING AND TECHNOLOGY AKOLA/ MAHARASHTRA</t>
  </si>
  <si>
    <t>MS Office,MS Project,Primavera,Revit,CostX</t>
  </si>
  <si>
    <t>Chandrahas Technologies Private Limited  | Site Execution &amp; Planning  | Akola  | May 2026 | Jul 2026 | 8.7142857142857 Weeks | Campus Internship
SHRI.BRAHMACHAITANYA INFRASTRUCTURE PVT.LTD | INTERN  | AKOLA | May 2024 | Jun 2024 | 4.4285714285714 Weeks</t>
  </si>
  <si>
    <t>P25700639</t>
  </si>
  <si>
    <t>SUSHANT</t>
  </si>
  <si>
    <t>MANOHAR</t>
  </si>
  <si>
    <t>Sushant Manohar Mane</t>
  </si>
  <si>
    <t>03sushmane@gmail.com</t>
  </si>
  <si>
    <t>p25700639@student.nicmar.ac.in</t>
  </si>
  <si>
    <t>21-Mar-2003</t>
  </si>
  <si>
    <t>ENGLIS ,HINDI,MARATHI</t>
  </si>
  <si>
    <t>9115 0801 2367</t>
  </si>
  <si>
    <t>MANOHAR HARIBHAU MANE</t>
  </si>
  <si>
    <t>SANGITA MANOHAR MANE</t>
  </si>
  <si>
    <t>MANE  CHAL  ,NAGRAJ COLONEY ,100FT ROAD , VISHRAMBAG , SANGLI</t>
  </si>
  <si>
    <t>SAVARKAR SCHOOL , SANGLI</t>
  </si>
  <si>
    <t>WILLINGDONE COLLEGE OF SCINCE &amp; ART , SANGLI</t>
  </si>
  <si>
    <t>APPASAHEB COLLGE OF ARCHITECTURE ,SANGLI</t>
  </si>
  <si>
    <t>AutoCAD,MS Office,MS Project,SKETCHUP,V-RAY,PHOTOSHOP,LUMION,COSTX</t>
  </si>
  <si>
    <t>KAYNE BIO SCIENCES LIMITED | Project Operations Intern. |  HYDERABAD | May 2026 | Aug 2026 | 13.142857142857 Weeks | Campus Internship
IMARAT ARCHITECT | INTERN ARCHITECT | CHANDIGRAH  | Jan 2024 | Jul 2024 | 26 Weeks</t>
  </si>
  <si>
    <t>P25700640</t>
  </si>
  <si>
    <t>SHELAR</t>
  </si>
  <si>
    <t>Vivek Deepak Shelar</t>
  </si>
  <si>
    <t>vivekshelar02@gmail.com</t>
  </si>
  <si>
    <t>p25700640@student.nicmar.ac.in</t>
  </si>
  <si>
    <t>English, Marathi &amp; Hindi</t>
  </si>
  <si>
    <t>5324 7042 4629</t>
  </si>
  <si>
    <t>DEEPAK SHELAR</t>
  </si>
  <si>
    <t>VARSHA SHELAR</t>
  </si>
  <si>
    <t>27, Laxmi Nagar, Abhay College Road, Behind Cotton Market Yard, Dhule</t>
  </si>
  <si>
    <t>JAI HIND HIGH SCHOOL, DHULE</t>
  </si>
  <si>
    <t>MAHARASTRA STATE BOARD OF SECONDARY AND HIGHER SECONDARY EDUCATION, PUNE</t>
  </si>
  <si>
    <t>BAPUSAHEB SHIVAJIRAO DEORE POLYTECHNIC, DHULE</t>
  </si>
  <si>
    <t>DEEMED TO BE UNIVERSITY, PUNE</t>
  </si>
  <si>
    <t>BHARATI VIDYAPEETH DEEMED TO BE UNIVERSITY COLLEGE OF ENGINEERING, KATRAJ, PUNE.</t>
  </si>
  <si>
    <t>AutoCAD,MS Office,MS Project,Primavera,Revit Architecture,cost X</t>
  </si>
  <si>
    <t>Bhate &amp; Raje Construction Co Pvt Ltd | Project Planning | Pune | May 2026 | Jul 2026 | 8.7142857142857 Weeks | Campus Internship
Jogeshwari Constrution, Dhule | Intern  | Dhule | Jun 2020 | Jul 2020 | 2.8571428571429 Weeks
Jogeshwari Construction, Dhule | Intern | Dhule | Jul 2024 | Feb 2025 | 34.142857142857 Weeks</t>
  </si>
  <si>
    <t>Primavera
Cost X Estimation &amp; Costing
AutoCad</t>
  </si>
  <si>
    <t>P25700641</t>
  </si>
  <si>
    <t>ALOK</t>
  </si>
  <si>
    <t>Alok Kumar</t>
  </si>
  <si>
    <t>alok31maykumar@gmail.com</t>
  </si>
  <si>
    <t>p25700641@student.nicmar.ac.in</t>
  </si>
  <si>
    <t>3012 8640 6461</t>
  </si>
  <si>
    <t>VIJAY KUMAR</t>
  </si>
  <si>
    <t>SANDHYA</t>
  </si>
  <si>
    <t>Hanuman Colony, Near Primary School, Ramnagar Road, Kashipur</t>
  </si>
  <si>
    <t>Udham Singh Nagar</t>
  </si>
  <si>
    <t>TULARAM RAJARAM SARASWATI VIDHYA MANDIR INTER COLLEGE</t>
  </si>
  <si>
    <t>BOARD OF SCHOOL EDUCATION UTTARAKHAND</t>
  </si>
  <si>
    <t>TEERTHANKAR MAHAVIR UNIVERSITY</t>
  </si>
  <si>
    <t>TEERTHANKAR MAHAVIR UNIVERSITY, MORADABAD (UTTAR PRADESH)</t>
  </si>
  <si>
    <t>MS Office,MS Project,Presentation Skill,Excellent Communication,Ability to work under pressure,Willingness to travel for project requirements</t>
  </si>
  <si>
    <t>Artius Interior Products Private Limited | Project Engineer  | Gurugram  | Sep 2023 | Jun 2025 | 1Y 9M | 3.8</t>
  </si>
  <si>
    <t>Cherry Hill Interiors Pvt. Ltd. | Site Execution  | Gurugram  | May 2026 | Jul 2026 | 8.7142857142857 Weeks | Campus Internship
EMAAR INDIA | INTERN  | GURUGRAM  | Jul 2022 | Sep 2022 | 10.571428571429 Weeks</t>
  </si>
  <si>
    <t>Data, Data, Everywhere
Foundation of Project Management</t>
  </si>
  <si>
    <t>P25700642</t>
  </si>
  <si>
    <t>Atul Krishna</t>
  </si>
  <si>
    <t>atulkrishna282001@gmail.com</t>
  </si>
  <si>
    <t>p25700642@student.nicmar.ac.in</t>
  </si>
  <si>
    <t>English, Hindi, Arabic, Malayalam</t>
  </si>
  <si>
    <t>4550 8669 4887</t>
  </si>
  <si>
    <t>K V SURESH KUMAR</t>
  </si>
  <si>
    <t>SALINI SURESH</t>
  </si>
  <si>
    <t>5A Vadakunatham Towers, Peringavu, Thrissur</t>
  </si>
  <si>
    <t>LEADERS PRIVATE SCHOOL, SHARJAH</t>
  </si>
  <si>
    <t>CENTRAL BOARD OF SECONDARY EDUCATION - DUBAI</t>
  </si>
  <si>
    <t>LEADERS PRIVATE SCHOOL</t>
  </si>
  <si>
    <t>FEDERAL INSTITUTE OF SCIENCE AND TECHNOLOGY</t>
  </si>
  <si>
    <t>SOBHA LIMITED | SITE EXECUTION INTERN | KERALA | May 2026 | Jul 2026 | 9 Weeks | Campus Internship
Saad Trading and Consultants FZC LLC | Site Engineer | Dubai | Mar 2025 | Jul 2025 | 20.857142857143 Weeks</t>
  </si>
  <si>
    <t>P25700643</t>
  </si>
  <si>
    <t>KABRA</t>
  </si>
  <si>
    <t>Pratik Dinesh Kabra</t>
  </si>
  <si>
    <t>pratikkabra26@gmail.com</t>
  </si>
  <si>
    <t>p25700643@student.nicmar.ac.in</t>
  </si>
  <si>
    <t>ENGLISH, HINDI, MARWARI, MARATHI</t>
  </si>
  <si>
    <t>5628 6365 9927</t>
  </si>
  <si>
    <t>DINESH KABRA</t>
  </si>
  <si>
    <t>SAVITRI KABRA</t>
  </si>
  <si>
    <t>'Pratik' House, Near Rampuri Scool, Camp Area, Gadchiroli</t>
  </si>
  <si>
    <t>PLATINUM JUBILEE SCHOOL AND JUNIOR COLLEGE</t>
  </si>
  <si>
    <t>MAHARASHTRA STATE BOARD SSC</t>
  </si>
  <si>
    <t>NIRALA JUNIOR COLLEGE</t>
  </si>
  <si>
    <t>MAHARASHTRA STATE BOARD HSC</t>
  </si>
  <si>
    <t>AutoCAD,MS Project,STAAD.Pro</t>
  </si>
  <si>
    <t>Sobha India Limited | Project Management Intern | Gurugram | May 2026 | Jul 2026 | 9 Weeks | Campus Internship
RamaCivil India Construction Pvt. Ltd. | Intern | Jaipur | May 2024 | Jun 2024 | 6.2857142857143 Weeks</t>
  </si>
  <si>
    <t>Finance for Non-Financial Managers
Construction Cost Estimating and Cost Control
Leadership and organizational behavior
NAVARITIH: Certificate Course on Innovative Construction Technologies</t>
  </si>
  <si>
    <t>P25700644</t>
  </si>
  <si>
    <t>Sahil Sunil Naik</t>
  </si>
  <si>
    <t>p25700644@student.nicmar.ac.in</t>
  </si>
  <si>
    <t>6751 4051 4223</t>
  </si>
  <si>
    <t>SUNIL NAIK</t>
  </si>
  <si>
    <t>VISHAKHA NAIK</t>
  </si>
  <si>
    <t>2204,TOWER 3, GODREJ HILLSIDE 2, MAHALUNGE, PUNE</t>
  </si>
  <si>
    <t>Naik House, Yavatmal, Maharashtra India</t>
  </si>
  <si>
    <t>FREE METHODIST ENGLISH MEDIUM SCHOOL, YAVATMAL, MAHARASHTRA INDIA</t>
  </si>
  <si>
    <t>SECONDARY STATE BOARD OF MAHARASHTRA</t>
  </si>
  <si>
    <t>SHRI NIRALA VIDYALAYA NAGPUR  MAHARASHTRA INDIA</t>
  </si>
  <si>
    <t>HIGHER SECONDARY BOARD OF MAHARASHTRA</t>
  </si>
  <si>
    <t>VISHWAKARMA INSTITUTE OF INFORMATION TECHNOLOGY PUNE MAHARASHTRA INDIA</t>
  </si>
  <si>
    <t>AutoCAD,MS Office,MS Project,Primavera,Live 3D homes,revit,Autocad</t>
  </si>
  <si>
    <t>Clancy Global | Project Coordinate | PUNE | May 2026 | Jul 2026 | 8.7142857142857 Weeks | Campus Internship
LOGASS CONSTRUCTIONS | CIVIL INTERN(SITE ENGINEER INTERN) | PUNE | Dec 2024 | May 2025 | 21.571428571429 Weeks</t>
  </si>
  <si>
    <t>P25700645</t>
  </si>
  <si>
    <t>Yash Manish Gandhi</t>
  </si>
  <si>
    <t>yashmgandhi99@gmail.com</t>
  </si>
  <si>
    <t>p25700645@student.nicmar.ac.in</t>
  </si>
  <si>
    <t>ENGLISH,HINDI,MARATHI,MARWADI</t>
  </si>
  <si>
    <t>3038 2071 8382</t>
  </si>
  <si>
    <t>FLAT NO 08, D1 BUILDING, SURYAPRABHA GARDENS, IN FRONT OF THE LIGHTHOUSE, BIBWEWADI, PUNE 37</t>
  </si>
  <si>
    <t>ASHISH SUPER MARKET, MARKET YARD ROAD,A/P-KADA, TALUKA-ASHTI, DIST-BEED.</t>
  </si>
  <si>
    <t>VARDHAMAN MAHAVIR ENGLISH SCHOOL KADA</t>
  </si>
  <si>
    <t>P M MUNOT JR. COLLEGE KADA</t>
  </si>
  <si>
    <t>BRACTS VISHWAKARMA INSTITUTE OF INFORMATION TECHNOLOGY, KONDHWA, PUNE</t>
  </si>
  <si>
    <t>Orbisoul Properties | Jr. Site Engineer | TMV Colony, Mukund Nagar, Swargate, Pune-411037 | Jun 2024 | Jun 2025 | 1Y 0M | 1.8</t>
  </si>
  <si>
    <t>KPMG GLOBAL SERVICES | Deal Advisory Trainee | Mumbai | May 2026 | Jul 2026 | 9.5714285714286 Weeks | Campus Internship
MAJESTIQUE LANDMARKS | JR. SITE ENGINEER | HANDEWADI, PUNE | Jul 2023 | Dec 2023 | 21.857142857143 Weeks</t>
  </si>
  <si>
    <t>P25700646</t>
  </si>
  <si>
    <t>GATTEPALLI</t>
  </si>
  <si>
    <t>Rohan Gattepalli</t>
  </si>
  <si>
    <t>rohangattepalli0402@gmail.com</t>
  </si>
  <si>
    <t>p25700646@student.nicmar.ac.in</t>
  </si>
  <si>
    <t>04-Feb-2002</t>
  </si>
  <si>
    <t>English, Hindi, Telugu and Tamil</t>
  </si>
  <si>
    <t>4571 5251 9133</t>
  </si>
  <si>
    <t>RAMANANDA SAGAR</t>
  </si>
  <si>
    <t>REAL ESTATE BUSINESS</t>
  </si>
  <si>
    <t>HEMA</t>
  </si>
  <si>
    <t>5-8-147, KISHANPURA</t>
  </si>
  <si>
    <t>TEJASWI HIGH SCHOOL</t>
  </si>
  <si>
    <t>SRI PREMNADH JUNIOR COLLEGE</t>
  </si>
  <si>
    <t>VNB CONSTRUCTIONS | In Plant Trainee | Kadapa, Andhra Pradesh | Aug 2022 | Sep 2022 | 2.5714285714286 Weeks
L&amp;T CONSTRUCTION | TRAINEE | CHENNAI | Jul 2023 | Aug 2023 | 1.5714285714286 Weeks</t>
  </si>
  <si>
    <t>P25700647</t>
  </si>
  <si>
    <t>AMMAR</t>
  </si>
  <si>
    <t>MOHAMMED IMRAN</t>
  </si>
  <si>
    <t>PARIHAR</t>
  </si>
  <si>
    <t>Ammar Mohammed Imran Parihar</t>
  </si>
  <si>
    <t>ammar.i.parihar@gmail.com</t>
  </si>
  <si>
    <t>p25700647@student.nicmar.ac.in</t>
  </si>
  <si>
    <t>08-Sep-2000</t>
  </si>
  <si>
    <t>4752 6837 2118</t>
  </si>
  <si>
    <t>MOHAMMED IMRAN PARIHAR</t>
  </si>
  <si>
    <t>TABASSUM PARIHAR</t>
  </si>
  <si>
    <t>Flat No 1401 Lodha Bel Air Tower C Patel Estate Road Jogeshwari West</t>
  </si>
  <si>
    <t>LEARNERS' ACADEMY BANDRA WEST MUMBAI</t>
  </si>
  <si>
    <t>ZAGDU SINGH CHARITABLE TRUST'S THAKUR POLYTECHNIC</t>
  </si>
  <si>
    <t>RIZVI COLLEGE OF ENGINEERING MUMBAI, MAHARASHTRA</t>
  </si>
  <si>
    <t>Contracts Management, Contracts Administration, Project Coordination, Stakeholder Management, Procurement Process, MS Project, Primavera, MS Office</t>
  </si>
  <si>
    <t>Mace Project and Cost Management Private Limited | Project Administrator (GET - Contracts and Procurement) | Mumbai  | Apr 2023 | Jun 2025 | 2Y 2M | 3.6</t>
  </si>
  <si>
    <t>Ahluwalia Contracts (India) Limited | Contracts | Mumbai  | May 2026 | Jun 2026 | 8.1428571428571 Weeks | Campus Internship
Mace Project and Cost Management Private Limited | Project Management  | Mumbai  | Nov 2022 | Apr 2023 | 23.285714285714 Weeks</t>
  </si>
  <si>
    <t>Course on MS Project
Proficient in AutoCAD for Civil Engineers and Architects</t>
  </si>
  <si>
    <t>P25700648</t>
  </si>
  <si>
    <t>ARNOV</t>
  </si>
  <si>
    <t>HITESH</t>
  </si>
  <si>
    <t>GOYAL</t>
  </si>
  <si>
    <t>Arnov Hitesh Goyal</t>
  </si>
  <si>
    <t>arnovgoyal04@gmail.com</t>
  </si>
  <si>
    <t>p25700648@student.nicmar.ac.in</t>
  </si>
  <si>
    <t>5906 4243 0438</t>
  </si>
  <si>
    <t>HITESH GOYAL</t>
  </si>
  <si>
    <t>BINDU GOYAL</t>
  </si>
  <si>
    <t>528, ULTIMA HOSTEL, NICMAR UNIVERSITY, N.I.A, BALEWADI RD, RAM NAGAR, BANER</t>
  </si>
  <si>
    <t>4A, Pragya Apartment, Ravishankar Sankul, Bhatar Char Rasta</t>
  </si>
  <si>
    <t>DELHI PUBLIC SCHOOL SURAT</t>
  </si>
  <si>
    <t>CENTRAL BOARD OF SECONDARY EDUCATION, SURAT, GUJARAT</t>
  </si>
  <si>
    <t>PANDIT DEENDAYAL ENERGY UNIVERSITY, GANDHINAGAR GUJARAT</t>
  </si>
  <si>
    <t>MS Office, MS Project, Primavera, Revit</t>
  </si>
  <si>
    <t>Impact Infraheight Pvt.Ltd | Site execution Intern | Pune | May 2026 | Jul 2026 | 8.7142857142857 Weeks | Campus Internship
Sardar Vallabhbhai National Institute of Technology | Intern | Surat | Jan 2025 | Apr 2025 | 17 Weeks</t>
  </si>
  <si>
    <t>P25700649</t>
  </si>
  <si>
    <t>YARAMATI</t>
  </si>
  <si>
    <t>Yaramati Gangadhar</t>
  </si>
  <si>
    <t>yaramatigangadhar3@gmail.com</t>
  </si>
  <si>
    <t>p25700649@student.nicmar.ac.in</t>
  </si>
  <si>
    <t>17-Nov-2003</t>
  </si>
  <si>
    <t>5207 4163 1031</t>
  </si>
  <si>
    <t>YARAMATI VENKATARAO</t>
  </si>
  <si>
    <t>YARAMATI VARALAKSHMI</t>
  </si>
  <si>
    <t>H NO:2-1,KORUPROLU VILLAGE,S RAYAVARAM MANDAL,ANAKAPALLE DISTRICT</t>
  </si>
  <si>
    <t>Anakapalli</t>
  </si>
  <si>
    <t>Z P HIGH SCHOOL - KORUPROLU,VISAKHAPATNAM DISTRICT</t>
  </si>
  <si>
    <t>BOARD OF SECONDARY EDUCATION ANDHRA PRADESH,INDIA</t>
  </si>
  <si>
    <t>SRI PRAKASH JUNIOR COLLEGE</t>
  </si>
  <si>
    <t>BOARD OF INTERMEDIATE EDUCATION ANDHRA PRADESH,INDIA</t>
  </si>
  <si>
    <t>JAWAHARLAL NEHRU TECHNOLOGY UNIVERSITY KAKINADA</t>
  </si>
  <si>
    <t>GAYATRI VIDYA PARISHAD COLLEGE OF ENGINEERING(AUTONOMOUS)</t>
  </si>
  <si>
    <t>AutoCAD,MS Office,MS Project,Primavera,REVIT,STAAD.Pro</t>
  </si>
  <si>
    <t>ZYETA INTERIORS PVT.LTD. | Project Management Intern | Bangalore | May 2026 | Jul 2026 | 8.5714285714286 Weeks | Campus Internship
ITD Cementation India Limited | INTERN | Rambilli,Visakhapatnam  Andhra Pradesh | Jun 2024 | Jun 2024 | 4.1428571428571 Weeks
PANCHAYAT RAJ DEPARTMENT | INTERN | PAYAKARAOPETA, ANDHRA PRADESH | May 2023 | Jun 2023 | 2.7142857142857 Weeks</t>
  </si>
  <si>
    <t>P25700650</t>
  </si>
  <si>
    <t>SURYAVANSHI</t>
  </si>
  <si>
    <t>Shubham Sanjay Suryavanshi</t>
  </si>
  <si>
    <t>suryavanshishubham459@gmail.com</t>
  </si>
  <si>
    <t>p25700650@student.nicmar.ac.in</t>
  </si>
  <si>
    <t>ENGLISH, HINDI &amp; MARATHI</t>
  </si>
  <si>
    <t>2849 7794 5799</t>
  </si>
  <si>
    <t>SANJAY VENKATI SURYAVANSHI</t>
  </si>
  <si>
    <t>KOMAL SANJAY SURYAVANSHI</t>
  </si>
  <si>
    <t>A WING 403 ATHARVA APPARMENT, NEAR DEEPANGAN TOWER, UMRALA ROAD, SAMEL PADA, NALLASOPARA WEST</t>
  </si>
  <si>
    <t>B WING 001 KAILASH DHAM, PLEASANT PARK, NEAR DON BOSCO HIGH SCHOOL, MIRA ROAD EAST</t>
  </si>
  <si>
    <t>SACRED HEART HIGH SCHOOL</t>
  </si>
  <si>
    <t>VIDHYAVARDHINI'S BHAUSAHEB VARTAK POLYTECHNIC,  VASAI WEST, MAHARASHTRA</t>
  </si>
  <si>
    <t>VIVA INSTITUTE OF TECHNOLOGY, VIRAR EAST, MAHARASHTRA</t>
  </si>
  <si>
    <t>MS Office, MS Project, Primavera</t>
  </si>
  <si>
    <t>LARSEN AND TOUBRO PVT LTD. (L&amp;T) | PLANNING INTERN | MUMBAI  | May 2026 | Jul 2026 | 8.7142857142857 Weeks | Campus Internship</t>
  </si>
  <si>
    <t>P25700651</t>
  </si>
  <si>
    <t>THAWKAR</t>
  </si>
  <si>
    <t>SAWARI</t>
  </si>
  <si>
    <t>KHOGENDRA</t>
  </si>
  <si>
    <t>Thawkar Sawari Khogendra</t>
  </si>
  <si>
    <t>sawri3015@gmail.com</t>
  </si>
  <si>
    <t>p25700651@student.nicmar.ac.in</t>
  </si>
  <si>
    <t>8265 3418 1426</t>
  </si>
  <si>
    <t>MADHURI</t>
  </si>
  <si>
    <t>Sahara Nest, Damodar Colony, Bhangarwadi, Lonavala,</t>
  </si>
  <si>
    <t>AUXILIUM CONVENT HIGH SCHOOL</t>
  </si>
  <si>
    <t>MAHARASHTRA STATE EDUCATION BOARD</t>
  </si>
  <si>
    <t>RYEWOOD INTERNATIONAL  JUNIOR COLLEGE</t>
  </si>
  <si>
    <t>ADA'S MINERVA COLLEGE OF ARCHITECTURE</t>
  </si>
  <si>
    <t>AutoCAD,MS Office,Sketchup,Lumion,Photoshop,Canva</t>
  </si>
  <si>
    <t>Vconstruct  | Intern  | Hadapsar, Magarpatta City,pune  | May 2026 | Jul 2026 | 9.5714285714286 Weeks | Campus Internship
Associated  Planners Lonavala | Intern  | Lonavala | Jul 2024 | Oct 2024 | 17.428571428571 Weeks</t>
  </si>
  <si>
    <t>P25700652</t>
  </si>
  <si>
    <t>SHYAMENAHALLI</t>
  </si>
  <si>
    <t>POOJITHA</t>
  </si>
  <si>
    <t>NATARAJ</t>
  </si>
  <si>
    <t>Shyamenahalli Poojitha Nataraj</t>
  </si>
  <si>
    <t>poojithanataraj3222@gmail.com</t>
  </si>
  <si>
    <t>p25700652@student.nicmar.ac.in</t>
  </si>
  <si>
    <t>03-Feb-2002</t>
  </si>
  <si>
    <t>ENGLISH,HINDI,MARATHI AND KANNADA</t>
  </si>
  <si>
    <t>4205 1039 0395</t>
  </si>
  <si>
    <t>MAMATHA</t>
  </si>
  <si>
    <t>SANSKRUTI APPT FLAT NO 20 NEAR GOKUL HOTEL ABOVE SHIVAM GENERAL STORE</t>
  </si>
  <si>
    <t>ST.SEBASTIAN HIGH SCHOOL AND JR. COLLEGE</t>
  </si>
  <si>
    <t>SHREE MANGESH MEMORIAL COLLEGE</t>
  </si>
  <si>
    <t>PUNE / MAHARASTRA</t>
  </si>
  <si>
    <t>Godrej Properties  | Site Execution  | Mumbai HO  | May 2026 | Jul 2026 | 8.7142857142857 Weeks | Campus Internship
DESIGN ACCORD CONSULTANTS | INTERN ARCHITECT | DELHI | Jun 2024 | Oct 2024 | 21.285714285714 Weeks</t>
  </si>
  <si>
    <t>P25700653</t>
  </si>
  <si>
    <t>SNEHAL</t>
  </si>
  <si>
    <t>BABAR</t>
  </si>
  <si>
    <t>Snehal Santosh Babar</t>
  </si>
  <si>
    <t>snehalbabar9696@gmail.com</t>
  </si>
  <si>
    <t>p25700653@student.nicmar.ac.in</t>
  </si>
  <si>
    <t>04-Oct-2002</t>
  </si>
  <si>
    <t>8591 9157 6234</t>
  </si>
  <si>
    <t>PLOT AGENCY</t>
  </si>
  <si>
    <t>CHEF</t>
  </si>
  <si>
    <t>Ganesh Nagar, 3rd Lane, Ichalkaranji</t>
  </si>
  <si>
    <t>HIRA-RAM GIRLS HIGHSCHOOL</t>
  </si>
  <si>
    <t>SANJAY GHODAWAT POLYTECHNIC ,ATIGRE KOLHAPUR</t>
  </si>
  <si>
    <t>SHARAD INSTITUTE OF TECHNOLOGY COLLEGE OF ENGINEERING, YADRAV</t>
  </si>
  <si>
    <t>M/s. V. S. Lingras Roads &amp; Building Contractror | Trainee Engineer | Kolhapur | Nov 2024 | Jul 2025 | 0Y 7M | 1.2</t>
  </si>
  <si>
    <t>Blubrick Realty  | Pre-sales, Sales | Pune | May 2026 | Jul 2026 | 8.7142857142857 Weeks | Campus Internship
MAHABHARAT CONSTRUCTION CORPORATION | Civil Intern | Kolhapur | Dec 2023 | Apr 2024 | 17.714285714286 Weeks</t>
  </si>
  <si>
    <t>Auto Cad, Revit</t>
  </si>
  <si>
    <t>P25700654</t>
  </si>
  <si>
    <t>SOURAV</t>
  </si>
  <si>
    <t>Sourav Das</t>
  </si>
  <si>
    <t>sourav.das2025@hotmail.com</t>
  </si>
  <si>
    <t>p25700654@student.nicmar.ac.in</t>
  </si>
  <si>
    <t>08-Dec-1996</t>
  </si>
  <si>
    <t>English, Bengali, Hindi</t>
  </si>
  <si>
    <t>9866 3763 6001</t>
  </si>
  <si>
    <t>NIRMAL KANTI DAS</t>
  </si>
  <si>
    <t>MADHUMITA DAS</t>
  </si>
  <si>
    <t>49/23 Rabindra Sarani_x000D_
Rishra</t>
  </si>
  <si>
    <t>GOSPEL HOME SCHOOL</t>
  </si>
  <si>
    <t>2004-Mar</t>
  </si>
  <si>
    <t>ELITTE INSTITUTE OF ENGINEERING &amp; MANAGEMENT, GHOLA, KOLKATA</t>
  </si>
  <si>
    <t>MAULANA ABDUL KALAM AZAD UNIVERSITY OF TECHNOLOGY, WEST BENGAL</t>
  </si>
  <si>
    <t>SUPREME KNOWLEDGE FOUNDATION GROUP OF INSTITUTION, HOOGHLY, WEST BENGAL</t>
  </si>
  <si>
    <t>Oishi International | Junior Engineer | Odisha (Sonepur) | Mar 2022 | Mar 2024 | 2Y 0M | 2.8
BCPL Railway Infrastructure ltd. | Assistant Project Manager | Odisha (Anugul) | Apr 2024 | Jan 2025 | 0Y 9M | 3.85</t>
  </si>
  <si>
    <t>MASIN PROJECTS PRIVATE LIMITED | Delay/Quantum Department | Gurugram | May 2026 | Jul 2026 | 8.7142857142857 Weeks | Campus Internship
Royal Infraconstru ltd | Trainee | Birbhum (Ilambazar) | Jan 2019 | Jan 2019 | 1.8571428571429 Weeks</t>
  </si>
  <si>
    <t>P25700655</t>
  </si>
  <si>
    <t>SAMRUTWAR</t>
  </si>
  <si>
    <t>Samrutwar Pranay Ashok</t>
  </si>
  <si>
    <t>pranaysamrutwar130@gmail.com</t>
  </si>
  <si>
    <t>p25700655@student.nicmar.ac.in</t>
  </si>
  <si>
    <t>21-May-2002</t>
  </si>
  <si>
    <t>7944 3067 1864</t>
  </si>
  <si>
    <t>GOV. SERVANT</t>
  </si>
  <si>
    <t>SUDHA SAMRUTWARPLOT NO. 14</t>
  </si>
  <si>
    <t>Plot No.14,gopal Krishna Nagari,DP Road,Pandharkawada</t>
  </si>
  <si>
    <t>DR.YARDY ENGLISH HIGH SCHOOL,UMRI</t>
  </si>
  <si>
    <t>SECONDARY AND HIGHER SECONDARY EDUCATION,PUNE</t>
  </si>
  <si>
    <t>BDP COLLOGE OF SCIENCE,PARWA</t>
  </si>
  <si>
    <t>SAVITRIBAI PHULE PUNE UNIVERSITY ,PUNE</t>
  </si>
  <si>
    <t>AISSMS COLLOGE OF ENGINEERING ,PUNE</t>
  </si>
  <si>
    <t>Pyramid Lifestyle Limited | Assistant To Project Manager  | Pune | May 2026 | Jul 2026 | 8.1428571428571 Weeks | Campus Internship
ADVETKUNAL ENTERPRISES PVT . LTD | site engineering | pune | Dec 2022 | Jan 2023 | 4.1428571428571 Weeks</t>
  </si>
  <si>
    <t>P25700656</t>
  </si>
  <si>
    <t>BRAVIMRAJ</t>
  </si>
  <si>
    <t>BAJIRAO</t>
  </si>
  <si>
    <t>Bravimraj Bajirao Desai</t>
  </si>
  <si>
    <t>bravimraj05@gmail.com</t>
  </si>
  <si>
    <t>p25700656@student.nicmar.ac.in</t>
  </si>
  <si>
    <t>19-Oct-2001</t>
  </si>
  <si>
    <t>2356 5697 3119</t>
  </si>
  <si>
    <t>TRACK MAINTENANCE, ENGINEERING DEPARTMENT, INDIAN RAILWAYS</t>
  </si>
  <si>
    <t>BHAGYASHRI</t>
  </si>
  <si>
    <t>Row Bangalow No. 3, Anand Garden, Bapuram Nagar, Kalamba, Kolhapur.</t>
  </si>
  <si>
    <t>NEW ENGLISH MEDIUM SCHOOL KOLHAPUR</t>
  </si>
  <si>
    <t>Shree Datta Developers | Junior Site Engineer | Kolhapur | Jul 2024 | Jun 2025 | 0Y 11M | 1.08</t>
  </si>
  <si>
    <t>Cherry Hill Interiors Pvt. Ltd. | Site Execution and Control - Projects  | Gurugram, Haryana, India | May 2026 | Jul 2026 | 8.5714285714286 Weeks | Campus Internship</t>
  </si>
  <si>
    <t>P25700657</t>
  </si>
  <si>
    <t>YEOLE</t>
  </si>
  <si>
    <t>SURAJ</t>
  </si>
  <si>
    <t>Yeole Suraj Naresh</t>
  </si>
  <si>
    <t>surajnyeole89@gmail.com</t>
  </si>
  <si>
    <t>p25700657@student.nicmar.ac.in</t>
  </si>
  <si>
    <t>23-Nov-1994</t>
  </si>
  <si>
    <t>5883 3132 6190</t>
  </si>
  <si>
    <t>NARESH VASUDEORAO YEOLE</t>
  </si>
  <si>
    <t>HEMLATA NARESH YEOLE</t>
  </si>
  <si>
    <t>226B, Santoshi Nagar, Hudkeshwar Road</t>
  </si>
  <si>
    <t>MAHARASHTRA STATE BOARD, NAGPUR/MAHARASHTRA</t>
  </si>
  <si>
    <t>MAJOR HEMANT JAKATE VIDYANIKETAN</t>
  </si>
  <si>
    <t>2012-Feb</t>
  </si>
  <si>
    <t>GURU NANAK INSTITUTE OF ENGINEERING &amp; MANAGEMENT</t>
  </si>
  <si>
    <t>Vijay Nirman Company Pvt Ltd | Junior Engineer | Nanded and Washim Maharashtra  | Jan 2018 | Oct 2021 | 3Y 9M | 3
Delhi Integrated Multi Modal Transit System Ltd. (DIMTS) | Assistant Engineer | Surat Gujarat | Oct 2021 | Aug 2023 | 1Y 9M | 5</t>
  </si>
  <si>
    <t>5 Years 7 Months</t>
  </si>
  <si>
    <t>Hill International  | Intern | Mumbai (Thane) | May 2026 | Jul 2026 | 8.7142857142857 Weeks | Campus Internship</t>
  </si>
  <si>
    <t>Be 10X AI Course
BIM Professional Course for Civil Engineers</t>
  </si>
  <si>
    <t>P25700658</t>
  </si>
  <si>
    <t>PARDHI</t>
  </si>
  <si>
    <t>PRANAP</t>
  </si>
  <si>
    <t>SURYAPRAKASH</t>
  </si>
  <si>
    <t>Pardhi Pranap Suryaprakash</t>
  </si>
  <si>
    <t>pranappardhi05@gmail.com</t>
  </si>
  <si>
    <t>p25700658@student.nicmar.ac.in</t>
  </si>
  <si>
    <t>11-May-2002</t>
  </si>
  <si>
    <t>5639 2796 7865</t>
  </si>
  <si>
    <t>Appaji Nagar, Angur Bagicha Gondia</t>
  </si>
  <si>
    <t>VIVEK MANDIR HIGH SCHOOL GONDIA</t>
  </si>
  <si>
    <t>MAHARASTRA STATE BOARD OF SECONDARY AND HIGHER SECONDARY EDUCATION , PUNE</t>
  </si>
  <si>
    <t>GOVERMENT POLYTECHNIC ,NAGPUR</t>
  </si>
  <si>
    <t>AN AUTONOMOUS (AFILLATED TO RASHTRASANT TUKADOJI MAHARAJ NAGPUR UNIVERSITY , NAGPUR)</t>
  </si>
  <si>
    <t>G. H. RAISONI COLLEGE OF ENGINEERING AND MANAGMENT ,NAGPUR</t>
  </si>
  <si>
    <t xml:space="preserve"> MS Office, MS Project, PRIMAVERA , NAVISWORKS, COST X , REVIT , AUTOCAD </t>
  </si>
  <si>
    <t>Goa State Infrastructure Development Corporation Limited | Intern | Goa Medical College Bambolim Goa  | May 2026 | Jul 2026 | 8.7142857142857 Weeks | Campus Internship
M/s. MAYUR W. BODANE Govt Civil Contractor &amp; Building Material Suppliers | Graduate Engineer Trainee | Sakoli  | Dec 2024 | May 2025 | 21.571428571429 Weeks</t>
  </si>
  <si>
    <t xml:space="preserve">Excel Using AI Workshop
Certificate of Appreciation - Gh Raisoni Nagpur </t>
  </si>
  <si>
    <t>P25700659</t>
  </si>
  <si>
    <t>ADARSH NAIDU</t>
  </si>
  <si>
    <t>GADE</t>
  </si>
  <si>
    <t>Adarsh Naidu Gade</t>
  </si>
  <si>
    <t>gadeadarshnaidu@gmail.com</t>
  </si>
  <si>
    <t>p25700659@student.nicmar.ac.in</t>
  </si>
  <si>
    <t>3324 1014 2286</t>
  </si>
  <si>
    <t>GADE RAMU</t>
  </si>
  <si>
    <t>GADE PRASANTHI</t>
  </si>
  <si>
    <t>K JOGAMPETA VILLAGE GOLUGONDA POST GOLUGONDA MANDAL ANAKAPALLI DISTRICT ANDHRA PRADESH 531084</t>
  </si>
  <si>
    <t>SASI ENGLISH MEDIUM HIGH SCHOOL</t>
  </si>
  <si>
    <t>SASI NEW GEN JUNIOR COLLEGE</t>
  </si>
  <si>
    <t>BOARD OF INTERMEDIATE   EDUCATION ANDHRA PRADESH</t>
  </si>
  <si>
    <t>ANIL NEERKONDA INSTITUTE OF TECHNOLOGY AND SCIENCES ANDHRA PRADESH</t>
  </si>
  <si>
    <t>AutoCAD,MS Office,MS Project,Primavera,ARC GIS,REVIT,STAAD,CostX,BIM</t>
  </si>
  <si>
    <t>L. V. NAIDU CONSTRUCTIONS | PROJECT MANAGEMENT INTERN | NARSIPATNAM | Apr 2026 | Jun 2026 | 8.7142857142857 Weeks | Campus Internship
L V Naidu Constructions | Junior Site Engineer | Bheemunipatnam-Narsipatnam Road In Anakapalli District, ANDHRA PRADESH | May 2023 | May 2023 | 2.4285714285714 Weeks</t>
  </si>
  <si>
    <t>AutoCAD
A Two Week Value added Course on Building Information Modelling
NPTEL On Introduction to Civil Engineering Profession
Ethics in Engineering Practice
Construction Project Management
Project Management - Initiation and Planning
Finance for Non- Financial Managers</t>
  </si>
  <si>
    <t>P25700660</t>
  </si>
  <si>
    <t>KRANISHA</t>
  </si>
  <si>
    <t>Kranisha S</t>
  </si>
  <si>
    <t>keerthisuresh1504@gmail.com</t>
  </si>
  <si>
    <t>p25700660@student.nicmar.ac.in</t>
  </si>
  <si>
    <t>15-Apr-2004</t>
  </si>
  <si>
    <t>3379 5662 7041</t>
  </si>
  <si>
    <t>SURESH C</t>
  </si>
  <si>
    <t>SUGUNA N</t>
  </si>
  <si>
    <t>87/10H, Majeeth Teru, Harur.</t>
  </si>
  <si>
    <t>Dharmapuri</t>
  </si>
  <si>
    <t>JAYAM VIDHYALAYA MATRIC HR SEC SCHOOL HARUR DHARMAPURI</t>
  </si>
  <si>
    <t>SRI SIVASUBRAMANIYA NADAR COLLEGE OF ENGINEERING, TAMIL NADU</t>
  </si>
  <si>
    <t>AutoCAD,MS Office,MS Project,Primavera,BIM,Revit</t>
  </si>
  <si>
    <t>DLF HOME DEVELOPERS LIMITED | Trainee | Chennai,Tamil Nadu | May 2026 | Jun 2026 | 8.1428571428571 Weeks | Campus Internship
LARSEN &amp;TOUBRO LIMITED | Trainee | Chennai,Tamil Nadu | Jul 2024 | Jul 2024 | 4.2857142857143 Weeks</t>
  </si>
  <si>
    <t>P25700661</t>
  </si>
  <si>
    <t>SHASHANK</t>
  </si>
  <si>
    <t>Shashank N</t>
  </si>
  <si>
    <t>shashank.n.civil22@gmail.com</t>
  </si>
  <si>
    <t>p25700661@student.nicmar.ac.in</t>
  </si>
  <si>
    <t>14-Jun-2000</t>
  </si>
  <si>
    <t>ENGLISH, TAMIL , HINDI</t>
  </si>
  <si>
    <t>5571 9062 3818</t>
  </si>
  <si>
    <t>NAGANDRA BABU VS</t>
  </si>
  <si>
    <t>SUMATHI S</t>
  </si>
  <si>
    <t>No.3, 7th Floor, 3rd Block, Pace Prana Apartments, Padikuppam Road, Anna Nagar West, Chennai - 600040</t>
  </si>
  <si>
    <t>SMT. DURGADEVI CHOUDHARY VIVEKANANDA VIDYALAYA</t>
  </si>
  <si>
    <t>VELAMMAL MATRICULATION HIGHER SECONDARY SCHOOL</t>
  </si>
  <si>
    <t>RAJALAKSHMI ENGINEERING COLLEGE, TAMILNADU</t>
  </si>
  <si>
    <t>AutoCAD,MS Office,MS Project,Primavera,CostX,PowerBI</t>
  </si>
  <si>
    <t>Larsen &amp; Toubro Limited | Site Planning Engineer | Chennai, Tamil Nadu | Oct 2022 | Jun 2025 | 2Y 8M | 7.2</t>
  </si>
  <si>
    <t>KPMG Global Services Private Limited | Business Consulting - Capital Projects | Bangalore | May 2026 | Jul 2026 | 9.5714285714286 Weeks | Campus Internship
WATER RESOURCES DEPARTMENT, GOVERNMENT OF TAMILNADU | TRAINEE ENGINEER | CHENNAI | Nov 2019 | Nov 2019 | 0.57142857142857 Weeks
INTEGRAL COACH FACTORY, CHENNAI | JUNIOR SITE ENGINEER | CHENNAI | Oct 2021 | Oct 2021 | 1 Weeks</t>
  </si>
  <si>
    <t>NPTEL - Introduction to Civil Engineering profession
Indian Construction Project Management Fundamentals - Udemy
Essentials of Project Planning and Control (EPPC) 2.0' - L&amp;T programme
BCG - Introduction to Strategy Consulting Job Simulation
NPTEL - Ethics in Engineering Practice</t>
  </si>
  <si>
    <t>P25700662</t>
  </si>
  <si>
    <t>RANE</t>
  </si>
  <si>
    <t>Soham Ravindra Rane</t>
  </si>
  <si>
    <t>sohamrane8810@gmail.com</t>
  </si>
  <si>
    <t>p25700662@student.nicmar.ac.in</t>
  </si>
  <si>
    <t>25-Feb-2003</t>
  </si>
  <si>
    <t>5975 4417 1691</t>
  </si>
  <si>
    <t>RAVINDRA VASANT RANE</t>
  </si>
  <si>
    <t>POONAM RAVINDRA RANE</t>
  </si>
  <si>
    <t>At Pohi Post Kalamb Tal Karjat Dist Raigad Neral</t>
  </si>
  <si>
    <t>L.A.E.S ENGLISH HIGH SCHOOL</t>
  </si>
  <si>
    <t>MAHARASHTRA STATE BOARD OF  SECONDARY AND  HIGHER SECONDARY EDUCATION PUNE</t>
  </si>
  <si>
    <t>G.V ACHARYA POLYTECHNIC SHELU MAHARASHTRA</t>
  </si>
  <si>
    <t>PILLAI HOC OF ENGINEERING AND TECHNOLOGY</t>
  </si>
  <si>
    <t>AutoCAD,MS Office,MS Project,Primavera,Revit Structure,Stadpro</t>
  </si>
  <si>
    <t>Pyramid lifestyle Limited  | Assistant Site Manager  | Pune  Balewadi  | May 2026 | Jul 2026 | 8.1428571428571 Weeks | Campus Internship
CIDCO Mass Housing Project | Site Engineer | Taloja | Jun 2022 | Aug 2022 | 8.7142857142857 Weeks</t>
  </si>
  <si>
    <t>P25700663</t>
  </si>
  <si>
    <t>SHIRSAT</t>
  </si>
  <si>
    <t>Omkar Dilip Shirsat</t>
  </si>
  <si>
    <t>shirsatomkar2220@yahoo.com</t>
  </si>
  <si>
    <t>p25700663@student.nicmar.ac.in</t>
  </si>
  <si>
    <t>30-Aug-2025</t>
  </si>
  <si>
    <t>3839 5845 9603</t>
  </si>
  <si>
    <t>DILIP SHIRSAT</t>
  </si>
  <si>
    <t>VAISHALI SHIRSAT</t>
  </si>
  <si>
    <t>HOUSE  WIFE</t>
  </si>
  <si>
    <t>Patil Vasti, Ranmala, Uruli Kanchan, Haveli, Pune</t>
  </si>
  <si>
    <t>MAHATMA GANDHI VIDHYALAYA, URULI KANCHAN, PUNE.</t>
  </si>
  <si>
    <t>MAHARASTRA STATE BOARD OF SECONDARY AND HIGHER EDUCATION, PUNE</t>
  </si>
  <si>
    <t>CUSROW WADIA INSTITUE OF TECHNOLOGY</t>
  </si>
  <si>
    <t>DR. D Y PATIL SCHOOL OF ENGINEERING AND TECHNOLOGY , CHARHOLI BK., LOHEGAON, PUNE.</t>
  </si>
  <si>
    <t>SJ Contracts Private Limited | Planning Intern | Chhatrapati Sambhajinagar  | May 2026 | Jun 2026 | 7.7142857142857 Weeks | Campus Internship
Ucon PT Structural System Private Limited | Junior Engineer | Pune | Jan 2025 | Apr 2025 | 16.285714285714 Weeks
SAI CONSTRUCTION |  TRAINEE ENGINEER | PUNE | Jan 2024 | Jan 2024 | 4.2857142857143 Weeks
Nirman Civil Engineers | Junior Site Engineer | Pune | Sep 2021 | Oct 2022 | 56.428571428571 Weeks</t>
  </si>
  <si>
    <t>P25700664</t>
  </si>
  <si>
    <t>SRIVAS</t>
  </si>
  <si>
    <t>SAMA</t>
  </si>
  <si>
    <t>Srivas Sama Reddy</t>
  </si>
  <si>
    <t>srivvass.reddy@gmail.com</t>
  </si>
  <si>
    <t>p25700664@student.nicmar.ac.in</t>
  </si>
  <si>
    <t>22-Sep-2002</t>
  </si>
  <si>
    <t>english, telugu, hindi</t>
  </si>
  <si>
    <t>8210 9569 3952</t>
  </si>
  <si>
    <t>RAJPAL REDDY</t>
  </si>
  <si>
    <t>SARASWATHI REDDY</t>
  </si>
  <si>
    <t>2-4-14/A, Upperpally, Rajendra Nagar, 500048</t>
  </si>
  <si>
    <t>OAKRIDGE INTERNATIONAL SCHOOL</t>
  </si>
  <si>
    <t>CBSE, HYDERABAD</t>
  </si>
  <si>
    <t>CBSE ,HYDERABAD</t>
  </si>
  <si>
    <t>VELLORE INSTITUTE OF TECHNOLOGY CHENNAI</t>
  </si>
  <si>
    <t>MS Project,Primavera, Autocad, MS Office, Revit, Cost X</t>
  </si>
  <si>
    <t>M Arunachalam projects and infrastructure | PM - intern  | chennai | May 2026 | Jul 2026 | 8.2857142857143 Weeks | Campus Internship</t>
  </si>
  <si>
    <t>primnavera</t>
  </si>
  <si>
    <t>P25700665</t>
  </si>
  <si>
    <t>PRIYANSHI</t>
  </si>
  <si>
    <t>VISHWANG</t>
  </si>
  <si>
    <t>MEHTA</t>
  </si>
  <si>
    <t>Priyanshi Vishwang Mehta</t>
  </si>
  <si>
    <t>mehta.priyanshi01@gmail.com</t>
  </si>
  <si>
    <t>p25700665@student.nicmar.ac.in</t>
  </si>
  <si>
    <t>17-Sep-2001</t>
  </si>
  <si>
    <t>ENGLISH, HINDI, GUJARATI, MARATHI</t>
  </si>
  <si>
    <t>6681 5815 1380</t>
  </si>
  <si>
    <t>SONIYA</t>
  </si>
  <si>
    <t>Siddhi ABC Chsl, Vasant Nagri, Vasai Road East 401208.</t>
  </si>
  <si>
    <t>SHETH VIDYA MANDIR ENGLISH HIGH SCHOOL AND JUNIOR COLLEGE OF SCIENCE AND COMMERCE</t>
  </si>
  <si>
    <t>MAHARASHTRA STATE BOARD OF SECONDARY AND HIGHER EDUCATION, VASAI, MAHARASHTRA</t>
  </si>
  <si>
    <t>SARDAR VALLABHBHAI PATEL JUNIOR COLLEGE OF SCIENCE AND COMMERCE</t>
  </si>
  <si>
    <t>MAHARASHTRA STATE BOARD OF SECONDARY AND HIGHER EDUCATION, MUMBAI, MAHARASHTRA</t>
  </si>
  <si>
    <t>THAKUR SCHOOL OF ARCHITECTURE AND PLANNING, MUMBAI, MAHARASHTRA</t>
  </si>
  <si>
    <t>AutoCAD,MS Office,MS Project,Primavera,BIM revit,Earned Value Management (EVM),Project Co-ordination,Quantity Estimation using Cost X,Canva,Adobe Creative Suite,SketchUp,Lumion</t>
  </si>
  <si>
    <t>REZA KABUL ARCHITECTS |  Architect | Design Planning, Project Co-ordination and Consulting | Bandra, Mumbai. | May 2024 | Jun 2025 | 1Y 0M | 3.36</t>
  </si>
  <si>
    <t>Masters Management Consultants (India) Private Limited | Project Management Intern | Mumbai | May 2026 | Jul 2026 | 8.5714285714286 Weeks | Campus Internship
KNS ARCHITECTS | Intern, Architecture Student | ANDHERI AND WORLI, MUMBAI | Nov 2022 | May 2023 | 24 Weeks</t>
  </si>
  <si>
    <t>National Quiz by The Times of India
Ms office - MSCIT
TSAP - EPOCH - Art Installation
Sustainable practice Workshop at IDAC Expo, Mumbai
HIRAY - TARASH - Project Design Competition
MU Ideas Interior Design Competition by Mumbai University
National Workshop cum Training on Project Management from IIT Kharagpur using Primavera P6
NICMAR- UDHBAV- IDENTITY Logo Design
Coursera _ Finance for Non-Financial Managers
NPTEL course _ Ethics in Engineering Pratice</t>
  </si>
  <si>
    <t>P25700666</t>
  </si>
  <si>
    <t>KANKALE</t>
  </si>
  <si>
    <t>Om Sanjay Kankale</t>
  </si>
  <si>
    <t>omkankale2004@gmail.com</t>
  </si>
  <si>
    <t>p25700666@student.nicmar.ac.in</t>
  </si>
  <si>
    <t>17-Feb-2004</t>
  </si>
  <si>
    <t>3547 7240 3142</t>
  </si>
  <si>
    <t>SANJAY KANKALE</t>
  </si>
  <si>
    <t>PRITI KANKALE</t>
  </si>
  <si>
    <t>Rathinagar, Amravati, In Front Of Water Tank</t>
  </si>
  <si>
    <t>CBSE, AMRAVATI, MAHARASHTRA</t>
  </si>
  <si>
    <t>BHAGYASHRI JUNIOR COLLEGE, AMRAVATI, MAHARASHTRA</t>
  </si>
  <si>
    <t>HSC, AMRAVATI, MAHARASHTRA</t>
  </si>
  <si>
    <t>DR. VISHWANATH KARAD MIT - WORLD PEACE UNIVERSITY</t>
  </si>
  <si>
    <t>DR. VISHWANATH KARAD MIT - WORLD PEACE UNIVERSITY, KOTHRUD, PUNE, MAHARASHTRA</t>
  </si>
  <si>
    <t>AutoCAD,MS Project,Primavera,Revit</t>
  </si>
  <si>
    <t>MILLENNIUM ENGINEERS &amp; CONTRACTORS PVT. LTD. (Project : Godrej Emerald Waters, Pune) | SUMMER INTERN | PUNE | May 2026 | Jul 2026 | 8.7142857142857 Weeks | Campus Internship
Shree Govinda Infra | Site Engineer | Amravati | Jan 2025 | Apr 2025 | 14.571428571429 Weeks
KRISHNARPAN ENGINEERS, BUILDERS &amp; LAND DEVELOPERS | Site Engineer &amp; Auto CAD Software Technician  | AMRAVATI | Jun 2023 | Aug 2023 | 9.1428571428571 Weeks</t>
  </si>
  <si>
    <t>P25700667</t>
  </si>
  <si>
    <t>NANDALAL</t>
  </si>
  <si>
    <t>BAGAL</t>
  </si>
  <si>
    <t>Devendra Nandalal Bagal</t>
  </si>
  <si>
    <t>devendranbagal2003@gmail.com</t>
  </si>
  <si>
    <t>p25700667@student.nicmar.ac.in</t>
  </si>
  <si>
    <t>06-Feb-2003</t>
  </si>
  <si>
    <t>2732 7396 4167</t>
  </si>
  <si>
    <t>BHAVANA</t>
  </si>
  <si>
    <t>Plot No. 41, Chandraprabha, Audumber Colony, Dondaicha, Dist. Dhule.</t>
  </si>
  <si>
    <t>ROTARY ENGLISH SCHOOL</t>
  </si>
  <si>
    <t>GOVERNMENT POLYTECHNIC DHULE, DHULE</t>
  </si>
  <si>
    <t>AutoCAD,STAAD.Pro,3ds Max</t>
  </si>
  <si>
    <t>LJR Constructions LLP | Construction Management Intern | Dhayari, Pune | May 2026 | Jul 2026 | 8.7142857142857 Weeks | Campus Internship
Infraking Consulting Engineers Pvt. Ltd. | Civil Engineering Intern | Mundhwa, Pune | Dec 2023 | Jan 2024 | 4.4285714285714 Weeks</t>
  </si>
  <si>
    <t>P25700668</t>
  </si>
  <si>
    <t>KIRTAN</t>
  </si>
  <si>
    <t>HARESH</t>
  </si>
  <si>
    <t>Kirtan Haresh Patel</t>
  </si>
  <si>
    <t>kirtanp081998@gmail.com</t>
  </si>
  <si>
    <t>p25700668@student.nicmar.ac.in</t>
  </si>
  <si>
    <t>18-Aug-1998</t>
  </si>
  <si>
    <t>English, Hindi, Gujarati, Marathi</t>
  </si>
  <si>
    <t>7337 0289 5516</t>
  </si>
  <si>
    <t>HARESH PATEL</t>
  </si>
  <si>
    <t>DHARMISTHA PATEL</t>
  </si>
  <si>
    <t>C/22, Laxmi Krupa Bldg., Daftary Road, Pushpa Park, Malad -(East)</t>
  </si>
  <si>
    <t>MAHARASHTRA STATE BOARD OF SECONDARY AND HIGHER SECONDARY EDUCATION, PUNE/    MUMBAI DIVISIONAL BOARD</t>
  </si>
  <si>
    <t>K. J. SOMAIYA POLYTECHNIC,  MUMBAI/ MAHARASHTRA</t>
  </si>
  <si>
    <t>DATTA MEGHE COLLEGE OF ENGINEERING,  NAVI MUMBAI/  MAHARASHTRA</t>
  </si>
  <si>
    <t>AutoCAD,MS Office,MS Project,ETabs,Revit</t>
  </si>
  <si>
    <t>Dev Construction | Jr. Site Engineer | Kalwa, Thane | Jun 2024 | Jun 2025 | 1Y 0M | 2.52</t>
  </si>
  <si>
    <t>Evita Constructions Pvt. Ltd. | Site Engineer  | Panvel | May 2026 | Jul 2026 | 8.7142857142857 Weeks | Campus Internship
RRC Ventures Private Limited | Site Supervisor | Mumbai | Dec 2022 | Jan 2023 | 4.4285714285714 Weeks
City And Industrial Development Corporation of Maharashtra Limited, CIDCO | Site Supervisor | Navi Mumbai | Jun 2022 | Jul 2022 | 7 Weeks</t>
  </si>
  <si>
    <t>P25700669</t>
  </si>
  <si>
    <t>DEBI</t>
  </si>
  <si>
    <t>JENA</t>
  </si>
  <si>
    <t>Debi Prasad Jena</t>
  </si>
  <si>
    <t>debiprasad.dpj@gmail.com</t>
  </si>
  <si>
    <t>p25700669@student.nicmar.ac.in</t>
  </si>
  <si>
    <t>12-Apr-1999</t>
  </si>
  <si>
    <t>4057 5674 4660</t>
  </si>
  <si>
    <t>AKSHYAYA KUMAR JENA</t>
  </si>
  <si>
    <t>ODISHA TRANSPORT DEPARTMENT</t>
  </si>
  <si>
    <t>LATE SOVARANI JENA</t>
  </si>
  <si>
    <t>Plot No 10,Phase 2, Sweety Housing Complex ,Ganganagar ,Unit6</t>
  </si>
  <si>
    <t>ST.XAVIER'S HIGH SCHOOL</t>
  </si>
  <si>
    <t>MOTHER'S PUBLIC SCHOOL</t>
  </si>
  <si>
    <t>AutoCAD,MS Office,MS Project,Primavera,Solidworks,Python,SQL</t>
  </si>
  <si>
    <t>Asian Paints Ltd | Sales Engineering Intern |  Bhubaneswar,Odisha | May 2026 | Jul 2026 | 8.7142857142857 Weeks | Campus Internship
RAJPUTANA CUSTOM MOTORCYCLES | TRAINEE | JAIPUR,RAJASTHAN | Jun 2019 | Jun 2019 | 0.71428571428571 Weeks
Hindustan Coca-Cola Beverages Pvt.Ltd | Trainee | Khorda, Odisha | Dec 2018 | Dec 2018 | 4 Weeks
SAIL Rourkela Steel Plant | Trainee | Rourkela,Odisha | Jun 2019 | Jun 2019 | 2 Weeks</t>
  </si>
  <si>
    <t>P25700670</t>
  </si>
  <si>
    <t>BASAVARAJA</t>
  </si>
  <si>
    <t>B T</t>
  </si>
  <si>
    <t>Basavaraja B T</t>
  </si>
  <si>
    <t>basavarajbt333@gmail.com</t>
  </si>
  <si>
    <t>p25700670@student.nicmar.ac.in</t>
  </si>
  <si>
    <t>7202 4228 7915</t>
  </si>
  <si>
    <t>B THIPPESHA</t>
  </si>
  <si>
    <t>PADMAVATHI</t>
  </si>
  <si>
    <t>K E B Badavane Near Welcome Board,Nayakanahatti,challekere Taluk,chitradurga District</t>
  </si>
  <si>
    <t>SRI BHUVANENDRA RESIDENTIAL SCHOOL ,KARKALA,UDUPI(DIST),KARNATAKA</t>
  </si>
  <si>
    <t>CENTRAL BOARD OF SECONDARY EDUCATION,KARKALA</t>
  </si>
  <si>
    <t>S R PU COLLEGE,HEBRI,KARNATAKA</t>
  </si>
  <si>
    <t>DEPARTMENT OF PRE-UNIVERSITY EDUCATION,KARNATAKA</t>
  </si>
  <si>
    <t>VISVESVARAYA TECHNOLOGICAL UNIVERSITY,BELAGAVI</t>
  </si>
  <si>
    <t>ST JOSEPH ENGINNERING COLLEGE,VAMANJOOR,MANGALURU,KARNATAKA</t>
  </si>
  <si>
    <t>AutoCAD,MS Office,MS Project,Primavera,Auto plotter,QGIS,REVIT,STAADPRO</t>
  </si>
  <si>
    <t>Sai shloka infra pvt Ltd  | Site execution  | Vapi,valsad district,Gujurat | May 2026 | Jun 2026 | 8.1428571428571 Weeks | Campus Internship
ROTER LEHMANN PARTNER PVT.LTD. | GEOSPATIAL ENGINEER | BANGLORE | Apr 2025 | May 2025 | 2.7142857142857 Weeks
INFRA SUPPORT ENGINEERING CONSULTANTS PVT.LTD | 3rd Party Inspection | HUBLI,DHARWAD | Feb 2025 | Apr 2025 | 8.4285714285714 Weeks</t>
  </si>
  <si>
    <t>COURSERA IN MUNCIPAL SOLID WASTE MANAGEMENT IN DEVELOPING COUNTRIES</t>
  </si>
  <si>
    <t>P25700671</t>
  </si>
  <si>
    <t>NANDHA KUMARAN</t>
  </si>
  <si>
    <t>Nandha Kumaran S</t>
  </si>
  <si>
    <t>dgnandy88063@gmail.com</t>
  </si>
  <si>
    <t>p25700671@student.nicmar.ac.in</t>
  </si>
  <si>
    <t>23-Aug-2004</t>
  </si>
  <si>
    <t>Tamil,English</t>
  </si>
  <si>
    <t>7282 3645 9804</t>
  </si>
  <si>
    <t>SUNDARAMOORTHY R</t>
  </si>
  <si>
    <t>SUBASHINI S</t>
  </si>
  <si>
    <t>No.192 , 4th Street , Nehru Nagar , Anna Nagar , Ch-600040</t>
  </si>
  <si>
    <t>ANNA UNIVERSITY , TAMILNADU</t>
  </si>
  <si>
    <t>SRI SAI RAM ENGINEERING COLLEGE , TAMILNADU</t>
  </si>
  <si>
    <t>AutoCAD,REVIT,SKETCHUP</t>
  </si>
  <si>
    <t>Prestige Estates Projects Ltd | Site Execution + Control | Banglore | May 2026 | Jul 2026 | 8.5714285714286 Weeks | Campus Internship
LEXI CREW ENTERPRISES | SOFTWARE TRAINER  | MEDAVAKKAM,CHENNAI | May 2024 | Jun 2024 | 4.4285714285714 Weeks
VASIYAM HOMES PVT LTD | Site Supervisor | Medavakkam,Chennai | Feb 2024 | Feb 2024 | 2.2857142857143 Weeks</t>
  </si>
  <si>
    <t>P25700672</t>
  </si>
  <si>
    <t>SHEFALI</t>
  </si>
  <si>
    <t>SHAILENDRA</t>
  </si>
  <si>
    <t>Shefali Shailendra Gaikwad</t>
  </si>
  <si>
    <t>shefaligaikwad6@gmail.com</t>
  </si>
  <si>
    <t>p25700672@student.nicmar.ac.in</t>
  </si>
  <si>
    <t>09-Apr-2000</t>
  </si>
  <si>
    <t>8171 4575 4279</t>
  </si>
  <si>
    <t>SHARMILA</t>
  </si>
  <si>
    <t>D-9 Mohit Building, Barlota Nagar, Mamurdi, Dehuroad Pune</t>
  </si>
  <si>
    <t>ST. JUDE HIGH SCHOOL</t>
  </si>
  <si>
    <t>PUNE MAHARASHTRA</t>
  </si>
  <si>
    <t>DR D Y PATIL PRATISHTHAN'S Y.B PATIL POLYTECHNIC AKURDI PUNE</t>
  </si>
  <si>
    <t>PIMPRI CHINCHWAD COLLEGE OF ENGINEERING AND RESEARCH,RAVET PUNE</t>
  </si>
  <si>
    <t>AutoCAD,MS Office,MS Project,Primavera,3D MAX,Autodesk Civil 3D,BIM,REVIT</t>
  </si>
  <si>
    <t>Clancy Global - AKG Building Consultant Pvt Ltd.  | Project Co-ordination | Pune  | May 2026 | Jul 2026 | 8.7142857142857 Weeks | Campus Internship
VIJAY CONSTRUCTION | SITE ENGINEER | DEHUROAD PUNE  | Oct 2022 | Nov 2022 | 4.7142857142857 Weeks
NP Venture | Site Engineer | Pune | Dec 2019 | Dec 2019 | 0.85714285714286 Weeks</t>
  </si>
  <si>
    <t>Basics of Remote Sensing and GIS
NPTEL Ethics in Engineering Practice
Coursera Finance for Non finance Manager</t>
  </si>
  <si>
    <t>P25700673</t>
  </si>
  <si>
    <t>NEELAPALA</t>
  </si>
  <si>
    <t>ANANTHA SAI</t>
  </si>
  <si>
    <t>Neelapala Anantha Sai Ganesh</t>
  </si>
  <si>
    <t>neelapalagani@gmail.com</t>
  </si>
  <si>
    <t>p25700673@student.nicmar.ac.in</t>
  </si>
  <si>
    <t>31-May-2002</t>
  </si>
  <si>
    <t>3935 4551 3614</t>
  </si>
  <si>
    <t>NEELAPALA CHANDRA SEKHAR</t>
  </si>
  <si>
    <t>CENTRAL GOVERNMENT EMPLOYEE</t>
  </si>
  <si>
    <t>NEELAPALA GEETHA</t>
  </si>
  <si>
    <t>1/1720 YERRAMUKKAPALLI, KADAPA, Andhra Pradesh</t>
  </si>
  <si>
    <t>BOARD OF SECONDARY EDUCATION KADAPA ANDHRA PRADESH</t>
  </si>
  <si>
    <t>BOARD OF INTERMEDIATE EDUCATION KADAPA ANDHRA PRADESH</t>
  </si>
  <si>
    <t>AutoCAD,MS Office,MS Project,Primavera,Sketch Up,revit</t>
  </si>
  <si>
    <t>KCVR INFRA PROJECT PRIVATE LIMITED | SITE SUPERVISOR INTERN | ANANTAPUR | Aug 2022 | Sep 2022 | 4.1428571428571 Weeks</t>
  </si>
  <si>
    <t>RURAL WATER RESOURCES MANAGEMENT BY NPTEL
SAFETY IN CONSTRUCTION BY NPTEL</t>
  </si>
  <si>
    <t>P25700674</t>
  </si>
  <si>
    <t>Abhishek Atul Deshmukh</t>
  </si>
  <si>
    <t>abhishekcoc1994@gmail.com</t>
  </si>
  <si>
    <t>p25700674@student.nicmar.ac.in</t>
  </si>
  <si>
    <t>23-Feb-2004</t>
  </si>
  <si>
    <t>7113 7199 3172</t>
  </si>
  <si>
    <t>ATUL DESHMUKH</t>
  </si>
  <si>
    <t>MANISHA DESHMUKH</t>
  </si>
  <si>
    <t>BEHIND SHANTI MARKET, SAHYADRI COLONY, ROOM NO.34, ULHASNAGAR-1, 421001</t>
  </si>
  <si>
    <t>CENTURY RAYON HIGH SCHOOL, SHAHAD</t>
  </si>
  <si>
    <t>S. H. JONDHALE POLYTECHNIC, DOMBIVLI (W)</t>
  </si>
  <si>
    <t>J. Kumar Infraprojects Ltd. | Intern | Mumbai | May 2026 | Jul 2026 | 9.7142857142857 Weeks | Campus Internship</t>
  </si>
  <si>
    <t>P25700675</t>
  </si>
  <si>
    <t>GOKULA KRISHNAN</t>
  </si>
  <si>
    <t>Gokula Krishnan . K</t>
  </si>
  <si>
    <t>gokuldsk@gmail.com</t>
  </si>
  <si>
    <t>p25700675@student.nicmar.ac.in</t>
  </si>
  <si>
    <t>19-Apr-2001</t>
  </si>
  <si>
    <t>ENGLISH, TAMIL</t>
  </si>
  <si>
    <t>3127 7308 8444</t>
  </si>
  <si>
    <t>KARUNAKARAN DS</t>
  </si>
  <si>
    <t>REPORTER</t>
  </si>
  <si>
    <t>SHANTHI K</t>
  </si>
  <si>
    <t>35,kaspa A Main Road, Ambur</t>
  </si>
  <si>
    <t>Vellore</t>
  </si>
  <si>
    <t>BETHEL MATRIC HIGHER SECONDARY SCHOOL</t>
  </si>
  <si>
    <t>ADHIYAMAAN COLLEGE OF ENGINEERING,HOSUR</t>
  </si>
  <si>
    <t>AutoCAD,MS Office,sketchup,photoshop,enscape</t>
  </si>
  <si>
    <t>CRR ARCHITECTS | JUNIOR ARCHITECT | CHENNAI | Sep 2023 | Jul 2025 | 1Y 10M | 0.2</t>
  </si>
  <si>
    <t>Stiffeners Property Valuers &amp; Consultants India Pvt. Ltd. | Valuation  Engineer - Intern | Chennai | May 2026 | Jul 2026 | 9.4285714285714 Weeks | Campus Internship
Vivacious Designs | Intern | Jaipur | Jul 2022 | Nov 2022 | 16.857142857143 Weeks</t>
  </si>
  <si>
    <t>P25700676</t>
  </si>
  <si>
    <t>PRAJWAL</t>
  </si>
  <si>
    <t>VINAYAK</t>
  </si>
  <si>
    <t>KHADE</t>
  </si>
  <si>
    <t>Prajwal Vinayak Khade</t>
  </si>
  <si>
    <t>prajwal7027@gmail.com</t>
  </si>
  <si>
    <t>p25700676@student.nicmar.ac.in</t>
  </si>
  <si>
    <t>25-Jun-2003</t>
  </si>
  <si>
    <t>5261 5645 5581</t>
  </si>
  <si>
    <t>VINAYAK KHADE</t>
  </si>
  <si>
    <t>SUNITA KHADE</t>
  </si>
  <si>
    <t>Ambika Sadan, Wakeshwar Road ,Vaduj</t>
  </si>
  <si>
    <t>SEVAGIRI ENGLISH MEDIUM SCHOOL, VADUJ</t>
  </si>
  <si>
    <t>MAHARASTRA STATE BOARD OF SECONDARY AND HIGHER SECONDARY EDUCATION</t>
  </si>
  <si>
    <t>CHH. SHIVAJI JUNIOR COLLEGE, VADUJ</t>
  </si>
  <si>
    <t>SPPU UNIVERSITY</t>
  </si>
  <si>
    <t>VIDYA PRATISHTHAN, BARAMATI</t>
  </si>
  <si>
    <t>AutoCAD,MS Office,MS Project,Primavera,msexcel</t>
  </si>
  <si>
    <t>Greenworld Buildcon | Site Planning Engineer | Baramati, Maharashtra | May 2026 | Jul 2026 | 8.7142857142857 Weeks | Campus Internship
SHIR SHIRSAI BUILDERS &amp; DEVELOPERS | INTERN | JALOCHI ROAD BARAMATI | Jan 2024 | Feb 2024 | 5 Weeks</t>
  </si>
  <si>
    <t>P25700677</t>
  </si>
  <si>
    <t>PATE</t>
  </si>
  <si>
    <t>Saurav Dilip Pate</t>
  </si>
  <si>
    <t>saurav.pate99@gmail.com</t>
  </si>
  <si>
    <t>p25700677@student.nicmar.ac.in</t>
  </si>
  <si>
    <t>ENGLISH ,HINDI,MARATHI</t>
  </si>
  <si>
    <t>4386 1025 9285</t>
  </si>
  <si>
    <t>3,bhoite NAGAR JALGAON</t>
  </si>
  <si>
    <t>R.R. VIDYALAYA JALGAON</t>
  </si>
  <si>
    <t>SECONDARY AND HIGHER SECOUNDARY EDUCATION, PUNE</t>
  </si>
  <si>
    <t>M.J COLLAGE, JALGAON</t>
  </si>
  <si>
    <t>GOVERMENT COLLAGE OF ENGINEERING, JALGAON</t>
  </si>
  <si>
    <t>AutoCAD,MS Office,MS Project,Primavera,Sketchup,Lumion,Python,Excel,Tableau,Power bi</t>
  </si>
  <si>
    <t>MUKESH PATIL (Goverment Contractor) | Site Engineer  | Jalgaon | Sep 2023 | Jun 2025 | 1Y 9M | 1.6</t>
  </si>
  <si>
    <t>tejraj Group  | Engineering Department Intern (Contract &amp; Procurement, Site Execution &amp; Project Monitoring) | PUNE,MH  | May 2026 | Jul 2026 | 8.7142857142857 Weeks | Campus Internship
PUBLIC WORK DEPARTMENT GOVERMENT OF MAHARASHTRA | TRAINEE | JALGAON | Dec 2019 | Jan 2020 | 3.5714285714286 Weeks
GOVERMENT CONTRACTOR | TRAINEE | JALGAON | Apr 2022 | May 2022 | 5 Weeks</t>
  </si>
  <si>
    <t>AutoCAD 2d
Geographic Information System (GIS)
Brilliance Foundation (Quantity Surveying,Biling and Autocad 2d)
GCOEJ (SPORTFORD CERTIFACATE WINNER BADMINTION)
Info PLANET (C Programming)
SUNBEAM CERTIFICATE (PreCat-Preparatory Course For Entrance)
CDAC (PG DIPLOMA IN BIG DATA ANALYTICS)</t>
  </si>
  <si>
    <t>P25700678</t>
  </si>
  <si>
    <t>HEMANT</t>
  </si>
  <si>
    <t>HINGE</t>
  </si>
  <si>
    <t>Purva Hemant Hinge</t>
  </si>
  <si>
    <t>hingepurva@gmail.com</t>
  </si>
  <si>
    <t>p25700678@student.nicmar.ac.in</t>
  </si>
  <si>
    <t>6335 4371 1284</t>
  </si>
  <si>
    <t>HEMANT HINGE</t>
  </si>
  <si>
    <t>NITA HINGE</t>
  </si>
  <si>
    <t>ASHIRWAD APPT NEAR HYDERABAD GARAGE JATHARPETH AKOLA.</t>
  </si>
  <si>
    <t>SCHOOL OF SCHOLARS.</t>
  </si>
  <si>
    <t>MAHARASHTRA STATE BOARD OF SECONDARY AND HIGHER SECONDARY EDUCATION , PUNE.</t>
  </si>
  <si>
    <t>BHARTI VIDYAPEETH JAWAHARLAL NEHRU INSTITUTE OF TECHNOLOGY AND SCIENCE ,PUNE.</t>
  </si>
  <si>
    <t>SINHGAD INSTITUTE OF TECHNOLOGY AND SCIENCE, PUNE.</t>
  </si>
  <si>
    <t>Primavera,REVIT,AutoCAD,MS Project,MS Office</t>
  </si>
  <si>
    <t>GODREJ PROPERTIES LTD. | Operations Intern. | Pune | May 2026 | Jul 2026 | 8.7142857142857 Weeks | Campus Internship
DBR STRUCTURES | TRAINEE | NAGPUR | Dec 2023 | Jan 2024 | 2.8571428571429 Weeks
SWASTIK DEVELOPERS | TRAINEE | PUNE | Aug 2021 | Sep 2021 | 5.5714285714286 Weeks</t>
  </si>
  <si>
    <t>P25700679</t>
  </si>
  <si>
    <t>SWARAJ</t>
  </si>
  <si>
    <t>BALWADKAR</t>
  </si>
  <si>
    <t>Swaraj Kiran Balwadkar</t>
  </si>
  <si>
    <t>swarajbalwadkar91@gmail.com</t>
  </si>
  <si>
    <t>p25700679@student.nicmar.ac.in</t>
  </si>
  <si>
    <t>03-Jul-2003</t>
  </si>
  <si>
    <t>4164 5358 7385</t>
  </si>
  <si>
    <t>KIRAN BALWADKAR</t>
  </si>
  <si>
    <t>CHHAYA BALWADKAR</t>
  </si>
  <si>
    <t>401 Vinayak Mohan Nagar Baner Pune 411045</t>
  </si>
  <si>
    <t>DR. AC HIGH SCHOOL</t>
  </si>
  <si>
    <t>LAXMANROA APTE</t>
  </si>
  <si>
    <t>MIT WPU PUNE MAHARASHTRA</t>
  </si>
  <si>
    <t>P25700680</t>
  </si>
  <si>
    <t>VEERESH</t>
  </si>
  <si>
    <t>NAVALGUNDMATH</t>
  </si>
  <si>
    <t>Veeresh P Navalgundmath</t>
  </si>
  <si>
    <t>veereshveeresh68015@gmail.com</t>
  </si>
  <si>
    <t>p25700680@student.nicmar.ac.in</t>
  </si>
  <si>
    <t>ENGLISH, KANNADA AND HINDI</t>
  </si>
  <si>
    <t>3481 3878 8645</t>
  </si>
  <si>
    <t>PRABHURAJ B NAVALGUNDMATH</t>
  </si>
  <si>
    <t>SUNITA P NAVALGUNDMATH</t>
  </si>
  <si>
    <t>Veerapur Road Near Basav Mantap, Hubballi</t>
  </si>
  <si>
    <t>SUKRUTI PUBLIC SCHOOL, HUBBALLI</t>
  </si>
  <si>
    <t>KARNATAKA SECONDARY EDUCATION EXAMINATION BOARD, HUBBALLI</t>
  </si>
  <si>
    <t>C.I MUNAVALLI POLYTECHNIC , HUBBALLI</t>
  </si>
  <si>
    <t>KLE TECHNOLOGICAL UNIVERSITY, HUBBALLI</t>
  </si>
  <si>
    <t>KLE TECHNOLOGICAL UNIVERSITY, HUBALLI</t>
  </si>
  <si>
    <t>AutoCAD,MS Office,Primavera,Revit,3dsmax,Googlesketchup</t>
  </si>
  <si>
    <t>Bangalore Metro Rail Corporation Limited (BMRCL) | Construction Engineering Intern | Bangalore, Karnataka | May 2026 | Jun 2026 | 8.4285714285714 Weeks | Campus Internship
NHAI , R&amp;C COMPANY | INTERN | HUBBALLI NHAI 48 | Jan 2025 | Mar 2025 | 8.4285714285714 Weeks</t>
  </si>
  <si>
    <t>Google SketchUp
3dsmax
Revit
Auto CADD</t>
  </si>
  <si>
    <t>P25700681</t>
  </si>
  <si>
    <t>GANPAT</t>
  </si>
  <si>
    <t>KHODAKE</t>
  </si>
  <si>
    <t>Vaibhav Ganpat Khodake</t>
  </si>
  <si>
    <t>v.g.khodake@gmail.com</t>
  </si>
  <si>
    <t>p25700681@student.nicmar.ac.in</t>
  </si>
  <si>
    <t>25-May-2001</t>
  </si>
  <si>
    <t>5967 8169 8309</t>
  </si>
  <si>
    <t>HEAD OF THE DEPARTMENT (PROFESSOR)</t>
  </si>
  <si>
    <t>S.NO. 22/1/8, BUCHADEWASTI Near BARNE CRUSHER</t>
  </si>
  <si>
    <t>LAXMIBAI NANDGUDE HIGHSCHOOL</t>
  </si>
  <si>
    <t>JSPM'S RAJARSHRI SHAHU COLLEGE OF ENGINEERING, TATHAWADE, PUNE</t>
  </si>
  <si>
    <t>Project Management, Infrastructure Project Management, Contract Documentation, Business Development, Operations Consultant, Construction Risk Assessment Primavera P6, Microsoft Project, AutoCAD, Revit Architecture, Revit Navisworks, Microsoft Excel, Micro</t>
  </si>
  <si>
    <t>Rodic Consultants Private Limited | Operations Intern (Chief Operating office Intern)  | Mumbai | May 2026 | Jul 2026 | 8.7142857142857 Weeks | Campus Internship</t>
  </si>
  <si>
    <t>NASSCOM
Professional diploma in Civil Cad
NATIONAL LEVEL POST GRADUATE RESEARCH SYMPOSIUM (NLPGRS)-2026 Certificate of Appreciation
Coursera Linear Regression &amp; Predictive Modeling with SPSS
Coursera Data Analysis
Coursera Finance for Non-Financial Managers</t>
  </si>
  <si>
    <t>P25700682</t>
  </si>
  <si>
    <t>SUMANTH</t>
  </si>
  <si>
    <t>VALLAPA</t>
  </si>
  <si>
    <t>Sumanth Pradeep Vallapa</t>
  </si>
  <si>
    <t>sumanthpv30@gmail.com</t>
  </si>
  <si>
    <t>p25700682@student.nicmar.ac.in</t>
  </si>
  <si>
    <t>ENGLISH,KANNADA,HINDI,TELUGU</t>
  </si>
  <si>
    <t>9222 1874 5379</t>
  </si>
  <si>
    <t>PRADEEP GANGAIAH</t>
  </si>
  <si>
    <t>RASHMI PRADEEP</t>
  </si>
  <si>
    <t>No. 492, Next To Dead End, 3rd Floor, Sir M Vishveshwaraiah Main Rd, Pattanagere, RR Nagar, Bengaluru, Karnataka</t>
  </si>
  <si>
    <t>NATIONAL PUBLIC SCHOOL, BANASHANKARI</t>
  </si>
  <si>
    <t>PARIVARTHANA SCHOOL AND PU COLLEGE,SRIRANGAPATNA</t>
  </si>
  <si>
    <t>SJB SCHOOL OF ARCHITECTURE AND PLANNING, BENGALURU</t>
  </si>
  <si>
    <t>AutoCAD,SKETCHUP,LUMION,ENSCAPE,REVIT</t>
  </si>
  <si>
    <t>Purvankara Limited | Construction Management Intern – Project Execution &amp; Cross-Functional Operations | Bengaluru | May 2026 | Jul 2026 | 8.2857142857143 Weeks | Campus Internship
Genesis Architecture | Intern as Junior Architect  | BTM layout, Bengaluru  | Jan 2025 | Apr 2025 | 15.428571428571 Weeks</t>
  </si>
  <si>
    <t>P25700683</t>
  </si>
  <si>
    <t>CHETAN</t>
  </si>
  <si>
    <t>Chetan Mahesh Patil</t>
  </si>
  <si>
    <t>chetancmpatil@gmail.com</t>
  </si>
  <si>
    <t>p25700683@student.nicmar.ac.in</t>
  </si>
  <si>
    <t>3418 0868 9933</t>
  </si>
  <si>
    <t>MAHESH LALCHAND PATIL</t>
  </si>
  <si>
    <t>AARTI MAHESH PATIL</t>
  </si>
  <si>
    <t>PLOT NO.7, WAGHULDE NAGAR, NEAR S.M.I.T COLLEGE</t>
  </si>
  <si>
    <t>H 48, Kathora</t>
  </si>
  <si>
    <t>PROGRESSIVE ENGLISH MEDIUM SCHOOL</t>
  </si>
  <si>
    <t>G.H.RAISONI INSTITUTE OF ENGINEERING AND MANAGEMENT, JALGAON, MAHARASHTRA.</t>
  </si>
  <si>
    <t>KAVAYITRI BAHINABAI CHAUDHARI NORTH MAHARASHTRA UNIVERSITY JALGAON, MAHARASHTRA.</t>
  </si>
  <si>
    <t>AutoCAD,MS Office,MS Project,Revit,Naviswork,Lumion,Enscape,Primavera P6,Bexel Manager,Synchro,Autodesk Construction Cloud</t>
  </si>
  <si>
    <t>Indovance Pvt.Ltd | Design Engineer | pune | Sep 2024 | Mar 2025 | 0Y 5M | 3</t>
  </si>
  <si>
    <t>SOBHA LIMITED | Project Management Intern (Planning &amp; BIM) | Bengaluru, Karnataka | May 2026 | Jul 2026 | 9 Weeks | Campus Internship
UNIQUE CIVIL | INTERN BIM MODELER | PUNE | Apr 2024 | Sep 2024 | 21.857142857143 Weeks</t>
  </si>
  <si>
    <t>Naviswork
AutoCAD 2D &amp; 3D
Revit Architecture and Structure
Certified Information Manager Level 1 Basics Course (plannerly)
Certified Information Manager Level 2 Advanced Course (plannerly)
Certified Information Manager Level 3 Expert Course (plannerly)</t>
  </si>
  <si>
    <t>P25700684</t>
  </si>
  <si>
    <t>ELDHOSE</t>
  </si>
  <si>
    <t>MATHEW</t>
  </si>
  <si>
    <t>Eldhose K Mathew</t>
  </si>
  <si>
    <t>eldhosekmathew718@gmail.com</t>
  </si>
  <si>
    <t>p25700684@student.nicmar.ac.in</t>
  </si>
  <si>
    <t>10-Aug-2000</t>
  </si>
  <si>
    <t>ENGLISH,HINDI,MALAYALAM,TAMIL</t>
  </si>
  <si>
    <t>3631 9436 1614</t>
  </si>
  <si>
    <t>K.G.MATHEW</t>
  </si>
  <si>
    <t>RETIRED SECRETARY - COOPERATIVE BANK NEDUNGAPRA</t>
  </si>
  <si>
    <t>SAGILI ITTOOP</t>
  </si>
  <si>
    <t>RETIRED FIRST GRADE OVERSEER - KERALA IRRIGATION DEPARTMENT</t>
  </si>
  <si>
    <t>Kochery House Nedungapra P O, Perumbavoor</t>
  </si>
  <si>
    <t>JAWAHAR NAVODAYA VIDYALAYA NERIMANGALAM, ERNAKULAM</t>
  </si>
  <si>
    <t>CRESCENT PUBLIC SCHOOL ALUVA</t>
  </si>
  <si>
    <t>MUTHOOT INSTITUTE OF TECHNOLOGY AND SCIENCE</t>
  </si>
  <si>
    <t>AutoCAD,MS Office,MS Project,Primavera,Autodesk Revit,ETABS</t>
  </si>
  <si>
    <t>Sobha Limited | Planning Engineer | Bangalore | Dec 2022 | Jun 2025 | 2Y 5M | 3.44</t>
  </si>
  <si>
    <t>Deloitte | Intern- Audit &amp; Assurance - Controls Team | Mumbai | May 2026 | Jul 2026 | 8.5714285714286 Weeks | Campus Internship</t>
  </si>
  <si>
    <t>Advance Training Programme on Geographical
ETABS - Structural 3D Analysis
Revit &amp; Total Station</t>
  </si>
  <si>
    <t>P25700685</t>
  </si>
  <si>
    <t>PUJAN</t>
  </si>
  <si>
    <t>Pujan Tushar Patil</t>
  </si>
  <si>
    <t>pujanpatil1410@gmail.com</t>
  </si>
  <si>
    <t>p25700685@student.nicmar.ac.in</t>
  </si>
  <si>
    <t>14-Oct-2003</t>
  </si>
  <si>
    <t>2824 6292 4781</t>
  </si>
  <si>
    <t>54,Ram Vihar , Mayur Colony ,Deopur, Dhule</t>
  </si>
  <si>
    <t>CHAVARA HIGH SCHOOL</t>
  </si>
  <si>
    <t>ZULAL BHILAJIRAO PATIL COLLEGE DHULE</t>
  </si>
  <si>
    <t>SHRI VILE PARLE KELAVANI MANDAL INSITITUTE OF TECHNOLOGY DHULE</t>
  </si>
  <si>
    <t>AutoCAD,MS Office,MS Project,3DSMax,Revit,VRay</t>
  </si>
  <si>
    <t>ANP Corp | Software Systems Intern – Design &amp; Coordination | Balewadi High Street, Baner, Pune, Maharashtra | May 2026 | Jul 2026 | 8.7142857142857 Weeks | Campus Internship
Indian Institute of Technology Indore | Intern | Geohazards Lab, IIT Indore, Simrol, Indore â€“ 453552, Madhya Pradesh | Mar 2025 | Jun 2025 | 12.571428571429 Weeks</t>
  </si>
  <si>
    <t>AutoCad Essentials
Revit Architecture
STAAD. Pro
Essential in Max of engineers for institutes</t>
  </si>
  <si>
    <t>P25700686</t>
  </si>
  <si>
    <t>SIDDHANT</t>
  </si>
  <si>
    <t>MOHEKAR</t>
  </si>
  <si>
    <t>Siddhant Pramod Mohekar</t>
  </si>
  <si>
    <t>mohekarsiddhant8@gmail.com</t>
  </si>
  <si>
    <t>p25700686@student.nicmar.ac.in</t>
  </si>
  <si>
    <t>17-Apr-1999</t>
  </si>
  <si>
    <t>7454 8201 6089</t>
  </si>
  <si>
    <t>PRAMOD MOHEKAR</t>
  </si>
  <si>
    <t>MADHURI MOHEKAR</t>
  </si>
  <si>
    <t>Ash 302, Rosalie Lx, Godrej Hill Road, Khadakpada, Kalyan West</t>
  </si>
  <si>
    <t>RCTS P.M.M ROTARY SCHOOL AMBERNATH</t>
  </si>
  <si>
    <t>NEW ENGLISH HIGH SCHOOL AND JUNIOR COLLEGE, ULHASNAGAR</t>
  </si>
  <si>
    <t>DILKAP RESEARCH INSTITUTE OF ENGINEERING, NERAL</t>
  </si>
  <si>
    <t>Biltrax Construction Data | Analyst | Navi Mumbai | Mar 2023 | Aug 2024 | 1Y 4M | 3</t>
  </si>
  <si>
    <t>Sribal Construction Company | Contracts and Procurement Engineer | Bangalore | May 2026 | Jul 2026 | 8.7142857142857 Weeks | Campus Internship</t>
  </si>
  <si>
    <t>P25700687</t>
  </si>
  <si>
    <t>DURGESH</t>
  </si>
  <si>
    <t>THAKUR</t>
  </si>
  <si>
    <t>Anand Durgesh Thakur</t>
  </si>
  <si>
    <t>adthak98@gmail.com</t>
  </si>
  <si>
    <t>p25700687@student.nicmar.ac.in</t>
  </si>
  <si>
    <t>03-Jun-1998</t>
  </si>
  <si>
    <t>9682 5233 0184</t>
  </si>
  <si>
    <t>DURGESH DEVIDAS THAKUR</t>
  </si>
  <si>
    <t>GRADUATE</t>
  </si>
  <si>
    <t>RATNA DURGESH THAKUR</t>
  </si>
  <si>
    <t>GOKUL NAGAR NANDURA ROAD KHAMGAON</t>
  </si>
  <si>
    <t>AK NATIONAL HEIGH SCHOOL KHAMGAON</t>
  </si>
  <si>
    <t>THE MAHARASHTRA STATE BOARD OF SECONDARY AND HIGHER SECONDARY EDUCATION</t>
  </si>
  <si>
    <t>MAULI JR COLLEGE SHEGAON</t>
  </si>
  <si>
    <t>SINHGAD COLLEGE OF ENGINEERING PUNE</t>
  </si>
  <si>
    <t>Asian paints LTD | Sales management intern | Sambhaji nagar Maharashtra  | May 2026 | Jul 2026 | 8.7142857142857 Weeks | Campus Internship
GURU CONSTRUCTIONS | SITE ENGINEER | KHAMGAON  | Jul 2021 | Aug 2023 | 112.57142857143 Weeks</t>
  </si>
  <si>
    <t>P25700688</t>
  </si>
  <si>
    <t>Abhishek Gokul Thakur</t>
  </si>
  <si>
    <t>abhishekgokulthakur@gmail.com</t>
  </si>
  <si>
    <t>p25700688@student.nicmar.ac.in</t>
  </si>
  <si>
    <t>8552 3289 6053</t>
  </si>
  <si>
    <t>Plot No.112, Lane No.7, Surewadi, Jadhavwadi, Harsul, Aurangabad</t>
  </si>
  <si>
    <t>SENT LAWRENCE MARATHI HIGH SCHOOL, AURANGABAD</t>
  </si>
  <si>
    <t>SHRI SHIVAJI SCIENCE COLLEGE, AMRAVATI</t>
  </si>
  <si>
    <t>Sobha Limited | Site execution intern | Bengaluru  | May 2026 | Jul 2026 | 9 Weeks | Campus Internship
Jogeshwari Construction | Civil Intern | Dhule, Maharashtra | Sep 2024 | Mar 2025 | 29.285714285714 Weeks</t>
  </si>
  <si>
    <t>P25700689</t>
  </si>
  <si>
    <t>ROSHAN</t>
  </si>
  <si>
    <t>SHIKHARE</t>
  </si>
  <si>
    <t>Roshan Suresh Shikhare</t>
  </si>
  <si>
    <t>roshanshikhare084@gmail.com</t>
  </si>
  <si>
    <t>p25700689@student.nicmar.ac.in</t>
  </si>
  <si>
    <t>3289 3982 0672</t>
  </si>
  <si>
    <t>SURESH SHIKHARE</t>
  </si>
  <si>
    <t>Near Desai Wada, Gandhi Chowk, Minche</t>
  </si>
  <si>
    <t>SHRI BALVANTRAO YADAV HIGH SCHOOL, PETH VADGAON</t>
  </si>
  <si>
    <t>SANJAY GHODAWAT POLYTECHNIC, ATIGRE</t>
  </si>
  <si>
    <t>TATYASAHEB KORE INSTITUTE OF ENGINEERING AND TECHNOLOGY, WARANANAGAR</t>
  </si>
  <si>
    <t>AutoCAD,MS Office,MS Project,Primavera,Staad pro,Etaab,CostX</t>
  </si>
  <si>
    <t>Vaishnavi Developers And Builders |  Site Execution and Planning | Pune | May 2026 | Jul 2026 | 8.7142857142857 Weeks | Campus Internship
SSPA Consulting Engineers |  Structural Design Intern | Pune, Kothrud | Jan 2025 | Apr 2025 | 12.857142857143 Weeks</t>
  </si>
  <si>
    <t>Revit and Staad pro
NSPC
coursera certificate
 proficient in microsoft project
 proficient in primavera</t>
  </si>
  <si>
    <t>P25700690</t>
  </si>
  <si>
    <t>ARSHAD</t>
  </si>
  <si>
    <t>AYYUB</t>
  </si>
  <si>
    <t>MULANI</t>
  </si>
  <si>
    <t>Arshad Ayyub Mulani</t>
  </si>
  <si>
    <t>mulaniaaofficial@gmail.com</t>
  </si>
  <si>
    <t>p25700690@student.nicmar.ac.in</t>
  </si>
  <si>
    <t>07-Apr-2003</t>
  </si>
  <si>
    <t>6831 7647 6505</t>
  </si>
  <si>
    <t>RETIRED GOVERNMENT DEPUTY ENGINEER</t>
  </si>
  <si>
    <t>AFROJ</t>
  </si>
  <si>
    <t>FLAT NO.H - 303 _x000D_
THIRD FLOOR_x000D_
AMIT BLOOMFIELD_x000D_
BLOCK SECTOR NEAR NAWALE HOSPITAL ROAD, PUNE - BANGLORE HIGHWAY _x000D_
AMBEGAON BK _x000D_</t>
  </si>
  <si>
    <t>Plot No.15,16, Survey No.65/1, Padmavati Nagar Road, Near Airport, Bhadkamkar Nagar, Phaltan -415523</t>
  </si>
  <si>
    <t>MUDHOJI HIGH SCHOOL AND JUNIOR COLLEGE, PHALTAN</t>
  </si>
  <si>
    <t>KOLHAPUR DIVISIONAL BOARD</t>
  </si>
  <si>
    <t>RIZVI COLLEGE OF ARCHITECTURE, MUMBAI, MAHARASHTRA</t>
  </si>
  <si>
    <t>AutoCAD,MS Office,MS Project,Primavera,SketchUp,Rhinoceros 3D,Revit,Archicad,Grasshopper,Dynamo,Lumion,Twinmotion,Enscape,V-Ray,D5 Render,Adobe Photoshop,Adobe Illustrator,Adobe InDesign,Canva,Velux Daylight Visualizer,Model making (physical),CostX</t>
  </si>
  <si>
    <t>Raisoni Corp. | Project Controls Intern | Office Plot No. 5 A 1 CTS 6 &amp; 7, Lotus House, Lane E, North Main Road, Koregaon Park, Pune-411001, Maharashtra, India. | May 2026 | Jul 2026 | 9.7142857142857 Weeks | Campus Internship
AGORA Designers Pvt. Ltd. | Intern Architect | Deccan Gymkhana, Pune | Jan 2024 | May 2024 | 17.571428571429 Weeks</t>
  </si>
  <si>
    <t>Completed â€œShared Heritageâ€ program, Rizvi College of Architecture, Mumbai
Completed â€œProject Admin (Scholar)â€, digiQC Academy â€“ Focus on project administration, documentation, and quality processes
Completed â€œHuman Resources Management Essentialsâ€, Coursera (Johns Hopkins University)
Completed â€œFinance for Non-Financial Managersâ€, Coursera (Emory University)
Completed â€œData Analysisâ€, Coursera (SP Jain Institute of Management &amp; Research)
Completed â€œBusiness Analytics with Excel: Elementary to Advanced Excelâ€, Coursera (Johns Hopkins University)</t>
  </si>
  <si>
    <t>P25700691</t>
  </si>
  <si>
    <t>DHARMENDRA</t>
  </si>
  <si>
    <t>AHIR</t>
  </si>
  <si>
    <t>Vedant Dharmendra Ahir</t>
  </si>
  <si>
    <t>ar.ahirvedant@gmail.com</t>
  </si>
  <si>
    <t>p25700691@student.nicmar.ac.in</t>
  </si>
  <si>
    <t>28-Sep-2002</t>
  </si>
  <si>
    <t>8684 2174 4261</t>
  </si>
  <si>
    <t>DEVELOPER, CIVIL CONTRACTOR.</t>
  </si>
  <si>
    <t>A-302, Jai Sai Dham Society, Sodawala Lane, Borivali West, Mumbai-400092</t>
  </si>
  <si>
    <t>SWAMI VIVEKANAND INTERNATIONAL SCHOOL &amp; JR. COLLEGE.</t>
  </si>
  <si>
    <t>MAHARASHTRA STATE BOARD OF SECONDARY AND HIGHER SECONDARY EDUCATION, MUMBAI DIVISIONAL BOARD, MAHARASHTRA.</t>
  </si>
  <si>
    <t>NIRMALA MEMORIAL FOUNDATION JUNIOR COLLEGE OF COMMERCE &amp; SCIENCE</t>
  </si>
  <si>
    <t>THAKUR SCHOOL OF ARCHITECTURE &amp; PLANNING</t>
  </si>
  <si>
    <t>AutoCAD,MS Office,MS Project,Primavera,Revit,Photoshop,Endscape,Twinmotion,Sketchup</t>
  </si>
  <si>
    <t>Goa State Infrastructure Development Corporation Ltd. (GSIDC)  | Intern-Site Execution | Goa | May 2026 | Jul 2026 | 8.7142857142857 Weeks | Campus Internship
A+ Architects +Planners | Intern Architect | Borivali East, Mumbai | Jan 2024 | Jun 2024 | 25.857142857143 Weeks</t>
  </si>
  <si>
    <t>P25700692</t>
  </si>
  <si>
    <t>MOUNIKA</t>
  </si>
  <si>
    <t>KURMA</t>
  </si>
  <si>
    <t>Mounika Kurma</t>
  </si>
  <si>
    <t>kurma.mounikaaa@gmail.com</t>
  </si>
  <si>
    <t>p25700692@student.nicmar.ac.in</t>
  </si>
  <si>
    <t>2884 3353 5250</t>
  </si>
  <si>
    <t>MOSES KURMA</t>
  </si>
  <si>
    <t>SIRISHA KURMA</t>
  </si>
  <si>
    <t>F - 603, VTP BELAIR, BLUEWATERS TOWNSHIP, PUNE, MAHARASHTRA</t>
  </si>
  <si>
    <t>21-11-61/A, G3, M S Towers, 3rd Lane, Beside SBI ATM, Madhuranagar, Vijayawada, NTR District, Andhra Pradesh</t>
  </si>
  <si>
    <t>N T Rama Rao</t>
  </si>
  <si>
    <t>SEVENTH DAY ADVENTIST HIGH SCHOOL</t>
  </si>
  <si>
    <t>ANDHRA LOYOLA COLLEGE</t>
  </si>
  <si>
    <t>CHRIST ( DEEMED TO BE UNIVERSITY)</t>
  </si>
  <si>
    <t>CHRIST ( DEEMED TO BE UNIVERSITY), BANGALORE, KARNATAKA</t>
  </si>
  <si>
    <t>AutoCAD,MS Office,MS Project,Primavera,Adobe Photoshop,canva</t>
  </si>
  <si>
    <t>Kamala Farms | Project Operations Intern | Hyderabad | May 2026 | Jul 2026 | 8.7142857142857 Weeks | Campus Internship
Manipal Health Enterprises Private Limited | Project Management &amp; Project Controls | Bangalore | Dec 2023 | Jul 2024 | 30.428571428571 Weeks
S V Associates | Site Execution + Control | Guntur | May 2023 | Jun 2023 | 4.2857142857143 Weeks
S V K CONSTRUCTIONS | Site Execution + Control | Vijayawada | May 2022 | Jun 2022 | 4.1428571428571 Weeks</t>
  </si>
  <si>
    <t>P25700693</t>
  </si>
  <si>
    <t>Vedant Pandharinath Gunjal</t>
  </si>
  <si>
    <t>gunjalvedant5@gmail.com</t>
  </si>
  <si>
    <t>p25700693@student.nicmar.ac.in</t>
  </si>
  <si>
    <t>05-Apr-2002</t>
  </si>
  <si>
    <t>2616 2908 8058</t>
  </si>
  <si>
    <t>Gunjal Vasti, Kelwad KH, Taluka Rahata, Dist. Ahmadnagar.</t>
  </si>
  <si>
    <t>ABHINAV AADRASH HIGH SCHOOL</t>
  </si>
  <si>
    <t>P.DR.V.V.PATIL,POLYTECHNIC , LONI.</t>
  </si>
  <si>
    <t>AutoCAD,MS Office,MS Project,Primavera,sketchup,googleearthpro,Civil3D</t>
  </si>
  <si>
    <t>Goa State infrastructure development corporation  | Site execution  | Bambolim. Goa | May 2026 | Jul 2026 | 8.7142857142857 Weeks | Campus Internship
Aware Constructions | Site Engineer  | Ahmednagar | Jun 2022 | Dec 2022 | 26.142857142857 Weeks
Harsh builders &amp; developers | Quantity surveying, estimation and billing | Ahmadnagar  | Dec 2024 | Jun 2025 | 26 Weeks</t>
  </si>
  <si>
    <t>P25700695</t>
  </si>
  <si>
    <t>BHAURAHA</t>
  </si>
  <si>
    <t>Durgesh Bhauraha</t>
  </si>
  <si>
    <t>durgeshmishra584@gmail.com</t>
  </si>
  <si>
    <t>p25700695@student.nicmar.ac.in</t>
  </si>
  <si>
    <t>15-Jul-1995</t>
  </si>
  <si>
    <t>4805 8932 3772</t>
  </si>
  <si>
    <t>ASHOK KUMAR</t>
  </si>
  <si>
    <t>2/38 Sector B Priyadarshini Coloney</t>
  </si>
  <si>
    <t>MONTFORT INTER COLLEGE</t>
  </si>
  <si>
    <t>BOARD OF HIGH SCHOOL AND INTERMEDIATE EDUCATION, U.P</t>
  </si>
  <si>
    <t>2010-Jul</t>
  </si>
  <si>
    <t>DR APJ ABDUL KALAM TECHNICAL UNIVERSITY</t>
  </si>
  <si>
    <t>KRISHNA INSTITUTE OF ENGINEERING AND TECHNOLOGY GHAJIABAD UTTARPRADESH</t>
  </si>
  <si>
    <t>MAA BHAVANI CONSTRUCTION | SITE ENGINEER | RAEBARELI UTTARPRADESH | Jun 2018 | Jan 2020 | 1Y 6M | 2.4
M/S JMD INFRASTRUCTURE | CONSULTING ENGINEER | AYODHYA AND RAEBARELI | Feb 2020 | Jun 2022 | 2Y 4M | 3.8</t>
  </si>
  <si>
    <t>3 Years 11 Months</t>
  </si>
  <si>
    <t>Prestige Estates Project Limited | Site Execution Intern. | INDIRAPURAM , GAZIABAD. | May 2026 | Jul 2026 | 8.5714285714286 Weeks | Campus Internship</t>
  </si>
  <si>
    <t>autocad ,revit ,staad.</t>
  </si>
  <si>
    <t>P25700696</t>
  </si>
  <si>
    <t>NITESH</t>
  </si>
  <si>
    <t>LAGASHETTY</t>
  </si>
  <si>
    <t>Nitesh A Lagashetty</t>
  </si>
  <si>
    <t>lagashettynitesh@gmail.com</t>
  </si>
  <si>
    <t>p25700696@student.nicmar.ac.in</t>
  </si>
  <si>
    <t>7635 3725 8985</t>
  </si>
  <si>
    <t>H NO 2-907-78-39 MG ROAD NEELAMBIKA NILAYA NEAR SGN COLLEGE LAXMI NAGAR MB NAGAR GULBARGA KALABURAGI</t>
  </si>
  <si>
    <t>KARNATAKA SECONDARY EDUCATION EXAMINATION BOARD, KALABURAGI, KARNATAKA.</t>
  </si>
  <si>
    <t>S BASAVESWAR RESI PU COLLEGE SHARANA NAGAR</t>
  </si>
  <si>
    <t>DEPARTMENT OF PRE-UNIVERSITY EDUCATION KALABURAGI KARNATAKA</t>
  </si>
  <si>
    <t>POOJYA DODDAPPA APPA COLLEGE OF ENGINEERING KALABURAGI KARNATAKA</t>
  </si>
  <si>
    <t>Suryapriya Construction Pvt Ltd | QA/QC intern | Bengaluru | May 2026 | Jul 2026 | 8.7142857142857 Weeks | Campus Internship
HARKUD SHREE BUILDERS | Site Engineer | JAMSHETTY LAYOUT AND NEAR SAI MANDIR KALBURAGI. | Feb 2025 | May 2025 | 12.714285714286 Weeks</t>
  </si>
  <si>
    <t>AUTOCAD CIVIL</t>
  </si>
  <si>
    <t>P25700697</t>
  </si>
  <si>
    <t>BANDE</t>
  </si>
  <si>
    <t>Ritesh Satish Bande</t>
  </si>
  <si>
    <t>riteshbande32@gmail.com</t>
  </si>
  <si>
    <t>p25700697@student.nicmar.ac.in</t>
  </si>
  <si>
    <t>20-Aug-2003</t>
  </si>
  <si>
    <t>ENGLISH,HINDI,MARATHI,KANNADA</t>
  </si>
  <si>
    <t>9250 0918 8353</t>
  </si>
  <si>
    <t>SATISH BANDE</t>
  </si>
  <si>
    <t>RUPALI BANDE</t>
  </si>
  <si>
    <t>32, KuberLaxmi Vihar Near IMS School Jule Solapur</t>
  </si>
  <si>
    <t>EXTERNAL STUDENT (FORM 17)</t>
  </si>
  <si>
    <t>MAHARASHTRA STATE BOARD OF SECONDARY AND HIGHER EDUCATION,PUNE,MAHARASHTRA</t>
  </si>
  <si>
    <t>DIPLOMA IN CIVIL  ENGINEERING</t>
  </si>
  <si>
    <t>A.G.PATIL POLYTECHNIC INSTITUTE , SOLAPUR</t>
  </si>
  <si>
    <t>WALCHAND  INSTITUTE OF TECHNOLOGY</t>
  </si>
  <si>
    <t>PARANJPE SCHEMES (CONSTRUCTION)  LIMITED | INTERN | FOREST TRIALS TOWNSHIP "RIVOLO",PUNE   | May 2026 | Jul 2026 | 8.7142857142857 Weeks | Campus Internship
RATNAKAR BIRAJDAR ENGINEERS. |  INTERN PROJECT MANAGER | SOLAPUR | Dec 2024 | Apr 2025 | 20 Weeks
Sponsored by Punyashlok Ahilyadevi Holkar Solapur University ,Solapur | Traffic Surveyor | Solapur | Dec 2023 | Feb 2024 | 8.8571428571429 Weeks</t>
  </si>
  <si>
    <t>P25700698</t>
  </si>
  <si>
    <t>KSHITIJ</t>
  </si>
  <si>
    <t>JALGAONKAR</t>
  </si>
  <si>
    <t>Kshitij Manohar Jalgaonkar</t>
  </si>
  <si>
    <t>kshitijjalgaonkar@gmail.com</t>
  </si>
  <si>
    <t>p25700698@student.nicmar.ac.in</t>
  </si>
  <si>
    <t>23-Dec-1999</t>
  </si>
  <si>
    <t>5134 7059 9837</t>
  </si>
  <si>
    <t>MANSEE</t>
  </si>
  <si>
    <t>House No. 582 Rohidas Wadi, Umbarle, Tal- Dapoli, Dist- Ratnagiri</t>
  </si>
  <si>
    <t>ALFRED GADNEY HIGH SCHOOL, DAPOLI</t>
  </si>
  <si>
    <t>MAHARASHTRA STATE BOARD SECONDARY AND HIGHER SECONDARY EDUCATION, PUNE</t>
  </si>
  <si>
    <t>WARNA VIDYANIKETAN AND ABASAHEB PATIL JUNIOR COLLEGE OF SCIENCE, NAVE PARGAON</t>
  </si>
  <si>
    <t>THAKUR COLLEGE OF ENGINEERING AND TECHNOLOGY, KANDIVALI, MUMBAI</t>
  </si>
  <si>
    <t>E I Technologies Private Limited | Assistant Engineer | Bangalore | Jul 2023 | Jul 2025 | 1Y 11M | 2.82</t>
  </si>
  <si>
    <t>SOBHA LIMITED | Project Management Intern | Banglaore | May 2026 | Jul 2026 | 9 Weeks | Campus Internship
Avishkar Developrers | Site Engineer (Trainee) | Dapoli | Dec 2021 | Jan 2022 | 7.4285714285714 Weeks
Avishkar Developrers | Site Engineer (Trainee) | Dapoli | Jun 2021 | Jul 2021 | 8.5714285714286 Weeks</t>
  </si>
  <si>
    <t>Plannerly - Level 1 (Basic)
Plannerly - Level 2 (Advance)
Plannerly - Level 3 (Expert)</t>
  </si>
  <si>
    <t>P25700699</t>
  </si>
  <si>
    <t>ARNAV</t>
  </si>
  <si>
    <t>VINAY</t>
  </si>
  <si>
    <t>MULGAONKAR</t>
  </si>
  <si>
    <t>Arnav Vinay Mulgaonkar</t>
  </si>
  <si>
    <t>arnavmulgaonkar@gmail.com</t>
  </si>
  <si>
    <t>p25700699@student.nicmar.ac.in</t>
  </si>
  <si>
    <t>12-Nov-2003</t>
  </si>
  <si>
    <t>english, hindi, marathi</t>
  </si>
  <si>
    <t>5100 7496 8615</t>
  </si>
  <si>
    <t>VINAY MULGAONKAR</t>
  </si>
  <si>
    <t>MEGHNA MULGAONKAR</t>
  </si>
  <si>
    <t>ACCENT TRAINER</t>
  </si>
  <si>
    <t>1903, Ashwa Platinum , Din Dayal Upadhyay Marg, Mulund West</t>
  </si>
  <si>
    <t>V.P.M.'S INTERNATIONAL SCHOOL</t>
  </si>
  <si>
    <t>COUNCIL FOR THE INDIAN SCHOOL CERTIFICATE EXAMINATIONS , NEW DELHI</t>
  </si>
  <si>
    <t>WAMAN RAO MURANJAN JUNIOR COLLEGE OF SCIENCE &amp; COMMERCE</t>
  </si>
  <si>
    <t>MAHARASTRA STATE BOARD OF SECONDARY AND HIGHER EDUCATION , PUNE</t>
  </si>
  <si>
    <t>DATTA MEGHE COLLEGE OF ENGINEERING , AIROLI</t>
  </si>
  <si>
    <t>J KUMAR INFRA PROJECTS LTD | INTERN | Ulwe , Navi Mumbai , Maharashtra | May 2026 | Jul 2026 | 9.7142857142857 Weeks | Campus Internship
IDEASEse | Intern | Kharghar, Navi Mumbai | Jan 2025 | Feb 2025 | 8.2857142857143 Weeks</t>
  </si>
  <si>
    <t>P25700700</t>
  </si>
  <si>
    <t>CHARUDATTA</t>
  </si>
  <si>
    <t>JOSHI</t>
  </si>
  <si>
    <t>Prathamesh Charudatta Joshi</t>
  </si>
  <si>
    <t>prathameshjoshi424@gmail.com</t>
  </si>
  <si>
    <t>p25700700@student.nicmar.ac.in</t>
  </si>
  <si>
    <t>31-Aug-2000</t>
  </si>
  <si>
    <t>5740 8577 4933</t>
  </si>
  <si>
    <t>CHARUDATTA ANANT JOSHI</t>
  </si>
  <si>
    <t>PLOT NO-20, NIRANJAN HOUSING SOCIETY, KATRAJ-KONDHWA ROAD</t>
  </si>
  <si>
    <t>821 C Ward Chougule Lane Kagal Dist- Kolhapur</t>
  </si>
  <si>
    <t>HOLYDEN ENGLISH MEDIUM SCHOOL, KAGAL</t>
  </si>
  <si>
    <t>MAHARASHTRA STATE BOARD OF SECONDARY AND HIGHER EDUCATION,KOLHAPUR.</t>
  </si>
  <si>
    <t>GOVERNMENT POLYTECHNIC KOLHAPUR. MAHARASHTRA</t>
  </si>
  <si>
    <t>SHIVAJI UNIVERSITY, KOLHAPUR.</t>
  </si>
  <si>
    <t>TATYASAHEB KORE INSTITUTE OF ENGINEERING AND TECHNOLOGY KOLHAPUR. MAHARASHTRA</t>
  </si>
  <si>
    <t>Construction Point.Pvt.Ltd | Junior Planning Engineer | Pune Maharashtra. | Sep 2024 | Jul 2025 | 0Y 9M | 2.64</t>
  </si>
  <si>
    <t>Goa State Infrastructure Development Corporation | Summer Intern- Site Execution | Goa | May 2026 | Jul 2026 | 8.7142857142857 Weeks | Campus Internship
Disha Construction | Civil- Supervisor Intern | Kagal Dist- Kolhapur | Jan 2021 | Mar 2021 | 8.5714285714286 Weeks</t>
  </si>
  <si>
    <t>P25700701</t>
  </si>
  <si>
    <t>SAILEE</t>
  </si>
  <si>
    <t>AJIT</t>
  </si>
  <si>
    <t>SALI</t>
  </si>
  <si>
    <t>Sailee Ajit Sali</t>
  </si>
  <si>
    <t>saileesali1107@gmail.com</t>
  </si>
  <si>
    <t>p25700701@student.nicmar.ac.in</t>
  </si>
  <si>
    <t>11-Jul-2002</t>
  </si>
  <si>
    <t>Hindi, English, Marathi</t>
  </si>
  <si>
    <t>6749 4208 4735</t>
  </si>
  <si>
    <t>AJIT SALI</t>
  </si>
  <si>
    <t>REVENUE DEPT.</t>
  </si>
  <si>
    <t>MANISHA SALI</t>
  </si>
  <si>
    <t>JUDICAIL OFFICER</t>
  </si>
  <si>
    <t>1302, JM Road , Shivajinagar, Pune-411005</t>
  </si>
  <si>
    <t>ST. ANNE'S HIGH SCHOOL, PUNE</t>
  </si>
  <si>
    <t>BHARTI VIDYAPEETH'S JAWAHARLAL NEHRU INSTITUE OF  TECHNOLOGY ( POLYTECHNIC),PUNE</t>
  </si>
  <si>
    <t>SINHGAD INSTITUE OF TECHNOLOGY AND SCIENCE (SITS), PUNE</t>
  </si>
  <si>
    <t>AutoCAD,MS Office,MS Project,Primavera,Cost x,Revit,Naviswork,Ms Excel,Power Point Presentation</t>
  </si>
  <si>
    <t>Boxoffice Space | Execution Intern | Baner,Pune | May 2026 | Jul 2026 | 8.7142857142857 Weeks | Campus Internship
Swastik Developers | Trainee Junior Engineer  | Pune | Aug 2021 | Sep 2021 | 5.5714285714286 Weeks
Pune Municipal Corporation, Pune | Trainee Junior Engineer | Pune Municipal Corporation, Pune | Oct 2024 | Mar 2025 | 25.857142857143 Weeks
Maharashtra Metro Rail Corporation Limited | Trainee Junior Engineer | Pune Metro, Maharashtra | Dec 2023 | Jan 2024 | 4.2857142857143 Weeks</t>
  </si>
  <si>
    <t>P25700702</t>
  </si>
  <si>
    <t>Adarsh Singh</t>
  </si>
  <si>
    <t>adarshsingh4471@gmail.com</t>
  </si>
  <si>
    <t>p25700702@student.nicmar.ac.in</t>
  </si>
  <si>
    <t>7770 4156 3433</t>
  </si>
  <si>
    <t>VIJAY SINGH</t>
  </si>
  <si>
    <t>SERVICES</t>
  </si>
  <si>
    <t>NITU SINGH</t>
  </si>
  <si>
    <t>SOCIAL WORK</t>
  </si>
  <si>
    <t>101 Omkar Enclave , Sant Nagar, _x000D_
Lane No 2 , Lohegaon Wagholi Road ,Lohegaon , Pune, 411047</t>
  </si>
  <si>
    <t>THE CENTRAL BOARD OF SECONDARY EDUCATION</t>
  </si>
  <si>
    <t>S.N.B.P INTERNATIONAL SCHOOL</t>
  </si>
  <si>
    <t>MAHARASTRA STATE BOARD OF  SECONDARY AND HIGHER  SECONDARY EDUCATION</t>
  </si>
  <si>
    <t>DR D.Y. PATIL INSTITUTION OF  TECHNOLOGY , MAHARASHTRA</t>
  </si>
  <si>
    <t>Sobha Limited | Intern  | Banglore | May 2026 | Jul 2026 | 9 Weeks | Campus Internship</t>
  </si>
  <si>
    <t>P25700703</t>
  </si>
  <si>
    <t>HIRAL</t>
  </si>
  <si>
    <t>CHAWDA</t>
  </si>
  <si>
    <t>Hiral Chawda</t>
  </si>
  <si>
    <t>hiralchawda001@gmail.com</t>
  </si>
  <si>
    <t>p25700703@student.nicmar.ac.in</t>
  </si>
  <si>
    <t>25-Nov-1994</t>
  </si>
  <si>
    <t>GUJARATI, HINDI, ENGLISH</t>
  </si>
  <si>
    <t>9677 0094 7556</t>
  </si>
  <si>
    <t>DIPAKBHAI RATHOD</t>
  </si>
  <si>
    <t>PRATIMABEN RATHOD</t>
  </si>
  <si>
    <t>C-1108, ALKASA SOCIETY, TARVADEWASTI, HADAPSAR,</t>
  </si>
  <si>
    <t>B-4, Agyeya Nagar, Bilaspur Chhattisgarh</t>
  </si>
  <si>
    <t>MATRUCHAYA KANYA VIDYALAYA - BHUJ</t>
  </si>
  <si>
    <t>GUJARAT SECONDARY &amp; HIGHER SECONDARY EDUCATION BOARD, BHUJ-GUJARAT</t>
  </si>
  <si>
    <t>KRISHNA SCIENCE HIGH SCHOOL</t>
  </si>
  <si>
    <t>GUJARAT SECONDARY &amp; HIGHER SECONDARY EDUCATION BOARD, RAJKOT-GUJARAT</t>
  </si>
  <si>
    <t>VEER NARMAD SOUTH GUJARAT UNIVERSITY, SURAT-GUJARAT</t>
  </si>
  <si>
    <t>SARVAJANIK COLLEGE OF ENGINEERING &amp; TECHNOLOGY, SURAT-GUJARAT</t>
  </si>
  <si>
    <t>AutoCAD,Sketchup,Revit,Lumion,Enscape,Navisworks,MS Project, Primvera</t>
  </si>
  <si>
    <t>vConstruct Private Limited | Project Engineer | Pune | Mar 2020 | Jul 2023 | 3Y 4M | 5.3</t>
  </si>
  <si>
    <t>CCL-City Corporation Limited | Site Engineer | Pune | May 2026 | Jul 2026 | 8.7142857142857 Weeks | Campus Internship
Ojas Hirani Architects &amp; Engineers | Jr.Architect | Ahmedabad, Gujarat | Feb 2018 | Aug 2018 | 27.857142857143 Weeks
Mamta Shah &amp; Associates | Jr.Architect | Vadodara, Gujarat | Dec 2015 | Nov 2016 | 46.714285714286 Weeks</t>
  </si>
  <si>
    <t xml:space="preserve">Lean Leadership
Lean Six Sigma Green Belt </t>
  </si>
  <si>
    <t>P25700704</t>
  </si>
  <si>
    <t>JAGDALE</t>
  </si>
  <si>
    <t>Rushikesh Ganesh Jagdale</t>
  </si>
  <si>
    <t>rushikeshjagdale79@gmail.com</t>
  </si>
  <si>
    <t>p25700704@student.nicmar.ac.in</t>
  </si>
  <si>
    <t>09-Aug-2003</t>
  </si>
  <si>
    <t>3776 3365 9577</t>
  </si>
  <si>
    <t>SHILA</t>
  </si>
  <si>
    <t>A/P NIRA TAL PURANDAR DIS PUNE_x000D_</t>
  </si>
  <si>
    <t>At.Nanegaon Post Davarwadi , Dawarwadi, Aurangabad Maharashtra 431107</t>
  </si>
  <si>
    <t>ST. ANN'S ENGLISH MEDIUM SCHOOL LONAND, MAHARASHTRA</t>
  </si>
  <si>
    <t>SHRI SOMESHWAR SHIKSHAN PRASARAK MANDAL'S SOMESHWAR SCIENCE COLLEGE, SOMESHWARNAGAR</t>
  </si>
  <si>
    <t>VIDYA PRATISHTHAN'S COLLEGE OF ENGINEERING, BARAMATI</t>
  </si>
  <si>
    <t>AutoCAD,MS Office,MS Project,Primavera,QGIS (Basic)</t>
  </si>
  <si>
    <t>New Consolidated Construction Company Limited | Project Management Intern | Mumbai | May 2026 | Jul 2026 | 8.8571428571429 Weeks | Campus Internship
SHRI SHIRSAI BUILDERS &amp; DEVELOPERS | ENGINEER TRAINEE | JALOCHI BARAMATI | Jan 2024 | Feb 2024 | 5 Weeks</t>
  </si>
  <si>
    <t>NPTEL Online Certification - Design Of Steel Structure
QGIS Training â€“ Spoken Tutorial Project, IIT Bombay</t>
  </si>
  <si>
    <t>P25700705</t>
  </si>
  <si>
    <t>SAI DEEPAK</t>
  </si>
  <si>
    <t>POTNURU</t>
  </si>
  <si>
    <t>Sai Deepak Potnuru</t>
  </si>
  <si>
    <t>saideepakpotnuru@gmail.com</t>
  </si>
  <si>
    <t>p25700705@student.nicmar.ac.in</t>
  </si>
  <si>
    <t>14-Mar-2002</t>
  </si>
  <si>
    <t>English, Telugu, Hindi, Oriya.</t>
  </si>
  <si>
    <t>3618 6547 9369</t>
  </si>
  <si>
    <t>POTNURU SAIBABU</t>
  </si>
  <si>
    <t>POTNURU SUVARNA</t>
  </si>
  <si>
    <t>24-166, Indiranagar Colony, Narasannapeta, Srikakulam, Andhra Pradesh - 532421.</t>
  </si>
  <si>
    <t>SARVANI VIDYALAYA</t>
  </si>
  <si>
    <t>BOARD OF SECONDARY EDUCATION, ANDHRA PRADESH.</t>
  </si>
  <si>
    <t>INDIAN INSTITUTE OF ENGINEERING SCIENCE AND TECHNOLOGY, SHIBPUR</t>
  </si>
  <si>
    <t>AutoCAD, MS Office, MS Project,Primavera,Revit,staadpro, ACC Cloud</t>
  </si>
  <si>
    <t>Ahluwalia Contracts (India) Limited | Project Management Intern  | Delhi | May 2026 | Jul 2026 | 8.7142857142857 Weeks | Campus Internship
APARNA CONSTRUCTIONS AND ESTATES PVT. LTD. | INTERN TRAINEE | HYDERABAD | May 2023 | Jul 2023 | 7.7142857142857 Weeks</t>
  </si>
  <si>
    <t>STADD PRO
AUTOCAD
MS PROJECT
PRIMAVERA
REVIT</t>
  </si>
  <si>
    <t>P25700706</t>
  </si>
  <si>
    <t>SHREYASH</t>
  </si>
  <si>
    <t>GHATE</t>
  </si>
  <si>
    <t>Shreyash Ravindra Ghate</t>
  </si>
  <si>
    <t>shreyashghate631@gmail.com</t>
  </si>
  <si>
    <t>p25700706@student.nicmar.ac.in</t>
  </si>
  <si>
    <t>5023 5384 5839</t>
  </si>
  <si>
    <t>Karla Road , Near Krishna Mandir, Vajurkar Layout, Pipri Meghe , Wradha</t>
  </si>
  <si>
    <t>SCHOOL OF BRILLIANTS</t>
  </si>
  <si>
    <t>MAHARASHTRA STATE BOARD TECHNICAL EDUCATION</t>
  </si>
  <si>
    <t>2019-Nov</t>
  </si>
  <si>
    <t>SINHGAD COLLEGE OF ENGINEERING /PUNE</t>
  </si>
  <si>
    <t>AutoCAD,MS Office,Rivet,StaddPro</t>
  </si>
  <si>
    <t>KUKREJA INFRASTRUCTURES | MANAGMENT INTERN PLANNING | Kukreja Paris City ,Nagpur | May 2026 | Jul 2026 | 8.5714285714286 Weeks | Campus Internship
SIDDHI DEVELOPERS | SITE INTERN | PUNE | Dec 2023 | Jan 2024 | 4.4285714285714 Weeks</t>
  </si>
  <si>
    <t>Diploma in Building Design
Construction Machinery for concreting/Roads &amp;Earth moving
Leadership Skills
Data Analysis
DIGIQC Certification
Finance For Non-Financial Managers
NPTEL Online Certification-German -I</t>
  </si>
  <si>
    <t>P25700707</t>
  </si>
  <si>
    <t>YOGESH</t>
  </si>
  <si>
    <t>YESHWANT</t>
  </si>
  <si>
    <t>Desai Yogesh Yeshwant</t>
  </si>
  <si>
    <t>yogeshdesai9370@gmail.com</t>
  </si>
  <si>
    <t>p25700707@student.nicmar.ac.in</t>
  </si>
  <si>
    <t>05-Jun-2002</t>
  </si>
  <si>
    <t>English,Hindi,marathi</t>
  </si>
  <si>
    <t>5264 4194 2740</t>
  </si>
  <si>
    <t>YESHWANT RAOSAHEB DESAI</t>
  </si>
  <si>
    <t>SAVITA YESHWANT DESAI</t>
  </si>
  <si>
    <t>HOISE WIFE</t>
  </si>
  <si>
    <t>H. No. 1-4- 90, Behind Janata Market, Phulenagar, Nanded, Nanded, Maharashtra, 431602</t>
  </si>
  <si>
    <t>CAMBRIDGE VIDYALAYA</t>
  </si>
  <si>
    <t>JSPM'S RSCOE THTHAWADE,PUNE</t>
  </si>
  <si>
    <t>AutoCAD,MS Office,MS Project,Primavera,Sketchup,SWMM,SURFER</t>
  </si>
  <si>
    <t>Sobha limited | Planning intern | Gurugram  | May 2026 | Jul 2026 | 9 Weeks | Campus Internship
GIRITIRTH ASSOCIATES | INTERN SITE ENGINEER  | RAVET,PUNE. | Jan 2024 | Jun 2024 | 25.857142857143 Weeks</t>
  </si>
  <si>
    <t>Ethics in engineering pratice
Finance for Non-Financial Managers</t>
  </si>
  <si>
    <t>P25700708</t>
  </si>
  <si>
    <t>SHAM</t>
  </si>
  <si>
    <t>BHADKE</t>
  </si>
  <si>
    <t>Yash Sham Bhadke</t>
  </si>
  <si>
    <t>yashbhadke2003@gmail.com</t>
  </si>
  <si>
    <t>p25700708@student.nicmar.ac.in</t>
  </si>
  <si>
    <t>ENGLISH</t>
  </si>
  <si>
    <t>3881 8789 3835</t>
  </si>
  <si>
    <t>SHAM RAMESH BHADKE</t>
  </si>
  <si>
    <t>SHITAL SHAM BHADKE</t>
  </si>
  <si>
    <t>Chintamani Apartment Jatharpeth Akola</t>
  </si>
  <si>
    <t>BAL SHIVAJI HIGH SCHOOL</t>
  </si>
  <si>
    <t>AKOLA</t>
  </si>
  <si>
    <t>GOVERNMENT POLYTECHNIC AMRAVTI</t>
  </si>
  <si>
    <t>SANT GADGE BABA AMRAVTI UNIVERSITY</t>
  </si>
  <si>
    <t>Majestic Realties | Site Excecution And Project Management  | Pune | May 2026 | Jun 2026 | 7.7142857142857 Weeks | Campus Internship
Pawan Park | Site trainee | Akola | Jun 2024 | Jun 2024 | 4.1428571428571 Weeks</t>
  </si>
  <si>
    <t>P25700709</t>
  </si>
  <si>
    <t>PRERANA</t>
  </si>
  <si>
    <t>SAPKALE</t>
  </si>
  <si>
    <t>Prerana Sapkale</t>
  </si>
  <si>
    <t>preranasapkale03@gmail.com</t>
  </si>
  <si>
    <t>p25700709@student.nicmar.ac.in</t>
  </si>
  <si>
    <t>8190 3377 5554</t>
  </si>
  <si>
    <t>CHANDRAKANT</t>
  </si>
  <si>
    <t>SITE ENGINEER</t>
  </si>
  <si>
    <t>HARIPRIYA</t>
  </si>
  <si>
    <t>SCHOOL PRINCIPAL</t>
  </si>
  <si>
    <t>A-1206, Season Sahara, Near 50-50 Dhaba, Malang Gad Road, KalyanÂ east,Â Thane</t>
  </si>
  <si>
    <t>PODAR INTERNATIONAL SCHOOL, JALGAON</t>
  </si>
  <si>
    <t>CBSE, MAHRASHTRA</t>
  </si>
  <si>
    <t>SHARAD PAWAR PUBLIC SCHOOL</t>
  </si>
  <si>
    <t>CBSE, MAHARASHTRA</t>
  </si>
  <si>
    <t>S.H. JONDHALE POLYTECHNIC</t>
  </si>
  <si>
    <t>MGM COLLEGE OF ENGINEERING AND TECHNOLOGY</t>
  </si>
  <si>
    <t>Vinayak Chopdekar &amp; Associates / A.R.C. &amp; I. | Site Execution | Badlapur | May 2026 | Jul 2026 | 8.7142857142857 Weeks</t>
  </si>
  <si>
    <t>P25700710</t>
  </si>
  <si>
    <t>DINESH CHANDRA</t>
  </si>
  <si>
    <t>Mule Dinesh Chandra Reddy</t>
  </si>
  <si>
    <t>dineshreddy8261@gmail.com</t>
  </si>
  <si>
    <t>p25700710@student.nicmar.ac.in</t>
  </si>
  <si>
    <t>8936 7609 5284</t>
  </si>
  <si>
    <t>MULE BALAKRISHNA REDDY</t>
  </si>
  <si>
    <t>MULE HARITHA</t>
  </si>
  <si>
    <t>Flat No : 401, Dhanalakshmi Residency, Sai Balaji Gardens, Dhanalakshmi Puram, Nellore</t>
  </si>
  <si>
    <t>Nellore</t>
  </si>
  <si>
    <t>BOARD OF SECONDARY EDUCATION/ ANDHRA PRADESH</t>
  </si>
  <si>
    <t>BOARD OF INTERMEDIATE EDUCATION/ ANDHRA PRADESH</t>
  </si>
  <si>
    <t>ZYETA PVT LTD | Project Management Intern | Bengaluru | May 2026 | Jul 2026 | 8.5714285714286 Weeks | Campus Internship
L&amp;T | Trainee | Chennai | Jul 2023 | Aug 2023 | 1.5714285714286 Weeks</t>
  </si>
  <si>
    <t>P25700711</t>
  </si>
  <si>
    <t>SOMNATH</t>
  </si>
  <si>
    <t>DAMODAR</t>
  </si>
  <si>
    <t>DEVEKAR</t>
  </si>
  <si>
    <t>Somnath Damodar Devekar</t>
  </si>
  <si>
    <t>somnathdevekar55@gmail.com</t>
  </si>
  <si>
    <t>p25700711@student.nicmar.ac.in</t>
  </si>
  <si>
    <t>Marathi, Hindi &amp; English</t>
  </si>
  <si>
    <t>4190 7587 2863</t>
  </si>
  <si>
    <t>RETIRED TEACHER, FARMING</t>
  </si>
  <si>
    <t>Mauli Home, Near Primary School, Khadak Colony, Basarewadi, Gargoti.</t>
  </si>
  <si>
    <t>MADHYAMIK VIDYALAYA DARWAD</t>
  </si>
  <si>
    <t>CHHATRAPATI SHAHU VIDYALAYA &amp; JUNIOR COLLEGE, KOLHAPUR</t>
  </si>
  <si>
    <t>2022-Feb</t>
  </si>
  <si>
    <t>TATYASAHEB KORE INSTITUTE OF ENGINEERING &amp; TECHNOLOGY</t>
  </si>
  <si>
    <t>Vaishnavi Developers &amp; Builders | Site Execution &amp; Planning | Pune | May 2026 | Jul 2026 | 8.7142857142857 Weeks | Campus Internship
Rushikesh Associates | Site engineer | Kolhapur | Feb 2024 | Apr 2024 | 12.428571428571 Weeks</t>
  </si>
  <si>
    <t>sketchup Workshop
Microsoft Project
Primavera</t>
  </si>
  <si>
    <t>P25700712</t>
  </si>
  <si>
    <t>Rohan Rajendra Patil</t>
  </si>
  <si>
    <t>patilrohan688@gmail.com</t>
  </si>
  <si>
    <t>p25700712@student.nicmar.ac.in</t>
  </si>
  <si>
    <t>26-May-1999</t>
  </si>
  <si>
    <t>8389 6696 8122</t>
  </si>
  <si>
    <t>RAJENDRA JALINDAR PATIL</t>
  </si>
  <si>
    <t>RAJASHRI</t>
  </si>
  <si>
    <t>Patilwasti, Tandulwadi Road, A/P- Mahim Tal- Sangola Dist- Solapur</t>
  </si>
  <si>
    <t>PVG'S MAHARASHTRA VIDYALAYA PUNE-30</t>
  </si>
  <si>
    <t>MODERN COLLEGE OF ARTS SCIENCE AND COMMERCE SHIVAJINAGAR PUNE.</t>
  </si>
  <si>
    <t>ANNASAHEB DANGE COLLEGE OF ENGINEERING AND TECHNOLOGY, ASHTA</t>
  </si>
  <si>
    <t>T And T Infra Ltd. | Jr. Engineer | Maharashtra | Dec 2021 | Jan 2025 | 3Y 1M | 3.85</t>
  </si>
  <si>
    <t>Koranne Techno-Legal Services  | Intern  | Thane, Maharashtra  | May 2026 | Jun 2026 | 8.1428571428571 Weeks | Campus Internship</t>
  </si>
  <si>
    <t>P25700714</t>
  </si>
  <si>
    <t>PAIDI</t>
  </si>
  <si>
    <t>Paidi Mohan Kumar</t>
  </si>
  <si>
    <t>mohanp1paidi@gmail.com</t>
  </si>
  <si>
    <t>p25700714@student.nicmar.ac.in</t>
  </si>
  <si>
    <t>01-Jul-2004</t>
  </si>
  <si>
    <t>5177 8715 2141</t>
  </si>
  <si>
    <t>PAIDI LAKSHMANA RAO</t>
  </si>
  <si>
    <t>RAILWAY EMPLOYE</t>
  </si>
  <si>
    <t>PAIDI SUNEETHA</t>
  </si>
  <si>
    <t>DOOR NO:20-239/14/7,CARVAL NAGAR,KOTHPALEM,GOPALAPATNAM,VISAKHAPATNAM</t>
  </si>
  <si>
    <t>Door No:2-74,main Street ,Modalavalasa,Srikakulam,Andhra Pradesh-532484</t>
  </si>
  <si>
    <t>BOARD OF SECONDARY EDUCATION ,ANDHRA PRADESH</t>
  </si>
  <si>
    <t>ANDHRA UNIVERSITY COLLEGE OF ENGINEERING,ANDHRA PRADESH</t>
  </si>
  <si>
    <t xml:space="preserve">MS Project, Primavera, MS Office, AutoCAD, STAAD Pro, Revit, Navisworks, Cost X </t>
  </si>
  <si>
    <t>Rithwik Projects Private Limited | Project Management Intern | Hyderabad | May 2026 | Jul 2026 | 8.5714285714286 Weeks | Campus Internship
Vizag Steel Plant | Intern | Visakhapatnam | May 2024 | Jun 2024 | 3.7142857142857 Weeks</t>
  </si>
  <si>
    <t>P25700715</t>
  </si>
  <si>
    <t>DEULKAR</t>
  </si>
  <si>
    <t>Sahil Rajendra Deulkar</t>
  </si>
  <si>
    <t>sahildeulkar95@gmail.com</t>
  </si>
  <si>
    <t>p25700715@student.nicmar.ac.in</t>
  </si>
  <si>
    <t>3574 0049 2179</t>
  </si>
  <si>
    <t>RAJENDRA KRUSHNARAO DEULKAR</t>
  </si>
  <si>
    <t>GOVERNMENT CONTRACTOR</t>
  </si>
  <si>
    <t>SAVITA RAJENDRA DEULKAR</t>
  </si>
  <si>
    <t>C-203, 2ND FLOOR, ORABELLE BHOOMI INFRACON</t>
  </si>
  <si>
    <t>Shivaji Nagar, Ner Parsopant, Yavatmal, 445102</t>
  </si>
  <si>
    <t>SHANTINIKETAN HIGH SCHOOL, NER, YAVATMAL</t>
  </si>
  <si>
    <t>GOVERNMENT POLYTECHNIC AMRAVATI</t>
  </si>
  <si>
    <t>PIMPRI CHINCHWAD COLLEGE OF ENGINEERING &amp; RESEARCH, RAVET, PUNE</t>
  </si>
  <si>
    <t>AutoCAD,MS Office,MS Project,MH-CIT</t>
  </si>
  <si>
    <t>Sangam Engineers | Site Intern | R K Trade Centre, Vapi, Gujarat  | May 2026 | Jul 2026 | 8.7142857142857 Weeks | Campus Internship
Know How | Site engineer trainee | Ravet, Pune | Dec 2023 | Jan 2024 | 3.7142857142857 Weeks
Amravati Municipal Corporation, Amravati | Site engineer trainee | Amravati  | Aug 2021 | Sep 2021 | 4.2857142857143 Weeks</t>
  </si>
  <si>
    <t>P25700716</t>
  </si>
  <si>
    <t>SHIKHIL</t>
  </si>
  <si>
    <t>CHAMEL</t>
  </si>
  <si>
    <t>Shikhil Chamel</t>
  </si>
  <si>
    <t>shikhilchamel4273@gmail.com</t>
  </si>
  <si>
    <t>p25700716@student.nicmar.ac.in</t>
  </si>
  <si>
    <t>16-Jun-2001</t>
  </si>
  <si>
    <t>HINDI,ENGLISH</t>
  </si>
  <si>
    <t>9551 1578 7166</t>
  </si>
  <si>
    <t>SANJAY KUMAR CHAMEL</t>
  </si>
  <si>
    <t>CIVIL ENGINEER(GOVT.)</t>
  </si>
  <si>
    <t>RITA CHAMEL</t>
  </si>
  <si>
    <t>39/7, Ward No. -02 ,Prem Vihar ,Shamsherpur(117),Paonta Sahib</t>
  </si>
  <si>
    <t>Sirmaur</t>
  </si>
  <si>
    <t>CENTRAL BOARD OF SECONDARY EDUCATION , SHIMLA ,HIMACHAL PRADESH</t>
  </si>
  <si>
    <t>GRAPHIC ERA , DEHRADUN ,UTTRAKHAND</t>
  </si>
  <si>
    <t>Geoquest India Private Limited  | Operations Intern | New Delhi | May 2026 | Jun 2026 | 8 Weeks | Campus Internship
National Highway Authority of India | Trainee  | Ganeshpur, Dehradun | Jun 2022 | Aug 2022 | 6.2857142857143 Weeks
SHARNAGAT CONSTRUCTION PVT. LTD. | Trainee Engineer | Shimla | Dec 2023 | Nov 2024 | 48 Weeks</t>
  </si>
  <si>
    <t>P25700717</t>
  </si>
  <si>
    <t>GHAYTADAK</t>
  </si>
  <si>
    <t>Ritesh Sanjay Ghaytadak</t>
  </si>
  <si>
    <t>riteshghaytadak7@gmail.com</t>
  </si>
  <si>
    <t>p25700717@student.nicmar.ac.in</t>
  </si>
  <si>
    <t>9705 8775 1230</t>
  </si>
  <si>
    <t>SANJAY GHAYTADAK</t>
  </si>
  <si>
    <t>HEMAKSHI GHAYTADAK</t>
  </si>
  <si>
    <t>Babu Park, Near Samarth Hitech Security, Bahirewadi, Warananagar</t>
  </si>
  <si>
    <t>SHREE WARANA VIDYALAY WARANANAGAR</t>
  </si>
  <si>
    <t>AutoCAD,MS Office,MS Project,Primavera,Staad pro,Etaab,Revit,Cost X</t>
  </si>
  <si>
    <t>Vaishnavi Developers &amp; Builders | Site Execution &amp; Planning | Pune | May 2026 | Jul 2026 | 8.7142857142857 Weeks | Campus Internship
SSPA Consulting Engineers | Structural design and draftsman | Pune, Kothrud | Jan 2025 | Apr 2025 | 12.857142857143 Weeks</t>
  </si>
  <si>
    <t>3 months of training and internship in AutoCAD
Bentley Staad pro Virtual Internship
Finance for Non - Financial Manager
Foundations of Project Management
Proficient in Primavera
Proficient in Microsoft Project</t>
  </si>
  <si>
    <t>P25700718</t>
  </si>
  <si>
    <t>SURADKAR</t>
  </si>
  <si>
    <t>Aditya Vinayak Suradkar</t>
  </si>
  <si>
    <t>adityavs1605@gmail.com</t>
  </si>
  <si>
    <t>p25700718@student.nicmar.ac.in</t>
  </si>
  <si>
    <t>16-May-1999</t>
  </si>
  <si>
    <t>3239 3047 7162</t>
  </si>
  <si>
    <t>Flat No. 601, F-wing, Lake Castle Bldg, Opp. Gauripada Talao, Gauripada, Kalyan West, 421301</t>
  </si>
  <si>
    <t>LOURDES HIGH SCHOOL</t>
  </si>
  <si>
    <t>LAXMAN DEVRAM SONAWANE COLLEGE</t>
  </si>
  <si>
    <t>DILKAP RESEARCH INSTITUTE OF ENGINEERING AND MANAGEMENT STUDIES, NERAL</t>
  </si>
  <si>
    <t>AutoCAD, MS Office, MS Project, Primavera P6, Revit Architecture, Cost X, Etabs</t>
  </si>
  <si>
    <t>Kinjal Civilcon LLP | Jr. Planning Engineeer | Kalyan | Mar 2024 | Jul 2025 | 1Y 4M | 2.77</t>
  </si>
  <si>
    <t>Kabi &amp; Assosciates | Contracts &amp; Claim Management Intern  | Delhi | May 2026 | Jul 2026 | 8.7142857142857 Weeks | Campus Internship
Built Charms | Intern | Kalyan | Jun 2021 | Nov 2021 | 26 Weeks</t>
  </si>
  <si>
    <t>P25700719</t>
  </si>
  <si>
    <t>AMRUTANSHU</t>
  </si>
  <si>
    <t>BINDHANI</t>
  </si>
  <si>
    <t>Amrutanshu Bindhani</t>
  </si>
  <si>
    <t>amrutanshubindhani2001@gmail.com</t>
  </si>
  <si>
    <t>p25700719@student.nicmar.ac.in</t>
  </si>
  <si>
    <t>23-Feb-2001</t>
  </si>
  <si>
    <t>English, Hindi, Odia</t>
  </si>
  <si>
    <t>5472 1014 6798</t>
  </si>
  <si>
    <t>HARIHAR BINDHANI</t>
  </si>
  <si>
    <t>RETIRED LECTURER</t>
  </si>
  <si>
    <t>SUMATI BINDHANI</t>
  </si>
  <si>
    <t>At Deulasahi, Ward Number-7, Baripada, Mayurbhanj, Pin-757001, Odisha</t>
  </si>
  <si>
    <t>KENDRIYA VIDYALAYA MURGABADI MAYURBHANJ ODISHA</t>
  </si>
  <si>
    <t>CENTRAL BOARD OF SECONDARY EDUCATION, BARIPADA/ODISHA</t>
  </si>
  <si>
    <t>KENDRIYA VIDYALAYA BARIPADA MAYURBHANJ ODISHA</t>
  </si>
  <si>
    <t>BIJU PATNAIK UNIVERSITY OF TECHNOLOGY</t>
  </si>
  <si>
    <t>GOVERNMENT COLLEGE OF ENGINEERING KEONJHAR/ODISHA</t>
  </si>
  <si>
    <t>HINDUSTAN CONSTRUCTION COMPANY LTD | SITE ENGINEER | RAIGAD, MAHARASTRA | Jul 2023 | Jul 2025 | 2Y 0M | 6.15</t>
  </si>
  <si>
    <t>NBCC (India) Ltd. | Intern- Project Management | Delhi | May 2026 | Jul 2026 | 9.7142857142857 Weeks | Campus Internship</t>
  </si>
  <si>
    <t>Auto CAD (Civil)</t>
  </si>
  <si>
    <t>P25700721</t>
  </si>
  <si>
    <t>MAYURI</t>
  </si>
  <si>
    <t>SULABHA</t>
  </si>
  <si>
    <t>SALOKHE</t>
  </si>
  <si>
    <t>Mayuri Sulabha Salokhe</t>
  </si>
  <si>
    <t>salokhemayuri25@gmail.com</t>
  </si>
  <si>
    <t>p25700721@student.nicmar.ac.in</t>
  </si>
  <si>
    <t>06-Feb-2000</t>
  </si>
  <si>
    <t>English , Hindi &amp; Marathi</t>
  </si>
  <si>
    <t>5430 5383 1734</t>
  </si>
  <si>
    <t>SHEELA</t>
  </si>
  <si>
    <t>653 Mafatalal Gate, Navjeevan_x000D_
Waliv_x000D_
Vasai East</t>
  </si>
  <si>
    <t>THE AMBASSADOR HIGH SCHOOL</t>
  </si>
  <si>
    <t>CONSTRUCTION TECHNOLOGY</t>
  </si>
  <si>
    <t>VIVA INSTITUTE OF TECHNOLOGY</t>
  </si>
  <si>
    <t>AutoCAD,MS Office,MS Project,Primavera,3D Sketchup</t>
  </si>
  <si>
    <t>Parekh Integrated Services Private Limited | Executive- Design | Goregaon | Feb 2024 | Jul 2025 | 1Y 5M | 3.48
SAMAQ BUILDER PVT.LTD | Jr. QS Engineer | Chunabhatti | Jul 2023 | Jan 2024 | 0Y 5M | 2.64</t>
  </si>
  <si>
    <t>Wani Projects and Infra Pvt. Ltd. | Site Execution + Control | Pune | May 2026 | Jun 2026 | 8.1428571428571 Weeks | Campus Internship
Aaradhya Associates | Trainee Engineer | Virar | Jun 2022 | Jun 2022 | 4.1428571428571 Weeks
Naman Regency Developers | Site Trainee Engineer | Dockyard Road, Mazgaon | Jun 2019 | Mar 2022 | 143.85714285714 Weeks</t>
  </si>
  <si>
    <t>P25700722</t>
  </si>
  <si>
    <t>DIKE</t>
  </si>
  <si>
    <t>Dike Shruti Mahesh</t>
  </si>
  <si>
    <t>shrutidike15@gmail.com</t>
  </si>
  <si>
    <t>p25700722@student.nicmar.ac.in</t>
  </si>
  <si>
    <t>4864 2282 5871</t>
  </si>
  <si>
    <t>MAHESH SONU DIKE</t>
  </si>
  <si>
    <t>MEGHA MAHESH DIKE</t>
  </si>
  <si>
    <t>Kunal Estate, Flat No. 31, Building No. A3, A-wing, Keshavnagar, Near Morya Gosavi Krida Sankul, Chinchwadgaon, Pune-411033</t>
  </si>
  <si>
    <t>VIDYA NIKETAN ENGLISH MEDIUM SCHOOL, PIMPRI (TATA MOTORS EMPLOYEES EDUCATION TRUST)</t>
  </si>
  <si>
    <t>SHRI FATTECHAND JAIN VIDYALAYA AND JUNIOR COLLEGE, CHINCHWADGAON</t>
  </si>
  <si>
    <t>DR. D.Y. PATIL COLLEGE OF ARCHITECTURE, AKURDI</t>
  </si>
  <si>
    <t>AutoCAD,MS Office,MS Project,Primavera,Sketchup,Revit,Photoshop,Lumion,Enscape</t>
  </si>
  <si>
    <t>Integrid Design | Junior Architect | Pune | Dec 2024 | Jul 2025 | 0Y 7M | 1.8</t>
  </si>
  <si>
    <t>Ahluwalia Contracts India Limited | Project Management Intern | Sion, Mumbai | May 2026 | Jul 2026 | 8.7142857142857 Weeks | Campus Internship
Architect Hafeez Contractor | Architect Intern | Mumbai | Jul 2023 | Nov 2023 | 20 Weeks</t>
  </si>
  <si>
    <t>P25700723</t>
  </si>
  <si>
    <t>M JAYENDRA</t>
  </si>
  <si>
    <t>SARATCHANDRA</t>
  </si>
  <si>
    <t>M Jayendra Saratchandra</t>
  </si>
  <si>
    <t>jayendraman530@gmail.com</t>
  </si>
  <si>
    <t>p25700723@student.nicmar.ac.in</t>
  </si>
  <si>
    <t>01-Nov-2003</t>
  </si>
  <si>
    <t>English, Hindi, Telugu, Tamil</t>
  </si>
  <si>
    <t>6881 6215 4937</t>
  </si>
  <si>
    <t>MANGALAMPALLI SRINIVAS</t>
  </si>
  <si>
    <t>CENTRAL GOVT. EMPLOYEE</t>
  </si>
  <si>
    <t>M V S SUBHA</t>
  </si>
  <si>
    <t>259/1, NORTH COLONY, I.C.F., PERAMBUR</t>
  </si>
  <si>
    <t>Plot No 25 (southern Part), Vidyanagar, Nadukuthagai, Tiruninravur</t>
  </si>
  <si>
    <t>KENDRIYA VIDYALAYA O.C.F. AVADI</t>
  </si>
  <si>
    <t>KENDRIYA VIDYALAYA ANNA NAGAR</t>
  </si>
  <si>
    <t>SASTRA UNIVERSITY, THANJAVUR</t>
  </si>
  <si>
    <t>AutoCAD,MS Office,MS Project,Primavera,BIM,AnSYS</t>
  </si>
  <si>
    <t>Agami Realty | Site Engineer | Mumbai | May 2026 | Jul 2026 | 7.8571428571429 Weeks | Campus Internship
LARSEN &amp; TOUBRO LIMITED | INTERN TRAINEE | INNOVATION CAMPUS SITE, MANAPAKKAM, CHENNAI 600089 | Jun 2023 | Jun 2023 | 1.8571428571429 Weeks</t>
  </si>
  <si>
    <t>P25700724</t>
  </si>
  <si>
    <t>BHALCHANDRA</t>
  </si>
  <si>
    <t>BAGWE</t>
  </si>
  <si>
    <t>Harsh Bhalchandra Bagwe</t>
  </si>
  <si>
    <t>hbagwe03@gmail.com</t>
  </si>
  <si>
    <t>p25700724@student.nicmar.ac.in</t>
  </si>
  <si>
    <t>MARATHI, HINDI &amp; ENGLISH</t>
  </si>
  <si>
    <t>3590 6433 6935</t>
  </si>
  <si>
    <t>BHALCHANDRA BAGWE</t>
  </si>
  <si>
    <t>BHAKTI BAGWE</t>
  </si>
  <si>
    <t>-</t>
  </si>
  <si>
    <t>27/20, B.D.D. CHAWL, GANPAT JADHAV MARG, NEAR DOORDARSHAN, WORLI, MUMBAI</t>
  </si>
  <si>
    <t>A/201, SIDDHIVINAYAK TOWER, OPPOSITE EXPERT SCHOOL, Y.K. NAGAR.N.X, VIRAR WEST</t>
  </si>
  <si>
    <t>MAHARASHTRA STATE BOARD OF SECONDARY AND HIGHER SECONDARY EDUCATION, VIRAR</t>
  </si>
  <si>
    <t>VIDYAVARDHINI'S BHAUSAHEB VARTAK POLYTECHNIC, VASAI</t>
  </si>
  <si>
    <t>L.R. TIWARI COLLEGE OF ENGINEERING</t>
  </si>
  <si>
    <t>Bharat Petroleum Corporation Ltd. (BPCL) | Apprentice Junior Engineer (Site In-Charge)  | Bandra Kurla Complex, Mumbai  | Sep 2024 | Jul 2025 | 0Y 10M | 3.00</t>
  </si>
  <si>
    <t>Basil Decor | Project Management Intern | Pune | May 2026 | Jul 2026 | 9.5714285714286 Weeks | Campus Internship
BHARAT PETROLEUM CORPORATION LTD. | APPRENTICE JUNIOR ENGINEER | BANDRA KURLA COMPLEX | Sep 2024 | Jul 2025 | 46.285714285714 Weeks
VIJAY GURAV AND ASSOCIATES | JUNIOR ENGINEER | VIRAR | Jun 2023 | Jul 2023 | 4.1428571428571 Weeks
SAC PARADISE | JUNIOR ENGINEER | DOMBIVLI | Jun 2022 | Jul 2022 | 3.5714285714286 Weeks</t>
  </si>
  <si>
    <t>PROFICIENT IN AUTOCAD</t>
  </si>
  <si>
    <t>P25700725</t>
  </si>
  <si>
    <t>NIKITA</t>
  </si>
  <si>
    <t>KHANDU</t>
  </si>
  <si>
    <t>CHAVAN</t>
  </si>
  <si>
    <t>Nikita Khandu Chavan</t>
  </si>
  <si>
    <t>chavan.nikita0987@gmail.com</t>
  </si>
  <si>
    <t>p25700725@student.nicmar.ac.in</t>
  </si>
  <si>
    <t>25-Apr-1999</t>
  </si>
  <si>
    <t>5714 3372 5533</t>
  </si>
  <si>
    <t>KHANDU LAXMAN CHAVAN</t>
  </si>
  <si>
    <t>CHHAYA KHANDU CHAVAN</t>
  </si>
  <si>
    <t>GANGOTRI APARTMENT, OMKAR COLONY, NEAR GANESH MANDIR, DANGE CHOWK, PUNE.</t>
  </si>
  <si>
    <t>Chavan House, Vadaj-Parundhe Road, Vadaj, Tel. Junnar. Pune</t>
  </si>
  <si>
    <t>INDIAN EDUCATION SOCIETY SECONDARY SCHOOL, BHANDUP</t>
  </si>
  <si>
    <t>DR. D.Y. PATIL PRATISHTHAN'S Y.B. PATIL POLYTECHNIC, AKURDI</t>
  </si>
  <si>
    <t>JSPM'S IMPERIAL COLLEGE OF ENGINEERING AND RESEARCH, WAGHOLI</t>
  </si>
  <si>
    <t>AutoCAD,MS Office,MS Project,Primavera,Screaming Frog,Costx,BIM Fundamentals,Canva</t>
  </si>
  <si>
    <t>Clariwell Global Services | Digital Marketing Executive | Pune | Apr 2023 | Nov 2023 | 0Y 7M | 1.92
Futurism Technologies Pvt. Ltd. | Associate Digital Marketing Executive | Futurism Campus, 1/1, Hinjawadi Phase 1 Rd, Phase 1, Hinjawadi Rajiv Gandhi Infotech Park, MIDC, Pune, Pimpri-Chinchwad, Maharashtra 411057 | Nov 2023 | Jul 2025 | 1Y 8M | 2.79</t>
  </si>
  <si>
    <t>Sprng Energy Private Limited (Shell Group) | Project Management Intern  | Magarpatta City, Pune  | May 2026 | Jul 2026 | 8.5714285714286 Weeks | Campus Internship</t>
  </si>
  <si>
    <t>P25700727</t>
  </si>
  <si>
    <t>Prajwal Mahesh Nikam</t>
  </si>
  <si>
    <t>prajwalnikam9404@gmai.com</t>
  </si>
  <si>
    <t>p25700727@student.nicmar.ac.in</t>
  </si>
  <si>
    <t>5582 2006 6722</t>
  </si>
  <si>
    <t>MAHESH NIKAM</t>
  </si>
  <si>
    <t>MANSI NIKAM</t>
  </si>
  <si>
    <t>Near Z.p. School, Mayani Road, Nagewadi.</t>
  </si>
  <si>
    <t>BHARATI VIDYAPEETH'S ENGLISH MEDIUM HIGH SCHOOL, VITA.</t>
  </si>
  <si>
    <t>PIMPRI CHINCHWAD POLYTECHNIC, NIGDI.</t>
  </si>
  <si>
    <t>DR. D.Y.PATIL INSTITUTE OF ENGINEERING,MANAGEMENT AND RESEARCH, AKURDI.</t>
  </si>
  <si>
    <t>NYATI GROUP | Project Management Intern | Pune | May 2026 | Jul 2026 | 8.7142857142857 Weeks | Campus Internship
R.K. DEVELOPERS | INTERN SITE ENGINEER  | PIMPRI CHINCHWAD | Jan 2024 | Feb 2024 | 4.4285714285714 Weeks</t>
  </si>
  <si>
    <t>P25700729</t>
  </si>
  <si>
    <t>PASHMINA</t>
  </si>
  <si>
    <t>BANSI</t>
  </si>
  <si>
    <t>POPALI</t>
  </si>
  <si>
    <t>Pashmina Bansi Popali</t>
  </si>
  <si>
    <t>pashminapopali2712@gmail.com</t>
  </si>
  <si>
    <t>p25700729@student.nicmar.ac.in</t>
  </si>
  <si>
    <t>8692 0473 6789</t>
  </si>
  <si>
    <t>BANSI POPALI</t>
  </si>
  <si>
    <t>POOJA POPALI</t>
  </si>
  <si>
    <t>STANZA LIVING, WACO HOUSE, BALEWADI, PUNE</t>
  </si>
  <si>
    <t>Tagore Square, Beside Shyaam Bhavan, Wani</t>
  </si>
  <si>
    <t>D.A.V PUBLIC SCHOOL, NEELJAY, WANI</t>
  </si>
  <si>
    <t>CBSE - MAHARASHTRA</t>
  </si>
  <si>
    <t>SWARNLEELA INTERNATIONAL SCHOOL, WANI</t>
  </si>
  <si>
    <t>RTMNU, NAGPUR</t>
  </si>
  <si>
    <t>PRIYADARSHINI INSTITUTE OF ARCHITECTURE &amp; DESIGN STUDIES, NAGPUR</t>
  </si>
  <si>
    <t>AutoCAD,MS Office,MS Project,Primavera,SketchUp,Lumion,Enscape,Photoshop,Illustration,CostX,Revit</t>
  </si>
  <si>
    <t>Anarock Property Consultants  | Sourcing and Closing | Mumbai | May 2026 | Jul 2026 | 9.5714285714286 Weeks | Campus Internship
Saptak Patel Architects. Ahmedabad | Architectural Intern | Ahmedabad | Dec 2023 | Apr 2024 | 15.714285714286 Weeks</t>
  </si>
  <si>
    <t>P25700730</t>
  </si>
  <si>
    <t>DIPEN</t>
  </si>
  <si>
    <t>HEMENDRA</t>
  </si>
  <si>
    <t>BALDANIA</t>
  </si>
  <si>
    <t>Dipen Hemendra Baldania</t>
  </si>
  <si>
    <t>baldaniadipen@gmail.com</t>
  </si>
  <si>
    <t>p25700730@student.nicmar.ac.in</t>
  </si>
  <si>
    <t>8440 2129 8163</t>
  </si>
  <si>
    <t>HEMENDRA BALDANIYA</t>
  </si>
  <si>
    <t>BHAVNA BALDANIYA</t>
  </si>
  <si>
    <t>Plot - 265, Ward - 2/B, Adipur, Gandhidham</t>
  </si>
  <si>
    <t>Kutch</t>
  </si>
  <si>
    <t>AMARCHAND SINGHVI INTERNATIONAL SCHOOL</t>
  </si>
  <si>
    <t>CENTRAL BOARD OF SECONDARY EDUCATION GUJARAT</t>
  </si>
  <si>
    <t>ST. ANN'S SCHOOL</t>
  </si>
  <si>
    <t>PARUL UNIVERSITY</t>
  </si>
  <si>
    <t>PARUL INSTITUTE OF ENGINEERING &amp; TECHNOLOGY</t>
  </si>
  <si>
    <t>PSP PROJECTS LTD | Civil Intern | Mumbai | May 2026 | Jul 2026 | 8.7142857142857 Weeks | Campus Internship</t>
  </si>
  <si>
    <t>Integrated Design for Buildings with MIDAS/Gen: Beginner Level
AutoCAD 2D and 3D</t>
  </si>
  <si>
    <t>P25700731</t>
  </si>
  <si>
    <t>NANDAN</t>
  </si>
  <si>
    <t>H N</t>
  </si>
  <si>
    <t>Nandan H N</t>
  </si>
  <si>
    <t>nandhanraju07@gmail.com</t>
  </si>
  <si>
    <t>p25700731@student.nicmar.ac.in</t>
  </si>
  <si>
    <t>17-Apr-2000</t>
  </si>
  <si>
    <t>KANNADA,ENGLISH,HINDI</t>
  </si>
  <si>
    <t>9833 2861 4624</t>
  </si>
  <si>
    <t>NARASIMHAIAH H M</t>
  </si>
  <si>
    <t>RETIRED HEAD MASTER</t>
  </si>
  <si>
    <t>INDIRAMMA H S</t>
  </si>
  <si>
    <t>Keshava Nagar Sira Tumakuru Karnataka 572137</t>
  </si>
  <si>
    <t>Tumkur</t>
  </si>
  <si>
    <t>THE PRESIDENCY PUBLIC SCHOOL</t>
  </si>
  <si>
    <t>INDIAN CERTIFICATE OF SECONDARY EDUCATION SIRA KARNATAKA</t>
  </si>
  <si>
    <t>PRESIDENCY PU COLLEGE</t>
  </si>
  <si>
    <t>REVA UNIVERSITY BENGALURU KARNATAKA</t>
  </si>
  <si>
    <t>AutoCAD,MS Office,MS Project,Primavera,SAP,ERP TOOL</t>
  </si>
  <si>
    <t>Jagannatha C.V | Site Engineer | Sira | Oct 2021 | Oct 2023 | 1Y 11M | 3
Manjushree Technopack Limited | Purchase Engineer | Bengaluru | Oct 2023 | Aug 2025 | 1Y 10M | 4.85</t>
  </si>
  <si>
    <t>Jyoti Structures Limited (JSL) | Project Coordination | Bhuj,Gujurat | May 2026 | Jun 2026 | 8.4285714285714 Weeks | Campus Internship
HINDUSTAN AERONAUTICS LIMITED | INTERN | BENGALURU | Jun 2019 | Jul 2019 | 2 Weeks</t>
  </si>
  <si>
    <t>Coursera-Financial Markets
Coursera-Java Programming
Reva University</t>
  </si>
  <si>
    <t>P25700732</t>
  </si>
  <si>
    <t>TALEKAR</t>
  </si>
  <si>
    <t>Talekar Sahil Chandrashekhar</t>
  </si>
  <si>
    <t>sahiltalekar2001@gmail.com</t>
  </si>
  <si>
    <t>p25700732@student.nicmar.ac.in</t>
  </si>
  <si>
    <t>English Hindi Marathi</t>
  </si>
  <si>
    <t>8417 9064 8935</t>
  </si>
  <si>
    <t>SHRUTIKA</t>
  </si>
  <si>
    <t>Om Shree Sai A-Wing Room No-07 Building No-3,Near Hdfc Bank Kalwa (w)</t>
  </si>
  <si>
    <t>SARASWATI VIDYALAYA HIGH SCHOOL AND JUNIOR COLLEGE OF SCIENCE</t>
  </si>
  <si>
    <t>MAHARASHTRA STATE BOARD OF SECONDARY AND HIGHER SECONDARY EDUCATION ,MAHARASHTRA</t>
  </si>
  <si>
    <t>MUCHHALA POLYTECHNIC , MAHARASHTRA</t>
  </si>
  <si>
    <t>A.P.SHAH INSTITUTE OF TECHNOLOGY , MAHARASHTRA</t>
  </si>
  <si>
    <t>Sunrise Housing Construction LTD | Junior Civil Engineer | Santacruz , Mumbai  | Feb 2024 | Jul 2025 | 1Y 5M | 3.25</t>
  </si>
  <si>
    <t>Ascendas Firstspace Development Pvt Ltd | Project-Intern | Mumbai | May 2026 | Jun 2026 | 8.1428571428571 Weeks | Campus Internship
Tatkare's All In One Solutions | Junior Engineer | Kalwa,Thane | Sep 2022 | Oct 2022 | 4.2857142857143 Weeks
Dosti Group | Junior Engineer | Balkum , Thane | May 2019 | Jun 2019 | 5.8571428571429 Weeks</t>
  </si>
  <si>
    <t>P25700733</t>
  </si>
  <si>
    <t>KUSHAL</t>
  </si>
  <si>
    <t>WANKHEDE</t>
  </si>
  <si>
    <t>Kushal Ravindra Wankhede</t>
  </si>
  <si>
    <t>kp5635874@gmail.com</t>
  </si>
  <si>
    <t>p25700733@student.nicmar.ac.in</t>
  </si>
  <si>
    <t>5957 2753 0371</t>
  </si>
  <si>
    <t>RAVINDRA WANKHEDE</t>
  </si>
  <si>
    <t>BA</t>
  </si>
  <si>
    <t>GAYATRI WANKHEDE</t>
  </si>
  <si>
    <t>Plot No. 10 Dharmaraj Nagar Korit Road, Tal. Dist. Nandurbar Pin 425412</t>
  </si>
  <si>
    <t>EKLAVYA VIDYALAY, NANDURBAR</t>
  </si>
  <si>
    <t>J G NATAWADKAR COLLEGE, NANDURBAR</t>
  </si>
  <si>
    <t>SANDIP FOUNDATION, SANDIP INSTITUTE OF ENGINEERING AND MANAGEMENT, MAHIRAVANI, NASHIK</t>
  </si>
  <si>
    <t>Desai Construction Private Limited | Site Execution and Control | Vapi | May 2026 | Jul 2026 | 8.5714285714286 Weeks | Campus Internship
D V Patil Construction, Nandurbar | Road Construction | Nandurbar | Mar 2024 | Apr 2024 | 2.1428571428571 Weeks</t>
  </si>
  <si>
    <t>P25700734</t>
  </si>
  <si>
    <t>SONU</t>
  </si>
  <si>
    <t>Sonu Kumar</t>
  </si>
  <si>
    <t>sonu.kr_@outlook.com</t>
  </si>
  <si>
    <t>p25700734@student.nicmar.ac.in</t>
  </si>
  <si>
    <t>06-May-1998</t>
  </si>
  <si>
    <t>English,Hindi,Angika,French</t>
  </si>
  <si>
    <t>Exploring Nature,Watching movies and TV series,Intersted in geopolitical affairs,Infrastructure &amp; Urban development</t>
  </si>
  <si>
    <t>5318 5162 9754</t>
  </si>
  <si>
    <t>KISHOR KUMAR</t>
  </si>
  <si>
    <t>FARMERS CUM PVT TEACHER</t>
  </si>
  <si>
    <t>BOBY DEVI</t>
  </si>
  <si>
    <t>HOME MAKER CUM PVT TEACHER</t>
  </si>
  <si>
    <t>Ward 8 Naokothi Begusarai Bihar</t>
  </si>
  <si>
    <t>A P S HIGH SCHOOL NAOKOTHI</t>
  </si>
  <si>
    <t>BIHAR SCHOOL EXAMINATION BOARD</t>
  </si>
  <si>
    <t>S.S.M.R.J.D.I COLLEGE BISNUPURBEGUSARAI</t>
  </si>
  <si>
    <t>VIT UNIVERSITY VELLORE</t>
  </si>
  <si>
    <t>VELLORE INSTITUTE OF TECHNOLOGY,  VELLORE</t>
  </si>
  <si>
    <t>AutoCAD, Primavera P6, MS Project, CostX, Road Estimator, ERP, MS Office | Basic: Autodesk Revit (BIM), Navisworks, Civil 3D.</t>
  </si>
  <si>
    <t>Rajshyama Constructions Pvt Ltd | Engineer Billing Planning | Bikaner | Nov 2020 | Jan 2022 | 1Y 2M | 2.16
Arcons Infrastructures and Constructions Private Limited | Engineer Billing and Planning | Nagpur | Feb 2022 | Jul 2025 | 3Y 5M | 6</t>
  </si>
  <si>
    <t>4 Years 7 Months</t>
  </si>
  <si>
    <t>NBCC (India) Limited | Project Intern | Greater Noida,West,Uttar Pradesh | May 2026 | Jul 2026 | 9.7142857142857 Weeks | Campus Internship
IOCL | Vocational Trainee  | BARAUNI  | Jun 2018 | Jul 2018 | 4.1428571428571 Weeks</t>
  </si>
  <si>
    <t>Finance for Everyone: Markets
Six Sigma Green Belt-By Kennesaw State University, Coursera
Introduction to Generative AI Learning Path by Google Cloud Training,Coursera
Planning &amp; Control with Oracle Primavera PPM Professional by Packt , Coursera
Construction Management: Safety and Health By LinkedIn Learning
Project Admin (Scholar) by digiQC
Ethics in Engineering Practice by NPTEL
Construction Techniques and Practices by L&amp;T EduTech, Coursera
Career Success Specialization Online course by UC Irvine, Coursera</t>
  </si>
  <si>
    <t>P25700735</t>
  </si>
  <si>
    <t>KHILWANI</t>
  </si>
  <si>
    <t>Nandini Khilwani</t>
  </si>
  <si>
    <t>khilwani.nandini@gmail.com</t>
  </si>
  <si>
    <t>p25700735@student.nicmar.ac.in</t>
  </si>
  <si>
    <t>ENGLISH, HINDI, MARATHI, SINDHI</t>
  </si>
  <si>
    <t>5394 9961 0042</t>
  </si>
  <si>
    <t>SANJAY KHILWANI</t>
  </si>
  <si>
    <t>TAX CONSULTANT</t>
  </si>
  <si>
    <t>ARCHANA KHILWANI</t>
  </si>
  <si>
    <t>443 TREASURE TOWN_x000D_
BIJALPUR</t>
  </si>
  <si>
    <t>THE NEW DIGAMBER PUBLIC SCHOOL</t>
  </si>
  <si>
    <t>ANNIE BESANT SCHOOL</t>
  </si>
  <si>
    <t>SCHOOL OF ARCHITECTURE, IPS ACADEMY, INDORE</t>
  </si>
  <si>
    <t>AutoCAD,MS Office,MS Project,Photoshop,Sketchup,Vray,Enscape,Revit,Rhino &amp; Grasshopper,Lumion</t>
  </si>
  <si>
    <t>ARCHITECT RUSHIKESH H. | Junior Architect | Mumbai | Jul 2024 | Jul 2025 | 1Y 0M | 3.39
The Synetics Design Studio | Part-time Junior Architect | Indore, Madhya Pradesh | Apr 2022 | Mar 2023 | 0Y 11M | 1.44</t>
  </si>
  <si>
    <t>Ashoka Builders India Private Limited | Intern | Hyderabad | May 2026 | Jul 2026 | 8.7142857142857 Weeks | Campus Internship
Bhaskar Wagle &amp; Associates | Full-time Intern | Panjim, Goa | Jun 2023 | Nov 2023 | 24.857142857143 Weeks</t>
  </si>
  <si>
    <t>P25700736</t>
  </si>
  <si>
    <t>ANANDKUMAR</t>
  </si>
  <si>
    <t>KOLI</t>
  </si>
  <si>
    <t>Omkar Anandkumar Koli</t>
  </si>
  <si>
    <t>omkarkoli7298@gmail.com</t>
  </si>
  <si>
    <t>p25700736@student.nicmar.ac.in</t>
  </si>
  <si>
    <t>07-Feb-1998</t>
  </si>
  <si>
    <t>3526 8232 7070</t>
  </si>
  <si>
    <t>ANANDKUMAR SATYAPPA KOLI</t>
  </si>
  <si>
    <t>RETIRED GOVERNMENT OFFICER(EXECUTIVE ENGINEER)</t>
  </si>
  <si>
    <t>BHAGYASHREE ANANDKUMAR KOLI</t>
  </si>
  <si>
    <t>B-302,radhakrishna Complex,sector-12,plot-29,kharghar, Navi Mumbai</t>
  </si>
  <si>
    <t>BAL BHARATI PUBLIC SCHOOL</t>
  </si>
  <si>
    <t>CBSE , NAVI MUMBAI</t>
  </si>
  <si>
    <t>GREENFINGERS GLOBAL SCHOOL</t>
  </si>
  <si>
    <t>CBSE ,NAVI MUMBAI</t>
  </si>
  <si>
    <t>PILLAI HOC COLLEGE OF ENGINEERING &amp; TECHNOLOGY , MAHARASHTRA</t>
  </si>
  <si>
    <t>Planext &amp; planhigh | Strategic business development and analytics  | Thane | May 2026 | Jul 2026 | 8.5714285714286 Weeks | Campus Internship
PUBLIC WORKS DEPARTMENT(GOVERNMENT OF MAHARASHTRA) | Trainee | mumbai | Jun 2019 | Jul 2019 | 4.1428571428571 Weeks</t>
  </si>
  <si>
    <t>P25700737</t>
  </si>
  <si>
    <t>SAMPAT</t>
  </si>
  <si>
    <t>SHEDGE</t>
  </si>
  <si>
    <t>Aishwarya Sampat Shedge</t>
  </si>
  <si>
    <t>aishwaryashedge18@gmail.com</t>
  </si>
  <si>
    <t>p25700737@student.nicmar.ac.in</t>
  </si>
  <si>
    <t>18-Apr-1999</t>
  </si>
  <si>
    <t>English HIndi Marathi</t>
  </si>
  <si>
    <t>5041 9178 1106</t>
  </si>
  <si>
    <t>Chandrangan Society Phase 5 Flat No. 24 Ambegaon Pathar</t>
  </si>
  <si>
    <t>BHARATI VIDYAPEETH ENGLISH MEDIUM SCHOOL</t>
  </si>
  <si>
    <t>PUNE CAMBRIDGE PUBLIC SCHOOL &amp; JUNIOR COLLEGE</t>
  </si>
  <si>
    <t>BHIVRABAI SAWANT COLLEGE OF ENGINEERING &amp; RESEARCH, NARHE PUNE</t>
  </si>
  <si>
    <t>ACME STRUCTURAL CONSULTANTS | Trainee Design Engineer  | PUNE | Aug 2024 | Jul 2025 | 0Y 11M | 1.8</t>
  </si>
  <si>
    <t>Ahluwalia Contracts (India) Limited | Project Planning | Mumbai | May 2026 | Jun 2026 | 8.1428571428571 Weeks | Campus Internship
ACME STRUCTURAL CONSULTANTS | DESIGN ENGINEER TRAINEE | PUNE | Jan 2023 | Apr 2023 | 13.714285714286 Weeks</t>
  </si>
  <si>
    <t>P25700739</t>
  </si>
  <si>
    <t>SIDDHI</t>
  </si>
  <si>
    <t>HANWATE</t>
  </si>
  <si>
    <t>Siddhi Kishor Hanwate</t>
  </si>
  <si>
    <t>siddhihanwate2003@gmail.com</t>
  </si>
  <si>
    <t>p25700739@student.nicmar.ac.in</t>
  </si>
  <si>
    <t>15-Jul-2003</t>
  </si>
  <si>
    <t>4540 6333 2065</t>
  </si>
  <si>
    <t>Shewanta Park Lane No 2 Near Bharat Dhaba Dhanori Pune-411015</t>
  </si>
  <si>
    <t>AGRASEN HIGH SCHOOL</t>
  </si>
  <si>
    <t>NOWROSJEE WADIA COLLEGE PUNE 411 001</t>
  </si>
  <si>
    <t>MAHARASHTRA HIGHER SECONDARY CERTIFICATE EXAMINATION</t>
  </si>
  <si>
    <t>ALL INDIA SHRI SHIVAJI MEMORIAL SOCIETY'S  COLLEGE OF ENGINEERING , PUNE 411001</t>
  </si>
  <si>
    <t xml:space="preserve">AutoCAD, MS Office, MS Project, Primavera P6, Microsoft Excel, Revit, Navisworks, Power BI </t>
  </si>
  <si>
    <t>BOXOFFICE SPACE  | EXECUTION INTERN  | Pune  | May 2026 | Jul 2026 | 8.7142857142857 Weeks | Campus Internship
Haardhik Impulse | Junior engineer Intern | Moshi Pune  | Dec 2023 | Jan 2024 | 4.4285714285714 Weeks</t>
  </si>
  <si>
    <t>Data Analysis
Project Admin (Scholar) DigiQc
NPTEL Ethics in Engineering Practice (Elite)
NPTEL Structural Analysis
Finance for Non-Financial Managers</t>
  </si>
  <si>
    <t>P25700740</t>
  </si>
  <si>
    <t>YUKTA</t>
  </si>
  <si>
    <t>Yukta Ramchandra Shinde</t>
  </si>
  <si>
    <t>yuktashinde1234@gmail.com</t>
  </si>
  <si>
    <t>p25700740@student.nicmar.ac.in</t>
  </si>
  <si>
    <t>03-Jan-2000</t>
  </si>
  <si>
    <t>7596 1178 2286</t>
  </si>
  <si>
    <t>RAMCHANDRA SOPAN SHINDE</t>
  </si>
  <si>
    <t>SHOBHANA RAMCHANDRA SHINDE</t>
  </si>
  <si>
    <t>MUKTAI ROWHOUSE NO 4 SR NO 61/1A VEDANT KUNJIR COLONY PIMPLE SAUDAGAR PUNE 411027</t>
  </si>
  <si>
    <t>DR KALMADI SHAMARAO HIGH SCHOOL</t>
  </si>
  <si>
    <t>NOWROSJEE WADIA COLLEGE</t>
  </si>
  <si>
    <t>SAVITRI BAI PHULE UNIVERSITY</t>
  </si>
  <si>
    <t>PIMPRI CHINCHWAD COLLEGE OF ENGINEERING AND REASEARCH</t>
  </si>
  <si>
    <t>AutoCAD,MS Office,REVIT,STADDPRO</t>
  </si>
  <si>
    <t>P25700741</t>
  </si>
  <si>
    <t>Ashish Ganesh Swami</t>
  </si>
  <si>
    <t>ashishswami321@gmail.com</t>
  </si>
  <si>
    <t>p25700741@student.nicmar.ac.in</t>
  </si>
  <si>
    <t>14-Sep-2000</t>
  </si>
  <si>
    <t>9496 5450 6006</t>
  </si>
  <si>
    <t>GANESH BABANRAO SWAMI</t>
  </si>
  <si>
    <t>HIGHSCHOOL TEACHER</t>
  </si>
  <si>
    <t>URMILA GANESH SWAMI</t>
  </si>
  <si>
    <t>A105, DHARTI GREEN SOCIETY, BHUMKAR CHOWK, TATHAWADE, PUNE</t>
  </si>
  <si>
    <t>Bankatswami Nagar, Canal Road, Near ABC Kids School, Beed.</t>
  </si>
  <si>
    <t>SHRI SHIVAJI VIDYALAYA, BEED.</t>
  </si>
  <si>
    <t>BEED/MAHARASHTRA</t>
  </si>
  <si>
    <t>SHRI BANKATSWAMI MAHAVIDYALAYA, BEED.</t>
  </si>
  <si>
    <t>BEED/MAHARASTRA</t>
  </si>
  <si>
    <t>JSPM'S RAJARSHI SHAHU COLLEGE OF ENGINEERING, PUNE-033.</t>
  </si>
  <si>
    <t>AutoCAD,MS Office,MS Project,Primavera,Stadd pro,CostX,Revit,Naviswork</t>
  </si>
  <si>
    <t>Sankalp Contracts Private Limited | Junior Engineer | Y1Et Hinjewadi Phase 2 | May 2024 | Jul 2025 | 1Y 2M | 4.1</t>
  </si>
  <si>
    <t>Wani Projects and Infra Pvt. Ltd. | Project Planning Intern | Pune | May 2026 | Jun 2026 | 8.1428571428571 Weeks | Campus Internship
Vilas Javdekar Developers | Intern | Y1Et-Hinjewadi phase 2 | Nov 2023 | Apr 2024 | 23.142857142857 Weeks</t>
  </si>
  <si>
    <t>NPTEL-Ethics in Engineering Practice
Coursera-Finance for Non-Financial Managers, Emory University.
Coursera-Data Analysis
Indian Knowledge System (IKS): An Introduction
NPTEL- German - I</t>
  </si>
  <si>
    <t>P25700742</t>
  </si>
  <si>
    <t>HRISHIKESH</t>
  </si>
  <si>
    <t>RAVIRAO</t>
  </si>
  <si>
    <t>GHOGARE</t>
  </si>
  <si>
    <t>Hrishikesh Ravirao Ghogare</t>
  </si>
  <si>
    <t>hrishighogare44@gmail.com</t>
  </si>
  <si>
    <t>p25700742@student.nicmar.ac.in</t>
  </si>
  <si>
    <t>03-Jan-2001</t>
  </si>
  <si>
    <t>3807 2156 4932</t>
  </si>
  <si>
    <t>RAVIRAO BHASKARAO GHOGARE</t>
  </si>
  <si>
    <t>Dr. Ghogare Hospital Opposite SBI Bank Rahata, Nagar Manmad Highway, Rahata</t>
  </si>
  <si>
    <t>PRAVARA PUBLIC SCHOOL</t>
  </si>
  <si>
    <t>UPADHYE COLLEGE OF SCIENCE</t>
  </si>
  <si>
    <t>SAVITRIBAI PHULE PUNE UNIVERSITY, PUNE, MAHARASHTRA</t>
  </si>
  <si>
    <t>PRAVARA RURAL EDUCATION SOCIETY'S COLLEGE OF ARCHITECTURE</t>
  </si>
  <si>
    <t>AutoCAD,MS Office,MS Project,Revit,3D Max,SketchUp,Photoshop</t>
  </si>
  <si>
    <t>interarch Associates | Jr. Architect | Nashik | Aug 2022 | Nov 2022 | 13.428571428571 Weeks</t>
  </si>
  <si>
    <t>P25700743</t>
  </si>
  <si>
    <t>Ashwini Rajesh Shinde</t>
  </si>
  <si>
    <t>ashwinishindeas7@gmail.com</t>
  </si>
  <si>
    <t>p25700743@student.nicmar.ac.in</t>
  </si>
  <si>
    <t>07-Jul-1999</t>
  </si>
  <si>
    <t>ENGLISH,HINDI, MARATHI</t>
  </si>
  <si>
    <t>9243 3997 6683</t>
  </si>
  <si>
    <t>SANGEETA</t>
  </si>
  <si>
    <t>Hotel Matoshree Executive, Kaswaji Road, Poonam Chowk Near Union Bank</t>
  </si>
  <si>
    <t>VIDYA NIKETAN HIGH SCHOOL ,PANCHGANI</t>
  </si>
  <si>
    <t>D.Y.PATIL SCHOOL OF ARCHITECTURE, AMBI,PUNE</t>
  </si>
  <si>
    <t>AutoCAD,MS Office,MS Project,Enscape,photoshop,ms tools,Sketchup</t>
  </si>
  <si>
    <t>Kalpataru limited | Planning  | Santacruz E, Mumbai | May 2026 | Jul 2026 | 9.5714285714286 Weeks | Campus Internship
LIVSPACE | INTERIOR DESIGNER  | PUNE | Jan 2024 | Sep 2024 | 32.857142857143 Weeks
PROJECT ARCHITECTS | ARCHITECT | PASHAN, PUNE | Jul 2022 | Dec 2022 | 19.142857142857 Weeks</t>
  </si>
  <si>
    <t>P25700744</t>
  </si>
  <si>
    <t>AMAAN</t>
  </si>
  <si>
    <t>RIYAJAHMED</t>
  </si>
  <si>
    <t>Amaan Riyajahmed Attar</t>
  </si>
  <si>
    <t>amaanattar0157@gmail.com</t>
  </si>
  <si>
    <t>p25700744@student.nicmar.ac.in</t>
  </si>
  <si>
    <t>12-Sep-2002</t>
  </si>
  <si>
    <t>2660 2745 5514</t>
  </si>
  <si>
    <t>PARVIN</t>
  </si>
  <si>
    <t>B506 , ATRIUM SKYWARD UNDRI</t>
  </si>
  <si>
    <t>202, S B PEACE CORNER, ASARA CHOWK , Solapur</t>
  </si>
  <si>
    <t>CHHATRAPATI SHIVAJI MAHARAJ COLLEGE OF ARTS AND SCIENCE</t>
  </si>
  <si>
    <t>DR BABASAHEB AMBEDKAR TECHNOLOGICAL UNIVERSITY</t>
  </si>
  <si>
    <t>A G PATIL INSTITUTE OF TECHNOLOGY</t>
  </si>
  <si>
    <t>AutoCAD,MS Office,MS Project,Estimation,Design drafting,BOQ,Quantity Estimation,Excel</t>
  </si>
  <si>
    <t>Nyati Group  | Project Management Intern | Pune | May 2026 | Jul 2026 | 8.1428571428571 Weeks | Campus Internship
MAULI ENTERPRISES | SITE ENGINEER | SOLAPUR  | Feb 2024 | May 2024 | 15.714285714286 Weeks
AIESEC | Business Development associate | Pune | Aug 2022 | Jan 2023 | 26.142857142857 Weeks
Yash Consultancy | Site engineer  | Solapur  | Jan 2023 | Jan 2024 | 52.142857142857 Weeks</t>
  </si>
  <si>
    <t>P25700745</t>
  </si>
  <si>
    <t>RAMHARI</t>
  </si>
  <si>
    <t>NISHAD</t>
  </si>
  <si>
    <t>Rahul Ramhari Nishad</t>
  </si>
  <si>
    <t>rahul942374@gmail.com</t>
  </si>
  <si>
    <t>p25700745@student.nicmar.ac.in</t>
  </si>
  <si>
    <t>ENGLISH, MARATHI, HINDI &amp; JAPANESE</t>
  </si>
  <si>
    <t>6398 8151 7233</t>
  </si>
  <si>
    <t>RAMHARI NISHAD</t>
  </si>
  <si>
    <t>743/2b 4th Lane Shahupuri Kolhapur</t>
  </si>
  <si>
    <t>SEVENTH DAY ADVENTIST HIGHER SECONDARY ISCE / ISC SCHOOL</t>
  </si>
  <si>
    <t>KOLHAPUR / MAHARASHTRA</t>
  </si>
  <si>
    <t>HANUMANT RAO CHATE JR COLLEGE</t>
  </si>
  <si>
    <t>D Y PATIL COLLEGE OF ENGINEERING AND TECHNOLOGY</t>
  </si>
  <si>
    <t>AutoCAD,MS Office,MS Project,Primavera,Sketch Up,Revit,Adobe Photoshop,Adobe Premiere Pro,Adobe After Effects</t>
  </si>
  <si>
    <t>Neelkanth Builders | Site Engineer | Kolhapur, Maharashtra | Aug 2023 | Jul 2025 | 1Y 11M | 1.52</t>
  </si>
  <si>
    <t>Basil Homes | Project Management Intern | Pune | May 2026 | Jul 2026 | 9.2857142857143 Weeks | Campus Internship</t>
  </si>
  <si>
    <t>District &amp; Zonal Sports
NPTEL Ethics
NPTEL German</t>
  </si>
  <si>
    <t>P25700746</t>
  </si>
  <si>
    <t>FATIMA</t>
  </si>
  <si>
    <t>BACHA</t>
  </si>
  <si>
    <t>Fatima Bacha</t>
  </si>
  <si>
    <t>fbacha174@gmail.com</t>
  </si>
  <si>
    <t>p25700746@student.nicmar.ac.in</t>
  </si>
  <si>
    <t>English, Hindi , Urdu , Kashmiri</t>
  </si>
  <si>
    <t>7240 1309 8490</t>
  </si>
  <si>
    <t>GUL MUHAMMAD BACHA</t>
  </si>
  <si>
    <t>REHANA AKHTAR</t>
  </si>
  <si>
    <t>STANZA LIVING WACO,NEAR MOZE COLLEGE,PUNE, MAHARASHTRA.</t>
  </si>
  <si>
    <t>Upper Aspeer Sopore</t>
  </si>
  <si>
    <t>Srinagar</t>
  </si>
  <si>
    <t>ST.JOSEPH'S HIGHER SECONDARY SCHOOL</t>
  </si>
  <si>
    <t>JAMMU AND KASHMIR</t>
  </si>
  <si>
    <t>2015-Nov</t>
  </si>
  <si>
    <t>2016-Nov</t>
  </si>
  <si>
    <t>2018-Nov</t>
  </si>
  <si>
    <t>VISVESVARAYA TECHNOLOGICAL UNIVERSITY (VTU)</t>
  </si>
  <si>
    <t>SIR M. VISVESVARAYA INSTITUTE OF TECHNOLOGY ,BENGALURU</t>
  </si>
  <si>
    <t>AutoCAD,MS Office,MS Project,Cubicost Tas,Cubicost TRB,Microsoft 365,QGIS</t>
  </si>
  <si>
    <t>DataCorp Traffic Private Limited | Junior Traffic Engineer | Bengaluru | Jun 2024 | Jun 2025 | 0Y 11M | 3.6</t>
  </si>
  <si>
    <t>KPMG India | Summer Intern- Transformaton-MPA | Mumbai | May 2026 | Jun 2026 | 7.5714285714286 Weeks | Campus Internship
R&amp;B Public Works Department | Student Intern | Sopore, Jammu&amp; Kashmir ,India | Aug 2023 | Sep 2023 | 4.4285714285714 Weeks</t>
  </si>
  <si>
    <t>Finance For Non- Financial Managers- EMORY University
Excel Skills Job Simulation-JPMorgan Chase &amp; Co.</t>
  </si>
  <si>
    <t>P25700747</t>
  </si>
  <si>
    <t>VISHAL</t>
  </si>
  <si>
    <t>Vishal Vinod Mishra</t>
  </si>
  <si>
    <t>vishalmishraji02@gmail.com</t>
  </si>
  <si>
    <t>p25700747@student.nicmar.ac.in</t>
  </si>
  <si>
    <t>5146 2667 3369</t>
  </si>
  <si>
    <t>VINOD MISHRA</t>
  </si>
  <si>
    <t>MEERA MISHRA</t>
  </si>
  <si>
    <t>103 -A Wing Dharma Galaxy Gurawalipada Titwala East</t>
  </si>
  <si>
    <t>I.E.S NEW ENGLISH SCHOOL</t>
  </si>
  <si>
    <t>PATUCK COLLEGE OF SCIENCE</t>
  </si>
  <si>
    <t>VIVA COLLEGE</t>
  </si>
  <si>
    <t>A. P. SHAH INSTITUTE OF TECHNOLOGY THANE</t>
  </si>
  <si>
    <t>JAY ENTERPRISES construction and engineering | Junior Site Engineer  | Thane/Dombivali | May 2023 | Jul 2024 | 1Y 2M | 1.8
Puneet Urban Scpaces | Junior Engineer | Kurla  | Aug 2024 | Jul 2025 | 0Y 11M | 4.2</t>
  </si>
  <si>
    <t>GOUR ROAD TAR COAT PVT. LTD. | Project Management Intern | Jabalpur | May 2026 | Jul 2026 | 8.7142857142857 Weeks | Campus Internship
GAUR ROAD TAR COAT PVT. LTD. | Junior engineer | Jabalpur | May 2021 | Aug 2021 | 14.571428571429 Weeks
SANJAY CONSTRUCTION | JUNIOR ENGINEER  | VIRAR | May 2019 | Aug 2019 | 15.285714285714 Weeks</t>
  </si>
  <si>
    <t>Data Analysis
BMC Waste Management
Ethics in engg Practice 
German
Indian knowledge system
Laser Spotting
MSCIT
OFFICE Automation
Paper presentation
project admin
Resource mobilization
ROBO race
Tantrotsav
Technical project competion
Wall magazine 
GIS</t>
  </si>
  <si>
    <t>P25700748</t>
  </si>
  <si>
    <t>BATHARAJU</t>
  </si>
  <si>
    <t>Batharaju Rakesh</t>
  </si>
  <si>
    <t>rakeshbatharaju@gmail.com</t>
  </si>
  <si>
    <t>p25700748@student.nicmar.ac.in</t>
  </si>
  <si>
    <t>25-Oct-2000</t>
  </si>
  <si>
    <t>ENGLISH,HINDHI,TELUGU</t>
  </si>
  <si>
    <t>5917 0123 8559</t>
  </si>
  <si>
    <t>BATHARAJU SAILU</t>
  </si>
  <si>
    <t>BATHARAJU VIJAYALAXMI</t>
  </si>
  <si>
    <t>Flat.no.201,ashtalakshmi Residency ,margadharshini Colony Rdno.6, Kothapet</t>
  </si>
  <si>
    <t>DILSHUKNAGAR PUBLIC  SCHOOL</t>
  </si>
  <si>
    <t>BOARD OF SECONDARY EDUCATION : TELANGANA</t>
  </si>
  <si>
    <t>CHURCH OF SOUTH INDIAN INSTITUTE OF TECHNOLOGY</t>
  </si>
  <si>
    <t>AutoCAD,MS Office,MS Project,Primavera,Photoshop,enscape,sketchup,revit,adobe premiere pro,canva,lumion,power point</t>
  </si>
  <si>
    <t>VMV CONSULTANTS | Jr .Architect | hyderabad | Aug 2023 | Sep 2024 | 1Y 1M | 3</t>
  </si>
  <si>
    <t>CITRA ASSOCIATES INFRA STUDIO PRIVATE LIMITED | Sr.Architect| Design And Execution Intern | Project Coordination | Hyderabad | May 2026 | Jul 2026 | 8.7142857142857 Weeks | Campus Internship
aparna consultants | Jr.Architect | Hyderabad | Aug 2022 | Jan 2023 | 19.142857142857 Weeks</t>
  </si>
  <si>
    <t>sketchup and lumion software.</t>
  </si>
  <si>
    <t>P25700749</t>
  </si>
  <si>
    <t>BHURA</t>
  </si>
  <si>
    <t>Rohit Bhura Patil</t>
  </si>
  <si>
    <t>rohitbp1801@gmail.com</t>
  </si>
  <si>
    <t>p25700749@student.nicmar.ac.in</t>
  </si>
  <si>
    <t>07-Nov-2001</t>
  </si>
  <si>
    <t>8068 7848 6231</t>
  </si>
  <si>
    <t>BHURA INDA PATIL</t>
  </si>
  <si>
    <t>Plot No. 22 Gokarn Society Deopur Dhule. Maharashtra</t>
  </si>
  <si>
    <t>SSS PARIWAR HIFH SCHOOL AARVI DHULE</t>
  </si>
  <si>
    <t>SAVITRIBAI PHULE PUNE UNIVERSITY , PUNE , MAHARASHTRA</t>
  </si>
  <si>
    <t>SINHGAD ACADEMY OF ENGINEERING , PUNE MAHARASHTRA .</t>
  </si>
  <si>
    <t>AutoCAD,MS Office,MS Project,Primavera,Excel,Costx,Revit,BIM</t>
  </si>
  <si>
    <t>Cognizant Technology Solutions India Private Limited | Programmer Analyst | pune | Dec 2023 | Aug 2025 | 1Y 8M | 4.31</t>
  </si>
  <si>
    <t>New Consolidated Construction Co. Ltd. | Civil Intern | Seawoods , Navi Mumbai  | May 2026 | Jul 2026 | 8.5714285714286 Weeks | Campus Internship
COGNIZANT TECHNOLOGY SOLUTIONS INDIA PRIVATE LIMITED | GEN-C | CHENNAI | Sep 2023 | Dec 2023 | 10.857142857143 Weeks
Mahalaxmi Developer | Intern  | Saswad | Mar 2022 | Apr 2022 | 6.1428571428571 Weeks</t>
  </si>
  <si>
    <t>P25700750</t>
  </si>
  <si>
    <t>PALAK</t>
  </si>
  <si>
    <t>VITHLANI</t>
  </si>
  <si>
    <t>Palak Hitesh Vithlani</t>
  </si>
  <si>
    <t>palvithlani7@gmail.com</t>
  </si>
  <si>
    <t>p25700750@student.nicmar.ac.in</t>
  </si>
  <si>
    <t>7275 1355 7053</t>
  </si>
  <si>
    <t>HITESH VITHLANI</t>
  </si>
  <si>
    <t>RAKHI VITHLANI</t>
  </si>
  <si>
    <t>Tilak Society, Veraval</t>
  </si>
  <si>
    <t>Gir Somnath</t>
  </si>
  <si>
    <t>THE ADITYA BIRLA PUBLIC SCHOOL, VERAVAL</t>
  </si>
  <si>
    <t>NIOS</t>
  </si>
  <si>
    <t>LOK JAGRUTI KENDRA UNIVERSITY, AHMEDABAD</t>
  </si>
  <si>
    <t>L.J.SCHOOL OF ARCHITECTURE, AHMEDABAD</t>
  </si>
  <si>
    <t>AutoCAD,MS Office,MS Project,Primavera,SketchUp,Photoshop</t>
  </si>
  <si>
    <t>BHAJAN INFRATECH PVT. LTD. | Project Manager Intern | Surat | May 2026 | Jun 2026 | 7.7142857142857 Weeks | Campus Internship
ARCHIMEDES CONSULTANT PVT LTD | INTERN | AHMEDABAD | Jan 2025 | Apr 2025 | 13.428571428571 Weeks
TRANQUIL , THE DESIGN WAVE | INTERN | AHMEDABAD | Jun 2023 | Oct 2023 | 19.285714285714 Weeks</t>
  </si>
  <si>
    <t>AI in Project Management
Agile Project Management Foundation
Power BI Essential Training, by Gini von Courter
Construction Finance Fundamentals
Project Management: Energy and Water Projects</t>
  </si>
  <si>
    <t>P25700751</t>
  </si>
  <si>
    <t>BORATE</t>
  </si>
  <si>
    <t>Soham Dashrath Borate</t>
  </si>
  <si>
    <t>boratesoham1@gmail.com</t>
  </si>
  <si>
    <t>p25700751@student.nicmar.ac.in</t>
  </si>
  <si>
    <t>18-Feb-2004</t>
  </si>
  <si>
    <t>8236 8680 6233</t>
  </si>
  <si>
    <t>Malawadi Subdistrict:Man</t>
  </si>
  <si>
    <t>MIT VISHWASHANTI GURUKUL SCHOOL PANDHARPUR</t>
  </si>
  <si>
    <t>KOTA COLLEGE OF SCIENCE KARAD</t>
  </si>
  <si>
    <t>MAHARASHTRA STATE BOARD OF SECONDARY AND HIGHER SECONDARY BOARD</t>
  </si>
  <si>
    <t>SAVITRIBAI PHULE PUNE UNIVESSITY</t>
  </si>
  <si>
    <t>DY PATIL COLLEGE OF ENGINEERING AKURDI</t>
  </si>
  <si>
    <t>Navkarmik Infra | Project Planning  And Execution Intern | Mumbai | May 2026 | Jul 2026 | 8.7142857142857 Weeks | Campus Internship
Omkar Construction Vaduj | Site Engineer | Satara | Dec 2023 | Jan 2024 | 6.7142857142857 Weeks</t>
  </si>
  <si>
    <t>Becoming an SAP Professional
Data Analysis
Construction Equipment Maintenance &amp; Safety
Finance for Non-Financial Managers</t>
  </si>
  <si>
    <t>P25700752</t>
  </si>
  <si>
    <t>MAHALAKSHMI</t>
  </si>
  <si>
    <t>BIDARI</t>
  </si>
  <si>
    <t>Mahalakshmi Prakash Bidari</t>
  </si>
  <si>
    <t>pbmaha5141@gmail.com</t>
  </si>
  <si>
    <t>p25700752@student.nicmar.ac.in</t>
  </si>
  <si>
    <t>ENGLISH,KANNADA,HINDI</t>
  </si>
  <si>
    <t>5646 4179 6055</t>
  </si>
  <si>
    <t>PRAKASH BIDARI</t>
  </si>
  <si>
    <t>NAYANA BIDARI</t>
  </si>
  <si>
    <t>House No887 Near Shivalaya Ramtheerth Nagar Belgaum</t>
  </si>
  <si>
    <t>KITTUR RANI CHANNAMMA RESIDENTIAL SAINIK SCHOOL</t>
  </si>
  <si>
    <t>MAHESH PU COLLEGE BELGAUM</t>
  </si>
  <si>
    <t>GOVT. OF KARNATAKA, DEPARTMENT OF PRE-UNIVERSITY EDUCATION, KARNATAKA</t>
  </si>
  <si>
    <t>VISHVESVARAYA TECHNOLOGICAL UNIVERSITY,BELGAUM</t>
  </si>
  <si>
    <t>GOGTE INSTITUTE OF TECHNOLOGY BELGAUM</t>
  </si>
  <si>
    <t>AutoCAD,MS Office,SKETCHUP,LUMION,PHOTOSHOP,CANVA,MSP,MS word</t>
  </si>
  <si>
    <t>Suryapriya Construction Private Limited | Project Management . | Banglore | May 2026 | Jul 2026 | 8.7142857142857 Weeks | Campus Internship
Khuba Architects | Mahalakshmi P Bidari | Banglore | Feb 2023 | Jun 2023 | 15.714285714286 Weeks</t>
  </si>
  <si>
    <t>UI/UX</t>
  </si>
  <si>
    <t>P25700753</t>
  </si>
  <si>
    <t>VISPUTE</t>
  </si>
  <si>
    <t>Ajinkya Umakant Vispute</t>
  </si>
  <si>
    <t>ajinkyavispute2001@gmail.com</t>
  </si>
  <si>
    <t>p25700753@student.nicmar.ac.in</t>
  </si>
  <si>
    <t>23-Apr-2001</t>
  </si>
  <si>
    <t>5350 8438 0096</t>
  </si>
  <si>
    <t>UMAKANT VIJAY VISPUTE</t>
  </si>
  <si>
    <t>SWATI UMAKANT VISPUTE</t>
  </si>
  <si>
    <t>CONSULTANT</t>
  </si>
  <si>
    <t>FLAT NO.3 BUILDING NO, F1 GIRIJA SHANKAR VIHAR SOCIETY, KARVE NAGAR PUNE</t>
  </si>
  <si>
    <t>Flat No. 3 Anand Majestry Rundavan Colony Ambad Link Road Nashik</t>
  </si>
  <si>
    <t>BOYS' TOWN PUBLIC SCHOOL</t>
  </si>
  <si>
    <t>2007-Mar</t>
  </si>
  <si>
    <t>NASHIK MAHARASHTRA</t>
  </si>
  <si>
    <t>SINHGAD INSTITUTE OF TECHNOLOGY AND SCIENCE NARHE, PUNE, MAHARASHTRA</t>
  </si>
  <si>
    <t>AutoCAD,MS Office,MS Project,Intership STAAD.PRO,ETABS.2018</t>
  </si>
  <si>
    <t>Millennium Engineers and Contractors Pvt. Ltd Pune | Site Execution  | Baner Pune Maharashtra | Apr 2024 | Aug 2025 | 1Y 3M | 3.9</t>
  </si>
  <si>
    <t>Colliers International (India) Property Services Private Limited | Project Management Intern | Pune | May 2026 | Jul 2026 | 8.5714285714286 Weeks | Campus Internship</t>
  </si>
  <si>
    <t>P25700754</t>
  </si>
  <si>
    <t>THITE</t>
  </si>
  <si>
    <t>Jay Dnyaneshwar Thite</t>
  </si>
  <si>
    <t>jaythite1000@gmail.com</t>
  </si>
  <si>
    <t>p25700754@student.nicmar.ac.in</t>
  </si>
  <si>
    <t>26-Dec-2000</t>
  </si>
  <si>
    <t>3018 0343 9784</t>
  </si>
  <si>
    <t>A/p. Bhose (k), Tal. Pandharpur, Dist. Solapur</t>
  </si>
  <si>
    <t>YASHWANT VIDHYALAYA BHOSE</t>
  </si>
  <si>
    <t>KARMAVEER BHAURAO PATIL MAHAVIDYALAYA, PANDHARPUR</t>
  </si>
  <si>
    <t>D. Y. PATIL COLLEGE OF ENGINEERING &amp; TECHNOLOGY, KASABA BAWADA, KOLHAPUR</t>
  </si>
  <si>
    <t>B. G. Shirke Construction Technology Pvt Ltd, Pune | Trainee Engineer- Civil | Tathawade Phase 2, Pune | Nov 2023 | Mar 2024 | 0Y 4M | 1.92
Pragati Construction, Pune | Junior Engineer | Akkalkot, Solapur | Apr 2024 | Jul 2025 | 1Y 3M | 3.6</t>
  </si>
  <si>
    <t>Larsen &amp; Toubro Energy Hydrocarbon (LTEH) | Construction Management Intern | L&amp;T Knowledge City, Vadodara, Gujarat | May 2026 | Jun 2026 | 8.1428571428571 Weeks | Campus Internship</t>
  </si>
  <si>
    <t>P25700755</t>
  </si>
  <si>
    <t>NILESH</t>
  </si>
  <si>
    <t>NIKHADE</t>
  </si>
  <si>
    <t>Nilesh Dilip Nikhade</t>
  </si>
  <si>
    <t>nileshnikhade2019@gmail.com</t>
  </si>
  <si>
    <t>p25700755@student.nicmar.ac.in</t>
  </si>
  <si>
    <t>23-May-2000</t>
  </si>
  <si>
    <t>6443 3345 4905</t>
  </si>
  <si>
    <t>NICMAR UNIVERSITY, BALEWADI, PUNE.</t>
  </si>
  <si>
    <t>Vaijapur Gramin 1, Vaijapur Rural, Aurangabad,vaijapur.</t>
  </si>
  <si>
    <t>NEW HIGH SCHOOL, VAIJAPUR.</t>
  </si>
  <si>
    <t>SANJIVANI COLLEGE OF ENGINEERING, KOPARGAON, MAHARASHTRA</t>
  </si>
  <si>
    <t>SINHAGAD ACADEMY OF ENGINEERING, KONDHWA, MAHARASHTRA.</t>
  </si>
  <si>
    <t>AutoCAD,MS Office,MS Project,Primavera,Cost X,BIM</t>
  </si>
  <si>
    <t>Amazon Development Centre (India) Private Limited | Product Compliance Associate â€“ TSE | Pune  | Jul 2022 | Jan 2025 | 2Y 6M | 5.8</t>
  </si>
  <si>
    <t>B.B. Lahamge Government Contractor  | Project Planning | Vaijapur | May 2026 | Jul 2026 | 9.5714285714286 Weeks</t>
  </si>
  <si>
    <t>P25700281</t>
  </si>
  <si>
    <t>SAROJ</t>
  </si>
  <si>
    <t>Atul Vinod Saroj</t>
  </si>
  <si>
    <t>atulsaroj85@gmail.com</t>
  </si>
  <si>
    <t>p25700281@student.nicmar.ac.in</t>
  </si>
  <si>
    <t>13-May-1998</t>
  </si>
  <si>
    <t>2763 2199 9288</t>
  </si>
  <si>
    <t>VINOD SAROJ</t>
  </si>
  <si>
    <t>SHEELA VINOD SAROJ</t>
  </si>
  <si>
    <t>Room No. 306 Jivdani Darshan Building, Opppsite Mehta Pharmaceutical Industries Kopri Naka, Virar East.</t>
  </si>
  <si>
    <t>NEW MODEL ENGLISH HIGH SCHOOL</t>
  </si>
  <si>
    <t>PATUCK TECHNICAL HIGH SCHOOL &amp; JR. COLLEGE</t>
  </si>
  <si>
    <t>DIPLOMA IN CIVIL ENGIINEERING</t>
  </si>
  <si>
    <t>LOVELY PROFESSIONAL UNIVERSITY, PHAGWARA/PUNJAB</t>
  </si>
  <si>
    <t>LOVELY PROFESSIONAL UNIVERSITY</t>
  </si>
  <si>
    <t>AutoCAD,P6,CostX,MS Project,Revit Arch,Staad Pro,Navis work,DGQC,MS Excel</t>
  </si>
  <si>
    <t>Umiya Associates | Junior Engineer | Mumbai | Jul 2022 | Jun 2025 | 2Y 11M | 4.44
Xpressbees | Associate Executive-Admin | Surat | Apr 2021 | Jul 2022 | 1Y 3M | 2.4</t>
  </si>
  <si>
    <t>New Consolidated Construction Company Limited (NCCCL) | Intern-Planning | Mumbai Maharashtra | May 2026 | Jul 2026 | 8.5714285714286 Weeks | Campus Internship</t>
  </si>
  <si>
    <t>P25700325</t>
  </si>
  <si>
    <t>JAMGADE</t>
  </si>
  <si>
    <t>Harsh Sunil Jamgade</t>
  </si>
  <si>
    <t>harshjamgade03@gmail.com</t>
  </si>
  <si>
    <t>p25700325@student.nicmar.ac.in</t>
  </si>
  <si>
    <t>03-Apr-2002</t>
  </si>
  <si>
    <t>ENGLISH, MARATHI, AND HINDI</t>
  </si>
  <si>
    <t>2812 0492 1127</t>
  </si>
  <si>
    <t>SHAH LAYOUT, FETRI, KALMESHWAR ROAD, NAGPUR 441501</t>
  </si>
  <si>
    <t>WARD NO.1 MAHURZARI KALMESWAR ROAD NAGPUR RURAL</t>
  </si>
  <si>
    <t>BHAVAN'S B.P. VIDYA MANDIR, ASHTI</t>
  </si>
  <si>
    <t>CENTRAL BOARD OF SECONDARY EDUCATION (CBSE),NEW DELHI</t>
  </si>
  <si>
    <t>CENTRAL BOARD OF SECONDARY EDUCATION (CBSE), NEW DELHI</t>
  </si>
  <si>
    <t>YESHWANTRAO CHAVAN COLLEGE OF ENGINEERING (YCCE), NAGPUR</t>
  </si>
  <si>
    <t>AutoCAD,MS Office,MS Project,Primavera,QGIS,ArcGIS,MS Excel,Power BI</t>
  </si>
  <si>
    <t>Ahluwalia Contracts (India) Limited | Intern | Delhi NCR  | May 2026 | Jul 2026 | 8.7142857142857 Weeks | Campus Internship
SHREE CONSTRUCTION | CIVIL ENGINEERING INTERN | NAGPUR  | Jan 2024 | Apr 2024 | 17.142857142857 Weeks</t>
  </si>
  <si>
    <t>Google Project Management
GIS Basics
Getting Started with Mapping and Visualization
Getting Started with Imagery and Remote Sensing
ArcGIS Pro Basics
ArcGIS Online Basics
Power BI: Data Modeling and Data Analysis
Power BI: Data Analytics and Data Preparation
PowerBI for Beginners: Data transformation
Power BI: Data Secure, Governance, and Workspace Management
Finance for Non-Financial Managers
Estimating Fundamentals
Data-Driven Decision- Making for Agile Organizations
Geospatial Techniques for Engineers</t>
  </si>
  <si>
    <t>P25700367</t>
  </si>
  <si>
    <t>DWARSALA</t>
  </si>
  <si>
    <t>Dwarsala Mohit Reddy</t>
  </si>
  <si>
    <t>mohit2002777@gmail.com</t>
  </si>
  <si>
    <t>p25700367@student.nicmar.ac.in</t>
  </si>
  <si>
    <t>English , Hindi , Telugu</t>
  </si>
  <si>
    <t>8076 7418 2771</t>
  </si>
  <si>
    <t>DWARSALA SREE RAM MANOHAR REDDY</t>
  </si>
  <si>
    <t>GAJJALA SUDHA</t>
  </si>
  <si>
    <t>Flat.no -502 , Garudadhri Residency , Opposite To P.F .Office , Kadapa</t>
  </si>
  <si>
    <t>BOARD OF SECONDARY EDUCATION , ANDHRA PRADESH</t>
  </si>
  <si>
    <t>LARSEN &amp; TOUBRO | Project Planning Trainee  | Chennai  | May 2026 | Jul 2026 | 8 Weeks | Campus Internship
VNB Constructions | In Plant Trainee  | Kadapa | Aug 2022 | Sep 2022 | 2.5714285714286 Weeks
L&amp;T EduTech | Trainee | Chennai  | Jul 2023 | Aug 2023 | 1.5714285714286 Weeks</t>
  </si>
  <si>
    <t>Finance for Non-Finance Managers by Emory University
Construction Equipment and Techniques by LNT EduTech</t>
  </si>
  <si>
    <t>P25700694</t>
  </si>
  <si>
    <t>DANISH</t>
  </si>
  <si>
    <t>IRFAN</t>
  </si>
  <si>
    <t>PATHAN</t>
  </si>
  <si>
    <t>Danish Irfan Pathan</t>
  </si>
  <si>
    <t>danishpathan064@gmail.com</t>
  </si>
  <si>
    <t>P25700478@student.nicmar.ac.in</t>
  </si>
  <si>
    <t>21-Apr-1999</t>
  </si>
  <si>
    <t>9858 9901 5321</t>
  </si>
  <si>
    <t>IRFAN PATHAN</t>
  </si>
  <si>
    <t>SHAISTA PATHAN</t>
  </si>
  <si>
    <t>FLAT NO 203,SUNSHINE APARTMENT, LANE NO 6, SANJAY PARK ,NEAR GANESH MANDIR ,PUNE 411032</t>
  </si>
  <si>
    <t>50/2A Wadeshwar Nagar Wadgoansheri ,Old Mundwa Road , Pune 411014</t>
  </si>
  <si>
    <t>NIRMALA CONVENT SCHOOL</t>
  </si>
  <si>
    <t>MAHARASHTRA STATE BOARD OF SECONDARY AND HIGHER SECONDARY EDUCATION ,PUNE, MAHARASHTRA</t>
  </si>
  <si>
    <t>DON BOSCO JUNIOR COLLEGE OF ARTS, SCIENCE AND COMMERCE ,PUNE, MAHARASHTRA</t>
  </si>
  <si>
    <t>MAHARASHTRA STATE BOARD OF SECONDARY AND HIGHER SECONDARY EDUCATION , PUNE,MAHARASHTRA</t>
  </si>
  <si>
    <t>ALLANA COLLEGE OF ARCHITECTURE ,PUNE, MAHARASHTRA</t>
  </si>
  <si>
    <t>AutoCAD,MS Office,MS Project,Primavera,Revit,Lumion,Enscape,Rhino,Dynamo,Archicad</t>
  </si>
  <si>
    <t>PRASHANT DESHMUKH AND ASSOCIATES | JUNIOR ARCHITECT | Pune  | Jul 2022 | Jul 2025 | 2Y 11M | 4.8</t>
  </si>
  <si>
    <t>RAISONI CORP | Project Control Intern | Pune | May 2026 | Jul 2026 | 9.7142857142857 Weeks | Campus Internship
INGRAIN ARCHITECTS | INTERN ARCHITECT | MUMBAI  | Jun 2021 | Nov 2021 | 23.142857142857 Weeks</t>
  </si>
  <si>
    <t>2026-2028</t>
  </si>
  <si>
    <t>P26700001</t>
  </si>
  <si>
    <t>P26700001@student.nicmar.ac.in</t>
  </si>
  <si>
    <t>P26700002</t>
  </si>
  <si>
    <t>P26700002@student.nicmar.ac.in</t>
  </si>
  <si>
    <t>P26700003</t>
  </si>
  <si>
    <t>P26700003@student.nicmar.ac.in</t>
  </si>
  <si>
    <t>P26700004</t>
  </si>
  <si>
    <t>P26700004@student.nicmar.ac.in</t>
  </si>
  <si>
    <t>P26700005</t>
  </si>
  <si>
    <t>P26700005@student.nicmar.ac.in</t>
  </si>
  <si>
    <t>P26700006</t>
  </si>
  <si>
    <t>P26700006@student.nicmar.ac.in</t>
  </si>
  <si>
    <t>P26700007</t>
  </si>
  <si>
    <t>P26700007@student.nicmar.ac.in</t>
  </si>
  <si>
    <t>P26700008</t>
  </si>
  <si>
    <t>P26700008@student.nicmar.ac.in</t>
  </si>
  <si>
    <t>P26700009</t>
  </si>
  <si>
    <t>P26700009@student.nicmar.ac.in</t>
  </si>
  <si>
    <t>P26700010</t>
  </si>
  <si>
    <t>P26700010@student.nicmar.ac.in</t>
  </si>
  <si>
    <t>P26700011</t>
  </si>
  <si>
    <t>P26700011@student.nicmar.ac.in</t>
  </si>
  <si>
    <t>P26700012</t>
  </si>
  <si>
    <t>P26700012@student.nicmar.ac.in</t>
  </si>
  <si>
    <t>P26700013</t>
  </si>
  <si>
    <t>P26700013@student.nicmar.ac.in</t>
  </si>
  <si>
    <t>P26700014</t>
  </si>
  <si>
    <t>P26700014@student.nicmar.ac.in</t>
  </si>
  <si>
    <t>P26700015</t>
  </si>
  <si>
    <t>P26700015@student.nicmar.ac.in</t>
  </si>
  <si>
    <t>P26700016</t>
  </si>
  <si>
    <t>P26700016@student.nicmar.ac.in</t>
  </si>
  <si>
    <t>P26700017</t>
  </si>
  <si>
    <t>P26700017@student.nicmar.ac.in</t>
  </si>
  <si>
    <t>P26700018</t>
  </si>
  <si>
    <t>P26700018@student.nicmar.ac.in</t>
  </si>
  <si>
    <t>P26700019</t>
  </si>
  <si>
    <t>P26700019@student.nicmar.ac.in</t>
  </si>
  <si>
    <t>P26700020</t>
  </si>
  <si>
    <t>P26700020@student.nicmar.ac.in</t>
  </si>
  <si>
    <t>P26700021</t>
  </si>
  <si>
    <t>P26700021@student.nicmar.ac.in</t>
  </si>
  <si>
    <t>P26700022</t>
  </si>
  <si>
    <t>P26700022@student.nicmar.ac.in</t>
  </si>
  <si>
    <t>P26700023</t>
  </si>
  <si>
    <t>P26700023@student.nicmar.ac.in</t>
  </si>
  <si>
    <t>P26700024</t>
  </si>
  <si>
    <t>P26700024@student.nicmar.ac.in</t>
  </si>
  <si>
    <t>P26700025</t>
  </si>
  <si>
    <t>P26700025@student.nicmar.ac.in</t>
  </si>
  <si>
    <t>P26700026</t>
  </si>
  <si>
    <t>P26700026@student.nicmar.ac.in</t>
  </si>
  <si>
    <t>P26700027</t>
  </si>
  <si>
    <t>P26700027@student.nicmar.ac.in</t>
  </si>
  <si>
    <t>P26700028</t>
  </si>
  <si>
    <t>P26700028@student.nicmar.ac.in</t>
  </si>
  <si>
    <t>P26700029</t>
  </si>
  <si>
    <t>P26700029@student.nicmar.ac.in</t>
  </si>
  <si>
    <t>P26700030</t>
  </si>
  <si>
    <t>P26700030@student.nicmar.ac.in</t>
  </si>
  <si>
    <t>P26700031</t>
  </si>
  <si>
    <t>P26700031@student.nicmar.ac.in</t>
  </si>
  <si>
    <t>P26700032</t>
  </si>
  <si>
    <t>P26700032@student.nicmar.ac.in</t>
  </si>
  <si>
    <t>P26700033</t>
  </si>
  <si>
    <t>P26700033@student.nicmar.ac.in</t>
  </si>
  <si>
    <t>P26700034</t>
  </si>
  <si>
    <t>P26700034@student.nicmar.ac.in</t>
  </si>
  <si>
    <t>P26700035</t>
  </si>
  <si>
    <t>P26700035@student.nicmar.ac.in</t>
  </si>
  <si>
    <t>P26700036</t>
  </si>
  <si>
    <t>P26700036@student.nicmar.ac.in</t>
  </si>
  <si>
    <t>P26700037</t>
  </si>
  <si>
    <t>P26700037@student.nicmar.ac.in</t>
  </si>
  <si>
    <t>P26700038</t>
  </si>
  <si>
    <t>P26700038@student.nicmar.ac.in</t>
  </si>
  <si>
    <t>P26700039</t>
  </si>
  <si>
    <t>P26700039@student.nicmar.ac.in</t>
  </si>
  <si>
    <t>P26700040</t>
  </si>
  <si>
    <t>P26700040@student.nicmar.ac.in</t>
  </si>
  <si>
    <t>P26700041</t>
  </si>
  <si>
    <t>P26700041@student.nicmar.ac.in</t>
  </si>
  <si>
    <t>P26700042</t>
  </si>
  <si>
    <t>P26700042@student.nicmar.ac.in</t>
  </si>
  <si>
    <t>P26700043</t>
  </si>
  <si>
    <t>P26700043@student.nicmar.ac.in</t>
  </si>
  <si>
    <t>P26700044</t>
  </si>
  <si>
    <t>P26700044@student.nicmar.ac.in</t>
  </si>
  <si>
    <t>P26700045</t>
  </si>
  <si>
    <t>P26700045@student.nicmar.ac.in</t>
  </si>
  <si>
    <t>P26700046</t>
  </si>
  <si>
    <t>P26700046@student.nicmar.ac.in</t>
  </si>
  <si>
    <t>P26700047</t>
  </si>
  <si>
    <t>P26700047@student.nicmar.ac.in</t>
  </si>
  <si>
    <t>P26700048</t>
  </si>
  <si>
    <t>P26700048@student.nicmar.ac.in</t>
  </si>
  <si>
    <t>P26700049</t>
  </si>
  <si>
    <t>P26700049@student.nicmar.ac.in</t>
  </si>
  <si>
    <t>P26700050</t>
  </si>
  <si>
    <t>Prashant Pramod Mane</t>
  </si>
  <si>
    <t>prashantmane325@gmail.com</t>
  </si>
  <si>
    <t>P26700050@student.nicmar.ac.in</t>
  </si>
  <si>
    <t>23-Jul-2001</t>
  </si>
  <si>
    <t>Reading,Outdoor Sports,Hiking</t>
  </si>
  <si>
    <t>PRAMOD MANE</t>
  </si>
  <si>
    <t>PRATIBHA MANE</t>
  </si>
  <si>
    <t xml:space="preserve">
FLAT NO 6 ASAWARI APT NEAR BHIMSEN JOSHI NATYAGRAH AUNDH PUNE</t>
  </si>
  <si>
    <t>Aundh
FLAT NO 6 ASAWARI APT NEAR BHIMSEN JOSHI NATYAGRAH AUNDH PUNE</t>
  </si>
  <si>
    <t>VIDYA BHAVAN HIGH SCHOOL AND JUNIOR COLLEGE</t>
  </si>
  <si>
    <t>MAHARASHTRA STATE BOARD OF SECONDARY AND HIGHER SECONDARY EDUCATION-PUNE BOARD</t>
  </si>
  <si>
    <t>BHONSALA MILITARY SCHOOL NASHIK</t>
  </si>
  <si>
    <t>MAHARASHTRA STATE BOARD OF SECONDARY AND HIGHER SECONDARY EDUCATION-NASHIK BOARD</t>
  </si>
  <si>
    <t>SPPU UNIVERSITY PUNE</t>
  </si>
  <si>
    <t>JSPM'S RSCOE COLLEGE OF ENGINEERING TATHAWADE</t>
  </si>
  <si>
    <t>2025-Dec</t>
  </si>
  <si>
    <t>MS OFFICE MS PROJECT PRIMAVERA,Excel</t>
  </si>
  <si>
    <t>Rajpath Infracon Pvt.Ltd | Junior Engineer | Baner, Pune | Sep 2024 | Apr 2026 | 1Y 7M | 2.67</t>
  </si>
  <si>
    <t>P26700051</t>
  </si>
  <si>
    <t>P26700051@student.nicmar.ac.in</t>
  </si>
  <si>
    <t>P26700052</t>
  </si>
  <si>
    <t>P26700052@student.nicmar.ac.in</t>
  </si>
  <si>
    <t>P26700053</t>
  </si>
  <si>
    <t>P26700053@student.nicmar.ac.in</t>
  </si>
  <si>
    <t>P26700054</t>
  </si>
  <si>
    <t>P26700054@student.nicmar.ac.in</t>
  </si>
  <si>
    <t>P26700055</t>
  </si>
  <si>
    <t>Pushkar</t>
  </si>
  <si>
    <t>Atul</t>
  </si>
  <si>
    <t>Pushkar Atul Kulkarni</t>
  </si>
  <si>
    <t>P26700055@student.nicmar.ac.in</t>
  </si>
  <si>
    <t>Sketching, Sculpting, Gaming</t>
  </si>
  <si>
    <t>Atul Kulkarni</t>
  </si>
  <si>
    <t>Former Government Employee (Retired)</t>
  </si>
  <si>
    <t>Anushka Kulkarni</t>
  </si>
  <si>
    <t>Home maker</t>
  </si>
  <si>
    <t>C/21, Tara Rani CHS, Opposite Acharya Marathe College, NG Acharya Marg, Chembur East.</t>
  </si>
  <si>
    <t>OLPS High School</t>
  </si>
  <si>
    <t>Maharashtra State Board of Secondary and Higher Secondary Education</t>
  </si>
  <si>
    <t>Vivekanand Education Society's Junior College</t>
  </si>
  <si>
    <t>Mumbai University</t>
  </si>
  <si>
    <t xml:space="preserve">CTES College of Architecture, Mumbai. </t>
  </si>
  <si>
    <t>AutoCAD, ZWCAD, DraftSight, Vectorworks 12.5, Vectorworks 24, Photoshop, Twinmotion, Enscape, Rhino and Grasshopper, Power BI, MS Project, Primavera P6.</t>
  </si>
  <si>
    <t>Anil Nagrath and Associates | Junior Architect  | Mumbai | May 2024 | Oct 2024 | 0Y 5M | 2.16
Abhikalpan Architects and Planners | Junior Architect Grade 2 | Mumbai | Dec 2024 | Feb 2026 | 1Y 2M | 3</t>
  </si>
  <si>
    <t>Project Finance Analyst
Certificate of Appreciation 
Certificate of Excellence 
Parametric Design Certificate 
Design Esquee Award</t>
  </si>
  <si>
    <t>P26700056</t>
  </si>
  <si>
    <t>P26700056@student.nicmar.ac.in</t>
  </si>
  <si>
    <t>P26700057</t>
  </si>
  <si>
    <t>P26700057@student.nicmar.ac.in</t>
  </si>
  <si>
    <t>P26700058</t>
  </si>
  <si>
    <t>P26700058@student.nicmar.ac.in</t>
  </si>
  <si>
    <t>P26700059</t>
  </si>
  <si>
    <t>P26700059@student.nicmar.ac.in</t>
  </si>
  <si>
    <t>P26700060</t>
  </si>
  <si>
    <t>P26700060@student.nicmar.ac.in</t>
  </si>
  <si>
    <t>P26700061</t>
  </si>
  <si>
    <t>P26700061@student.nicmar.ac.in</t>
  </si>
  <si>
    <t>P26700062</t>
  </si>
  <si>
    <t>P26700062@student.nicmar.ac.in</t>
  </si>
  <si>
    <t>P26700063</t>
  </si>
  <si>
    <t>P26700063@student.nicmar.ac.in</t>
  </si>
  <si>
    <t>P26700064</t>
  </si>
  <si>
    <t>P26700064@student.nicmar.ac.in</t>
  </si>
  <si>
    <t>P26700065</t>
  </si>
  <si>
    <t>P26700065@student.nicmar.ac.in</t>
  </si>
  <si>
    <t>P26700066</t>
  </si>
  <si>
    <t>P26700066@student.nicmar.ac.in</t>
  </si>
  <si>
    <t>P26700067</t>
  </si>
  <si>
    <t>P26700067@student.nicmar.ac.in</t>
  </si>
  <si>
    <t>P26700068</t>
  </si>
  <si>
    <t>P26700068@student.nicmar.ac.in</t>
  </si>
  <si>
    <t>P26700069</t>
  </si>
  <si>
    <t>P26700069@student.nicmar.ac.in</t>
  </si>
  <si>
    <t>P26700070</t>
  </si>
  <si>
    <t>P26700070@student.nicmar.ac.in</t>
  </si>
  <si>
    <t>P26700071</t>
  </si>
  <si>
    <t>P26700071@student.nicmar.ac.in</t>
  </si>
  <si>
    <t>P26700072</t>
  </si>
  <si>
    <t>P26700072@student.nicmar.ac.in</t>
  </si>
  <si>
    <t>P26700073</t>
  </si>
  <si>
    <t>P26700073@student.nicmar.ac.in</t>
  </si>
  <si>
    <t>P26700074</t>
  </si>
  <si>
    <t>P26700074@student.nicmar.ac.in</t>
  </si>
  <si>
    <t>P26700075</t>
  </si>
  <si>
    <t>P26700075@student.nicmar.ac.in</t>
  </si>
  <si>
    <t>P26700076</t>
  </si>
  <si>
    <t>P26700076@student.nicmar.ac.in</t>
  </si>
  <si>
    <t>P26700077</t>
  </si>
  <si>
    <t>P26700077@student.nicmar.ac.in</t>
  </si>
  <si>
    <t>P26700078</t>
  </si>
  <si>
    <t>P26700078@student.nicmar.ac.in</t>
  </si>
  <si>
    <t>P26700079</t>
  </si>
  <si>
    <t>P26700079@student.nicmar.ac.in</t>
  </si>
  <si>
    <t>P26700080</t>
  </si>
  <si>
    <t>P26700080@student.nicmar.ac.in</t>
  </si>
  <si>
    <t>P26700081</t>
  </si>
  <si>
    <t>P26700081@student.nicmar.ac.in</t>
  </si>
  <si>
    <t>P26700082</t>
  </si>
  <si>
    <t>P26700082@student.nicmar.ac.in</t>
  </si>
  <si>
    <t>P26700083</t>
  </si>
  <si>
    <t>P26700083@student.nicmar.ac.in</t>
  </si>
  <si>
    <t>P26700084</t>
  </si>
  <si>
    <t>P26700084@student.nicmar.ac.in</t>
  </si>
  <si>
    <t>P26700085</t>
  </si>
  <si>
    <t>P26700085@student.nicmar.ac.in</t>
  </si>
  <si>
    <t>P26700086</t>
  </si>
  <si>
    <t>P26700086@student.nicmar.ac.in</t>
  </si>
  <si>
    <t>P26700087</t>
  </si>
  <si>
    <t>P26700087@student.nicmar.ac.in</t>
  </si>
  <si>
    <t>P26700088</t>
  </si>
  <si>
    <t>P26700088@student.nicmar.ac.in</t>
  </si>
  <si>
    <t>P26700089</t>
  </si>
  <si>
    <t>P26700089@student.nicmar.ac.in</t>
  </si>
  <si>
    <t>P26700090</t>
  </si>
  <si>
    <t>P26700090@student.nicmar.ac.in</t>
  </si>
  <si>
    <t>P26700091</t>
  </si>
  <si>
    <t>P26700091@student.nicmar.ac.in</t>
  </si>
  <si>
    <t>P26700092</t>
  </si>
  <si>
    <t>P26700092@student.nicmar.ac.in</t>
  </si>
  <si>
    <t>P26700093</t>
  </si>
  <si>
    <t>P26700093@student.nicmar.ac.in</t>
  </si>
  <si>
    <t>P26700094</t>
  </si>
  <si>
    <t>P26700094@student.nicmar.ac.in</t>
  </si>
  <si>
    <t>P26700095</t>
  </si>
  <si>
    <t>P26700095@student.nicmar.ac.in</t>
  </si>
  <si>
    <t>P26700096</t>
  </si>
  <si>
    <t>P26700096@student.nicmar.ac.in</t>
  </si>
  <si>
    <t>P26700097</t>
  </si>
  <si>
    <t>P26700097@student.nicmar.ac.in</t>
  </si>
  <si>
    <t>P26700098</t>
  </si>
  <si>
    <t>P26700098@student.nicmar.ac.in</t>
  </si>
  <si>
    <t>P26700099</t>
  </si>
  <si>
    <t>P26700099@student.nicmar.ac.in</t>
  </si>
  <si>
    <t>P26700100</t>
  </si>
  <si>
    <t>P26700100@student.nicmar.ac.in</t>
  </si>
  <si>
    <t>P26700101</t>
  </si>
  <si>
    <t>P26700101@student.nicmar.ac.in</t>
  </si>
  <si>
    <t>P26700102</t>
  </si>
  <si>
    <t>P26700102@student.nicmar.ac.in</t>
  </si>
  <si>
    <t>P26700103</t>
  </si>
  <si>
    <t>P26700103@student.nicmar.ac.in</t>
  </si>
  <si>
    <t>P26700104</t>
  </si>
  <si>
    <t>P26700104@student.nicmar.ac.in</t>
  </si>
  <si>
    <t>P26700105</t>
  </si>
  <si>
    <t>P26700105@student.nicmar.ac.in</t>
  </si>
  <si>
    <t>P26700106</t>
  </si>
  <si>
    <t>P26700106@student.nicmar.ac.in</t>
  </si>
  <si>
    <t>P26700107</t>
  </si>
  <si>
    <t>P26700107@student.nicmar.ac.in</t>
  </si>
  <si>
    <t>P26700108</t>
  </si>
  <si>
    <t>P26700108@student.nicmar.ac.in</t>
  </si>
  <si>
    <t>P26700109</t>
  </si>
  <si>
    <t>P26700109@student.nicmar.ac.in</t>
  </si>
  <si>
    <t>P26700110</t>
  </si>
  <si>
    <t>P26700110@student.nicmar.ac.in</t>
  </si>
  <si>
    <t>P26700111</t>
  </si>
  <si>
    <t>P26700111@student.nicmar.ac.in</t>
  </si>
  <si>
    <t>P26700112</t>
  </si>
  <si>
    <t>P26700112@student.nicmar.ac.in</t>
  </si>
  <si>
    <t>P26700113</t>
  </si>
  <si>
    <t>P26700113@student.nicmar.ac.in</t>
  </si>
  <si>
    <t>P26700114</t>
  </si>
  <si>
    <t>P26700114@student.nicmar.ac.in</t>
  </si>
  <si>
    <t>P26700115</t>
  </si>
  <si>
    <t>P26700115@student.nicmar.ac.in</t>
  </si>
  <si>
    <t>P26700116</t>
  </si>
  <si>
    <t>P26700116@student.nicmar.ac.in</t>
  </si>
  <si>
    <t>P26700117</t>
  </si>
  <si>
    <t>P26700117@student.nicmar.ac.in</t>
  </si>
  <si>
    <t>P26700118</t>
  </si>
  <si>
    <t>P26700118@student.nicmar.ac.in</t>
  </si>
  <si>
    <t>P26700119</t>
  </si>
  <si>
    <t>P26700119@student.nicmar.ac.in</t>
  </si>
  <si>
    <t>P26700120</t>
  </si>
  <si>
    <t>P26700120@student.nicmar.ac.in</t>
  </si>
  <si>
    <t>P26700121</t>
  </si>
  <si>
    <t>P26700121@student.nicmar.ac.in</t>
  </si>
  <si>
    <t>P26700122</t>
  </si>
  <si>
    <t>P26700122@student.nicmar.ac.in</t>
  </si>
  <si>
    <t>P26700123</t>
  </si>
  <si>
    <t>P26700123@student.nicmar.ac.in</t>
  </si>
  <si>
    <t>P26700124</t>
  </si>
  <si>
    <t>P26700124@student.nicmar.ac.in</t>
  </si>
  <si>
    <t>P26700125</t>
  </si>
  <si>
    <t>P26700125@student.nicmar.ac.in</t>
  </si>
  <si>
    <t>P26700126</t>
  </si>
  <si>
    <t>P26700126@student.nicmar.ac.in</t>
  </si>
  <si>
    <t>P26700127</t>
  </si>
  <si>
    <t>P26700127@student.nicmar.ac.in</t>
  </si>
  <si>
    <t>P26700128</t>
  </si>
  <si>
    <t>P26700128@student.nicmar.ac.in</t>
  </si>
  <si>
    <t>P26700129</t>
  </si>
  <si>
    <t>P26700129@student.nicmar.ac.in</t>
  </si>
  <si>
    <t>P26700130</t>
  </si>
  <si>
    <t>P26700130@student.nicmar.ac.in</t>
  </si>
  <si>
    <t>P26700131</t>
  </si>
  <si>
    <t>P26700131@student.nicmar.ac.in</t>
  </si>
  <si>
    <t>P26700132</t>
  </si>
  <si>
    <t>P26700132@student.nicmar.ac.in</t>
  </si>
  <si>
    <t>P26700133</t>
  </si>
  <si>
    <t>P26700133@student.nicmar.ac.in</t>
  </si>
  <si>
    <t>P26700134</t>
  </si>
  <si>
    <t>P26700134@student.nicmar.ac.in</t>
  </si>
  <si>
    <t>P26700135</t>
  </si>
  <si>
    <t>P26700135@student.nicmar.ac.in</t>
  </si>
  <si>
    <t>P26700136</t>
  </si>
  <si>
    <t>P26700136@student.nicmar.ac.in</t>
  </si>
  <si>
    <t>P26700137</t>
  </si>
  <si>
    <t>P26700137@student.nicmar.ac.in</t>
  </si>
  <si>
    <t>P26700138</t>
  </si>
  <si>
    <t>P26700138@student.nicmar.ac.in</t>
  </si>
  <si>
    <t>P26700139</t>
  </si>
  <si>
    <t>P26700139@student.nicmar.ac.in</t>
  </si>
  <si>
    <t>P26700140</t>
  </si>
  <si>
    <t>P26700140@student.nicmar.ac.in</t>
  </si>
  <si>
    <t>P26700141</t>
  </si>
  <si>
    <t>P26700141@student.nicmar.ac.in</t>
  </si>
  <si>
    <t>P26700142</t>
  </si>
  <si>
    <t>P26700142@student.nicmar.ac.in</t>
  </si>
  <si>
    <t>P26700143</t>
  </si>
  <si>
    <t>P26700143@student.nicmar.ac.in</t>
  </si>
  <si>
    <t>P26700144</t>
  </si>
  <si>
    <t>P26700144@student.nicmar.ac.in</t>
  </si>
  <si>
    <t>P26700145</t>
  </si>
  <si>
    <t>P26700145@student.nicmar.ac.in</t>
  </si>
  <si>
    <t>P26700146</t>
  </si>
  <si>
    <t>P26700146@student.nicmar.ac.in</t>
  </si>
  <si>
    <t>P26700147</t>
  </si>
  <si>
    <t>P26700147@student.nicmar.ac.in</t>
  </si>
  <si>
    <t>P26700148</t>
  </si>
  <si>
    <t>P26700148@student.nicmar.ac.in</t>
  </si>
  <si>
    <t>P26700149</t>
  </si>
  <si>
    <t>P26700149@student.nicmar.ac.in</t>
  </si>
  <si>
    <t>P26700150</t>
  </si>
  <si>
    <t>P26700150@student.nicmar.ac.in</t>
  </si>
  <si>
    <t>P26700151</t>
  </si>
  <si>
    <t>P26700151@student.nicmar.ac.in</t>
  </si>
  <si>
    <t>P26700152</t>
  </si>
  <si>
    <t>P26700152@student.nicmar.ac.in</t>
  </si>
  <si>
    <t>P26700153</t>
  </si>
  <si>
    <t>P26700153@student.nicmar.ac.in</t>
  </si>
  <si>
    <t>P26700154</t>
  </si>
  <si>
    <t>P26700154@student.nicmar.ac.in</t>
  </si>
  <si>
    <t>P26700155</t>
  </si>
  <si>
    <t>P26700155@student.nicmar.ac.in</t>
  </si>
  <si>
    <t>P26700156</t>
  </si>
  <si>
    <t>P26700156@student.nicmar.ac.in</t>
  </si>
  <si>
    <t>P26700157</t>
  </si>
  <si>
    <t>P26700157@student.nicmar.ac.in</t>
  </si>
  <si>
    <t>P26700158</t>
  </si>
  <si>
    <t>P26700158@student.nicmar.ac.in</t>
  </si>
  <si>
    <t>P26700159</t>
  </si>
  <si>
    <t>P26700159@student.nicmar.ac.in</t>
  </si>
  <si>
    <t>P26700160</t>
  </si>
  <si>
    <t>P26700160@student.nicmar.ac.in</t>
  </si>
  <si>
    <t>P26700161</t>
  </si>
  <si>
    <t>P26700161@student.nicmar.ac.in</t>
  </si>
  <si>
    <t>P26700162</t>
  </si>
  <si>
    <t>P26700162@student.nicmar.ac.in</t>
  </si>
  <si>
    <t>P26700163</t>
  </si>
  <si>
    <t>P26700163@student.nicmar.ac.in</t>
  </si>
  <si>
    <t>P26700164</t>
  </si>
  <si>
    <t>P26700164@student.nicmar.ac.in</t>
  </si>
  <si>
    <t>P26700165</t>
  </si>
  <si>
    <t>P26700165@student.nicmar.ac.in</t>
  </si>
  <si>
    <t>P26700166</t>
  </si>
  <si>
    <t>P26700166@student.nicmar.ac.in</t>
  </si>
  <si>
    <t>P26700167</t>
  </si>
  <si>
    <t>P26700167@student.nicmar.ac.in</t>
  </si>
  <si>
    <t>P26700168</t>
  </si>
  <si>
    <t>P26700168@student.nicmar.ac.in</t>
  </si>
  <si>
    <t>P26700169</t>
  </si>
  <si>
    <t>P26700169@student.nicmar.ac.in</t>
  </si>
  <si>
    <t>P26700170</t>
  </si>
  <si>
    <t>P26700170@student.nicmar.ac.in</t>
  </si>
  <si>
    <t>P26700171</t>
  </si>
  <si>
    <t>P26700171@student.nicmar.ac.in</t>
  </si>
  <si>
    <t>P26700172</t>
  </si>
  <si>
    <t>P26700172@student.nicmar.ac.in</t>
  </si>
  <si>
    <t>P26700173</t>
  </si>
  <si>
    <t>P26700173@student.nicmar.ac.in</t>
  </si>
  <si>
    <t>P26700174</t>
  </si>
  <si>
    <t>P26700174@student.nicmar.ac.in</t>
  </si>
  <si>
    <t>P26700175</t>
  </si>
  <si>
    <t>P26700175@student.nicmar.ac.in</t>
  </si>
  <si>
    <t>P26700176</t>
  </si>
  <si>
    <t>P26700176@student.nicmar.ac.in</t>
  </si>
  <si>
    <t>P26700177</t>
  </si>
  <si>
    <t>P26700177@student.nicmar.ac.in</t>
  </si>
  <si>
    <t>P26700178</t>
  </si>
  <si>
    <t>P26700178@student.nicmar.ac.in</t>
  </si>
  <si>
    <t>P26700179</t>
  </si>
  <si>
    <t>P26700179@student.nicmar.ac.in</t>
  </si>
  <si>
    <t>P26700180</t>
  </si>
  <si>
    <t>P26700180@student.nicmar.ac.in</t>
  </si>
  <si>
    <t>P26700181</t>
  </si>
  <si>
    <t>P26700181@student.nicmar.ac.in</t>
  </si>
  <si>
    <t>P26700182</t>
  </si>
  <si>
    <t>P26700182@student.nicmar.ac.in</t>
  </si>
  <si>
    <t>P26700183</t>
  </si>
  <si>
    <t>P26700183@student.nicmar.ac.in</t>
  </si>
  <si>
    <t>P26700184</t>
  </si>
  <si>
    <t>P26700184@student.nicmar.ac.in</t>
  </si>
  <si>
    <t>P26700185</t>
  </si>
  <si>
    <t>P26700185@student.nicmar.ac.in</t>
  </si>
  <si>
    <t>P26700186</t>
  </si>
  <si>
    <t>P26700186@student.nicmar.ac.in</t>
  </si>
  <si>
    <t>P26700187</t>
  </si>
  <si>
    <t>P26700187@student.nicmar.ac.in</t>
  </si>
  <si>
    <t>P26700188</t>
  </si>
  <si>
    <t>P26700188@student.nicmar.ac.in</t>
  </si>
  <si>
    <t>P26700189</t>
  </si>
  <si>
    <t>P26700189@student.nicmar.ac.in</t>
  </si>
  <si>
    <t>P26700190</t>
  </si>
  <si>
    <t>P26700190@student.nicmar.ac.in</t>
  </si>
  <si>
    <t>P26700191</t>
  </si>
  <si>
    <t>P26700191@student.nicmar.ac.in</t>
  </si>
  <si>
    <t>P26700192</t>
  </si>
  <si>
    <t>P26700192@student.nicmar.ac.in</t>
  </si>
  <si>
    <t>P26700193</t>
  </si>
  <si>
    <t>P26700193@student.nicmar.ac.in</t>
  </si>
  <si>
    <t>P26700194</t>
  </si>
  <si>
    <t>P26700194@student.nicmar.ac.in</t>
  </si>
  <si>
    <t>P26700195</t>
  </si>
  <si>
    <t>P26700195@student.nicmar.ac.in</t>
  </si>
  <si>
    <t>P26700196</t>
  </si>
  <si>
    <t>P26700196@student.nicmar.ac.in</t>
  </si>
  <si>
    <t>P26700197</t>
  </si>
  <si>
    <t>P26700197@student.nicmar.ac.in</t>
  </si>
  <si>
    <t>P26700198</t>
  </si>
  <si>
    <t>P26700198@student.nicmar.ac.in</t>
  </si>
  <si>
    <t>P26700199</t>
  </si>
  <si>
    <t>P26700199@student.nicmar.ac.in</t>
  </si>
  <si>
    <t>P26700200</t>
  </si>
  <si>
    <t>P26700200@student.nicmar.ac.in</t>
  </si>
  <si>
    <t>P26700201</t>
  </si>
  <si>
    <t>P26700201@student.nicmar.ac.in</t>
  </si>
  <si>
    <t>P26700202</t>
  </si>
  <si>
    <t>P26700202@student.nicmar.ac.in</t>
  </si>
  <si>
    <t>P26700203</t>
  </si>
  <si>
    <t>P26700203@student.nicmar.ac.in</t>
  </si>
  <si>
    <t>P26700204</t>
  </si>
  <si>
    <t>P26700204@student.nicmar.ac.in</t>
  </si>
  <si>
    <t>P26700205</t>
  </si>
  <si>
    <t>P26700205@student.nicmar.ac.in</t>
  </si>
  <si>
    <t>P26700206</t>
  </si>
  <si>
    <t>P26700206@student.nicmar.ac.in</t>
  </si>
  <si>
    <t>P26700207</t>
  </si>
  <si>
    <t>P26700207@student.nicmar.ac.in</t>
  </si>
  <si>
    <t>P26700208</t>
  </si>
  <si>
    <t>P26700208@student.nicmar.ac.in</t>
  </si>
  <si>
    <t>P26700209</t>
  </si>
  <si>
    <t>P26700209@student.nicmar.ac.in</t>
  </si>
  <si>
    <t>P26700210</t>
  </si>
  <si>
    <t>P26700210@student.nicmar.ac.in</t>
  </si>
  <si>
    <t>P26700211</t>
  </si>
  <si>
    <t>P26700211@student.nicmar.ac.in</t>
  </si>
  <si>
    <t>P26700212</t>
  </si>
  <si>
    <t>P26700212@student.nicmar.ac.in</t>
  </si>
  <si>
    <t>P26700213</t>
  </si>
  <si>
    <t>P26700213@student.nicmar.ac.in</t>
  </si>
  <si>
    <t>P26700214</t>
  </si>
  <si>
    <t>P26700214@student.nicmar.ac.in</t>
  </si>
  <si>
    <t>P26700215</t>
  </si>
  <si>
    <t>P26700215@student.nicmar.ac.in</t>
  </si>
  <si>
    <t>P26700216</t>
  </si>
  <si>
    <t>P26700216@student.nicmar.ac.in</t>
  </si>
  <si>
    <t>P26700217</t>
  </si>
  <si>
    <t>P26700217@student.nicmar.ac.in</t>
  </si>
  <si>
    <t>P26700218</t>
  </si>
  <si>
    <t>P26700218@student.nicmar.ac.in</t>
  </si>
  <si>
    <t>P26700219</t>
  </si>
  <si>
    <t>P26700219@student.nicmar.ac.in</t>
  </si>
  <si>
    <t>P26700220</t>
  </si>
  <si>
    <t>P26700220@student.nicmar.ac.in</t>
  </si>
  <si>
    <t>P26700221</t>
  </si>
  <si>
    <t>P26700221@student.nicmar.ac.in</t>
  </si>
  <si>
    <t>P26700222</t>
  </si>
  <si>
    <t>P26700222@student.nicmar.ac.in</t>
  </si>
  <si>
    <t>P26700223</t>
  </si>
  <si>
    <t>P26700223@student.nicmar.ac.in</t>
  </si>
  <si>
    <t>P26700224</t>
  </si>
  <si>
    <t>P26700224@student.nicmar.ac.in</t>
  </si>
  <si>
    <t>P26700225</t>
  </si>
  <si>
    <t>P26700225@student.nicmar.ac.in</t>
  </si>
  <si>
    <t>P26700226</t>
  </si>
  <si>
    <t>P26700226@student.nicmar.ac.in</t>
  </si>
  <si>
    <t>P26700227</t>
  </si>
  <si>
    <t>P26700227@student.nicmar.ac.in</t>
  </si>
  <si>
    <t>P26700228</t>
  </si>
  <si>
    <t>P26700228@student.nicmar.ac.in</t>
  </si>
  <si>
    <t>P26700229</t>
  </si>
  <si>
    <t>P26700229@student.nicmar.ac.in</t>
  </si>
  <si>
    <t>P26700230</t>
  </si>
  <si>
    <t>P26700230@student.nicmar.ac.in</t>
  </si>
  <si>
    <t>P26700231</t>
  </si>
  <si>
    <t>P26700231@student.nicmar.ac.in</t>
  </si>
  <si>
    <t>P26700232</t>
  </si>
  <si>
    <t>P26700232@student.nicmar.ac.in</t>
  </si>
  <si>
    <t>P26700233</t>
  </si>
  <si>
    <t>P26700233@student.nicmar.ac.in</t>
  </si>
  <si>
    <t>P26700234</t>
  </si>
  <si>
    <t>P26700234@student.nicmar.ac.in</t>
  </si>
  <si>
    <t>P26700235</t>
  </si>
  <si>
    <t>P26700235@student.nicmar.ac.in</t>
  </si>
  <si>
    <t>P26700236</t>
  </si>
  <si>
    <t>P26700236@student.nicmar.ac.in</t>
  </si>
  <si>
    <t>P26700237</t>
  </si>
  <si>
    <t>P26700237@student.nicmar.ac.in</t>
  </si>
  <si>
    <t>P26700238</t>
  </si>
  <si>
    <t>P26700238@student.nicmar.ac.in</t>
  </si>
  <si>
    <t>P26700239</t>
  </si>
  <si>
    <t>P26700239@student.nicmar.ac.in</t>
  </si>
  <si>
    <t>P26700240</t>
  </si>
  <si>
    <t>P26700240@student.nicmar.ac.in</t>
  </si>
  <si>
    <t>P26700241</t>
  </si>
  <si>
    <t>P26700241@student.nicmar.ac.in</t>
  </si>
  <si>
    <t>P26700242</t>
  </si>
  <si>
    <t>P26700242@student.nicmar.ac.in</t>
  </si>
  <si>
    <t>P26700243</t>
  </si>
  <si>
    <t>P26700243@student.nicmar.ac.in</t>
  </si>
  <si>
    <t>P26700244</t>
  </si>
  <si>
    <t>P26700244@student.nicmar.ac.in</t>
  </si>
  <si>
    <t>P26700245</t>
  </si>
  <si>
    <t>P26700245@student.nicmar.ac.in</t>
  </si>
  <si>
    <t>P26700246</t>
  </si>
  <si>
    <t>P26700246@student.nicmar.ac.in</t>
  </si>
  <si>
    <t>P26700248</t>
  </si>
  <si>
    <t>P26700248@student.nicmar.ac.in</t>
  </si>
  <si>
    <t>P26700249</t>
  </si>
  <si>
    <t>P26700249@student.nicmar.ac.in</t>
  </si>
  <si>
    <t>P26700250</t>
  </si>
  <si>
    <t>P26700250@student.nicmar.ac.in</t>
  </si>
  <si>
    <t>P26700251</t>
  </si>
  <si>
    <t>P26700251@student.nicmar.ac.in</t>
  </si>
  <si>
    <t>P26700252</t>
  </si>
  <si>
    <t>P26700252@student.nicmar.ac.in</t>
  </si>
  <si>
    <t>P26700253</t>
  </si>
  <si>
    <t>P26700253@student.nicmar.ac.in</t>
  </si>
  <si>
    <t>P26700254</t>
  </si>
  <si>
    <t>P26700254@student.nicmar.ac.in</t>
  </si>
  <si>
    <t>MBA-REUIM</t>
  </si>
  <si>
    <t>P24702047</t>
  </si>
  <si>
    <t>TOPE</t>
  </si>
  <si>
    <t>Aditya Anil Tope</t>
  </si>
  <si>
    <t>p24702047@student.nicmar.ac.in</t>
  </si>
  <si>
    <t>08-Jun-2000</t>
  </si>
  <si>
    <t>ENGLISH, HINDI,Marathi</t>
  </si>
  <si>
    <t>2984 8583 8227</t>
  </si>
  <si>
    <t>ANIL TOPE</t>
  </si>
  <si>
    <t>Sahyadri Nagar Hudco Colony Lonavala</t>
  </si>
  <si>
    <t>DON BOSCO HIGH SCHOOL &amp; JR.COLLEGE</t>
  </si>
  <si>
    <t>DR, DY PATIL SCHOOL OF ENGINEERING AMBI,PUNE</t>
  </si>
  <si>
    <t>Ms-Office,Ms-Project,Primavera,Candy</t>
  </si>
  <si>
    <t>GODREJ PROPERTIES  | OPERATIONS  | MAHALUNGE PUNE | May 2023 | Jul 2023 | 7.7142857142857 Weeks
ADITYA SUNIL PALEKAR ENGINEERS AND CONTRACTORS | PROJECT CO-ORDINATOR | LONAVALA  | Aug 2023 | Jan 2024 | 21.857142857143 Weeks</t>
  </si>
  <si>
    <t>Using Google Forms to Analyze User Research Data
Emotional intelligence and leadership
Real estate financial modelling
Real estate development: building Value in your community
Indian Economy: Some Contemporary Perspectives</t>
  </si>
  <si>
    <t>P24702050</t>
  </si>
  <si>
    <t>ALAVANI</t>
  </si>
  <si>
    <t>Alavani Mitali Milind</t>
  </si>
  <si>
    <t>p24702050@student.nicmar.ac.in</t>
  </si>
  <si>
    <t>17-Oct-1999</t>
  </si>
  <si>
    <t>4098 6131 0617</t>
  </si>
  <si>
    <t>MILIND MADHUKAR ALAVANI</t>
  </si>
  <si>
    <t>MANASI</t>
  </si>
  <si>
    <t>38/B, Senadatta Peth Off L.B.S. Road Near Navachaitanya Krida Sangh</t>
  </si>
  <si>
    <t>N.M.V. GIRLS HIGH SCHOOL, PUNE</t>
  </si>
  <si>
    <t>GARWARE COLLEGE OF COMMERCE, PUNE</t>
  </si>
  <si>
    <t>DR. BHANUBEN NANAVATI COLLEGE OF ARCHITECTURE, PUNE</t>
  </si>
  <si>
    <t>Power BI</t>
  </si>
  <si>
    <t>Design 11 architects | Junior Architect | Pune | Dec 2023 | Jul 2024 | 0Y 6M | 1.8</t>
  </si>
  <si>
    <t>PankARCH Architects | Intern | Rajasthan | Sep 2022 | Nov 2022 | 12.857142857143 Weeks
MNM Architects  | Intern | Pune | Jun 2021 | Nov 2021 | 22.714285714286 Weeks
Navkar Architects | Intern | Pune | Nov 2021 | Feb 2022 | 14 Weeks
SOBHA LIMITED-INDIA | SUMMER INTERN- PLANNING | BANGALORE | May 2025 | Jul 2025 | 8.5714285714286 Weeks</t>
  </si>
  <si>
    <t>Real Estate Development: Building Value in Your Community
Career Catalyst: Advisory
Commercial Real Estate
Discounted Cash Flow Modeling
Create a Financial Statement using Microsoft Excel
Real Estate Financial Modeling
Company Valuation and Financial Modelling</t>
  </si>
  <si>
    <t>P24702133</t>
  </si>
  <si>
    <t>AKARSH</t>
  </si>
  <si>
    <t>GRANDHI</t>
  </si>
  <si>
    <t>Akarsh Grandhi</t>
  </si>
  <si>
    <t>p24702133@student.nicmar.ac.in</t>
  </si>
  <si>
    <t>10-Dec-2000</t>
  </si>
  <si>
    <t>7618 9231 6655</t>
  </si>
  <si>
    <t>MANMOHAN GRANDHI</t>
  </si>
  <si>
    <t>SARITA GRANDHI</t>
  </si>
  <si>
    <t>Rajniwas, Pl No 60, Hno 246/c, Mohideen Estate, Alto Dabolim.</t>
  </si>
  <si>
    <t>SOUTH GOA</t>
  </si>
  <si>
    <t>MES COLLEGE, GOA UNIVERSITY</t>
  </si>
  <si>
    <t xml:space="preserve"> MS Project, Primavera,Ms office</t>
  </si>
  <si>
    <t>RITIKA PACKAGING PVT LTD | PRODUCTION INTERN TRAINEE | SOUTH GOA | May 2022 | Jul 2022 | 5.7142857142857 Weeks
MUSHROOMS STAY &amp; CAFE | Operations Intern | SOUTH GOA | May 2023 | Jul 2023 | 10.142857142857 Weeks
GSIDC | SITE EXECUTION | GOA | May 2025 | Jul 2025 | 7.7142857142857 Weeks</t>
  </si>
  <si>
    <t>Indian Business History
Housing Policy &amp; Planning</t>
  </si>
  <si>
    <t>P24702141</t>
  </si>
  <si>
    <t>NITNAWARE</t>
  </si>
  <si>
    <t>Janhavi Pravin Nitnaware</t>
  </si>
  <si>
    <t>p24702141@student.nicmar.ac.in</t>
  </si>
  <si>
    <t>23-Jun-1999</t>
  </si>
  <si>
    <t>4364 0228 9351</t>
  </si>
  <si>
    <t>PRAVIN NITNAWARE</t>
  </si>
  <si>
    <t>SMITA NITNAWARE</t>
  </si>
  <si>
    <t>C-305, Reflections Society, Behind Shell Petrol Pump, Laxman Nagar, Dange Chowk, Wakad, Pune-411033</t>
  </si>
  <si>
    <t>C. M. S. ENGLISH MEDIUM HIGH SCHOOL, PRADHIKARAN, AKURDI, PUNE</t>
  </si>
  <si>
    <t>SANT DNYANESHWAR HIGH SCHOOL, KHARADI, PUNE</t>
  </si>
  <si>
    <t>DR. D. Y. PATIL COLLEGE OF ARCHITECTURE, AKURDI, PUNE</t>
  </si>
  <si>
    <t>Revit 3D,Lumion,Sketchup</t>
  </si>
  <si>
    <t>TEAL TINTS DESIGN STUDIO | INTERN | CHINCHWAD, PUNE | Jul 2023 | Nov 2023 | 17.428571428571 Weeks
	EZ REALTY | REAL ESTATE CONSULTING INTERN | KHARADI, PUNE | May 2025 | Jul 2025 | 8.7142857142857 Weeks</t>
  </si>
  <si>
    <t>National Services Scheme
Photoshop
Sketch-Up
Lumion
Revit
Using Google Forms to Analyze User Research Data 
Real Estate Development: Building Value in your Community
Emotional Intelligence in Leadership
Real Estate Financial Modelling
NPTEL Indian Economy: Some Contemporary Perspectives</t>
  </si>
  <si>
    <t>P24702008</t>
  </si>
  <si>
    <t>KUMBALWAR</t>
  </si>
  <si>
    <t>Yash Kishor Kumbalwar</t>
  </si>
  <si>
    <t>p24702008@student.nicmar.ac.in</t>
  </si>
  <si>
    <t>2680 8997 3530</t>
  </si>
  <si>
    <t>KISHOR KUMBALWAR</t>
  </si>
  <si>
    <t>ASAWARI KUMBALWAR</t>
  </si>
  <si>
    <t>80. EWS, QT NO. 04, BUDHWAR BAZAR ROAD,SOMWARI QUARTER, SAKKARDARA, NAGPUR</t>
  </si>
  <si>
    <t>PRERNA CONVENT, NAGPUR</t>
  </si>
  <si>
    <t xml:space="preserve"> DIPLOMA IN AUTOMOBILE ENGINEERING</t>
  </si>
  <si>
    <t>GOVERMENT POLYTECHNIC, NAGPUR</t>
  </si>
  <si>
    <t>Minitab 17,Ms office,Ms Project</t>
  </si>
  <si>
    <t xml:space="preserve">	TRUST ENGINEERING SOLUTIONS |  Management Trainee | NAGPUR | Dec 2023 | Mar 2024 | 13.714285714286 Weeks
ELEGANZ INTERIORS LTD | PROJECT MANAGEMENT (MEP) | BANGALORE | May 2025 | Jul 2025 | 7.2857142857143 Weeks</t>
  </si>
  <si>
    <t>P24702124</t>
  </si>
  <si>
    <t>JASKIRAT</t>
  </si>
  <si>
    <t>ARORA</t>
  </si>
  <si>
    <t>Jaskirat Arora</t>
  </si>
  <si>
    <t>jaskiratarora18@gmail.com</t>
  </si>
  <si>
    <t>p24702124@student.nicmar.ac.in</t>
  </si>
  <si>
    <t>12-Jul-1999</t>
  </si>
  <si>
    <t>Music,Sketches,Reading</t>
  </si>
  <si>
    <t>9225 8017 8187</t>
  </si>
  <si>
    <t>ARVINDER SINGH ARORA</t>
  </si>
  <si>
    <t>MECHANICAL ENGINEER</t>
  </si>
  <si>
    <t>MANPREET KAUR  ARORA</t>
  </si>
  <si>
    <t>E-19/03, JINDAL TOWNSHIP, JINDAL STEEL AND POWER PLANT, NISA, ANGUL, ODISHA</t>
  </si>
  <si>
    <t>818, Guru Gobind Singh Avenue, GT Road Bypass, Jalandhar</t>
  </si>
  <si>
    <t>Jalandhar</t>
  </si>
  <si>
    <t>ESSAR INTERNATIONAL SCHOOL, HAZIRA</t>
  </si>
  <si>
    <t>CBSE - SURAT/GUJARAT</t>
  </si>
  <si>
    <t>LAWRENCE INTERNATIONAL SCHOOL, JALANDHAR</t>
  </si>
  <si>
    <t>CBSE - JALANDHAR/PUNJAB</t>
  </si>
  <si>
    <t>I.K GUJRAL PUNJAB TECHNICAL UNIVERSITY</t>
  </si>
  <si>
    <t>I.K GUJRAL PUNJAB TECHNICAL UNIVERSITY MOHALI CAMPUS - II/ PUNJAB</t>
  </si>
  <si>
    <t>AutoCAD,MS Office,MS Project,MS Excel,Photoshop,Indesign,Illustrator,Lumion,Enscape,MS Powerpoint</t>
  </si>
  <si>
    <t>vConstruct, Magarpatta | VB - Intern | Magarpatta | May 2026 | Jul 2026 | 9.5714285714286 Weeks | Campus Internship
FORUM ADVAITA (AR. AMAN SOHAL) | ARCHITECTURAL AND INTERIOR DESIGNING FIRM | SECTOR 71, MOHALI | Sep 2020 | Dec 2020 | 15 Weeks
EMM ELL DECOR (AR. ARADHANA GHAKAR) | ARCHITECTURAL AND INTERIOR DESIGNING FIRM | SECTOR 16, CHANDIGARH | Jul 2020 | Dec 2020 | 24 Weeks</t>
  </si>
  <si>
    <t>Corporate Finance
Architectural Psychology for Architects and Designers
KPMG - Green Belt Lean Six Sigma</t>
  </si>
  <si>
    <t>P25702001</t>
  </si>
  <si>
    <t>MADHAB</t>
  </si>
  <si>
    <t>MOHANTY</t>
  </si>
  <si>
    <t>Madhab Jyoti Mohanty</t>
  </si>
  <si>
    <t>mj333mohanty@gmail.com</t>
  </si>
  <si>
    <t>p25702001@student.nicmar.ac.in</t>
  </si>
  <si>
    <t>30-Aug-1999</t>
  </si>
  <si>
    <t>5574 5803 6207</t>
  </si>
  <si>
    <t>AMULYA KUMAR MOHANTY</t>
  </si>
  <si>
    <t>PUSPANJALI ROUTARAY</t>
  </si>
  <si>
    <t>N2/182, I.R.C VILLAGE, NAYAPALLI, BHUBANESWAR</t>
  </si>
  <si>
    <t>LOYOLA SCHOOL BHUBANESWAR</t>
  </si>
  <si>
    <t>TIMES SCHOLAR GURUKUL KHANDAGIRI KHURDHA OD</t>
  </si>
  <si>
    <t>KALINGA INSTITUTE OF INDUSTRIAL TECHNOLOGY, BHUBANESWAR/ODISHA</t>
  </si>
  <si>
    <t>MS Office,MS Project,Complaince,Liasoning,SQL Server,Land Procurement,Strategy Devlopemet,Digital Marketing,JIRA,Financial Statement Analysis,Stake Holder Management</t>
  </si>
  <si>
    <t>Wipro Ltd. | Project Engineer | Banglore, India | Jun 2021 | Mar 2024 | 2Y 8M | 3.74
SRIKRISHNA ESTATE &amp; CONSTRUCTION PVT. LTD. | Project Manager - Strategy, Operations &amp; Business Devlopment | Bhubaneswar, Odisha | Mar 2024 | Jul 2025 | 1Y 3M | 4.92</t>
  </si>
  <si>
    <t>4 Years 0 Months</t>
  </si>
  <si>
    <t>Embassy Development Ltd | Liaosining, Business Strategy &amp; Operations | Mumbai, India | May 2026 | Jul 2026 | 8.2857142857143 Weeks | Campus Internship</t>
  </si>
  <si>
    <t>P25702002</t>
  </si>
  <si>
    <t>GODAMBE</t>
  </si>
  <si>
    <t>Bhagyashree Sachin Godambe</t>
  </si>
  <si>
    <t>bhagyashreegodambe4763@gmail.com</t>
  </si>
  <si>
    <t>p25702002@student.nicmar.ac.in</t>
  </si>
  <si>
    <t>27-Dec-2000</t>
  </si>
  <si>
    <t>6829 2156 7406</t>
  </si>
  <si>
    <t>C801, PHASE 2, GRAND VIEW 7 NEAR PODDAR INTERNATIONAL SCHOOL, AMBEGAON BK, PUNE</t>
  </si>
  <si>
    <t>401, Narsiha Saraswati Bhuwan Above Bank Of Maharashtra, Parnaka Kalyan, West</t>
  </si>
  <si>
    <t>CAPTAIN RAVINDRA MADHAV OAK HIGH SCHOOL</t>
  </si>
  <si>
    <t>MAHARASHTRA STATE BOARD/ KALYAN</t>
  </si>
  <si>
    <t>B.K.BIRLA COLLEGE OF ARTS, COMMERCE AND SCIENCE</t>
  </si>
  <si>
    <t>B.R.HARNE COLLEGE OF ARCHITECTURE</t>
  </si>
  <si>
    <t>AutoCAD,MS Office,MS Project,Primavera,Sketchup,Lumion,Revit,Photoshop,InDesign</t>
  </si>
  <si>
    <t>Rdesign Architects | Junior Architect | Vikhroli, Mumbai | Aug 2024 | Mar 2025 | 0Y 7M | 2.4
VastuSiddhi Architects | Junior Architect | Vikhroli, Mumbai | May 2023 | Jul 2024 | 1Y 2M | 1.44</t>
  </si>
  <si>
    <t>Manjeet Developers | Real Estate Strategist | Koregao Park, Pune | May 2026 | Jul 2026 | 8.7142857142857 Weeks | Campus Internship
Ekistics Design Studio | Architectural Intern | Thane | Oct 2021 | Apr 2022 | 26 Weeks</t>
  </si>
  <si>
    <t>P25702003</t>
  </si>
  <si>
    <t>WALKE</t>
  </si>
  <si>
    <t>Atharva Raju Walke</t>
  </si>
  <si>
    <t>atharvawalke24@gmail.com</t>
  </si>
  <si>
    <t>p25702003@student.nicmar.ac.in</t>
  </si>
  <si>
    <t>24-Nov-2000</t>
  </si>
  <si>
    <t>8674 0186 7797</t>
  </si>
  <si>
    <t>RAJU BABAN WALKE</t>
  </si>
  <si>
    <t>VRINDAVANI WALKE</t>
  </si>
  <si>
    <t>GRAPHIC DESIGNER</t>
  </si>
  <si>
    <t>Room No.1 Swawalambi CHSL Plot No.233 Opposite To Moon Palace Hotel Sector.4 Airoli Navi Mumbai 400-708</t>
  </si>
  <si>
    <t>ST. XAVIER'S HIGH SCHOOL, AIROLI</t>
  </si>
  <si>
    <t>SMT. SUSHILADEVI DESHMUKH VIDYALAYA &amp; JR.COLLEGE, AIROLI</t>
  </si>
  <si>
    <t>PCT'S A.P SHAH INSTITUTE OF TECHNOLOGY, THANE (WEST)</t>
  </si>
  <si>
    <t>Impact Infraheights PVT.LTD | Site Execution Intern | Pune | May 2026 | Jul 2026 | 8.7142857142857 Weeks | Campus Internship
Rushabh Surendra Karnavat Consultancy Services | Project Engineer â€“ Structural Audit &amp; NDT | Mumbai | Jun 2023 | Nov 2023 | 21.571428571429 Weeks</t>
  </si>
  <si>
    <t>Urban Land Economics and Real Estate Market  Dynamics
Introduction to Financial Accounting</t>
  </si>
  <si>
    <t>P25702005</t>
  </si>
  <si>
    <t>ALOKARANJAN</t>
  </si>
  <si>
    <t>SWAIN</t>
  </si>
  <si>
    <t>Alokaranjan Swain</t>
  </si>
  <si>
    <t>swainalok1001@gmail.com</t>
  </si>
  <si>
    <t>p25702005@student.nicmar.ac.in</t>
  </si>
  <si>
    <t>ENGLISH, HINDI, MARATHI, KONKANI, ODIA</t>
  </si>
  <si>
    <t>7057 5304 1276</t>
  </si>
  <si>
    <t>ASHOK KUMAR SWAIN</t>
  </si>
  <si>
    <t>SARITA KUMARI SWAIN</t>
  </si>
  <si>
    <t>H.No: 1652/1, Deul Waddo, Anjuna, Bardez, Goa</t>
  </si>
  <si>
    <t>ST. MICHAELS CONVENT HIGH SCHOOL</t>
  </si>
  <si>
    <t>GOA BOARD OF SECONDARY AND HIGHER SECONDARY EDUCATION</t>
  </si>
  <si>
    <t>DNYANPRASSARAK MANDALâ€™S COLLEGE &amp; RESEARCH CENTRE</t>
  </si>
  <si>
    <t>NATIONAL INSTITUTE OF TECHNOLOGY GOA</t>
  </si>
  <si>
    <t>AutoCAD,MS Office,MS Project,Midas Gen,ArcGIS,Staad Pro,Candy,Quantity Takeoff,Scheduling</t>
  </si>
  <si>
    <t>QSES CONTRACTS &amp; PROJECT MANAGEMENT | Tainee Engineer | Mapusa, Goa, India | Jul 2024 | Jun 2025 | 0Y 11M | 2.1</t>
  </si>
  <si>
    <t>VARDHMAN AMRANTE Pvt.Ltd. (OSWAL GROUP) | INTERN - PROJECT PLANNING &amp; DEVELOPMENT CELL | Ludhiana, Punjab | May 2026 | Jul 2026 | 9.5714285714286 Weeks | Campus Internship
GOA SHIPYARD LIMITED (MINISTRY OF DEFENCE) | INTERN ENGINEER | VASCO-DA-GAMA, GOA, INDIA | May 2023 | Jul 2023 | 6.2857142857143 Weeks</t>
  </si>
  <si>
    <t>Sustainable Future on Water Resources &amp; Climate Challenges
Concrete Mix Design Training
Diploma in AutoCad
Staad Pro Training
Comprehensive RCC Design using IS 456:2000 (LSM)</t>
  </si>
  <si>
    <t>P25702006</t>
  </si>
  <si>
    <t>Pragati Kumari</t>
  </si>
  <si>
    <t>kpragati0202@gmail.com</t>
  </si>
  <si>
    <t>p25702006@student.nicmar.ac.in</t>
  </si>
  <si>
    <t>02-Feb-1999</t>
  </si>
  <si>
    <t>ENGLISH,HINDI,BENGALI,ORIYA</t>
  </si>
  <si>
    <t>7675 1504 6750</t>
  </si>
  <si>
    <t>GYAN DEO PASWAN</t>
  </si>
  <si>
    <t>PUSHPA PASWAN</t>
  </si>
  <si>
    <t>PSU SERVICE</t>
  </si>
  <si>
    <t>FLAT NO 302 BLOCK J10 SHAPOORJEE_x000D_
NEWTOWN, KOLKATA</t>
  </si>
  <si>
    <t>Singhaul Dih, Ward No 02,Singhaul,Begusarai,Bihar_x000D_</t>
  </si>
  <si>
    <t>PRAGATI KUMARI</t>
  </si>
  <si>
    <t>VIKAS VIDYANIKETAN VISAKHAPATNAM</t>
  </si>
  <si>
    <t>KALINGA INSTITUTE OF INDUSTRIAL TECHNOLOGY, BHUBANESWAR,ODISSA</t>
  </si>
  <si>
    <t>MS Office,MS Project,BSNL - Vocational Training,Cisco Networking Academy - Training,HTML,CSS,JAVASCRIPT</t>
  </si>
  <si>
    <t>Masco Developers  | Business development  | Pune | May 2026 | Jul 2026 | 8.1428571428571 Weeks | Campus Internship</t>
  </si>
  <si>
    <t>MAZENET-HTML.CSS, JavaScript
Cisco Networking Academy - Training
BSNL - Vocational Training</t>
  </si>
  <si>
    <t>P25702007</t>
  </si>
  <si>
    <t>Ritika Gupta</t>
  </si>
  <si>
    <t>gritika4799@gmail.com</t>
  </si>
  <si>
    <t>p25702007@student.nicmar.ac.in</t>
  </si>
  <si>
    <t>04-Jul-1999</t>
  </si>
  <si>
    <t>7356 0728 7586</t>
  </si>
  <si>
    <t>MAHESH KUMAR</t>
  </si>
  <si>
    <t>DOLLY GUPTA</t>
  </si>
  <si>
    <t>Krishna Niwas, Krishna Shiva Indane Service, Shankar Master Lane, Manoharpur, West Singhbhum, Jharkhand - 833104</t>
  </si>
  <si>
    <t>West Singhbhum</t>
  </si>
  <si>
    <t>CARMEL SCHOOL</t>
  </si>
  <si>
    <t>INDIAN CERTIFICATE OF SECONDARY EDUCATION (ICSE), ODISHA</t>
  </si>
  <si>
    <t>INDIAN SCHOOL CERTIFICATE EXAMINATION (ISC), ODISHA</t>
  </si>
  <si>
    <t>NATIONAL INSTITUTE OF TECHNOLOGY, ROURKELA</t>
  </si>
  <si>
    <t>MS Project, Primavera, MS Office (Excel, PowerPoint, Word), Candy, AutoCAD, Revit, SketchUP, Enscape, Lumion, Adobe Photoshop, Adobe Illustrator</t>
  </si>
  <si>
    <t>L&amp;T Construction | Senior Architect | Chennai | Jul 2022 | May 2025 | 2Y 10M | 6.99</t>
  </si>
  <si>
    <t>Ahluwalia Contracts (India) Limited | Strategic Business Development | Kolkata | May 2026 | Jul 2026 | 8.7142857142857 Weeks | Campus Internship
INFORM ARCHITECTS | INTERN ARCHITECT | BENGALURU | Dec 2020 | May 2021 | 21.571428571429 Weeks</t>
  </si>
  <si>
    <t>Urban Land Economics and Real Estate Market Dynamics
Corporate Finance
Introduction to Financial Accounting</t>
  </si>
  <si>
    <t>P25702008</t>
  </si>
  <si>
    <t>G M</t>
  </si>
  <si>
    <t>Shreyas G M</t>
  </si>
  <si>
    <t>shreyasgm@outlook.com</t>
  </si>
  <si>
    <t>p25702008@student.nicmar.ac.in</t>
  </si>
  <si>
    <t>5168 0140 5665</t>
  </si>
  <si>
    <t>MANJUNATHA B G</t>
  </si>
  <si>
    <t>OPERATIONS MANAGER</t>
  </si>
  <si>
    <t>ANURADHA MANJUNATH</t>
  </si>
  <si>
    <t>18, Nidhi, 1st B Main Rd, Near Syn Bank Layout, Tunganagara, Herohalli, Bengaluru - 91</t>
  </si>
  <si>
    <t>SRI MANJUNATHESHWARA CENTRAL SCHOOL</t>
  </si>
  <si>
    <t>CBSE, DHARWAD, KARNATAKA</t>
  </si>
  <si>
    <t>SADHANA PU COLLEGE</t>
  </si>
  <si>
    <t>BANGALORE UNIVERSITY</t>
  </si>
  <si>
    <t>ACHARYA BANGALORE B SCHOOL, BENGALURU, KARNATAKA</t>
  </si>
  <si>
    <t>MS Office,MS Project,Primavera</t>
  </si>
  <si>
    <t>ANAROCK Property Consultants Pvt. Ltd | Strategic Advisory and Valuations | Bengaluru | May 2026 | Jul 2026 | 8.5714285714286 Weeks | Campus Internship</t>
  </si>
  <si>
    <t>CORPORATE FINANCE
HOUSING POLICY AND PLANNING</t>
  </si>
  <si>
    <t>P25702009</t>
  </si>
  <si>
    <t>SAYAJI</t>
  </si>
  <si>
    <t>GHATGE</t>
  </si>
  <si>
    <t>Vedant Sayaji Ghatge</t>
  </si>
  <si>
    <t>ghatgevedant@gmail.com</t>
  </si>
  <si>
    <t>p25702009@student.nicmar.ac.in</t>
  </si>
  <si>
    <t>3774 7494 4097</t>
  </si>
  <si>
    <t>SAYAJI GHATGE</t>
  </si>
  <si>
    <t>RETIRED GOV EMPLOYEE</t>
  </si>
  <si>
    <t>KANCHAN GHATGE</t>
  </si>
  <si>
    <t>1401,suyog CHS, Building No 23, Near Sai Baba Mandir,Tagore Nagar,Vikhroli East, Mumbai 400083</t>
  </si>
  <si>
    <t>DADAR PARSEE YOUTHS ASSEMBLY HIGH SCHOOL</t>
  </si>
  <si>
    <t>HIND SEVA PARISHAD'S  PUBLIC JUNIOR COLLEGE</t>
  </si>
  <si>
    <t>RIZVI COLLEGE OF ENGINEERING  MUMBAI</t>
  </si>
  <si>
    <t>AutoCAD,MS Office,MS Project,Primavera,Power BI,Candy</t>
  </si>
  <si>
    <t>Vardhman Amrante Pvt.Ltd | Project Management intern | Ludhiana,Punjab | May 2026 | Jul 2026 | 9.5714285714286 Weeks | Campus Internship
SHREENATH CONSTRUCTIONS | Site Engineer | Mumbai | Jun 2022 | Jul 2022 | 6.1428571428571 Weeks</t>
  </si>
  <si>
    <t>Oracle Primavera P6 “ Project Setup and Basic Management"
Sustainable urban water system
Introduction to Financial Accounting
Urban Land Economics and Real Estate Market Dynamics
Six sigma Principles</t>
  </si>
  <si>
    <t>P25702010</t>
  </si>
  <si>
    <t>Nair Aryan Madhu</t>
  </si>
  <si>
    <t>nairaryan750@gmail.com</t>
  </si>
  <si>
    <t>p25702010@student.nicmar.ac.in</t>
  </si>
  <si>
    <t>ENGLISH, HINDI, GUJARATI, MALAYALAM</t>
  </si>
  <si>
    <t>4210 5557 3409</t>
  </si>
  <si>
    <t>MADHU NAIR</t>
  </si>
  <si>
    <t>AJITHA NAIR</t>
  </si>
  <si>
    <t>A-37 Swaminarayan Nagar, Opposite Sun Pharma  Research Centre, Sun Pharma Road, Atladra, Vadodara</t>
  </si>
  <si>
    <t>BRIGHT DAY SCHOOL</t>
  </si>
  <si>
    <t>TEJAS VIDYALAYA</t>
  </si>
  <si>
    <t>MAHARAJA SAYAJIRAO UNIVERSITY OF BARODA</t>
  </si>
  <si>
    <t>MS Project,Primavera</t>
  </si>
  <si>
    <t>Sri Vaarahi Real Assets | Real Estate Advisor | Hyderabad | May 2026 | Jul 2026 | 8.7142857142857 Weeks | Campus Internship</t>
  </si>
  <si>
    <t>P25702012</t>
  </si>
  <si>
    <t>NEOGI</t>
  </si>
  <si>
    <t>Disha Neogi</t>
  </si>
  <si>
    <t>disha.archplan@gmail.com</t>
  </si>
  <si>
    <t>p25702012@student.nicmar.ac.in</t>
  </si>
  <si>
    <t>04-May-2001</t>
  </si>
  <si>
    <t>ENGLISH, HINDI, BENGALI</t>
  </si>
  <si>
    <t>9141 1948 5072</t>
  </si>
  <si>
    <t>DULAL CHANDRA NEOGI</t>
  </si>
  <si>
    <t>CONSULTANT CIVIL ENGINEER</t>
  </si>
  <si>
    <t>SUSOMA SINGHA NEOGI</t>
  </si>
  <si>
    <t>GOVERNMENT PRIMARY SCHOOL TEACHER</t>
  </si>
  <si>
    <t>FLAT NO. T/6, 3RD FLOOR, BLOCK C, VASUNDHARA PALACE, GOSALA ROAD, BABUPARA, SILIGURI</t>
  </si>
  <si>
    <t>Sukanta Sarani, Nabagram, Siliguri, P.O.- Bhaktinagar</t>
  </si>
  <si>
    <t>Jalpaiguri</t>
  </si>
  <si>
    <t>NIRMALA CONVENT SCHOOL, SILIGURI</t>
  </si>
  <si>
    <t>COUNCIL OF INDIAN SCHOOL CERTIFICATE EXAMINATION, NEW DELHI</t>
  </si>
  <si>
    <t>DELHI PUBLIC SCHOOL, SILIGURI</t>
  </si>
  <si>
    <t>L. S. RAHEJA SCHOOL OF ARCHITECTURE, MUMBAI</t>
  </si>
  <si>
    <t>MS Office, MS Project, Primavera P6, AutoCad, CCS CANDY, Adobe Photoshop, Adobe InDesign, Twinmotion, Enscape, SketchUp</t>
  </si>
  <si>
    <t>Free Lance Consultants | Project Architect | Siliguri, West Bengal | May 2024 | Jun 2025 | 1Y 1M | 3</t>
  </si>
  <si>
    <t>Cushman &amp; Wakefield India Pvt. Ltd. | Strategic Consulting | Gurgaon, India | May 2026 | Jun 2026 | 7.5714285714286 Weeks | Campus Internship
Patch Design Studio | Architectural Intern | Bandra West, Mumbai | Dec 2022 | Apr 2023 | 19.571428571429 Weeks</t>
  </si>
  <si>
    <t>Housing Policy &amp; Planning by NPTEL</t>
  </si>
  <si>
    <t>P25702013</t>
  </si>
  <si>
    <t>AGARWAL</t>
  </si>
  <si>
    <t>Prashant Agarwal</t>
  </si>
  <si>
    <t>prashantagarwal569@gmail.com</t>
  </si>
  <si>
    <t>p25702013@student.nicmar.ac.in</t>
  </si>
  <si>
    <t>9968 9094 7339</t>
  </si>
  <si>
    <t>MOHAN LAL AGARWAL</t>
  </si>
  <si>
    <t>SAROJ AGARWAL</t>
  </si>
  <si>
    <t>5-7-231/A Agapura Char - Kan Dil</t>
  </si>
  <si>
    <t>INDIAN INSTITUTE OF MANAGEMENT &amp; COMMERCE</t>
  </si>
  <si>
    <t>Diploma in Spoken English
NSS Camp Volunteer â€“ Survey on Access to Basic Amenities</t>
  </si>
  <si>
    <t>P25702014</t>
  </si>
  <si>
    <t>DADASAHEB</t>
  </si>
  <si>
    <t>THOKAL</t>
  </si>
  <si>
    <t>Ashwini Dadasaheb Thokal</t>
  </si>
  <si>
    <t>ashwinithokal8@gmail.com</t>
  </si>
  <si>
    <t>p25702014@student.nicmar.ac.in</t>
  </si>
  <si>
    <t>15-Mar-2001</t>
  </si>
  <si>
    <t>Mandala Art,Doodling</t>
  </si>
  <si>
    <t>5794 3469 8052</t>
  </si>
  <si>
    <t>EX-SERVICE MAN ARMY</t>
  </si>
  <si>
    <t>Vaiju Babhulgaon, Ahmednagar</t>
  </si>
  <si>
    <t>KENDRIYA VIDYALAYA TIRUMALAGIRI</t>
  </si>
  <si>
    <t>CBSE, TELANGANA</t>
  </si>
  <si>
    <t>HARYANA OPEN SCHOOL, AMBALA</t>
  </si>
  <si>
    <t>BOARD OF SCHOOL EDUCATION HARYANA</t>
  </si>
  <si>
    <t>PRAVARA RURAL COLLEGE OF ARCHITECTURE, LONI, AHMEDNAGAR, MAHARASHTRA</t>
  </si>
  <si>
    <t>AutoCAD,MS Office,MS Project,Sketchup,Lumion,photoshop,enscape</t>
  </si>
  <si>
    <t>Ciri Planning and Strategic Advisory (CPSA) | Junior Architect | Secunderabad, Telangana | Nov 2024 | Jan 2025 | 0Y 2M | 1.8</t>
  </si>
  <si>
    <t>Swastik Group | Analyst  | Baner, pune | May 2026 | Jul 2026 | 8.7142857142857 Weeks | Campus Internship
ARCHIETHOS | INTERN | NASHIK | Jul 2023 | Dec 2023 | 21.714285714286 Weeks</t>
  </si>
  <si>
    <t>P25702015</t>
  </si>
  <si>
    <t>NILANG</t>
  </si>
  <si>
    <t>BORE</t>
  </si>
  <si>
    <t>Nilang Sanjay Bore</t>
  </si>
  <si>
    <t>borenilang@gmail.com</t>
  </si>
  <si>
    <t>p25702015@student.nicmar.ac.in</t>
  </si>
  <si>
    <t>4491 0924 8652</t>
  </si>
  <si>
    <t>SANJAY SHANTARAM BORE</t>
  </si>
  <si>
    <t>GOVT. SERVICE (POLICE DEPT.)</t>
  </si>
  <si>
    <t>SMITA SANJAY BORE</t>
  </si>
  <si>
    <t>GOVT. SERVICE (HEALTHCARE DEPT.)</t>
  </si>
  <si>
    <t>A3/1004 - AVON VISTA, PATIL NAGAR, BALEWADI</t>
  </si>
  <si>
    <t>C 301 AISHWARYA ENCLAVE Y R TAWDE ROAD DAHISAR WEST</t>
  </si>
  <si>
    <t>RUSTOMJEE INTERNATIONAL SCHOOL</t>
  </si>
  <si>
    <t>SSC BOARD MAHARASHTRA</t>
  </si>
  <si>
    <t>SHRI T P BHATIA COLLEGE OF SCIENCE</t>
  </si>
  <si>
    <t>SIR J J COLLEGE OF ARCHITECTURE, MUMBAI</t>
  </si>
  <si>
    <t>AutoCAD,MS Office,MS Project,Primavera,Project Management &amp; Coordination,FSI Calculation &amp; Utilization,Real Estate Feasibility Analysis (Basic Financial Modeling),Zoning &amp; Development Regulation Analysis (DCPR 2034)</t>
  </si>
  <si>
    <t>Somaiya &amp; Associates | Architect | Mumbai | Jun 2024 | May 2025 | 0Y 11M | 2.64</t>
  </si>
  <si>
    <t>Kalpataru Limited | Business Development Intern | Mumbai | May 2026 | Jul 2026 | 9.5714285714286 Weeks | Campus Internship
SOMAIYA &amp; ASSOCIATES | ARCHITECTURE INTERN | MUMBAI | Dec 2022 | Mar 2023 | 17 Weeks</t>
  </si>
  <si>
    <t>Real Estate Acquisitions 101
Building Information Modeling for Construction Management
The Real Estate Financial Modeling Bootcamp</t>
  </si>
  <si>
    <t>P25702016</t>
  </si>
  <si>
    <t>MIR</t>
  </si>
  <si>
    <t>DILNAWAZ</t>
  </si>
  <si>
    <t>AHSAN</t>
  </si>
  <si>
    <t>Mir Dilnawaz Ahsan</t>
  </si>
  <si>
    <t>nawazahsan575@gmail.com</t>
  </si>
  <si>
    <t>p25702016@student.nicmar.ac.in</t>
  </si>
  <si>
    <t>02-Jun-2003</t>
  </si>
  <si>
    <t>6587 3186 1968</t>
  </si>
  <si>
    <t>LATE. MR. MIR AHSAN UL HASAN</t>
  </si>
  <si>
    <t>ASRA NAVEED</t>
  </si>
  <si>
    <t>H.no -8/67 , Khazi Galli Sarkari Masjid , Chitguppa,Bidar.</t>
  </si>
  <si>
    <t>SHAKUNTALA PATIL RES SCHOOL HUMNABAD</t>
  </si>
  <si>
    <t>CENTRAL BOARD OF SECONDARY EDUCATION ,KARNATAKA</t>
  </si>
  <si>
    <t>SHAHEEN INDP PU COLLEGE</t>
  </si>
  <si>
    <t>GOVERNMENT OF KARNATAKA DEPARTMENT OF PRE EDUCATION UNIVERSITY</t>
  </si>
  <si>
    <t>KHAJA BANDANAWAZ UNIVERSITY</t>
  </si>
  <si>
    <t>KHAJA BANDANAWAZ UNIVERSITY ,KALABURAGI</t>
  </si>
  <si>
    <t>Repplen Projects Private Limited  | Planning-Intern | Alibag,Maharashtra. | May 2026 | Jun 2026 | 8.1428571428571 Weeks | Campus Internship</t>
  </si>
  <si>
    <t>ADVANCED CONSTRUCTION MANAGEMENT</t>
  </si>
  <si>
    <t>P25702018</t>
  </si>
  <si>
    <t>ITWARE</t>
  </si>
  <si>
    <t>Om Ganesh Itware</t>
  </si>
  <si>
    <t>omitware650@gmail.com</t>
  </si>
  <si>
    <t>p25702018@student.nicmar.ac.in</t>
  </si>
  <si>
    <t>15-Jan-2003</t>
  </si>
  <si>
    <t>4768 9279 0589</t>
  </si>
  <si>
    <t>RETIRED PRINCIPAL</t>
  </si>
  <si>
    <t>House No.15, Sahyog Colony Karla Road, Wardha- 442001</t>
  </si>
  <si>
    <t>AGRAGAMI CONVENT SCHOOL, MASALA, WARDHA</t>
  </si>
  <si>
    <t>CBSE, WARDHA, MAHARASHTRA</t>
  </si>
  <si>
    <t>2009-Jul</t>
  </si>
  <si>
    <t>CHANKANYA JR. COLLEGE, WARDHA</t>
  </si>
  <si>
    <t>MAHARASHTRA BOARD, WARDHA, MAHARASHTRA</t>
  </si>
  <si>
    <t>DR. BABASAHEB TECHNOLOGICAL UNIVERSITY, LONERE, RAIGAD</t>
  </si>
  <si>
    <t>BAJAJ INSTITUTE OFTECHNOLOGY, WARDHA</t>
  </si>
  <si>
    <t xml:space="preserve"> Asian Paints Limited | Sales Engineering  | Mumbai  | May 2026 | Jul 2026 | 8.7142857142857 Weeks | Campus Internship
Om Shivam Buildcon Pvt. Ltd. | Graduate trainee | Nagpur | Feb 2025 | Jun 2025 | 16.142857142857 Weeks</t>
  </si>
  <si>
    <t>P25702019</t>
  </si>
  <si>
    <t>SHARVARI</t>
  </si>
  <si>
    <t>Sharvari Kishor Jadhav</t>
  </si>
  <si>
    <t>sharvarikj01@gmail.com</t>
  </si>
  <si>
    <t>p25702019@student.nicmar.ac.in</t>
  </si>
  <si>
    <t>27-Nov-2001</t>
  </si>
  <si>
    <t>9969 3205 7781</t>
  </si>
  <si>
    <t>PROJECT MANAGER AS A CIVIL ENGINEER</t>
  </si>
  <si>
    <t>A-1406, Kalashree Apartments, Nanded City, Sinhagad Road.</t>
  </si>
  <si>
    <t>VIDYA NIKETAN SCHOOL, DOMBIVILI</t>
  </si>
  <si>
    <t>ROYAL JUNIOR COLLEGE OF SCIENCE AND COMMERCE, DOMBIVLI</t>
  </si>
  <si>
    <t>PILLAI COLLEGE OF ARCHITECTURE, NEW PANVEL, MAHARASHTRA</t>
  </si>
  <si>
    <t>AutoCAD,MS Office,MS Project,Revit,Sketchup,Lumion,Twinmotion</t>
  </si>
  <si>
    <t>Aarambh Real Estate and Developers | Real Estate Strategy &amp; Pre-Development | Pune | May 2026 | Jul 2026 | 7.7142857142857 Weeks | Campus Internship
Designworks | Intern | Vashi, Navi Mumbai | Nov 2022 | May 2023 | 27.857142857143 Weeks
Form and Function Architects Private Limited | Junior Architect | Bhandarkar road, Pune | Mar 2025 | Jul 2025 | 16.571428571429 Weeks</t>
  </si>
  <si>
    <t>P25702020</t>
  </si>
  <si>
    <t>AKRE</t>
  </si>
  <si>
    <t>Prasad Devendra Akre</t>
  </si>
  <si>
    <t>prasadakre2407@gmail.com</t>
  </si>
  <si>
    <t>p25702020@student.nicmar.ac.in</t>
  </si>
  <si>
    <t>6094 4827 5413</t>
  </si>
  <si>
    <t>DEVENDRA AKRE</t>
  </si>
  <si>
    <t>PROPERTY DEALING</t>
  </si>
  <si>
    <t>AARTI AKRE</t>
  </si>
  <si>
    <t>AVON VISTA PATIL NAGAR BALIWADI NAGPUR</t>
  </si>
  <si>
    <t>Jagnath Budhawari Pili Marbath Sq_x000D_
Pili Marbath Sq</t>
  </si>
  <si>
    <t>SHRI RAJENDRA HIGH SCHOOL</t>
  </si>
  <si>
    <t>SHREE DATTA MEGHE POLYTECHNIC NAGPUR MAHARASHTRA</t>
  </si>
  <si>
    <t>G.H RAISONI COLLAGE OF ENGINEERING AND TECHNOLOGY NAGPUR MAHARASHTA</t>
  </si>
  <si>
    <t>AutoCAD,MS Project,SAP</t>
  </si>
  <si>
    <t>ORANGE CITY WATER (OCW) | Network engineer (O&amp;M) | Nagpur | Jan 2024 | Jul 2025 | 1Y 6M | 3.6</t>
  </si>
  <si>
    <t>Boxoffice space | Intern purchase | Pune | May 2026 | Jul 2026 | 8.7142857142857 Weeks | Campus Internship</t>
  </si>
  <si>
    <t>P25702021</t>
  </si>
  <si>
    <t>SHIRUR</t>
  </si>
  <si>
    <t>Hemanth S Shirur</t>
  </si>
  <si>
    <t>hemanthshirur05@gmail.com</t>
  </si>
  <si>
    <t>p25702021@student.nicmar.ac.in</t>
  </si>
  <si>
    <t>12-Jul-2001</t>
  </si>
  <si>
    <t>6463 1842 0793</t>
  </si>
  <si>
    <t>SIDDAPPA</t>
  </si>
  <si>
    <t>GOVT EMPLOYEE (HESCOM)</t>
  </si>
  <si>
    <t>KASTURI</t>
  </si>
  <si>
    <t>Vaibhavalaxmi Nilaya Postal Colony 2nd Road Near Hanuman Temple Vidyagiri Bagalkot</t>
  </si>
  <si>
    <t>HEMANTH S SHIRUR</t>
  </si>
  <si>
    <t>B.V.V.S POLYTECHNIC ( AUTONOMUS ), BAGALKOT</t>
  </si>
  <si>
    <t>MS Project,Primavera,MS Excel,MS PPT,Candy</t>
  </si>
  <si>
    <t>CHANDRA ARCHITECT &amp; ASSOCIATES | Junior Engineer | Bagalkot | Jun 2024 | May 2025 | 0Y 11M | 2.16</t>
  </si>
  <si>
    <t>Address Advisors | Business Development Intern | Bangaluru | May 2026 | Jul 2026 | 9.5714285714286 Weeks | Campus Internship
S.I.DONUR | SITE ENGINEER | VIJAYPUR | Jul 2023 | Aug 2023 | 4.5714285714286 Weeks</t>
  </si>
  <si>
    <t>Fundamentals of Analyzing Real Estate Investments
Corporate Communication</t>
  </si>
  <si>
    <t>P25702022</t>
  </si>
  <si>
    <t>DIPAKBHAI</t>
  </si>
  <si>
    <t>Aryan Dipakbhai Patel</t>
  </si>
  <si>
    <t>aryan00om@gmail.com</t>
  </si>
  <si>
    <t>p25702022@student.nicmar.ac.in</t>
  </si>
  <si>
    <t>8686 1831 7914</t>
  </si>
  <si>
    <t>USHABEN</t>
  </si>
  <si>
    <t>MILLENIUM BOYS HOSTEL, NICMAR UNIVERSITY, BALEWADI ROAD, BANER</t>
  </si>
  <si>
    <t>43, Amranthus Villas, SP Ring Road, Bhadaj Circle, Science City</t>
  </si>
  <si>
    <t>NAVNIRMAN CO. OP. BANK SEC. SCHOOL</t>
  </si>
  <si>
    <t>GUJARAT SECONDARY &amp; HIGHER SECONDARY EDUCATION BOARD, GANDHINAGAR</t>
  </si>
  <si>
    <t>BALDEVBHAI JOITARAM PATEL H. SEC. SCHOOL</t>
  </si>
  <si>
    <t>PANDIT DEENDAYAL ENERGY UNIVERSITY</t>
  </si>
  <si>
    <t>PANDIT DEENDAYAL ENERGY UNIVERSITY, GANDHINAGAR</t>
  </si>
  <si>
    <t>MS Office,MS Project, Candy Software, Primavera, STADD.Pro, QGIS, Revit, AutoCAD</t>
  </si>
  <si>
    <t>Cushman &amp; Wakefield | Strategic Consulting Intern | Ahmedabad, Gujarat | May 2026 | Jul 2026 | 8.7142857142857 Weeks | Campus Internship
PSP Projects Limited | Intern | Ahmedabad, Gujarat | Jun 2023 | Jul 2023 | 5.5714285714286 Weeks</t>
  </si>
  <si>
    <t>Journey of Real Estate</t>
  </si>
  <si>
    <t>P25702023</t>
  </si>
  <si>
    <t>ADITI</t>
  </si>
  <si>
    <t>Aditi Kishor Mahajan</t>
  </si>
  <si>
    <t>p25702023@student.nicmar.ac.in</t>
  </si>
  <si>
    <t>01-Nov-1998</t>
  </si>
  <si>
    <t>Design &amp; Planning,Model Making,Team Sports,Literature Competitions,Bharatnatyam</t>
  </si>
  <si>
    <t>9499 2429 4429</t>
  </si>
  <si>
    <t>KISHOR JALINDER MAHAJAN</t>
  </si>
  <si>
    <t>SHUBHANGI KISHOR MAHAJAN</t>
  </si>
  <si>
    <t>FLAT-2, K4, GAURIHAR, SINHAGAD ROAD</t>
  </si>
  <si>
    <t>C-9, Priyadarshini Residency, Mariaai Chowk</t>
  </si>
  <si>
    <t>ST. XAVIER'S SCHOOL</t>
  </si>
  <si>
    <t>ST. XAVIER'S SCHOOL, MAHAD</t>
  </si>
  <si>
    <t>ROTARY ENGLISH MEDIUM SCHOOL</t>
  </si>
  <si>
    <t>ROTARY ENGLISH MEDIUM SCHOOL, KHED-RATNAGIRI.</t>
  </si>
  <si>
    <t>PILLAI HOC COLLEGE OF ARCHITECTURE, RAIGAD</t>
  </si>
  <si>
    <t>AutoCAD,MS Office,MS Project,Sketchup,Vray,Keynote,Powerpoint</t>
  </si>
  <si>
    <t>GNA ARCHITECTS | ARCHITECT | Pune | May 2022 | May 2025 | 3Y 0M | 4.2</t>
  </si>
  <si>
    <t>GRAY ARCHITECTS | Project Monitoring Intern | Pune | May 2026 | Jul 2026 | 8.7142857142857 Weeks | Campus Internship
GRAY ARCHITECTS | INTERN ARCHITECT  | PUNE | Nov 2021 | Apr 2022 | 25 Weeks</t>
  </si>
  <si>
    <t>P25702024</t>
  </si>
  <si>
    <t>Chirag Suresh Kamble</t>
  </si>
  <si>
    <t>kamblechirag153@gmail.com</t>
  </si>
  <si>
    <t>p25702024@student.nicmar.ac.in</t>
  </si>
  <si>
    <t>4304 5149 0461</t>
  </si>
  <si>
    <t>SURESH KAMBLE</t>
  </si>
  <si>
    <t>BUSSINESS MAN</t>
  </si>
  <si>
    <t>HEMLATA KAMBLE</t>
  </si>
  <si>
    <t>106 Vasant Veena Residency Muraka Layout Near Pawar Coaching Classes Bachlores Road Wardha</t>
  </si>
  <si>
    <t>ALPHONSA HIGH SCH SWANGI(MEGHE) WARDHA</t>
  </si>
  <si>
    <t>SHRI VYANKATESH JUNIOR COLLEGE</t>
  </si>
  <si>
    <t>MAHARASHTRA STATE BOARD NAGPUR/MAHARASHTRA</t>
  </si>
  <si>
    <t>RASHTRASANT TUKADOJI MAHARAJ NAGPUR UNIVERSITY , NAGPUR</t>
  </si>
  <si>
    <t>YASHWANTRAO CHAVAN COLLEGE OF ENGINEERING NAGPUR / MAHARASHTRA</t>
  </si>
  <si>
    <t>AutoCAD,MS Office,MS Project,Primavera,revit</t>
  </si>
  <si>
    <t>vama construction company | site execution | daman and [ardi | May 2026 | Jun 2026 | 7.7142857142857 Weeks | Campus Internship
Rajveer construction | Civil Engineer | Nagpur | Jan 2025 | May 2025 | 17.142857142857 Weeks
M/S Bhagwati builders | site trainee | Gondia | Nov 2023 | Dec 2023 | 4.2857142857143 Weeks</t>
  </si>
  <si>
    <t>Construction Planning &amp; Structural Analysi
Revit
autocad</t>
  </si>
  <si>
    <t>P25702025</t>
  </si>
  <si>
    <t>WARKE</t>
  </si>
  <si>
    <t>Himanshu Naresh Warke</t>
  </si>
  <si>
    <t>hwarke631@gmail.com</t>
  </si>
  <si>
    <t>p25702025@student.nicmar.ac.in</t>
  </si>
  <si>
    <t>06-Mar-2001</t>
  </si>
  <si>
    <t>5395 2985 0493</t>
  </si>
  <si>
    <t>A-3/501 , Tarangan Society , Gymkhana Road , Besides Dombivli Bus Stand , Dombivli East</t>
  </si>
  <si>
    <t>SISTER NIVEDITA ENGLISH MEDIUM SCHOOL</t>
  </si>
  <si>
    <t>ROYAL JUNIOR SCIENCE COLLEGE</t>
  </si>
  <si>
    <t>DR. VISHWANATH KARAD MIT WORLD PEACE UNIVERSITY10-</t>
  </si>
  <si>
    <t>MAHARASHTRA INSTITUTE OF TECHNOLOGY</t>
  </si>
  <si>
    <t>AutoCAD,MS Office,Advanced Excel</t>
  </si>
  <si>
    <t>Repplen Projects Private Limited  | Site Execution | New Sangavi , Pune | May 2026 | Jun 2026 | 8.1428571428571 Weeks | Campus Internship
VUB ENGINEERING PVT LTD | TRAINEE ENGINEER  | GHATKOPAR EAST ( SITE WAS UNDER MIDC DOMBIVALI DIVISION) | Dec 2022 | Mar 2023 | 12.857142857143 Weeks</t>
  </si>
  <si>
    <t>P25702026</t>
  </si>
  <si>
    <t>ROHITKUMAR</t>
  </si>
  <si>
    <t>Rishi Rohitkumar Agrawal</t>
  </si>
  <si>
    <t>agrawalrishi0208@gmail.com</t>
  </si>
  <si>
    <t>p25702026@student.nicmar.ac.in</t>
  </si>
  <si>
    <t>08-Feb-2003</t>
  </si>
  <si>
    <t>3764 5396 7820</t>
  </si>
  <si>
    <t>ROHITKUMAR AGRAWAL</t>
  </si>
  <si>
    <t>SHITAL AGRAWAL</t>
  </si>
  <si>
    <t>M.R.Saraf, Sadar Bazar, Paratwada</t>
  </si>
  <si>
    <t>DHRUV GLOBAL SCHOOL</t>
  </si>
  <si>
    <t>CENTRAL BOARD OF SECONDARY EDUCATION, SANGAMNER/MAHARASHTRA</t>
  </si>
  <si>
    <t>SMT. SUNDARABAI GOPALSWAMI MAHILA KANISHTHA MAHAVIDYALAYA</t>
  </si>
  <si>
    <t>MAHARASHTRA STATE BOARD OF SECONDARY AND HIGHER SECONDARY EDUCATION, PARATWADA/MAHARASHTRA</t>
  </si>
  <si>
    <t>SARDAR PATEL COLLEGE OF ENGINEERING, MUMBAI/MAHARASHTRA</t>
  </si>
  <si>
    <t>Vama Construction Company  | Site Execution  | Daman  | May 2026 | Jun 2026 | 7.7142857142857 Weeks | Campus Internship</t>
  </si>
  <si>
    <t>P25702027</t>
  </si>
  <si>
    <t>TIRTH</t>
  </si>
  <si>
    <t>KORUDUVAR</t>
  </si>
  <si>
    <t>Tirth Pravin Koruduvar</t>
  </si>
  <si>
    <t>koruduvartirthpravin@gmail.com</t>
  </si>
  <si>
    <t>p25702027@student.nicmar.ac.in</t>
  </si>
  <si>
    <t>01-Sep-2003</t>
  </si>
  <si>
    <t>English,Gujarati,Marathi,Hindi</t>
  </si>
  <si>
    <t>3783 2432 7622</t>
  </si>
  <si>
    <t>PRAVIN KORUDUVAR</t>
  </si>
  <si>
    <t>SONAL KORUDUVAR</t>
  </si>
  <si>
    <t>10, LILAVATI PARK SOCIETY, BESIDE HIRABHAI TOWER, OPPOSITE MIHIR TOWER, MANINAGAR</t>
  </si>
  <si>
    <t>SMT. P.B.D. JOSHI HIGH SCHOOL &amp; SECONDARY SCHOOL</t>
  </si>
  <si>
    <t>GUJARAT SECONDARY &amp; HIGHER SECONDARY EDUCATION BOARD , GANDHINAGAR</t>
  </si>
  <si>
    <t>DOON INTERNATIONAL PUBLIC SCHOOL</t>
  </si>
  <si>
    <t>NIRMA UNIVERSITY AHMEDABAD GUJARAT</t>
  </si>
  <si>
    <t>SHILP GROUP | Project Execution &amp; Planning Support - Intern | GIFT CITY  | Dec 2024 | Apr 2025 | 17 Weeks
SIDDHARTH Group | Site Operations &amp; Estimation Support - Intern | AHMEDABAD,GOTA | Jun 2024 | Jul 2024 | 5.5714285714286 Weeks</t>
  </si>
  <si>
    <t>PARTICIPATION IN "QUIZATHON 2.0"
ICI_INDIAN CONCRETE INSTITUTE MEMBER
BIM_WORKSHOP</t>
  </si>
  <si>
    <t>P25702028</t>
  </si>
  <si>
    <t>HARIBHAU</t>
  </si>
  <si>
    <t>GORE</t>
  </si>
  <si>
    <t>Mangesh Haribhau Gore</t>
  </si>
  <si>
    <t>mangeshgore100@gmail.com</t>
  </si>
  <si>
    <t>p25702028@student.nicmar.ac.in</t>
  </si>
  <si>
    <t>21-Nov-2000</t>
  </si>
  <si>
    <t>8441 8283 3453</t>
  </si>
  <si>
    <t>DEFENCE SERVICE</t>
  </si>
  <si>
    <t>SUCHITA</t>
  </si>
  <si>
    <t>At/po Bhenda BK, Tal- Newasa</t>
  </si>
  <si>
    <t>KENDRIYA VIDYALAYA R.H.E PUNE</t>
  </si>
  <si>
    <t>JIJAMATA JUNIOR COLLEGE BHENDA BK</t>
  </si>
  <si>
    <t>SANJIVANI COLLEGE OF ENGINEERING KOPARGAON</t>
  </si>
  <si>
    <t>AutoCAD,MS Project,Primavera,Microsoft Excel,SAP ERP</t>
  </si>
  <si>
    <t>Primaverse IDC LLP | Junior Civil Engineer  | Pune | Sep 2024 | Mar 2025 | 0Y 6M | 2.2</t>
  </si>
  <si>
    <t>VAMA Construction Company  | Site Execution  | Daman | May 2026 | Jun 2026 | 7.7142857142857 Weeks | Campus Internship
PRIMUS TECHSYSTEMS PVT. LTD. | SAP MATERIAL MANAGEMENT TRAINEE | PUNE  | Jun 2022 | Jul 2022 | 4.2857142857143 Weeks</t>
  </si>
  <si>
    <t>BIM Modelling
SAP MM S4/HANA</t>
  </si>
  <si>
    <t>P25702029</t>
  </si>
  <si>
    <t>UNNAT</t>
  </si>
  <si>
    <t>MORE</t>
  </si>
  <si>
    <t>Unnat Ravindra More</t>
  </si>
  <si>
    <t>moreunnat22@gmail.com</t>
  </si>
  <si>
    <t>p25702029@student.nicmar.ac.in</t>
  </si>
  <si>
    <t>8017 7536 7201</t>
  </si>
  <si>
    <t>RAVINDRA MORE</t>
  </si>
  <si>
    <t>SHITAL MORE</t>
  </si>
  <si>
    <t>Flat No.701,d1 Wing, Bluedice Society, Dehu Alandi Road, Chikhali, Pune</t>
  </si>
  <si>
    <t>NIRMAL BETHANY HIGH SCHOOL &amp; JR COLLEGE</t>
  </si>
  <si>
    <t>PIMPRI CHINCHWAD POLYTECHNIC, PUNE</t>
  </si>
  <si>
    <t>D.Y.PATIL SCHOOL OF ENGINEERING AND TECHNOLOGY, CHARHOLI, PUNE</t>
  </si>
  <si>
    <t>AutoCAD,MS Office,MS Project, QGIS, SAGA</t>
  </si>
  <si>
    <t>Madhuban Inn Pvt. Ltd | Business Development &amp; Tenant Advisory Intern | Pune | May 2026 | Jul 2026 | 0Y 2M</t>
  </si>
  <si>
    <t>Centre For Development Of Advance Computing (CDAC), Pune | Intern | Pashan, Pune | Dec 2023 | Apr 2024 | 17.428571428571 Weeks</t>
  </si>
  <si>
    <t>Urban Land Economics and Real Estate Market Dynamics
Introduction to financial accounting</t>
  </si>
  <si>
    <t>P25702030</t>
  </si>
  <si>
    <t>NIMBHORKAR</t>
  </si>
  <si>
    <t>Shraddha Chandrakant Nimbhorkar</t>
  </si>
  <si>
    <t>nimbhorkarshraddha10@gmail.com</t>
  </si>
  <si>
    <t>p25702030@student.nicmar.ac.in</t>
  </si>
  <si>
    <t>10-Nov-2000</t>
  </si>
  <si>
    <t>9769 0086 0981</t>
  </si>
  <si>
    <t>CHANDRAKANT NIMBHORKAR</t>
  </si>
  <si>
    <t>SEMI GOVERNMENT EMPLOYEE</t>
  </si>
  <si>
    <t>ARCHANA NIMBHORKAR</t>
  </si>
  <si>
    <t>Shyam Nagar, Congress Nagar Road, Lane No. 5, Amravati</t>
  </si>
  <si>
    <t>SHRI SAMARTH HIGHSCHOOL, AMRAVATI</t>
  </si>
  <si>
    <t>AMRAVATI, MAHARASHTRA</t>
  </si>
  <si>
    <t>SHRI SAMARTH SECONDARY HIGHSCHOOL, AMRAVATI</t>
  </si>
  <si>
    <t>SANT GADGE BABA AMRAVATI UNIVERSITY, AMRAVATI, MAHARAHTRA</t>
  </si>
  <si>
    <t>P.R. PATIL COLLEGE OF ARCHITECTURE, AMRAVATI, MAHARASHTRA</t>
  </si>
  <si>
    <t>AutoCAD,MS Office,MS Project,Primavera,Vector Works,Sketchup,Lumion,Photoshop,Canva,Revit</t>
  </si>
  <si>
    <t>Kamdhenu Spaces LLP. | Design, Planning  &amp; Development | Pune | May 2026 | Jul 2026 | 8.7142857142857 Weeks | Campus Internship
Environs Architects, Planners, Landscape &amp; Interior Designers | Trainee Architect | Pune | Jul 2022 | Jan 2023 | 25.142857142857 Weeks</t>
  </si>
  <si>
    <t>P25702031</t>
  </si>
  <si>
    <t>Kartik Ravindra Kapse</t>
  </si>
  <si>
    <t>kartikkapse9666@gmail.com</t>
  </si>
  <si>
    <t>p25702031@student.nicmar.ac.in</t>
  </si>
  <si>
    <t>02-Aug-1999</t>
  </si>
  <si>
    <t>ENGLISH, MARATHI HINDI</t>
  </si>
  <si>
    <t>Cricket,Cooking</t>
  </si>
  <si>
    <t>7892 0376 0555</t>
  </si>
  <si>
    <t>RAKHI</t>
  </si>
  <si>
    <t>15, Ayodhaya Nagar, Nr Dinesh Cycle Store, Sai Mandir, Nagpur</t>
  </si>
  <si>
    <t>MAJOR HEMANT JAKATE INSTITUTE OF SCIENCE AND COMMERCE</t>
  </si>
  <si>
    <t>PRIYADARSHINI COLLAGE OF ENGINEERING</t>
  </si>
  <si>
    <t xml:space="preserve">AutoCAD,MS Office,REVIT ARCHITETCURE,MS-Project, Candy, </t>
  </si>
  <si>
    <t>Colliers International (India) Property Services Pvt. Ltd. | Advisory Services  | PUNE | May 2026 | Jul 2026 | 8.7142857142857 Weeks | Campus Internship
PUBLIC WORKS DEPARTMENT , DIVISION NO 1, NAGPUR | CIVIL ENGINEER TRAINEE   | NAGPUR | Jul 2022 | Aug 2022 | 2.1428571428571 Weeks</t>
  </si>
  <si>
    <t>Tarun Sabha Kartik Kapse</t>
  </si>
  <si>
    <t>P25702032</t>
  </si>
  <si>
    <t>Adarsh Akash</t>
  </si>
  <si>
    <t>ar.adarshakash@gmail.com</t>
  </si>
  <si>
    <t>p25702032@student.nicmar.ac.in</t>
  </si>
  <si>
    <t>08-Jan-2001</t>
  </si>
  <si>
    <t>Travelling and Exploring,Watching Documentaries,Listening to Podcasts</t>
  </si>
  <si>
    <t>4261 0557 0727</t>
  </si>
  <si>
    <t>AKASH LOUIS</t>
  </si>
  <si>
    <t>BINDU AKASH</t>
  </si>
  <si>
    <t>Parackal House, Pavana 147, Mother Teresa Nagar, Chethipuzha, Changanacherry</t>
  </si>
  <si>
    <t>INDIAN SCHOOL AL WADI AL KABIR</t>
  </si>
  <si>
    <t>BIRLA INSTITUTE OF TECHNOLOGY</t>
  </si>
  <si>
    <t>BIRLA INSTITUTE OF TECHNOLOGY, MESRA, RANCHI</t>
  </si>
  <si>
    <t>AutoCAD,MS Office,MS Project,Revit,SketchUp,Navisworks,Twinmotion,Enscape,Lumion,Adobe Photoshop,Adobe InDesign,Rhinoceros 3D,CCS Candy</t>
  </si>
  <si>
    <t>Al Abraj Consulting Engineers and Architects | Junior Architect | Muscat, Oman | Jun 2024 | Jul 2025 | 1Y 1M | 9.6</t>
  </si>
  <si>
    <t>ANAROCK Property Consultants Pvt. Ltd | Strategic Consulting Intern | Mumbai, India | May 2026 | Jul 2026 | 9.4285714285714 Weeks | Campus Internship
Design Kacheri | Intern Architect | Bangalore, India | Jan 2023 | Jun 2023 | 25.571428571429 Weeks</t>
  </si>
  <si>
    <t>Design Psychology &amp; User Experience in Architecture
Professional Revit &amp; BIM Certification Program
Professional Revit and BIM Certification Program - NAVISWORKS
Professional Revit and BIM Certification Program - AUTODESK REVIT and BIM 360
Project Optimization_ 3D to 6D BIM
Revit Fundamentals_ Building the Basics
Multidisciplinary Modeling_ LOD 100 to 350
Integrated Project Coordination &amp; Simulation
Council Of Architecture Registration Certificate</t>
  </si>
  <si>
    <t>P25702033</t>
  </si>
  <si>
    <t>SUMEDH</t>
  </si>
  <si>
    <t>SHISHIR</t>
  </si>
  <si>
    <t>Sumedh Shishir Kulkarni</t>
  </si>
  <si>
    <t>sumedh1425@gmail.com</t>
  </si>
  <si>
    <t>p25702033@student.nicmar.ac.in</t>
  </si>
  <si>
    <t>25-Sep-2002</t>
  </si>
  <si>
    <t>6470 7018 4195</t>
  </si>
  <si>
    <t>SONALI</t>
  </si>
  <si>
    <t>F1, SUPARNA HARMONY , NEAR WATER TANK , SOMWAR PETH , KARAD , 415110</t>
  </si>
  <si>
    <t>F1, Suparna Harmony , Near Water Tank , Somwar Peth , Karad , 415110</t>
  </si>
  <si>
    <t>PODAR INTERNATIONAL SCHOOL , KARAD</t>
  </si>
  <si>
    <t>KARAD , MAHARASHTRA</t>
  </si>
  <si>
    <t>SANJAY GHODAWAT IIT AND MEDICAL ACADEMY</t>
  </si>
  <si>
    <t>ATIGRE , KOLHAPUR</t>
  </si>
  <si>
    <t>Chaitanya Udyog  | Construction intern | Karad | May 2026 | Jul 2026 | 9.5714285714286 Weeks | Campus Internship</t>
  </si>
  <si>
    <t>P25702034</t>
  </si>
  <si>
    <t>GUNVANTH</t>
  </si>
  <si>
    <t>G Gunvanth</t>
  </si>
  <si>
    <t>gunvanth.org@gmail.com</t>
  </si>
  <si>
    <t>p25702034@student.nicmar.ac.in</t>
  </si>
  <si>
    <t>7911 2450 1531</t>
  </si>
  <si>
    <t>G.KANTHA RAO</t>
  </si>
  <si>
    <t>CIVIL ENGINNER</t>
  </si>
  <si>
    <t>N.S.R.REVATHI</t>
  </si>
  <si>
    <t>20-4-31/B9,KOTHAPALLI,TIRUPATI,ANDHRA PRADESH</t>
  </si>
  <si>
    <t>2-35B Pudipatala,Pudipatala,Tirupathi Rural</t>
  </si>
  <si>
    <t>BOARD OF SECONDARY EDUCATION,TIRUPATHI,ANDHRA PRADESH</t>
  </si>
  <si>
    <t>BOARD OF INTERMEDIATE EDUCATION,VIJAYAWADA,ANDHRA PRADESH</t>
  </si>
  <si>
    <t>CHRIST UNIVERSITY</t>
  </si>
  <si>
    <t>THE BOARD OF CHRIST (DEEMAND TO UNIVERSITY),BANGLORE,KARNATAKA</t>
  </si>
  <si>
    <t>AutoCAD,MS Office,MS Project,Primavera,ETABS,SAP2000,STAAD.PRO,REVIT</t>
  </si>
  <si>
    <t>SRI VENKATESWARA PLANNERS &amp; BUILDERS | Site Coordination Intern | Tirupathi | May 2023 | Jun 2023 | 4.4285714285714 Weeks
SRI VENKATESWARA PLANNERS &amp; BUILDERS | Site Engineer Intern | TIRUPATHI | May 2022 | Jun 2022 | 4.5714285714286 Weeks</t>
  </si>
  <si>
    <t>P25702035</t>
  </si>
  <si>
    <t>Sharvari Rajesh Chaudhari</t>
  </si>
  <si>
    <t>sharvarichaudhari29@gmail.com</t>
  </si>
  <si>
    <t>p25702035@student.nicmar.ac.in</t>
  </si>
  <si>
    <t>29-Sep-2001</t>
  </si>
  <si>
    <t>Dancing,Travelling</t>
  </si>
  <si>
    <t>3198 4992 9945</t>
  </si>
  <si>
    <t>36/B , Nandanvan Bank Colony , Deopur , Dhule</t>
  </si>
  <si>
    <t>CHAVARA ENGLISH MEDIUM SCHOOL</t>
  </si>
  <si>
    <t>MAHARASHTRA STATE BOARD OF SECONDARY AND HIGHER SECONDARY EDUCATION , DHULE , MAHARASHTRA</t>
  </si>
  <si>
    <t>S.L.MALI JUNIOR COLLEGE</t>
  </si>
  <si>
    <t>MAHARASHTRA STATE BOARD OF SECONDARY AND HIGHER SECONDARY EDUCATION , TALODA , MAHARASHTRA</t>
  </si>
  <si>
    <t>JSPM'S RAJARSHI SHAHU COLLEGE OF ENGINEERING , TATHWADE , PUNE</t>
  </si>
  <si>
    <t>REALEESTA PVT LTD | Sales Intern | Pune | May 2026 | Jul 2026 | 0Y 1M | 00</t>
  </si>
  <si>
    <t>Realeesta PVT LDT | Sales INtern | Pune | May 2026 | Jul 2026 | 7.5714285714286 Weeks | Campus Internship
PYRAMID AXIS | SITE ENGINEER INTERN | TATHWADE , PUNE | Jun 2022 | Dec 2022 | 26.142857142857 Weeks</t>
  </si>
  <si>
    <t>DroneAcharya</t>
  </si>
  <si>
    <t>P25702036</t>
  </si>
  <si>
    <t>MITHILESH</t>
  </si>
  <si>
    <t>SUGANDH</t>
  </si>
  <si>
    <t>TAMBE</t>
  </si>
  <si>
    <t>Mithilesh Sugandh Tambe</t>
  </si>
  <si>
    <t>mithileshtambe709@gmail.com</t>
  </si>
  <si>
    <t>p25702036@student.nicmar.ac.in</t>
  </si>
  <si>
    <t>20-Jun-2001</t>
  </si>
  <si>
    <t>8484 5284 9046</t>
  </si>
  <si>
    <t>SUGANDH MANAJI TAMBE</t>
  </si>
  <si>
    <t>TEACHER+</t>
  </si>
  <si>
    <t>SHUBHADA</t>
  </si>
  <si>
    <t>Kamat Shrushti Apartment, Parabwadi, Kankavli, Sindhudurg</t>
  </si>
  <si>
    <t>VIDYAMANDIR HIGHSCHOOL KANKAVLI</t>
  </si>
  <si>
    <t>KANKAVLI COLLEGE KANKAVLI</t>
  </si>
  <si>
    <t>DHOLEPATIL COLLEGE OF ENGINEERING PUNE</t>
  </si>
  <si>
    <t>AutoCAD,MS Office,MS Project,Quantity Surveying</t>
  </si>
  <si>
    <t>Embassy Development Limited | Construction-Intern | Mumbai | May 2026 | Jul 2026 | 8.2857142857143 Weeks | Campus Internship
GURU CONSTRUCTION | SITE ENGINEER | JUNNAR | May 2022 | Jun 2022 | 7.8571428571429 Weeks</t>
  </si>
  <si>
    <t>P25702037</t>
  </si>
  <si>
    <t>BHUVANESH</t>
  </si>
  <si>
    <t>HAUSHILAPRASAD</t>
  </si>
  <si>
    <t>PANDEY</t>
  </si>
  <si>
    <t>Bhuvanesh Haushilaprasad Pandey</t>
  </si>
  <si>
    <t>bhuvaneshpandey4@gmail.com</t>
  </si>
  <si>
    <t>p25702037@student.nicmar.ac.in</t>
  </si>
  <si>
    <t>27-Sep-2001</t>
  </si>
  <si>
    <t>4720 4012 7410</t>
  </si>
  <si>
    <t>HAUSHILAPRASAD PANDEY</t>
  </si>
  <si>
    <t>SUREKHA HAUSHILAPRASAD PANDEY</t>
  </si>
  <si>
    <t>Room 6 Sarvoday Chawl Azad Wadi Damu Nagar Akurli Road Kandivali East</t>
  </si>
  <si>
    <t>COSMOPOLITAN HIGH SCHOOL</t>
  </si>
  <si>
    <t>MAHARASHTRA STATE BOARD MUMBAI MAHARASHTRA</t>
  </si>
  <si>
    <t>SHREE L.R TIWARI COLLEGE OF ENGINEERING  THANE MAHARASHTRA</t>
  </si>
  <si>
    <t>AutoCAD,MS Office,MS Project,Primavera,Revit,BIM</t>
  </si>
  <si>
    <t>PSP PROJECTS LTD | Civil Intern | Mumbai | May 2026 | Jul 2026 | 8.7142857142857 Weeks | Campus Internship
Shree Laxminarayan Infrastructure | Assistant Engineer | Mira Bhayandar | Jul 2022 | Jan 2023 | 26.142857142857 Weeks
Shree Laxminarayan Infrastructure | Assistant Engineer | Mira Bhayandar | Jun 2022 | Jul 2022 | 4.1428571428571 Weeks</t>
  </si>
  <si>
    <t>P25702038</t>
  </si>
  <si>
    <t>GAJANAN</t>
  </si>
  <si>
    <t>KHARPURIYA</t>
  </si>
  <si>
    <t>Mohit Gajanan Kharpuriya</t>
  </si>
  <si>
    <t>kharpuriyamohit01@gmail.com</t>
  </si>
  <si>
    <t>p25702038@student.nicmar.ac.in</t>
  </si>
  <si>
    <t>06-Jul-2001</t>
  </si>
  <si>
    <t>3443 6290 6509</t>
  </si>
  <si>
    <t>GAJANAN BADASHA KHARPURIYA</t>
  </si>
  <si>
    <t>AGRICULTURE OFFICER</t>
  </si>
  <si>
    <t>MEENA GAJANAN KHARPURIYA</t>
  </si>
  <si>
    <t>Pl No 55  Kirti Nagar Near Amit High School Dighori Nagpur Maharashtra</t>
  </si>
  <si>
    <t>SOUTH POINT HIGH SCHOOL</t>
  </si>
  <si>
    <t>SECONDARY SCHOOL CERTIFICATE, NAGPUR MAHARASHTRA</t>
  </si>
  <si>
    <t>ST. PAUL SCIENCE AND COMMERCE JUNIOR COLLEGE</t>
  </si>
  <si>
    <t>HIGHER SECONDARY CERTIFICATE NAGPUR MAHARASHTRA</t>
  </si>
  <si>
    <t>KARMAVIR DADASAHEB KANNAMWAR COLLEGE OF ENGINEERING NAGPUR MAHARASHTRA</t>
  </si>
  <si>
    <t>AT DESIGN STUDIO | Junior Executive Engineer and Supervisor  | Nagpur | Jun 2022 | Jun 2024 | 2Y 0M | 3</t>
  </si>
  <si>
    <t>R Sandesh Infrastructure Pvt. Ltd | Project Management Intern | Nagpur  | May 2026 | Jun 2026 | 8.1428571428571 Weeks | Campus Internship</t>
  </si>
  <si>
    <t>P25702039</t>
  </si>
  <si>
    <t>ANOUSHKA</t>
  </si>
  <si>
    <t>Anoushka Das</t>
  </si>
  <si>
    <t>das.anoushka@gmail.com</t>
  </si>
  <si>
    <t>p25702039@student.nicmar.ac.in</t>
  </si>
  <si>
    <t>7644 2292 2153</t>
  </si>
  <si>
    <t>ANIRUDDHA DAS</t>
  </si>
  <si>
    <t>DIRECTOR - HOSPITALITY INSTITUTE (MAIIHM)</t>
  </si>
  <si>
    <t>MAHUA DAS</t>
  </si>
  <si>
    <t>IELTS/PTE TRAINER</t>
  </si>
  <si>
    <t>C-F3, Milroc Ribandar Retreat, Alto Ribandar, Tiswadi, North Goa</t>
  </si>
  <si>
    <t>ANAND NIKETAN, AHMEDABAD</t>
  </si>
  <si>
    <t>INDIAN CERTIFICATE OF SECONDARY EDUCATION EXAMINATION (ICSE), AHMEDABAD, GUJARAT</t>
  </si>
  <si>
    <t>THE NEW TULIP INTERNATIONAL SCHOOL</t>
  </si>
  <si>
    <t>CENTRAL BOARD OF SECONDARY EDUCATION (CBSE), AHMEDABAD, GUJARAT</t>
  </si>
  <si>
    <t>INSTITUTE OF ARCHITECTURE AND PLANNING, NIRMA UNIVERSITY, AHMEDABAD, GUJARAT</t>
  </si>
  <si>
    <t>AutoCAD,MS Office,MS Project,Adobe InDesign,Adobe Illustrator,ArcGIS,QGIS,CorelDraw,Photoshop basics,MSP</t>
  </si>
  <si>
    <t>The Society for Development Alternatives Group | Fellow - Resource Efficiency and Circular Economy | New Delhi | Aug 2022 | Aug 2023 | 0Y 11M | 3.72</t>
  </si>
  <si>
    <t>Modulus Housing (Debrique Creative Labs Pvt. Ltd.) | Summer Intern | Chennai, India | May 2026 | Jul 2026 | 9.7142857142857 Weeks | Campus Internship
The Society for Development Alternatives Group | Summer Intern - Circular Economy and Resource Efficiency | Remote | Jun 2021 | Aug 2021 | 10 Weeks</t>
  </si>
  <si>
    <t>Urban Policy and City Planning Cohort 2
Data, Monitoring and Evaluation â€“ Cohort 2.0
An Introduction to Climate Finance
Urban Land Economics and Real Estate Market Dynamics
Introduction to Financial Accounting</t>
  </si>
  <si>
    <t>P25702040</t>
  </si>
  <si>
    <t>Ashutosh Ashutosh</t>
  </si>
  <si>
    <t>ashutoshmalra23@gmail.com</t>
  </si>
  <si>
    <t>p25702040@student.nicmar.ac.in</t>
  </si>
  <si>
    <t>23-Jul-2002</t>
  </si>
  <si>
    <t>8462 9348 6815</t>
  </si>
  <si>
    <t>JAIVIR SINGH</t>
  </si>
  <si>
    <t>ANITA RANI</t>
  </si>
  <si>
    <t>43/12 , Gali No-1,Mehlana Road, Ashok Vihar</t>
  </si>
  <si>
    <t>Sonipat</t>
  </si>
  <si>
    <t>LITTLE ANGELS SCHOOL</t>
  </si>
  <si>
    <t>CBSE BOARD, SONIPAT,HARYANA</t>
  </si>
  <si>
    <t>CBSE BOARD,SONIPAT,HARYANA</t>
  </si>
  <si>
    <t>PES UNIVERSITY,BANGALORE,KARNATAKA</t>
  </si>
  <si>
    <t>PES UNIVERSITY, BANGALORE, KARNATAKA</t>
  </si>
  <si>
    <t>MS Office,MS Project,Financial Modeling,Market Feasibility</t>
  </si>
  <si>
    <t>ASHIANA HOUSING LIMITED |  Senior Executive | Bhiwadi,Rajasthan | Apr 2025 | Jul 2025 | 0Y 3M | 5.16
AddRec Solutions Pvt Ltd (JLL) | Senior Executive | Gururgam,Haryana | Mar 2024 | Mar 2025 | 1Y 0M | 3.26
Bellator Media | Sales Executive | Gurugram,Haryana | Oct 2023 | Mar 2024 | 0Y 5M | 3.36</t>
  </si>
  <si>
    <t>TruBoard Partners  | Asset Management Intern | Gurgaon, Haryana, India | May 2026 | Jun 2026 | 8.1428571428571 Weeks | Campus Internship
IIM Bangalore Vista 2021 | Campus Ambassador | Online | Jun 2021 | Jul 2021 | 8.5714285714286 Weeks
Hoovinahole Prathistana Foundation | Corporate Social Internship | Bengaluru, Karnataka | Oct 2021 | Nov 2021 | 4.2857142857143 Weeks
Om Patterns Lam | Marketing Intern | Bengaluru, Karnataka | Jun 2022 | Aug 2022 | 7.4285714285714 Weeks</t>
  </si>
  <si>
    <t>PESIO: Basics of Marketing
CFI: Financial Modeling and Forecasting Financial Statements
CFI:Corporate Finance Foundation
The Real Estate Financial Modeling Bootcamp
Urban Land Economics and Real Estate Market Dynamics
Introduction to Financial Accounting</t>
  </si>
  <si>
    <t>P25702041</t>
  </si>
  <si>
    <t>TENDULKAR</t>
  </si>
  <si>
    <t>Manas Milind Tendulkar</t>
  </si>
  <si>
    <t>manastendulkar7@gmail.com</t>
  </si>
  <si>
    <t>p25702041@student.nicmar.ac.in</t>
  </si>
  <si>
    <t>06-Feb-2004</t>
  </si>
  <si>
    <t>English , Hindi and Marathi</t>
  </si>
  <si>
    <t>9753 7081 5973</t>
  </si>
  <si>
    <t>DEVELOPER ( CONSTRUCTION )</t>
  </si>
  <si>
    <t>Plot No. 26 , Society No. 2 ,R.K.Nagar , Kolhapur</t>
  </si>
  <si>
    <t>PRIVATE HIGHSCHOOL , KOLHAPUR</t>
  </si>
  <si>
    <t>RAJARAM COLLEGE, KOLHAPUR</t>
  </si>
  <si>
    <t>AutoCAD,MS Office,MS Project,Revit,power Bi</t>
  </si>
  <si>
    <t>Sobha Ltd. | Project manager | Gift city , Gujarat | May 2026 | Jul 2026 | 8.4285714285714 Weeks | Campus Internship
Ira construction | Site engineer | Kolhapur | Jun 2024 | Jul 2024 | 4.4285714285714 Weeks</t>
  </si>
  <si>
    <t>Corporate finance (NPTEL)
Equity market analyst</t>
  </si>
  <si>
    <t>P25702042</t>
  </si>
  <si>
    <t>TEJASHVI</t>
  </si>
  <si>
    <t>Tejashvi Raj</t>
  </si>
  <si>
    <t>tejashviraj999@gmail.com</t>
  </si>
  <si>
    <t>p25702042@student.nicmar.ac.in</t>
  </si>
  <si>
    <t>09-Sep-2004</t>
  </si>
  <si>
    <t>4061 7210 5947</t>
  </si>
  <si>
    <t>RAJESH KUMAR</t>
  </si>
  <si>
    <t>PALLAVI KASHYAP</t>
  </si>
  <si>
    <t>BUSINESSES WOMAN</t>
  </si>
  <si>
    <t>Near North Point School, Behind L.I.C Divisional Office, Devi Mandir, Ramna</t>
  </si>
  <si>
    <t>Muzaffarpur</t>
  </si>
  <si>
    <t>SHANTI NIKETAN SENIOR SECONDARY SCHOOL</t>
  </si>
  <si>
    <t>CENTRAL BOARD OF SECONDARY EDUCATION, MUZAFFARPUR,BIHAR</t>
  </si>
  <si>
    <t>INSTITUDE OF INFRASTRUCTURE TECHNOLOGY RESERACH AND MANAGEMENT</t>
  </si>
  <si>
    <t>INSTITUTE OF INFRASTRUCTURE, TECHNOLOGY, RESEARCH AND MANAGEMENT,AHMEDABAD,GUJARAT</t>
  </si>
  <si>
    <t>Primavera P6,Advanced Excel Financial Modeling,Revit (BIM Modeling),AutoCAD,MS Office,MS Project,Etabs,SAP,Staad-Pro,SNAP,Candy</t>
  </si>
  <si>
    <t>ConsultupIndia | Research Analyst | Ahemdabad  | May 2026 | Jun 2026 | 8 Weeks | Campus Internship
Acmegrade | Construction Planner | Online | Dec 2023 | Feb 2024 | 8.8571428571429 Weeks</t>
  </si>
  <si>
    <t>Undergraduate Research Award
Appreciation of Academic Performance
Certificate in Autodesk Revit
The Principles of Real Estate
Urban Land Economics and Real Estate Market Dynamics
Sustainable Urban Water Systems
Project Management - Initiation and Planning
Project Planning and Execution Management
KPMG Lean Six Sigma Green Belt
Corporate Communication Specialization
Virtual Investing in Real Estate
Analyzing a Real Estate Deal</t>
  </si>
  <si>
    <t>P25702043</t>
  </si>
  <si>
    <t>Yash Anil Rathod</t>
  </si>
  <si>
    <t>yashrathod2211@gmail.com</t>
  </si>
  <si>
    <t>p25702043@student.nicmar.ac.in</t>
  </si>
  <si>
    <t>06-Mar-2002</t>
  </si>
  <si>
    <t>3328 7264 4584</t>
  </si>
  <si>
    <t>ANIL PANDURANG RATHOD</t>
  </si>
  <si>
    <t>IUDP COLONY_x000D_
NEAR MAHAKALI MANDIR_x000D_
WASHIM</t>
  </si>
  <si>
    <t>SHRI SHIVAJI HIGH SCHOOL</t>
  </si>
  <si>
    <t>GOVERMENT POLYTECHNIC WASHIM</t>
  </si>
  <si>
    <t>P.R.POTE COLLEGE OF ENGINEERING AND MANAGMENT</t>
  </si>
  <si>
    <t>Sagar Skyscrapers LLP | Trainee Junior Engineer | Pune | May 2026 | Jul 2026 | 8.8571428571429 Weeks | Campus Internship
SUNIL KAWARKHE ASSOCIATE | ITERN | WASHIM | May 2022 | Jun 2022 | 5.8571428571429 Weeks
Rukmini Developer | Itern | Washim | May 2019 | Jun 2019 | 5.8571428571429 Weeks</t>
  </si>
  <si>
    <t>Construction project management</t>
  </si>
  <si>
    <t>P25702044</t>
  </si>
  <si>
    <t>MITHLESH</t>
  </si>
  <si>
    <t>GUNASEKAR</t>
  </si>
  <si>
    <t>Mithlesh Gunasekar</t>
  </si>
  <si>
    <t>mithleshgunasekar13@gmail.com</t>
  </si>
  <si>
    <t>p25702044@student.nicmar.ac.in</t>
  </si>
  <si>
    <t>13-Jul-2002</t>
  </si>
  <si>
    <t>ENGLISH,TAMIL,TELUGU,HINDI</t>
  </si>
  <si>
    <t>4216 7159 7296</t>
  </si>
  <si>
    <t>GUNASEKAR D</t>
  </si>
  <si>
    <t>AKILA G</t>
  </si>
  <si>
    <t>8 A, Shri Ranga Layout -1, Nallampalayam</t>
  </si>
  <si>
    <t>BHARATIYA VIDYA BHAVAN MATRICULATION HIGHER SECONDARY SCHOOL</t>
  </si>
  <si>
    <t>STATE BOARD OF TAMIL NADU COIMBATORE</t>
  </si>
  <si>
    <t>BHARATHIAR UNIVERSITY</t>
  </si>
  <si>
    <t>DR. G. R. DAMODARAN COLLEGE OF SCIENCE</t>
  </si>
  <si>
    <t>Address Advisors | Intern BD | Chennai | May 2026 | Jul 2026 | 8.1428571428571 Weeks | Campus Internship
AQUASUBA ENGINEERING | TRAINEE | COIMBATORE  | Jul 2022 | Jul 2022 | 3.4285714285714 Weeks</t>
  </si>
  <si>
    <t>Housing Policy &amp; Planning</t>
  </si>
  <si>
    <t>P25702045</t>
  </si>
  <si>
    <t>GAYATHRI</t>
  </si>
  <si>
    <t>Gayathri Gopal</t>
  </si>
  <si>
    <t>gayathrikothanath@gmail.com</t>
  </si>
  <si>
    <t>p25702045@student.nicmar.ac.in</t>
  </si>
  <si>
    <t>6028 7535 7869</t>
  </si>
  <si>
    <t>GOPAL KONGOT</t>
  </si>
  <si>
    <t>CHARTERED ACCOUNTANT</t>
  </si>
  <si>
    <t>GIRIJA GOPAL</t>
  </si>
  <si>
    <t>Sai Gayatri , 68/1335-C, Semitherymukku, Chittoor Road, Kacheripady, Ernakulam, Kerala 682018</t>
  </si>
  <si>
    <t>BHAVAN'S VARUNA VIDYALAYA</t>
  </si>
  <si>
    <t>CENTRAL BOARD OF SECONDARY EDUCATION, ERNAKULAM, KERALA</t>
  </si>
  <si>
    <t>MAHATMA GANDHI UNIVERSITY, KOTTAYAM, KERALA</t>
  </si>
  <si>
    <t>MANGALAM SCHOOL OF ARCHITECTURE AND PLANNING (MASAP), ETTUMANOOR, KOTTAYAM, KERALA</t>
  </si>
  <si>
    <t>AutoCAD,Sketchup,Adobe Photoshop,Adobe InDesign,Lumion,V-ray,Enscape</t>
  </si>
  <si>
    <t>Stikcon | Jr. Architect | Ernakulam, Kerala | Feb 2024 | Apr 2025 | 1Y 2M | 2.4</t>
  </si>
  <si>
    <t>Kalpataru Limited  | Product Development Intern  | Mumbai  | May 2026 | Jul 2026 | 9.5714285714286 Weeks | Campus Internship
Ensemble Architects | Intern Architect | Banalore | Nov 2022 | Feb 2023 | 16 Weeks</t>
  </si>
  <si>
    <t>P25702046</t>
  </si>
  <si>
    <t>NIDHI</t>
  </si>
  <si>
    <t>HARSHAD</t>
  </si>
  <si>
    <t>CHOTALIYA</t>
  </si>
  <si>
    <t>Nidhi Harshad Chotaliya</t>
  </si>
  <si>
    <t>nidhichotaliya04@gmail.com</t>
  </si>
  <si>
    <t>p25702046@student.nicmar.ac.in</t>
  </si>
  <si>
    <t>19-Jan-2001</t>
  </si>
  <si>
    <t>ENGLISH,HINDI,GUJARATI,MARATHI</t>
  </si>
  <si>
    <t>5365 8148 9498</t>
  </si>
  <si>
    <t>BINA</t>
  </si>
  <si>
    <t>16,Chaya Prakash, Shivaji Nagar,Mulund Checknaka , Thane</t>
  </si>
  <si>
    <t>SHETH KARAMSHI KANJI ENGLISH SCHOOL</t>
  </si>
  <si>
    <t>CBSE MUMBAI</t>
  </si>
  <si>
    <t>K J SOMAIYA COLLEGE OF SCIENCE AND COMMERCE</t>
  </si>
  <si>
    <t>HSC MUMBAI</t>
  </si>
  <si>
    <t>INDIAN EDUCATION SOCIETY'S COLLEGE OF ARCHITECTURE,MUMBAI</t>
  </si>
  <si>
    <t>AutoCAD,MS Office,MS Project,Sketchup,photoshop,enscape,vu city,AutoCAD</t>
  </si>
  <si>
    <t>Beyonddesign Studio | Junior Architect | Mumbai | Feb 2025 | Jun 2025 | 0Y 4M | 3
Krishnan Parvez Architects | Junior Architect | Mumbai | Jul 2024 | Dec 2024 | 0Y 5M | 2.88</t>
  </si>
  <si>
    <t>Kalpataru Limited | Business Development Intern | Mumbai | May 2026 | Jul 2026 | 9.5714285714286 Weeks | Campus Internship
NIKHIL MAHASHUR AND ASSOCIATES | INTERN ARCHITECT | MUMBAI | Aug 2022 | Jul 2023 | 48 Weeks
METIS PRACTICE | INTERN ARCHITECT | MUMBAI | Apr 2022 | Jul 2022 | 13.428571428571 Weeks</t>
  </si>
  <si>
    <t>P25702048</t>
  </si>
  <si>
    <t>VISHRAM</t>
  </si>
  <si>
    <t>Shubham Vishram Chavan</t>
  </si>
  <si>
    <t>shubhamchavan.yc@gmail.com</t>
  </si>
  <si>
    <t>p25702048@student.nicmar.ac.in</t>
  </si>
  <si>
    <t>18-Dec-2000</t>
  </si>
  <si>
    <t>FOOTBALL,TRAVELLING,RIDING MOTORCYCLES,TREKKING,GYM</t>
  </si>
  <si>
    <t>5179 7909 6397</t>
  </si>
  <si>
    <t>VISHRAM DATTARAM CHAVAN</t>
  </si>
  <si>
    <t>JYOTI VISHRAM CHAVAN</t>
  </si>
  <si>
    <t>305/24,Sulochana CHS,Sector:-2,Near Charkop Police Station,Kandivali(West),Mumbai.</t>
  </si>
  <si>
    <t>ROOM NO 5,2ND FLOOR,ASHIRWAD BUILDING, OPPOSITE CHAVAN RESIDENCY,NEAR DHANAHREE PARK,PARKHE VASTI, SUS GAON, PUNE.</t>
  </si>
  <si>
    <t>MOTHER TERESA ENGLISH SECONDARY SCHOOL, KANDIVALI(WEST),MUMBAI.</t>
  </si>
  <si>
    <t>MAHARASHTRA STATE BOARD OF SECONDARY &amp; HIGHER SECONDARY EDUCATION, PUNE.</t>
  </si>
  <si>
    <t>DIPOLMA IN CIVIL ENGINEERING.</t>
  </si>
  <si>
    <t>THAKUR POLYTECHNIC, KANDIVALI(E), MUMBAI,MAHARASHTRA.</t>
  </si>
  <si>
    <t>UNIVERSAL COLLEGE OF ENGINEERING, VASAI, MAHARASHTRA.</t>
  </si>
  <si>
    <t>Primavera(P6),MS Office,AutoCAD 2D,Microsoft Project,Autodesk BIM,Candy,Project Planning &amp; Scheduling, Project Monitoring &amp; Control, Drawing Interpretation &amp; Management, Quantity Surveying (RCC Works),Documentation &amp; Material Management,Labour Management</t>
  </si>
  <si>
    <t>Talib &amp; Shamsi.Pvt.Ltd. | Planning Engineer. | Borivali (East), Mumbai-400066. | Jan 2024 | Jun 2025 | 1Y 5M | 3.6
Thakur Polytechnic. | Lecturer. | Kandivali (East), Mumbai-400101. | Jul 2023 | Jan 2024 | 0Y 5M | 2.4</t>
  </si>
  <si>
    <t>Sobha Limited-India | Project Planning Intern | Bangalore | May 2026 | Jul 2026 | 9 Weeks | Campus Internship
Pentacle Consultants. | Trainee Engineer. | Powai,Mumbai-400079 | May 2019 | Jun 2019 | 5.7142857142857 Weeks</t>
  </si>
  <si>
    <t>Winners of Kabaddi in Intra College Sports &amp; Cultural Fest(Aurora 2023).
Course on Auto cad 2D,Certified by Max computer education, Kandivali (West),Mumbai.
Course on Primavera Project Management (P6),Certified by Cadd center,Andheri (East), Mumbai.</t>
  </si>
  <si>
    <t>P25702049</t>
  </si>
  <si>
    <t>PRAJAPATI</t>
  </si>
  <si>
    <t>ILESHBHAI</t>
  </si>
  <si>
    <t>Prajapati Aditya Ileshbhai</t>
  </si>
  <si>
    <t>prajapatiadi0223@gmail.com</t>
  </si>
  <si>
    <t>p25702049@student.nicmar.ac.in</t>
  </si>
  <si>
    <t>13-Apr-2002</t>
  </si>
  <si>
    <t>English, Hindi and Gujarati</t>
  </si>
  <si>
    <t>5209 4675 1948</t>
  </si>
  <si>
    <t>ILESHBHAI CHIMANBHAI PRAJAPATI</t>
  </si>
  <si>
    <t>SHARMISTHABEN ILESHBHAI PRAJAPATI</t>
  </si>
  <si>
    <t>Govardhan Park Society, Collage Chokdi</t>
  </si>
  <si>
    <t>Anand</t>
  </si>
  <si>
    <t>ST. MARY'S HIGH SCHOOL</t>
  </si>
  <si>
    <t>KNOWLEDGE HIGH SCHOOL</t>
  </si>
  <si>
    <t>B AND B INSTITUTE OF TECHNOLOGY, V V NAGAR</t>
  </si>
  <si>
    <t>DHARMSINH DESAI UNIVERSITY</t>
  </si>
  <si>
    <t>DHARMSINH DESAI UNIVERSITY, NADIAD</t>
  </si>
  <si>
    <t>RUDRANI INFRASTRUCTURE &amp; DEVELOPER | Project Management Intern | VADODARA | May 2026 | Jul 2026 | 8.7142857142857 Weeks | Campus Internship
Road and Building department Anand | Supervisor  | Anand | Feb 2024 | Mar 2025 | 60.142857142857 Weeks</t>
  </si>
  <si>
    <t>P25702050</t>
  </si>
  <si>
    <t>NIPUN</t>
  </si>
  <si>
    <t>GARUD</t>
  </si>
  <si>
    <t>Nipun Garud</t>
  </si>
  <si>
    <t>nipun.patil2002@gmail.com</t>
  </si>
  <si>
    <t>p25702050@student.nicmar.ac.in</t>
  </si>
  <si>
    <t>19-Oct-2002</t>
  </si>
  <si>
    <t>Chess,cricket,reading books,travelling</t>
  </si>
  <si>
    <t>8634 0814 1855</t>
  </si>
  <si>
    <t>PRAVIN GARUD</t>
  </si>
  <si>
    <t>PALLAVI GARUD</t>
  </si>
  <si>
    <t>519 A Usha Nagar Ext,Indore,M.P,254009</t>
  </si>
  <si>
    <t>CHHATRAPATI SHIVAJI PUBLIC SCHOOL</t>
  </si>
  <si>
    <t>SHRI VAISHNAV POLYTECHNIC COLLEGE INDORE M.P</t>
  </si>
  <si>
    <t>RAJIV GANDHI PROUDYOGIKI VISHWAVIDYALAYA,BHOPAL</t>
  </si>
  <si>
    <t>ACROPOLIS INSTITUTE OF TECHNOLOGY &amp; RESEARCH, INDORE, M.P</t>
  </si>
  <si>
    <t>AutoCAD,MS Office,MS Project,Primavera,3DS MAX,TABLEAU,POWER BI,EXCEL AI,BIM,REVIT</t>
  </si>
  <si>
    <t>EZ REALTY  | Real Estate Market Research Intern | Kharadi, Pune | May 2026 | Jul 2026 | 8.7142857142857 Weeks | Campus Internship
Make My House | 2D &amp; 3D Designer  | Indore, Madhya Pradesh  | Dec 2021 | Mar 2023 | 65 Weeks</t>
  </si>
  <si>
    <t>P25702051</t>
  </si>
  <si>
    <t>GANGANAPALLI</t>
  </si>
  <si>
    <t>MUSKIN</t>
  </si>
  <si>
    <t>Ganganapalli Muskin</t>
  </si>
  <si>
    <t>muskinganganapalli89@gmail.com</t>
  </si>
  <si>
    <t>p25702051@student.nicmar.ac.in</t>
  </si>
  <si>
    <t>05-Aug-2002</t>
  </si>
  <si>
    <t>ENGLISH,HINDI,TELUGU,KANNADA</t>
  </si>
  <si>
    <t>GARDENING,TRAVELING,CRICKET</t>
  </si>
  <si>
    <t>4049 9009 6186</t>
  </si>
  <si>
    <t>GANGANAPALLI RAGHUF</t>
  </si>
  <si>
    <t>GANGANAPALLI MUSKINAMMA</t>
  </si>
  <si>
    <t>MAIN ROAD_x000D_
NEAR GOVERNMENT HIGH SCHOOL TALUPULA</t>
  </si>
  <si>
    <t>6-164,Ganjivaripalli (v), Talupula Mandal,Vepamanipeta</t>
  </si>
  <si>
    <t>SREE VALMEEKI E M HIGH SCHOOL</t>
  </si>
  <si>
    <t>BOARD OF  SECONDARY EDUCATION ,ANDHRA PRADESH</t>
  </si>
  <si>
    <t>SRI CHAITANYA JUNIOR COLLEGE,TIRUPATI</t>
  </si>
  <si>
    <t>MADANAPALLE INSTITUTE OF TECHNOLOGY AND SCIENCE</t>
  </si>
  <si>
    <t>SURYA PRIYA CONSTRUCTIONS PRIVATE LIMITED | SITE ENGINEER | Hosakote, Bangalore | Jan 2024 | Jun 2025 | 1Y 4M | 4.67</t>
  </si>
  <si>
    <t>VSL India Pvt Ltd | Site Execution  | Chennai | May 2026 | Jul 2026 | 8.7142857142857 Weeks | Campus Internship</t>
  </si>
  <si>
    <t>P25702052</t>
  </si>
  <si>
    <t>Ayush Santosh Jadhav</t>
  </si>
  <si>
    <t>ayushjadhav14@gmail.com</t>
  </si>
  <si>
    <t>p25702052@student.nicmar.ac.in</t>
  </si>
  <si>
    <t>14-Feb-2001</t>
  </si>
  <si>
    <t>3935 1515 3132</t>
  </si>
  <si>
    <t>SANTOSH JADHAV</t>
  </si>
  <si>
    <t>TEJASWI JADHAV</t>
  </si>
  <si>
    <t>GOVT LEACTURER</t>
  </si>
  <si>
    <t>1307a Renuka Nivas Foujdar Galli Satyavijay Chowk Rissila Road Khanbhag Sangli</t>
  </si>
  <si>
    <t>CAMBRIDGE JR COLLAHE</t>
  </si>
  <si>
    <t>RAJARAMBAPU INSTITUTE OF TECHNOLOGY SAKHARALE ISLAMPUR</t>
  </si>
  <si>
    <t>Mantra Properties And Developers Pvt Ltd | Land Acquisition &amp; Business Developement  | Pune  | May 2026 | Jul 2026 | 8.7142857142857 Weeks | Campus Internship
MANTRA PROPERTIES AND DEVELOPERS PVT LTD | INTERN PROJECT CO-ORDINATOR RE-DEVELOMENT DIVISION | PUNE MUMBAI  | Jan 2023 | May 2023 | 20 Weeks</t>
  </si>
  <si>
    <t>Engineering Problem Solving using TK Solver and Advanced MS Excel Organized by Department of Civil Engineering of Rajarambapu Institute of Technology In Association with ICACI RIT Student Chapter "CONCRITUS"</t>
  </si>
  <si>
    <t>P25702053</t>
  </si>
  <si>
    <t>SURENDRA</t>
  </si>
  <si>
    <t>Kaushal Surendra Shetty</t>
  </si>
  <si>
    <t>kaushalshetty188@gmail.com</t>
  </si>
  <si>
    <t>p25702053@student.nicmar.ac.in</t>
  </si>
  <si>
    <t>ENGLISH , HINDI , MARATHI , TULU</t>
  </si>
  <si>
    <t>Unconventional travelling,Volunteeering and social impact,Edurance sports,Creative arts</t>
  </si>
  <si>
    <t>7839 2968 3005</t>
  </si>
  <si>
    <t>SURENDRA SHETTY</t>
  </si>
  <si>
    <t>SMITHA SHETTY</t>
  </si>
  <si>
    <t>Plot No 18 Sai Vrandavan Colony Paithan Road</t>
  </si>
  <si>
    <t>CHHATRAPATI SHIVAJI PREPARATORY HIGH SCHOOL</t>
  </si>
  <si>
    <t>MAHARASTRA</t>
  </si>
  <si>
    <t>MIT ACADEMY OF ENGINEERING</t>
  </si>
  <si>
    <t>AutoCAD,MS Office,MS Project,MS Excel</t>
  </si>
  <si>
    <t>GIGFACTORY | BUISNESS DEVELOPMENT | MUMBAI | May 2026 | Jul 2026 | 8.7142857142857 Weeks | Campus Internship
INTERNSHIPWALA CAREERS | BUILDING CONSTRUCTOR | PUNE | Jun 2021 | Aug 2021 | 8.7142857142857 Weeks</t>
  </si>
  <si>
    <t>P25702054</t>
  </si>
  <si>
    <t>SHRIVASTAVA</t>
  </si>
  <si>
    <t>Yash Rajesh Shrivastava</t>
  </si>
  <si>
    <t>yash130502@gmail.com</t>
  </si>
  <si>
    <t>p25702054@student.nicmar.ac.in</t>
  </si>
  <si>
    <t>13-May-2002</t>
  </si>
  <si>
    <t>ENGLISH, HINDI ,MARATHI</t>
  </si>
  <si>
    <t>6540 4120 1327</t>
  </si>
  <si>
    <t>RAJESH SHRIVASTAVA</t>
  </si>
  <si>
    <t>MAMTA SHRIVASTAVA</t>
  </si>
  <si>
    <t>A-302, ACCORD CHS LTD,TANK ROAD,KANDIVALI VILLAGE, OFF M G ROAD, KANDIVALI WEST,MUMBAI</t>
  </si>
  <si>
    <t>SARDAR VALLABHBHAI PATEL VIVIDHLAKSHI VIDYLAYA</t>
  </si>
  <si>
    <t>MAHARASHTRA STATE BOARD OF SECONDARY AND HIGHER SECONDARY EDUCATION,MUMBAI</t>
  </si>
  <si>
    <t>SHRI TIKAMDAS PURSHOTAM BHATIA COLLEGE OF SCIENCE</t>
  </si>
  <si>
    <t>THAKUR POLYTECHNIC, MUMBAI, MAHARASHTRA</t>
  </si>
  <si>
    <t>SHREE L R TIWARI COLLEGE OF ENGINEERING ,MIRA-BHAYANDAR, THANE, MAHARASHTRA</t>
  </si>
  <si>
    <t>AutoCAD,MS Office,MS Project,Canva,Candy,Primavera</t>
  </si>
  <si>
    <t>SJ PROJECT MANAGEMENT CONSULTANT | Graduate Engineer Trainee (Civil) | Dattani Village,Vasai West, Mumbai,Maharashtra | Oct 2024 | Jun 2025 | 0Y 8M | 2.64</t>
  </si>
  <si>
    <t>PSP Projects Ltd | Civil Intern  | Mumbai, Maharashtra | May 2026 | Jul 2026 | 8.7142857142857 Weeks | Campus Internship</t>
  </si>
  <si>
    <t>AutoCAD for Civil Engineers
FINLATICS EQUITY MARKETS ANALYST
Introduction to financial accounting</t>
  </si>
  <si>
    <t>P25702055</t>
  </si>
  <si>
    <t>DHANVIJAY</t>
  </si>
  <si>
    <t>Manasi Narendra Dhanvijay</t>
  </si>
  <si>
    <t>mansidhanvijay2001@gmail.com</t>
  </si>
  <si>
    <t>p25702055@student.nicmar.ac.in</t>
  </si>
  <si>
    <t>3752 3688 9319</t>
  </si>
  <si>
    <t>NARENDRA DHANVIJAY</t>
  </si>
  <si>
    <t>PRABHA DHANVIJAY</t>
  </si>
  <si>
    <t>VARAD RESIDENCY, BALEWADI ROAD, BALEWADI .</t>
  </si>
  <si>
    <t>Gaurav Residency Lashkaribagh Bhoslewadi  Nagpur</t>
  </si>
  <si>
    <t>ST JOESPH CONVENT GIRLS HIGH SCHOOL &amp; JR COLLEGE</t>
  </si>
  <si>
    <t>CIVIL ENGINERING</t>
  </si>
  <si>
    <t>ANJUMAN POLYTECHNIC NAGPUR</t>
  </si>
  <si>
    <t>RASHTRASANT TUKODOJI MAHARAJ NAGPUR</t>
  </si>
  <si>
    <t>G H RAISONI INSTITUTE OF ENGINEERING AND TECHNOLOGY, NAGPUR</t>
  </si>
  <si>
    <t>Ecoboard industries Ltd  | Business development intern  | Pune  | May 2026 | Jun 2026 | 8 Weeks | Campus Internship
Green City | Intern  | Jafan Nagar, main road  | May 2019 | Jun 2019 | 5.8571428571429 Weeks
Rahat Ali Civil Contractor | Intern  | Jafan Nagar  | Jun 2022 | Jul 2022 | 4.2857142857143 Weeks
Faecom | Intern  | IT Park Nagpur  | Jan 2024 | May 2024 | 21.571428571429 Weeks</t>
  </si>
  <si>
    <t>Introduction to financial accounting
Urban land economics and real estate market dynamics</t>
  </si>
  <si>
    <t>P25702056</t>
  </si>
  <si>
    <t>JEEVA</t>
  </si>
  <si>
    <t>KARTHICK</t>
  </si>
  <si>
    <t>Jeeva Karthick K</t>
  </si>
  <si>
    <t>jeevakarthick1130@gmail.com</t>
  </si>
  <si>
    <t>p25702056@student.nicmar.ac.in</t>
  </si>
  <si>
    <t>30-Nov-2000</t>
  </si>
  <si>
    <t>TAMIL &amp; ENGLISH</t>
  </si>
  <si>
    <t>6479 1505 4993</t>
  </si>
  <si>
    <t>KANAGARAJ R</t>
  </si>
  <si>
    <t>GEETHA LAKSHMI K</t>
  </si>
  <si>
    <t>4/380 A1, Jeevakarthick Illam, Sasi Nagar, Kaveri Street, Thanbal Thandi Nagar Virivakkam,</t>
  </si>
  <si>
    <t>Madurai</t>
  </si>
  <si>
    <t>CEOA MATRICULATION HIGHER SECONDARY SCHOOL</t>
  </si>
  <si>
    <t>MADURAI, TAMILNADU</t>
  </si>
  <si>
    <t>MADURAI</t>
  </si>
  <si>
    <t>CHENGALPATTU, TAMIL NADU</t>
  </si>
  <si>
    <t>AutoCAD,MS Office,sketchup,lumion,photoshop,Indesign,Enscape</t>
  </si>
  <si>
    <t>Le-arch design studio | Junior architect | Adyar, chennai | Jul 2024 | Dec 2024 | 0Y 5M | 2.16</t>
  </si>
  <si>
    <t>Balaji associates | Intern | Chennai | Jun 2022 | Sep 2022 | 14.428571428571 Weeks</t>
  </si>
  <si>
    <t>P25702057</t>
  </si>
  <si>
    <t>YERNE</t>
  </si>
  <si>
    <t>Rakesh Sunil Yerne</t>
  </si>
  <si>
    <t>rakeshyerne0208@gmail.com</t>
  </si>
  <si>
    <t>p25702057@student.nicmar.ac.in</t>
  </si>
  <si>
    <t>02-Aug-2001</t>
  </si>
  <si>
    <t>ENGLSIH,HINDI,MARATHI</t>
  </si>
  <si>
    <t>5381 5544 4304</t>
  </si>
  <si>
    <t>SUNIL YERNE</t>
  </si>
  <si>
    <t>SHALU YERNE</t>
  </si>
  <si>
    <t>SKYLINE PG 2, INFRONT OF HIRAI SITAI MANDIR,HINJEWADI</t>
  </si>
  <si>
    <t>S/o Sunil Yerne, Durga Nagar, Tumsar, Bhandara</t>
  </si>
  <si>
    <t>PROGRESSIVE ENGLISH SCHOOL</t>
  </si>
  <si>
    <t>CBSE-DELHI</t>
  </si>
  <si>
    <t>KAVIKULGURU INSTITUTE OF TECHNOLOGY AND SCIENCE</t>
  </si>
  <si>
    <t>Ecas Co. | Business Development Intern | Remote  | May 2026 | Jul 2026 | 8.7142857142857 Weeks | Campus Internship
SHRI SHAKTI CONSTRUCTION | TRAINEE ENGINEER | GONDIA | Jul 2023 | Dec 2023 | 21.857142857143 Weeks
PS PROJECTS INDIA | TRAINEE ENGINEER | CHAKAN , PUNE | Dec 2024 | May 2025 | 21.571428571429 Weeks</t>
  </si>
  <si>
    <t>The Board of TIJER- International Research Journal
PG Diploma in Advanced Computing</t>
  </si>
  <si>
    <t>P25702058</t>
  </si>
  <si>
    <t>ANUBROTO</t>
  </si>
  <si>
    <t>GHOSH</t>
  </si>
  <si>
    <t>Anubroto Ghosh</t>
  </si>
  <si>
    <t>anubrotoghosh09@gmail.com</t>
  </si>
  <si>
    <t>p25702058@student.nicmar.ac.in</t>
  </si>
  <si>
    <t>09-Dec-2000</t>
  </si>
  <si>
    <t>ENGLISH, HINDI, BENGALI, ASSAMESE</t>
  </si>
  <si>
    <t>9336 4529 7725</t>
  </si>
  <si>
    <t>SUJIT GHOSH</t>
  </si>
  <si>
    <t>SREEPARNA GHOSH</t>
  </si>
  <si>
    <t>Sujit Ghosh, Flat # F/C, R S Sengupta Villa, Behind Bandhav Samity Club, East Bankimpally, Madhyamgram, Kolkata, WestÂ Bengal</t>
  </si>
  <si>
    <t>JULIEN DAY SCHOOL</t>
  </si>
  <si>
    <t>KALINGA INSTITUTE OF INDUSTRIAL TECHNOLOGY, BHUBANESHWAR</t>
  </si>
  <si>
    <t>AutoCAD,MS Office,MS Project,Adobe Suite,Revit,Twinmotion,Lumion,Enscape</t>
  </si>
  <si>
    <t>Address Advisors Pvt. Ltd.  | Business Development | Bengaluru  | May 2026 | Jul 2026 | 9.5714285714286 Weeks | Campus Internship</t>
  </si>
  <si>
    <t>P25702059</t>
  </si>
  <si>
    <t>GAURAVI</t>
  </si>
  <si>
    <t>Gauravi Dilip Sonawane</t>
  </si>
  <si>
    <t>gauravisonawane5@gmail.com</t>
  </si>
  <si>
    <t>p25702059@student.nicmar.ac.in</t>
  </si>
  <si>
    <t>05-Jun-2000</t>
  </si>
  <si>
    <t>MARATHI,HINDI AND ENGLISH</t>
  </si>
  <si>
    <t>9406 8857 4701</t>
  </si>
  <si>
    <t>PRAMILA</t>
  </si>
  <si>
    <t>507, Ashok Vatika, Yashasvi Nagar, Dokali Road, Thane (w)</t>
  </si>
  <si>
    <t>GRAMIN SHIKSHAN SANSTHA ENGLISH HIGH SCHOOL AND JUNIOR COLLEGE</t>
  </si>
  <si>
    <t>MAHARASHTRA STATE BOARD, MAHARASTRA</t>
  </si>
  <si>
    <t>M.H. HIGH SCHOOL AND JUNIOR COLLEGE</t>
  </si>
  <si>
    <t>PILLAI HOC COLLEGE OF ARCHITECTURE,PANVEL, RASAYANI, MAHARASHTRA</t>
  </si>
  <si>
    <t>AutoCAD,MS Office,Revit,SketchUp,Lumion</t>
  </si>
  <si>
    <t>O'archilos | Architect | Thane | Oct 2022 | May 2024 | 1Y 7M | 2.91
Apices | Jr. Architect | Thane | Aug 2024 | Jun 2025 | 0Y 9M | 3.36</t>
  </si>
  <si>
    <t>Sandeep Shikre &amp; Associates (SSA) | Project Management Intern | Mumbai, Maharashtra | May 2026 | Jul 2026 | 8 Weeks | Campus Internship
AVM ARCHITECTS | INTERN | THANE | Jan 2021 | May 2021 | 18.142857142857 Weeks</t>
  </si>
  <si>
    <t>P25702060</t>
  </si>
  <si>
    <t>NAYAK</t>
  </si>
  <si>
    <t>Anshuman Nayak</t>
  </si>
  <si>
    <t>anshubablu24@gmail.com</t>
  </si>
  <si>
    <t>p25702060@student.nicmar.ac.in</t>
  </si>
  <si>
    <t>24-Feb-2003</t>
  </si>
  <si>
    <t>WATCHING NEWS,GETTING UPDATES ON GLOBAL CONFLICTS AND WARS,DEFENCE UPDATES OF VARIOUS COUNTRIES</t>
  </si>
  <si>
    <t>7840 9981 9522</t>
  </si>
  <si>
    <t>SHESHADEV NAYAK</t>
  </si>
  <si>
    <t>RETD GOVT SERVANT</t>
  </si>
  <si>
    <t>MAMATA NAYAK</t>
  </si>
  <si>
    <t>NURSING OFFICER</t>
  </si>
  <si>
    <t>PLOT NO-318/894 RANASINGPUR NEAR AIIMS BBSR DIST-KHORDHA BHUBANESWAR</t>
  </si>
  <si>
    <t>KENDRIYA VIDYALAYA NO-2 CRPF BHUBANESWAR ODISHA</t>
  </si>
  <si>
    <t>CENTRAL BOARD OF SECONDARY EDUCATION,  BHUBANESWAR/ODISHA</t>
  </si>
  <si>
    <t>BUXI JAGABANDHU ENGLISH MEDIUM SCHOOL 2, SATYABHAMAPUR BHUBANESWAR ODISHA</t>
  </si>
  <si>
    <t>VEER SURENDRA SAI UNIVERSITY OF TECHNOLOGY, BURLA SAMBALPUR ODISHA</t>
  </si>
  <si>
    <t>CLANCY GLOBAL AKG BUILDING CONSULTANTS PVT .LTD | SITE EXECUTION  | BANGALORE  | May 2026 | Jul 2026 | 8.7142857142857 Weeks | Campus Internship
CENTRAL TOOL ROOM &amp; TRAINING CENTRE | INTERN | BHUBANESWAR | Jun 2022 | Jun 2022 | 4.1428571428571 Weeks
ODISHA INDUSTRIAL INFRASTRUCTURE DEVELOPEMENT CORPORATION | INTERN | BHUBANESWAR | May 2023 | Jun 2023 | 2.7142857142857 Weeks
OFFICE OF THE EXECUTIVE ENGINEER (R&amp;B) BHUBANESWAR | TENDERING ,SOPS OF GOVT WORKING AND ESTIMATION WORKS | BHUBANESWAR | May 2023 | Jun 2023 | 4.2857142857143 Weeks</t>
  </si>
  <si>
    <t>STAAD PRO</t>
  </si>
  <si>
    <t>P25702061</t>
  </si>
  <si>
    <t>PRACHET</t>
  </si>
  <si>
    <t>ACHARY</t>
  </si>
  <si>
    <t>Prachet Babu Achary</t>
  </si>
  <si>
    <t>prachetkaka2010@gmail.com</t>
  </si>
  <si>
    <t>p25702061@student.nicmar.ac.in</t>
  </si>
  <si>
    <t>18-May-2002</t>
  </si>
  <si>
    <t>ENGLISH, HINDI, MARATHI AND MALAYALAM</t>
  </si>
  <si>
    <t>8999 1555 8994</t>
  </si>
  <si>
    <t>SMITA</t>
  </si>
  <si>
    <t>2nd Ranjana Niwas, Near Samarth Gym, Tank Pakhadi, Road No.3, Sahar Village, Andheri East_x000D_
Near Sahar BMC Ground</t>
  </si>
  <si>
    <t>BOMBAY CAMBRIDGE SCHOOL, MUMBAI</t>
  </si>
  <si>
    <t>DIVINE CHILD JUNIOR COLLEGE, MUMBAI</t>
  </si>
  <si>
    <t>SHREE L.R.TIWARI COLLEGE OF ENGINEERING, MIRA-BHAYANDAR, THANE, MAHARASHTRA</t>
  </si>
  <si>
    <t>AutoCAD,MS Excel</t>
  </si>
  <si>
    <t>Address Advisors | Business Development | Bangalore | May 2026 | Jul 2026 | 9.5714285714286 Weeks | Campus Internship
Varun Enterprises | Trainee Site Supervisor | Mumbai | Dec 2022 | Jan 2023 | 4.4285714285714 Weeks
Shree L.R. Tiwari College Of Engineering | Intern | Mira Road | Jan 2023 | Jan 2023 | 3 Weeks</t>
  </si>
  <si>
    <t>Corporate Finance
Urban Land Economics and Real Estate Market Dynamics</t>
  </si>
  <si>
    <t>P25702062</t>
  </si>
  <si>
    <t>PAWAN</t>
  </si>
  <si>
    <t>ANILRAO</t>
  </si>
  <si>
    <t>WANKAR</t>
  </si>
  <si>
    <t>Pawan Anilrao Wankar</t>
  </si>
  <si>
    <t>pawanwankar09@gmail.com</t>
  </si>
  <si>
    <t>p25702062@student.nicmar.ac.in</t>
  </si>
  <si>
    <t>08-Apr-2001</t>
  </si>
  <si>
    <t>2665 7870 3059</t>
  </si>
  <si>
    <t>ANIL DADAJI WANKAR</t>
  </si>
  <si>
    <t>MAYA ANILRAO WANKAR</t>
  </si>
  <si>
    <t>GANJRE LAYOUT, PIPRI, WARDHA.</t>
  </si>
  <si>
    <t>RASHTRA SANT TUKDOJI MAHARAJ VIDYALAY, WARDHA.</t>
  </si>
  <si>
    <t>MAHARASHTRA STATE BOARD OF SECONDARY AND HIGHER SECONDARY EDUCATION, WARDHA, MAHARASHTRA.</t>
  </si>
  <si>
    <t>JANKIDEVI BAJAJ COLLEGE OF SCIENCE, WARDHA.</t>
  </si>
  <si>
    <t>DR. BABASAHEB AMBEDKAR TECHNOLOGICAL UNIVERSITY, LONERE.</t>
  </si>
  <si>
    <t>BAJAJ INSTITUTE OF TECHNOLOGY, WARDHA.</t>
  </si>
  <si>
    <t>MS Project, Primavera P6, AutoCAD, MS Office, Revit-Architecture, Revit-Structure</t>
  </si>
  <si>
    <t>HARSHAL BUILDCON LLP. | Site Engineer | Bajaj Auto Limited, Chakan, Plant - II, Pune. | Sep 2022 | Jun 2023 | 0Y 9M | 1.56
MILLENNIUM ENGINEERS &amp; CONTRACTORS PVT.LTD. | Jr. Engineer - Execution | Vishrantwadi, Pune. | Jul 2023 | Jun 2024 | 0Y 11M | 2.8
PS PROJECTS INDIA | Jr. Engineer - Execution | Malpani Industrial and logistic park, Chakan, Pune | Jun 2024 | Jul 2025 | 1Y 0M | 4.08</t>
  </si>
  <si>
    <t>ECAS.CO | Business Development - Intern | Remote | May 2026 | Jul 2026 | 8.7142857142857 Weeks | Campus Internship
HARSHAL BULDCON LLP. | Technical coordinator- Execution | Bajaj Auto Limited Phase- II, Chakan, Pune. | Feb 2022 | Jun 2022 | 18.142857142857 Weeks</t>
  </si>
  <si>
    <t>P25702063</t>
  </si>
  <si>
    <t>TANVI</t>
  </si>
  <si>
    <t>SUNE</t>
  </si>
  <si>
    <t>Tanvi Anil Sune</t>
  </si>
  <si>
    <t>tanvisune2@gmail.com</t>
  </si>
  <si>
    <t>p25702063@student.nicmar.ac.in</t>
  </si>
  <si>
    <t>25-Nov-2000</t>
  </si>
  <si>
    <t>8077 9405 5263</t>
  </si>
  <si>
    <t>ANIL P SUNE</t>
  </si>
  <si>
    <t>SANGITA ANIL SUNE</t>
  </si>
  <si>
    <t>12, New ITI Colony Kanta Nagar Camp, Amravati_x000D_
Near Gajanan Maharaj Mandir</t>
  </si>
  <si>
    <t>SAINT PAUL'S ACADEMY, AKOT, AKOLA, MAHARASHTRA, 444101</t>
  </si>
  <si>
    <t>LAL BAHADUR SHASTRI DNYANPEETH, JUNIOR COLLEGE OF SCIENCE &amp; COMMERCE, AKOT, AKOLA, MAHARASHTRA, 444101</t>
  </si>
  <si>
    <t>D.Y.PATIL SCHOOL OF ARCHITECTURE, AMBI, PUNE, MAHARSHTRA</t>
  </si>
  <si>
    <t>AutoCAD,MS Office,sketch up,lumion</t>
  </si>
  <si>
    <t>Sri Vaarahi Real Asset, Hyderabad, Telangana | Intern - Real Estate Advisory | Hyderabad | May 2026 | Jul 2026 | 8.7142857142857 Weeks | Campus Internship
Kymera Design Studio | Intern Architect  | Aundh, Pune | Jun 2022 | Dec 2022 | 26.285714285714 Weeks</t>
  </si>
  <si>
    <t>P25702064</t>
  </si>
  <si>
    <t>BHASKARA SAI</t>
  </si>
  <si>
    <t>CHAKRAVARTULA</t>
  </si>
  <si>
    <t>Bhaskara Sai Chakravartula</t>
  </si>
  <si>
    <t>bhaskarasaic@gmail.com</t>
  </si>
  <si>
    <t>p25702064@student.nicmar.ac.in</t>
  </si>
  <si>
    <t>10-Dec-2001</t>
  </si>
  <si>
    <t>3939 0703 8961</t>
  </si>
  <si>
    <t>GANGA KUMAR CHAKRAVARTULA</t>
  </si>
  <si>
    <t>TULASI CHAKRAVARTULA</t>
  </si>
  <si>
    <t>H.NO-5, Phase-3, Jewel County Apartments Road, Sri Sai Srinivasa Nagar Colony, Keserapalli.</t>
  </si>
  <si>
    <t>P OBUL REDDY PUBLIC SCHOOL</t>
  </si>
  <si>
    <t>CENTRAL BOARD OF SECONDARY EDUCATION, TELANGANA</t>
  </si>
  <si>
    <t>VELAGAPUDI RAMAKRISHNA SIDDHARTHA ENGINEERING COLLEGE</t>
  </si>
  <si>
    <t>Address Advisors | Business development Intern  | Hyderabad | May 2026 | Jul 2026 | 9.5714285714286 Weeks | Campus Internship</t>
  </si>
  <si>
    <t>P25702065</t>
  </si>
  <si>
    <t>VED</t>
  </si>
  <si>
    <t>Ved Manoj Patel</t>
  </si>
  <si>
    <t>vedpatel9158@gmail.com</t>
  </si>
  <si>
    <t>p25702065@student.nicmar.ac.in</t>
  </si>
  <si>
    <t>ENGLISH, HINDI, MARATHI AND GUJARATI</t>
  </si>
  <si>
    <t>9560 6682 2240</t>
  </si>
  <si>
    <t>MANOJ PATEL</t>
  </si>
  <si>
    <t>RITA PATEL</t>
  </si>
  <si>
    <t>Samarpan Society, Moshi Pradhikaran Pune</t>
  </si>
  <si>
    <t>SHRI P P D SANSKAR MANDIR PUNE</t>
  </si>
  <si>
    <t>CBSE PUNE/MAHARASHTRA</t>
  </si>
  <si>
    <t>PRATIBHA JUNIOR COLLEGE</t>
  </si>
  <si>
    <t>MAHARASHTRA BOARD PUNE/MAHARASHTRA</t>
  </si>
  <si>
    <t>SYMBIOSIS SKILLS AND PROFESSIONAL UNIVERSITY</t>
  </si>
  <si>
    <t>SYMBIOSIS SKILLS AND PROFESSIONAL UNIVERSITY PUNE/MAHARASHTRA</t>
  </si>
  <si>
    <t>MS Office,MS Project,Tableau</t>
  </si>
  <si>
    <t>Keylance Realty LLP | Sales Intern | Ravet, Pune | May 2026 | Jun 2026 | 8.1428571428571 Weeks | Campus Internship
Future Icon | Web Developer  | Mumbai | Feb 2025 | Jun 2025 | 17.428571428571 Weeks
ARC Solution | Data Analyst Intern  | Pune | Jun 2024 | Aug 2024 | 8 Weeks
Cyber Secured India | Web Developer  | Pune | Jun 2023 | Sep 2023 | 15.285714285714 Weeks</t>
  </si>
  <si>
    <t>P25702066</t>
  </si>
  <si>
    <t>DHARMESH</t>
  </si>
  <si>
    <t>ZANJARI</t>
  </si>
  <si>
    <t>Dharmesh Pradeep Zanjari</t>
  </si>
  <si>
    <t>dharmeshzanjari011@gmail.com</t>
  </si>
  <si>
    <t>p25702066@student.nicmar.ac.in</t>
  </si>
  <si>
    <t>11-Apr-2004</t>
  </si>
  <si>
    <t>5412 2477 0926</t>
  </si>
  <si>
    <t>ENTREPRENEUR</t>
  </si>
  <si>
    <t>SAINATH COLONY,GANGAPUR ROAD,VAIJAPUR 423701</t>
  </si>
  <si>
    <t>SAINT MONICA ENGLISH SCHOOL</t>
  </si>
  <si>
    <t>DEOGIRI COLLEGE OF COMMERCE</t>
  </si>
  <si>
    <t>BRIHAN MAHARASHTRA COLLEGE OF COMMERCE</t>
  </si>
  <si>
    <t>other,MS EXCEL</t>
  </si>
  <si>
    <t>AADI ENGINEERS AND CONSULTANTS | PROJECT MANAGEMENT | AURANGABAD | Apr 2025 | Jul 2025 | 13 Weeks
Suryam Developers LLP | Project Planning and Site Management Intern | Ahmedabad | May 2026 | Jul 2026 | 8.5714285714286 Weeks</t>
  </si>
  <si>
    <t>P25702067</t>
  </si>
  <si>
    <t>SHRAVANI</t>
  </si>
  <si>
    <t>Shravani Deepak Garud</t>
  </si>
  <si>
    <t>shravanigarud317109@gmail.com</t>
  </si>
  <si>
    <t>p25702067@student.nicmar.ac.in</t>
  </si>
  <si>
    <t>17-Jan-2004</t>
  </si>
  <si>
    <t>8969 5155 1552</t>
  </si>
  <si>
    <t>Paras Nagar, Shendurni Tal: Jamner Dist: Jalgaon</t>
  </si>
  <si>
    <t>A G R GARUD M V SHENDURNI</t>
  </si>
  <si>
    <t>MAHARASHTRA CITY: SHENDURNI</t>
  </si>
  <si>
    <t>GOVERNMENT POLYTECHNIQUE JALGAON</t>
  </si>
  <si>
    <t>AMRUTVAHINI COLLEGE OF ENGINEERING SANGAMNER</t>
  </si>
  <si>
    <t>Godrej Properties Limited  | Operation | Maan-Hinje Pune  | May 2026 | Jul 2026 | 8.7142857142857 Weeks | Campus Internship
Swaraj Construction Pvt Limited, Sangamner | Site Supervisor Trainee | sangamner | Dec 2023 | Jan 2024 | 4.4285714285714 Weeks</t>
  </si>
  <si>
    <t>Project management</t>
  </si>
  <si>
    <t>P25702068</t>
  </si>
  <si>
    <t>JAINIL</t>
  </si>
  <si>
    <t>UPESHBHAI</t>
  </si>
  <si>
    <t>Jainil Upeshbhai Shah</t>
  </si>
  <si>
    <t>jainil523@icloud.com</t>
  </si>
  <si>
    <t>p25702068@student.nicmar.ac.in</t>
  </si>
  <si>
    <t>11-Aug-2003</t>
  </si>
  <si>
    <t>HINDI,ENGLISH,GUJRATI</t>
  </si>
  <si>
    <t>7707 2952 7940</t>
  </si>
  <si>
    <t>UPESH SHAH</t>
  </si>
  <si>
    <t>BUISNESSMAN</t>
  </si>
  <si>
    <t>AMITA SHAH</t>
  </si>
  <si>
    <t>A-35 Shantiniketan Society Opposite Aashirvad Complex Beside Suryanagar Garba Ground ,waghodiya Road_x000D_
Colony</t>
  </si>
  <si>
    <t>BRIGHT SCHOOL</t>
  </si>
  <si>
    <t>GUJRAT SECONDARY AND HIGHER SECONDARY BOARD OF EDUCATION</t>
  </si>
  <si>
    <t>VITTHAL VIDHYALAYA</t>
  </si>
  <si>
    <t>GUJRAT TECHNICAL UNIVERSITY</t>
  </si>
  <si>
    <t>SARDAR VALLABHBHAI PATEL INSTITUTE OF TECHNOLOGY,VASAD</t>
  </si>
  <si>
    <t>DESAI CONSTRUCTION PRIVATE LIMITED  | SITE EXECUTION  | DHARAMPUR,GUJRAT  | May 2026 | Jul 2026 | 8.7142857142857 Weeks | Campus Internship
NILAMBER GROUPS | CONSTRUCTION SITE  (CONSTRUCTION EXECUTED BY NCCCL) | VADODARA | Feb 2025 | Apr 2025 | 11 Weeks</t>
  </si>
  <si>
    <t>P25702069</t>
  </si>
  <si>
    <t>Tejas Santosh Shede</t>
  </si>
  <si>
    <t>shedetejas2001@gmail.com</t>
  </si>
  <si>
    <t>p25702069@student.nicmar.ac.in</t>
  </si>
  <si>
    <t>4988 9063 7317</t>
  </si>
  <si>
    <t>SONAM</t>
  </si>
  <si>
    <t>At Post.Sakharpa, Tai- Sangameshwar</t>
  </si>
  <si>
    <t>SHREEMAN TUKARAM GANSHET GANDHI VIDYALAY, KONDGAON</t>
  </si>
  <si>
    <t>KOKAN DIVISIONAL BOARD/MAHARASHTRA</t>
  </si>
  <si>
    <t>KAI.SAU.MEENATAI THAKARE KANISHTA MAHAVIDYALAY, SADVALI</t>
  </si>
  <si>
    <t>D.Y.PATIL COLLEGE OF ENGINEERING AND TECHNOLOGY, KASABA, BAWADA, KOLHAPUR</t>
  </si>
  <si>
    <t>AutoCAD,ETABS</t>
  </si>
  <si>
    <t>B G Shirke Construction Technology Pvt. Ltd. | Site Execution | Navade, Navi Mumbai (CIDCO Project-IV) | May 2026 | Jul 2026 | 8.7142857142857 Weeks | Campus Internship</t>
  </si>
  <si>
    <t>ETABS
Autocad</t>
  </si>
  <si>
    <t>P25702070</t>
  </si>
  <si>
    <t>Daksh Vinod Patel</t>
  </si>
  <si>
    <t>dakshp640@gmail.com</t>
  </si>
  <si>
    <t>p25702070@student.nicmar.ac.in</t>
  </si>
  <si>
    <t>01-Sep-2004</t>
  </si>
  <si>
    <t>HINDI, GUJARATI, MARATHI, ENGLISH</t>
  </si>
  <si>
    <t>9522 9240 9735</t>
  </si>
  <si>
    <t>VINOD V. PATEL</t>
  </si>
  <si>
    <t>CHANDRIKA V. PATEL</t>
  </si>
  <si>
    <t>HOUSE WIFE/ HOUSE MAKER</t>
  </si>
  <si>
    <t>Behind Aashirwad Hall, Umred</t>
  </si>
  <si>
    <t>MODERN HIGH SCHOOL</t>
  </si>
  <si>
    <t>MAHARASHTRA STATE BOARD (SSC), NAGPUR, MAHARASHTRA</t>
  </si>
  <si>
    <t>ASHOK JUNIOR COLLEGE</t>
  </si>
  <si>
    <t>MAHARASHTRA STATE BOARD (HSC), NAGPUR, MAHARASHTRA</t>
  </si>
  <si>
    <t>CITY PRIMER COLLEGE, NAGPUR, MAHARASHTRA</t>
  </si>
  <si>
    <t>AutoCAD,MS Office,MS Project,Tally,Visual Studio Code,Tally Prime,TypingMaster</t>
  </si>
  <si>
    <t>The Tax Therapist  | Inten Finance, Taxation and Accounting  | Mumbai (Hybrid) | May 2026 | Jul 2026 | 9.8571428571429 Weeks | Campus Internship</t>
  </si>
  <si>
    <t>Certificate Course in Advance Accounting
Sustainable Urban Water System
Urban Land Economics and Real Estate Market Dynamics
Introduction to Financial Accounting
Fundamentals of the C Language: Getting Started</t>
  </si>
  <si>
    <t>P25702071</t>
  </si>
  <si>
    <t>RISHIPATHAK</t>
  </si>
  <si>
    <t>Sarvesh Sanjay Rishipathak</t>
  </si>
  <si>
    <t>sarveshrishipathak2003@gmail.com</t>
  </si>
  <si>
    <t>p25702071@student.nicmar.ac.in</t>
  </si>
  <si>
    <t>2439 7294 9922</t>
  </si>
  <si>
    <t>SANJAY RAMESH RISHIPATHAK</t>
  </si>
  <si>
    <t>VAISHALI SANJAY RISHIPATHAK</t>
  </si>
  <si>
    <t>Flat No. 203, Plot No. 230, Priyadarshani Chs, Sector-04, Airoli, Navi Mumbai, 400708</t>
  </si>
  <si>
    <t>SMT. RADHIKABAI MEGHE VIDYALAYA, AIROLI, NAVI MUMBAI</t>
  </si>
  <si>
    <t>FR. AGNEL POLYTECHNIC, VASHI, NAVI MUMBAI</t>
  </si>
  <si>
    <t>MAHATMA GANDHI MISSION'S COLLEGE OF ENGINEERING, KAMOTHE, NAVI MUMBAI</t>
  </si>
  <si>
    <t>B.G Shirke Construction Technology Pvt.Ltd | Site Execution | Nawade, Navi Mmumbai | May 2026 | Jul 2026 | 8.7142857142857 Weeks | Campus Internship
B G Shirke Construction Technology Pvt Ltd | Intern | Taloja, Navi Mumbai | Aug 2021 | Sep 2021 | 4.5714285714286 Weeks</t>
  </si>
  <si>
    <t>P25702072</t>
  </si>
  <si>
    <t>GHANGALE</t>
  </si>
  <si>
    <t>Pradnya Laxman Ghangale</t>
  </si>
  <si>
    <t>ghangalepradnya72@gmail.com</t>
  </si>
  <si>
    <t>p25702072@student.nicmar.ac.in</t>
  </si>
  <si>
    <t>17-May-2001</t>
  </si>
  <si>
    <t>6836 2431 8567</t>
  </si>
  <si>
    <t>WAKDEWADI,SHIVAJINAGAR,PUNE,411003_x000D_</t>
  </si>
  <si>
    <t>AT POST RAJURI,TAL-JUNNAR,DIST-PUNE</t>
  </si>
  <si>
    <t>VIDYA VIKAS MANDIR,RAJURI</t>
  </si>
  <si>
    <t>DR.BHANUBEN NANAVATI COLLEGE OF ARCHITECTURE,PUNE</t>
  </si>
  <si>
    <t>Wani Projects and Infra Pvt. Ltd. | Project Planning Intern | Vimannagar, Pune, Maharashtra  | May 2026 | Jun 2026 | 8.1428571428571 Weeks | Campus Internship
INESIS ARCHITECTS | ARCHITECTURE INTERN | JAIPUR  | Jun 2024 | Oct 2024 | 18.428571428571 Weeks</t>
  </si>
  <si>
    <t>EDGE
NPTEL- Housing planning and policy
COURSERA-Urban land Economics and real estate market dynamics
COURSERA- Introduction to Financial accounting</t>
  </si>
  <si>
    <t>P25702073</t>
  </si>
  <si>
    <t>SARPE</t>
  </si>
  <si>
    <t>Kunal Kiran Sarpe</t>
  </si>
  <si>
    <t>kunalsarpe242003@gmail.com</t>
  </si>
  <si>
    <t>p25702073@student.nicmar.ac.in</t>
  </si>
  <si>
    <t>24-Apr-2003</t>
  </si>
  <si>
    <t>9721 5358 6358</t>
  </si>
  <si>
    <t>KIRAN SARPE</t>
  </si>
  <si>
    <t>VISHAKHA SARPE</t>
  </si>
  <si>
    <t>SHIVAJI NAGAR, PUNE</t>
  </si>
  <si>
    <t>Shivaji Nagar, Pune</t>
  </si>
  <si>
    <t>DR K. D. SHENDGE ENGLISH MEDIUM SHOOL</t>
  </si>
  <si>
    <t>B.H.CHATE JR. COLLEGE , KHEDSHIVAPUR, PUNE</t>
  </si>
  <si>
    <t>SAVITARIBAI PHULE PUNE UNIVERSITY</t>
  </si>
  <si>
    <t>AISSMS COE, PUNE, MAHARASTRA</t>
  </si>
  <si>
    <t>MS Office,STADPRO</t>
  </si>
  <si>
    <t>Majestic Realty  | Digital Marketing &amp; Business Development  | Pune | May 2026 | Jun 2026 | 7.7142857142857 Weeks | Campus Internship
MILLENNIUM ENGG.AND CONTRACTORS PVT.LTD | RESIDENTICAL PROJECT | PRIDE WORLD CITY, DHANORI, PUNE | Dec 2023 | Jan 2024 | 4.1428571428571 Weeks</t>
  </si>
  <si>
    <t>P25702074</t>
  </si>
  <si>
    <t>Rishikesh Patil</t>
  </si>
  <si>
    <t>rishi.pat17@gmail.com</t>
  </si>
  <si>
    <t>p25702074@student.nicmar.ac.in</t>
  </si>
  <si>
    <t>9925 4399 9305</t>
  </si>
  <si>
    <t>PADMAKAR PATIL</t>
  </si>
  <si>
    <t>PALLAVI PATIL</t>
  </si>
  <si>
    <t>B503, NISARG NIRMITI SOCIETY,_x000D_
KOKANE CHOWK, PIMPLE SAUDAGAR, PUNE</t>
  </si>
  <si>
    <t>Khedi Vyavhardal,_x000D_
Kurhe Khurd,_x000D_
Amalner, Jalgaon</t>
  </si>
  <si>
    <t>PODAR INTERNATIONAL SCHOOL , BESA NAGPUR</t>
  </si>
  <si>
    <t>CBSE, NAGPUR</t>
  </si>
  <si>
    <t>MKH SANCHETI PUBLIC SCHOOL AND JUNIOR COLLEGE</t>
  </si>
  <si>
    <t>AMITY UNIVERSITY, UTTAR PRADESH</t>
  </si>
  <si>
    <t>AMITY GLOBAL BUSINESS SCHOOL, PUNE</t>
  </si>
  <si>
    <t>MS Office,MS Project,Primavera,EXCEL,PowerBI,Candy,Equity Research,Infra finance,Risk Management,Investment Analysis,Budgeting,Marketing Analytics,Business Development,MS Word,Infra Management,Project Appraisal,Asset Management</t>
  </si>
  <si>
    <t>Edsom Fintech Pvt. Ltd | Finance and Banking Operations Intern | Pune | May 2026 | Jun 2026 | 8 Weeks | Campus Internship
MITTAL BROTHERS PVT LTD | SALES And Project Coordination Intern | PUNE | Jun 2024 | Aug 2024 | 8.5714285714286 Weeks
Mittal Brothers | Business Development Intern | Pune | Aug 2024 | Feb 2025 | 26.285714285714 Weeks</t>
  </si>
  <si>
    <t>Supply Chain Principles
Introduction To Business Analysis
Introduction To Corporate Finance
Real Estate Development: Building Value In Your Community
Internal Communications Framework
External Communications Channels
Introduction To Corporate Communications
Indian Town Planning And Architecture
Introduction To Financial Accounting
Housing Policy And Planning
Urban Land Economics And Real Estate Market Dynamics
Mckinsey Forward
Accounting Fundamentals
Excel Basics
AI and Chatgpt Workshop</t>
  </si>
  <si>
    <t>P25702075</t>
  </si>
  <si>
    <t>Anushka Anil Shet</t>
  </si>
  <si>
    <t>shetanushka1@gmail.com</t>
  </si>
  <si>
    <t>p25702075@student.nicmar.ac.in</t>
  </si>
  <si>
    <t>19-Sep-2000</t>
  </si>
  <si>
    <t>ENGLISH, HINDI, MARATHI, KONKANI</t>
  </si>
  <si>
    <t>3097 9364 4862</t>
  </si>
  <si>
    <t>ANIL SHET</t>
  </si>
  <si>
    <t>AKSHADA</t>
  </si>
  <si>
    <t>31, B-wing, Wildflower Hall CHS, Amboli, Andheri West</t>
  </si>
  <si>
    <t>ST. BLAISE HIGH SCHOOL</t>
  </si>
  <si>
    <t>BHAVAN'S COLLEGE, ANDHERI</t>
  </si>
  <si>
    <t>CTES COA, MUMBAI, MAHARASHTRA</t>
  </si>
  <si>
    <t>AutoCAD,MS Office,MS Project,Revit,Photoshop,Sketchup,Rhino</t>
  </si>
  <si>
    <t>Gautam Desai Designs | Junior Architect | Mumbai, Fort, Ministry of new. | Jul 2023 | Jun 2025 | 1Y 11M | 2.64</t>
  </si>
  <si>
    <t>Thite Valuers &amp; Engineers Pvt. Ltd | Intern | Mumbai | May 2026 | Jul 2026 | 8.7142857142857 Weeks | Campus Internship
VAASTU VIDHAN PROJECTS | INTERN DESIGNER | BORIVALI, MUMBAI | Dec 2021 | May 2022 | 24.571428571429 Weeks</t>
  </si>
  <si>
    <t>P25702076</t>
  </si>
  <si>
    <t>JITESH</t>
  </si>
  <si>
    <t>RATHI</t>
  </si>
  <si>
    <t>Jitesh Gopal Rathi</t>
  </si>
  <si>
    <t>jiteshrathi10@gmail.com</t>
  </si>
  <si>
    <t>p25702076@student.nicmar.ac.in</t>
  </si>
  <si>
    <t>07-Oct-2000</t>
  </si>
  <si>
    <t>2770 5964 1818</t>
  </si>
  <si>
    <t>Gopal Kirana, In Front Of Mahavir Medical, Main Road, Hiwarkhed</t>
  </si>
  <si>
    <t>SAHADEORAO BHOPLE VIDYALAYA AND JR COLLEGE HIWARKHED</t>
  </si>
  <si>
    <t>SHREE RAMKRISHNA KRIDA KANISHTHA MAHAVIDYALAYA,AMRAVATI</t>
  </si>
  <si>
    <t>VIVEKANAND INSTITUTE OF TECHNOLOGY'S PADMABHUSHAN DR. VASANTDADA PATIL COLLEGE OF ARCHITECTURE, PUNE</t>
  </si>
  <si>
    <t>AutoCAD , Graphisoft Archicad ,SketchUp,Enscape, Adobe Photoshop,Primavera P6, Microsoft Project (MS Project),Microsoft Office , Advanced Microsoft Excel</t>
  </si>
  <si>
    <t>Ashok Mokha Architect | Junior Architect | Nagpur,Maharashtra | Jul 2024 | Mar 2025 | 0Y 8M | 1.8</t>
  </si>
  <si>
    <t>Asain Paints | Executive I/II Sales Engineering-WP | Mumbai | May 2026 | Jul 2026 | 8.7142857142857 Weeks | Campus Internship
SHILANYAS DESIGN CONSULTANT |  ARCHITECT TRAINEE | AHEMDABAD | Jun 2023 | Dec 2023 | 26.285714285714 Weeks</t>
  </si>
  <si>
    <t>P25702077</t>
  </si>
  <si>
    <t>PERICHARLA</t>
  </si>
  <si>
    <t>Pericharla Narendra Varma</t>
  </si>
  <si>
    <t>narendravarma2810@gmail.com</t>
  </si>
  <si>
    <t>p25702077@student.nicmar.ac.in</t>
  </si>
  <si>
    <t>2581 3171 5866</t>
  </si>
  <si>
    <t>VARA PRASADA RAJU</t>
  </si>
  <si>
    <t>INDUSTRIAL CONSULTANT</t>
  </si>
  <si>
    <t>SRIDEVI</t>
  </si>
  <si>
    <t>Plot No.33,sun City, Near Hanuman Nagar Bridge, Padamatalakulu, Eluru.</t>
  </si>
  <si>
    <t>SIKHARA SCHOOL</t>
  </si>
  <si>
    <t>BOARD OF SECONDARY EDUCATION</t>
  </si>
  <si>
    <t>FIITJEE JR. COLLEGE</t>
  </si>
  <si>
    <t>BOARD OF INTERMEDIATE EDUCATION, VIJAYAWADA / ANDHRA PRADESH</t>
  </si>
  <si>
    <t>GANDHI INSTITUTION OF TECHNOLOGY AND MANAGEMENT</t>
  </si>
  <si>
    <t>GITAM (DEEMED TO BE UNIVERSITY) / VISAKHAPATNAM</t>
  </si>
  <si>
    <t>ADROIT TECHNICAL SERVICES PRIVATE LIMITED | VALUATION SERVICES INTERN | HYDERABAD | May 2026 | Jul 2026 | 8.7142857142857 Weeks | Campus Internship
SVS MOOKAMBIKA CONSTRUCTIONS PVT. LTD. | INTERN | VISAKHAPATNAM | May 2024 | Jun 2024 | 4.5714285714286 Weeks</t>
  </si>
  <si>
    <t>managing employee performance
recruiting, hiring, and onboarding employees
autocad for design and drafting exam prep
Introduction to computers and office productivity software
evreyday excel part 3</t>
  </si>
  <si>
    <t>P25702078</t>
  </si>
  <si>
    <t>HULE</t>
  </si>
  <si>
    <t>Manav Mahesh Hule</t>
  </si>
  <si>
    <t>manav.hule@gmail.com</t>
  </si>
  <si>
    <t>p25702078@student.nicmar.ac.in</t>
  </si>
  <si>
    <t>7893 2987 9855</t>
  </si>
  <si>
    <t>BUSINESS PERSON</t>
  </si>
  <si>
    <t>F203 Gulmarg Chs_x000D_
Chembur Naka_x000D_
Chembur,_x000D_
Mumbai 71, _x000D_
Maharashtra</t>
  </si>
  <si>
    <t>SWAMI VIVEKANAND HIGH SCHOOL</t>
  </si>
  <si>
    <t>MAHARASTRA STATE BOARD</t>
  </si>
  <si>
    <t>RAMNIRANJAN ANANDLAL PODAR COLLEGE OF COMMERCE AND ECONOMICS</t>
  </si>
  <si>
    <t>RAMNIRANJAN ANANDILAL PODAR COLLEGE OF COMMERCE AND ECONOMICS</t>
  </si>
  <si>
    <t>AutoCAD,MS Office,MS Project,Primavera,Advance excel</t>
  </si>
  <si>
    <t>Asian Paints  | Sales engineer | mumbai  | May 2026 | Jul 2026 | 8.7142857142857 Weeks | Campus Internship</t>
  </si>
  <si>
    <t>P25702079</t>
  </si>
  <si>
    <t>BHELKE</t>
  </si>
  <si>
    <t>Kartik Ravindra Bhelke</t>
  </si>
  <si>
    <t>kartikrbhelke@gmail.com</t>
  </si>
  <si>
    <t>p25702079@student.nicmar.ac.in</t>
  </si>
  <si>
    <t>18-Apr-2003</t>
  </si>
  <si>
    <t>Trekking,Drama,Drawings,Hiking,Music</t>
  </si>
  <si>
    <t>4359 5470 1344</t>
  </si>
  <si>
    <t>RAVINDRA BHELKE</t>
  </si>
  <si>
    <t>VIDYA BHELKE</t>
  </si>
  <si>
    <t>Shreepad,Sr No-624, Bakul Nagar, Bibwewadi, Pune -411037</t>
  </si>
  <si>
    <t>ST VINCENT'S HIGH SCHOOL AND JUNIOR COLLEGE</t>
  </si>
  <si>
    <t>MAHARASTRA STATE BOARD EDUCATION,PUNE ,MAHARASTRA</t>
  </si>
  <si>
    <t>POONA GLOBAL SCHOOL AND JUNIOR COLLEGE</t>
  </si>
  <si>
    <t>MAHARASTRA STATE BOARD OF EDUCATION,PUNE,MAHARASTRA</t>
  </si>
  <si>
    <t>VISHWARMA INSTITUTE OF INFORMATION TECHNOLOGY AFFLIATED WITH SAVITRIBAI PHULE PUNE UNIVERSITY</t>
  </si>
  <si>
    <t>VISHWAKARMA INSTITUTE OF INFORMATION TECHONOLGY,PUNE ,MAHARASTRA</t>
  </si>
  <si>
    <t>AutoCAD,Excel</t>
  </si>
  <si>
    <t>Ascendas Firstspace  | Intern Facility and Operations  | Mumbai | May 2026 | Jun 2026 | 8.1428571428571 Weeks | Campus Internship
Pragati Engineers | Project Manegment and Operational Intern | Pune | Jan 2025 | Jun 2025 | 21.571428571429 Weeks</t>
  </si>
  <si>
    <t>P25702092</t>
  </si>
  <si>
    <t>ANSAF ALI</t>
  </si>
  <si>
    <t>A A</t>
  </si>
  <si>
    <t>Ansaf Ali A A</t>
  </si>
  <si>
    <t>p25702092@student.nicmar.ac.in</t>
  </si>
  <si>
    <t>P25702118</t>
  </si>
  <si>
    <t>Manav</t>
  </si>
  <si>
    <t>Kamat</t>
  </si>
  <si>
    <t>Manav Kamat</t>
  </si>
  <si>
    <t>p25702118@student.nicmar.ac.in</t>
  </si>
  <si>
    <t>P25702149</t>
  </si>
  <si>
    <t>p25702149@student.nicmar.ac.in</t>
  </si>
  <si>
    <t>P26700255</t>
  </si>
  <si>
    <t>P26700255@student.nicmar.ac.in</t>
  </si>
  <si>
    <t>P26700256</t>
  </si>
  <si>
    <t>P26700256@student.nicmar.ac.in</t>
  </si>
  <si>
    <t>P26700257</t>
  </si>
  <si>
    <t>P26700257@student.nicmar.ac.in</t>
  </si>
  <si>
    <t>P26700258</t>
  </si>
  <si>
    <t>P26700258@student.nicmar.ac.in</t>
  </si>
  <si>
    <t>P26700259</t>
  </si>
  <si>
    <t>P26700259@student.nicmar.ac.in</t>
  </si>
  <si>
    <t>P26700260</t>
  </si>
  <si>
    <t>P26700260@student.nicmar.ac.in</t>
  </si>
  <si>
    <t>P26700261</t>
  </si>
  <si>
    <t>Shaik</t>
  </si>
  <si>
    <t>Shaheen</t>
  </si>
  <si>
    <t>Shaik Shaheen</t>
  </si>
  <si>
    <t>P26700261@student.nicmar.ac.in</t>
  </si>
  <si>
    <t>07-Jun-2002</t>
  </si>
  <si>
    <t>Urdu,Hindi,Telugu,English</t>
  </si>
  <si>
    <t>Badminton</t>
  </si>
  <si>
    <t>Shaik Vali</t>
  </si>
  <si>
    <t>Shaik Tasleem</t>
  </si>
  <si>
    <t>House Wife</t>
  </si>
  <si>
    <t>1-3-120, Kisan Nagar, Lane opposite to Registration Office,Bhongir,Nalgonda,508116</t>
  </si>
  <si>
    <t>Bhadradri Kothagudem</t>
  </si>
  <si>
    <t>P26700262</t>
  </si>
  <si>
    <t>P26700262@student.nicmar.ac.in</t>
  </si>
  <si>
    <t>P26700263</t>
  </si>
  <si>
    <t>P26700263@student.nicmar.ac.in</t>
  </si>
  <si>
    <t>P26700264</t>
  </si>
  <si>
    <t>P26700264@student.nicmar.ac.in</t>
  </si>
  <si>
    <t>P26700265</t>
  </si>
  <si>
    <t>P26700265@student.nicmar.ac.in</t>
  </si>
  <si>
    <t>P26700266</t>
  </si>
  <si>
    <t>P26700266@student.nicmar.ac.in</t>
  </si>
  <si>
    <t>P26700267</t>
  </si>
  <si>
    <t>P26700267@student.nicmar.ac.in</t>
  </si>
  <si>
    <t>P26700269</t>
  </si>
  <si>
    <t>P26700269@student.nicmar.ac.in</t>
  </si>
  <si>
    <t>P26700270</t>
  </si>
  <si>
    <t>P26700270@student.nicmar.ac.in</t>
  </si>
  <si>
    <t>P26700271</t>
  </si>
  <si>
    <t>P26700271@student.nicmar.ac.in</t>
  </si>
  <si>
    <t>P26700272</t>
  </si>
  <si>
    <t>P26700272@student.nicmar.ac.in</t>
  </si>
  <si>
    <t>P26700273</t>
  </si>
  <si>
    <t>P26700273@student.nicmar.ac.in</t>
  </si>
  <si>
    <t>P26700274</t>
  </si>
  <si>
    <t>P26700274@student.nicmar.ac.in</t>
  </si>
  <si>
    <t>P26700275</t>
  </si>
  <si>
    <t>P26700275@student.nicmar.ac.in</t>
  </si>
  <si>
    <t>P26700276</t>
  </si>
  <si>
    <t>P26700276@student.nicmar.ac.in</t>
  </si>
  <si>
    <t>P26700277</t>
  </si>
  <si>
    <t>P26700277@student.nicmar.ac.in</t>
  </si>
  <si>
    <t>P26700278</t>
  </si>
  <si>
    <t>P26700278@student.nicmar.ac.in</t>
  </si>
  <si>
    <t>P26700279</t>
  </si>
  <si>
    <t>P26700279@student.nicmar.ac.in</t>
  </si>
  <si>
    <t>P26700280</t>
  </si>
  <si>
    <t>P26700280@student.nicmar.ac.in</t>
  </si>
  <si>
    <t>P26700281</t>
  </si>
  <si>
    <t>P26700281@student.nicmar.ac.in</t>
  </si>
  <si>
    <t>P26700282</t>
  </si>
  <si>
    <t>P26700282@student.nicmar.ac.in</t>
  </si>
  <si>
    <t>P26700283</t>
  </si>
  <si>
    <t>P26700283@student.nicmar.ac.in</t>
  </si>
  <si>
    <t>P26700284</t>
  </si>
  <si>
    <t>P26700284@student.nicmar.ac.in</t>
  </si>
  <si>
    <t>P26700285</t>
  </si>
  <si>
    <t>P26700285@student.nicmar.ac.in</t>
  </si>
  <si>
    <t>P26700286</t>
  </si>
  <si>
    <t>P26700286@student.nicmar.ac.in</t>
  </si>
  <si>
    <t>P26700287</t>
  </si>
  <si>
    <t>P26700287@student.nicmar.ac.in</t>
  </si>
  <si>
    <t>P26700288</t>
  </si>
  <si>
    <t>P26700288@student.nicmar.ac.in</t>
  </si>
  <si>
    <t>P26700289</t>
  </si>
  <si>
    <t>P26700289@student.nicmar.ac.in</t>
  </si>
  <si>
    <t>P26700290</t>
  </si>
  <si>
    <t>P26700290@student.nicmar.ac.in</t>
  </si>
  <si>
    <t>P26700291</t>
  </si>
  <si>
    <t>P26700291@student.nicmar.ac.in</t>
  </si>
  <si>
    <t>P26700292</t>
  </si>
  <si>
    <t>P26700292@student.nicmar.ac.in</t>
  </si>
  <si>
    <t>P26700293</t>
  </si>
  <si>
    <t>P26700293@student.nicmar.ac.in</t>
  </si>
  <si>
    <t>P26700294</t>
  </si>
  <si>
    <t>P26700294@student.nicmar.ac.in</t>
  </si>
  <si>
    <t>P26700295</t>
  </si>
  <si>
    <t>P26700295@student.nicmar.ac.in</t>
  </si>
  <si>
    <t>P26700296</t>
  </si>
  <si>
    <t>P26700296@student.nicmar.ac.in</t>
  </si>
  <si>
    <t>P26700297</t>
  </si>
  <si>
    <t>P26700297@student.nicmar.ac.in</t>
  </si>
  <si>
    <t>P26700298</t>
  </si>
  <si>
    <t>P26700298@student.nicmar.ac.in</t>
  </si>
  <si>
    <t>P26700299</t>
  </si>
  <si>
    <t>P26700299@student.nicmar.ac.in</t>
  </si>
  <si>
    <t>P26700300</t>
  </si>
  <si>
    <t>P26700300@student.nicmar.ac.in</t>
  </si>
  <si>
    <t>P26700301</t>
  </si>
  <si>
    <t>P26700301@student.nicmar.ac.in</t>
  </si>
  <si>
    <t>P26700302</t>
  </si>
  <si>
    <t>P26700302@student.nicmar.ac.in</t>
  </si>
  <si>
    <t>P26700303</t>
  </si>
  <si>
    <t>P26700303@student.nicmar.ac.in</t>
  </si>
  <si>
    <t>P26700304</t>
  </si>
  <si>
    <t>P26700304@student.nicmar.ac.in</t>
  </si>
  <si>
    <t>P26700305</t>
  </si>
  <si>
    <t>P26700305@student.nicmar.ac.in</t>
  </si>
  <si>
    <t>P26700306</t>
  </si>
  <si>
    <t>P26700306@student.nicmar.ac.in</t>
  </si>
  <si>
    <t>P26700307</t>
  </si>
  <si>
    <t>P26700307@student.nicmar.ac.in</t>
  </si>
  <si>
    <t>P26700308</t>
  </si>
  <si>
    <t>P26700308@student.nicmar.ac.in</t>
  </si>
  <si>
    <t>P26700309</t>
  </si>
  <si>
    <t>SHASHIKANT</t>
  </si>
  <si>
    <t>Shashikant Kumar</t>
  </si>
  <si>
    <t>P26700309@student.nicmar.ac.in</t>
  </si>
  <si>
    <t>05-Nov-2003</t>
  </si>
  <si>
    <t>HINDI , ENGLISH,BHOJPURI</t>
  </si>
  <si>
    <t>GARDENNING , ONLINE GAMES ,ROMING ALONE</t>
  </si>
  <si>
    <t>JAYRAM THAKUR</t>
  </si>
  <si>
    <t>BARBER</t>
  </si>
  <si>
    <t>KANTI DEVI</t>
  </si>
  <si>
    <t>VILLAGE -SAKRAUDHA
POST OFFICE -SHAISTABAD , POLICE STATION - GHOSHI</t>
  </si>
  <si>
    <t>Jehanabad</t>
  </si>
  <si>
    <t>ANNIE BESANT INTERNATIONAL SCHOOL</t>
  </si>
  <si>
    <t>PATNA , BIHAR</t>
  </si>
  <si>
    <t>ORIENTAL COLLEGE , PANTNA CITY</t>
  </si>
  <si>
    <t>BIHAR ENGINEERING UNIVERSITY</t>
  </si>
  <si>
    <t>GOVERNMENT ENGINEERING COLLEGE , NAWADA , BIHAR</t>
  </si>
  <si>
    <t>AUTOCAD , STAADPRO, NPTEL SOFT SKILLS ,NPTEL PLASTIC WASTE MANAGEMENT</t>
  </si>
  <si>
    <t>P26700311</t>
  </si>
  <si>
    <t>P26700311@student.nicmar.ac.in</t>
  </si>
  <si>
    <t>P26700312</t>
  </si>
  <si>
    <t>P26700312@student.nicmar.ac.in</t>
  </si>
  <si>
    <t>P26700313</t>
  </si>
  <si>
    <t>P26700313@student.nicmar.ac.in</t>
  </si>
  <si>
    <t>P26700314</t>
  </si>
  <si>
    <t>P26700314@student.nicmar.ac.in</t>
  </si>
  <si>
    <t>P26700315</t>
  </si>
  <si>
    <t>P26700315@student.nicmar.ac.in</t>
  </si>
  <si>
    <t>P26700316</t>
  </si>
  <si>
    <t>P26700316@student.nicmar.ac.in</t>
  </si>
  <si>
    <t>P26700317</t>
  </si>
  <si>
    <t>P26700317@student.nicmar.ac.in</t>
  </si>
  <si>
    <t>P26700318</t>
  </si>
  <si>
    <t>P26700318@student.nicmar.ac.in</t>
  </si>
  <si>
    <t>P26700319</t>
  </si>
  <si>
    <t>P26700319@student.nicmar.ac.in</t>
  </si>
  <si>
    <t>P26700320</t>
  </si>
  <si>
    <t>P26700320@student.nicmar.ac.in</t>
  </si>
  <si>
    <t>P26700321</t>
  </si>
  <si>
    <t>P26700321@student.nicmar.ac.in</t>
  </si>
  <si>
    <t>P26700322</t>
  </si>
  <si>
    <t>P26700322@student.nicmar.ac.in</t>
  </si>
  <si>
    <t>P26700323</t>
  </si>
  <si>
    <t>P26700323@student.nicmar.ac.in</t>
  </si>
  <si>
    <t>P26700324</t>
  </si>
  <si>
    <t>P26700324@student.nicmar.ac.in</t>
  </si>
  <si>
    <t>P26700325</t>
  </si>
  <si>
    <t>P26700325@student.nicmar.ac.in</t>
  </si>
  <si>
    <t>P26700326</t>
  </si>
  <si>
    <t>P26700326@student.nicmar.ac.in</t>
  </si>
  <si>
    <t>P26700327</t>
  </si>
  <si>
    <t>P26700327@student.nicmar.ac.in</t>
  </si>
  <si>
    <t>P26700328</t>
  </si>
  <si>
    <t>P26700328@student.nicmar.ac.in</t>
  </si>
  <si>
    <t>P26700329</t>
  </si>
  <si>
    <t>P26700329@student.nicmar.ac.in</t>
  </si>
  <si>
    <t>P26700330</t>
  </si>
  <si>
    <t>P26700330@student.nicmar.ac.in</t>
  </si>
  <si>
    <t>P26700331</t>
  </si>
  <si>
    <t>P26700331@student.nicmar.ac.in</t>
  </si>
  <si>
    <t>P26700332</t>
  </si>
  <si>
    <t>P26700332@student.nicmar.ac.in</t>
  </si>
  <si>
    <t>P26700333</t>
  </si>
  <si>
    <t>P26700333@student.nicmar.ac.in</t>
  </si>
  <si>
    <t>P26700334</t>
  </si>
  <si>
    <t>P26700334@student.nicmar.ac.in</t>
  </si>
  <si>
    <t>P26700335</t>
  </si>
  <si>
    <t>P26700335@student.nicmar.ac.in</t>
  </si>
  <si>
    <t>P26700336</t>
  </si>
  <si>
    <t>P26700336@student.nicmar.ac.in</t>
  </si>
  <si>
    <t>P26700337</t>
  </si>
  <si>
    <t>P26700337@student.nicmar.ac.in</t>
  </si>
  <si>
    <t>P26700338</t>
  </si>
  <si>
    <t>P26700338@student.nicmar.ac.in</t>
  </si>
  <si>
    <t>P26700339</t>
  </si>
  <si>
    <t>P26700339@student.nicmar.ac.in</t>
  </si>
  <si>
    <t>P26700340</t>
  </si>
  <si>
    <t>P26700340@student.nicmar.ac.in</t>
  </si>
  <si>
    <t>P26700341</t>
  </si>
  <si>
    <t>P26700341@student.nicmar.ac.in</t>
  </si>
  <si>
    <t>P26700342</t>
  </si>
  <si>
    <t>P26700342@student.nicmar.ac.in</t>
  </si>
  <si>
    <t>P26700343</t>
  </si>
  <si>
    <t>P26700343@student.nicmar.ac.in</t>
  </si>
  <si>
    <t>P26700344</t>
  </si>
  <si>
    <t>P26700344@student.nicmar.ac.in</t>
  </si>
  <si>
    <t>P26700345</t>
  </si>
  <si>
    <t>P26700345@student.nicmar.ac.in</t>
  </si>
  <si>
    <t>P26700346</t>
  </si>
  <si>
    <t>P26700346@student.nicmar.ac.in</t>
  </si>
  <si>
    <t>P26700347</t>
  </si>
  <si>
    <t>P26700347@student.nicmar.ac.in</t>
  </si>
  <si>
    <t>P26700348</t>
  </si>
  <si>
    <t>Tejas</t>
  </si>
  <si>
    <t>Jaiwant</t>
  </si>
  <si>
    <t>Tejas Jaiwant</t>
  </si>
  <si>
    <t>P26700348@student.nicmar.ac.in</t>
  </si>
  <si>
    <t>English,Hindi,Malyalam</t>
  </si>
  <si>
    <t>Art and Animation</t>
  </si>
  <si>
    <t>Kunnanath Mooliyil Jaiwant</t>
  </si>
  <si>
    <t>Bindu Jaiwant</t>
  </si>
  <si>
    <t>Plot No. 154, 1st stage, Rani Chennamma Nagar, Belagavi, Karnataka - 590006</t>
  </si>
  <si>
    <t>Silver Jubliee Hostel, NICMAR University, Balewadi, Pune, Maharashtra - 411045</t>
  </si>
  <si>
    <t>P26700349</t>
  </si>
  <si>
    <t>P26700349@student.nicmar.ac.in</t>
  </si>
  <si>
    <t>P26700350</t>
  </si>
  <si>
    <t>P26700350@student.nicmar.ac.in</t>
  </si>
  <si>
    <t>P26700351</t>
  </si>
  <si>
    <t>P26700351@student.nicmar.ac.in</t>
  </si>
  <si>
    <t>P26700352</t>
  </si>
  <si>
    <t>P26700352@student.nicmar.ac.in</t>
  </si>
  <si>
    <t>P26700353</t>
  </si>
  <si>
    <t>P26700353@student.nicmar.ac.in</t>
  </si>
  <si>
    <t>P26700354</t>
  </si>
  <si>
    <t>P26700354@student.nicmar.ac.in</t>
  </si>
  <si>
    <t>P26700355</t>
  </si>
  <si>
    <t>P26700355@student.nicmar.ac.in</t>
  </si>
  <si>
    <t>P26700356</t>
  </si>
  <si>
    <t>Kurupudi</t>
  </si>
  <si>
    <t>Dinesh</t>
  </si>
  <si>
    <t>Kurupudi Dinesh</t>
  </si>
  <si>
    <t>P26700356@student.nicmar.ac.in</t>
  </si>
  <si>
    <t>15-May-2004</t>
  </si>
  <si>
    <t>English,Telugu ,Hindi</t>
  </si>
  <si>
    <t>Playing Cricket,movies</t>
  </si>
  <si>
    <t>Kurupudi Raju Babu</t>
  </si>
  <si>
    <t>Daily Wages Worker</t>
  </si>
  <si>
    <t>Kurupudi Ganga Bhavani</t>
  </si>
  <si>
    <t>4-93, Pothuraju peta, Pedapudi Mandalam, Gandredu Village, 533344</t>
  </si>
  <si>
    <t xml:space="preserve">Kakinada </t>
  </si>
  <si>
    <t>Aditya(EM) HS, G. Mamidada, East Godavari District</t>
  </si>
  <si>
    <t>Board of Secondary Education, Andhra Pradesh, Amaravati</t>
  </si>
  <si>
    <t>Sri Gayatri Womens Degree College, Chandramampalli (V), Peddapuram (M), Kakinada District</t>
  </si>
  <si>
    <t>Andhra Pradesh Open School Society, Amaravati</t>
  </si>
  <si>
    <t>Diploma in Civil Engineering</t>
  </si>
  <si>
    <t>Govt. Polytechnic, Vijayawada, Andhra Pradesh</t>
  </si>
  <si>
    <t>Jawaharlal Nehru Technological University, Kakinada</t>
  </si>
  <si>
    <t>Prasad V. Potluri Siddhartha Institute of Technology, Vijayawada</t>
  </si>
  <si>
    <t>2026-Apr</t>
  </si>
  <si>
    <t>AutoCAD,REVIT,STAADPRO,ETABS,PRIMAVERA,Concrete Mix Design</t>
  </si>
  <si>
    <t>P26700357</t>
  </si>
  <si>
    <t>P26700357@student.nicmar.ac.in</t>
  </si>
  <si>
    <t>P26700358</t>
  </si>
  <si>
    <t>P26700358@student.nicmar.ac.in</t>
  </si>
  <si>
    <t>P26700359</t>
  </si>
  <si>
    <t>P26700359@student.nicmar.ac.in</t>
  </si>
  <si>
    <t>P26700360</t>
  </si>
  <si>
    <t>P26700360@student.nicmar.ac.in</t>
  </si>
  <si>
    <t>P26700361</t>
  </si>
  <si>
    <t>P26700361@student.nicmar.ac.in</t>
  </si>
  <si>
    <t>P26700362</t>
  </si>
  <si>
    <t>P26700362@student.nicmar.ac.in</t>
  </si>
  <si>
    <t>P26700363</t>
  </si>
  <si>
    <t>P26700363@student.nicmar.ac.in</t>
  </si>
  <si>
    <t>P26700364</t>
  </si>
  <si>
    <t>P26700364@student.nicmar.ac.in</t>
  </si>
  <si>
    <t>P26700365</t>
  </si>
  <si>
    <t>P26700365@student.nicmar.ac.in</t>
  </si>
  <si>
    <t>P26700366</t>
  </si>
  <si>
    <t>P26700366@student.nicmar.ac.in</t>
  </si>
  <si>
    <t>P26700367</t>
  </si>
  <si>
    <t>P26700367@student.nicmar.ac.in</t>
  </si>
  <si>
    <t>P26700368</t>
  </si>
  <si>
    <t>P26700368@student.nicmar.ac.in</t>
  </si>
  <si>
    <t>P26700369</t>
  </si>
  <si>
    <t>P26700369@student.nicmar.ac.in</t>
  </si>
  <si>
    <t>P26700370</t>
  </si>
  <si>
    <t>P26700370@student.nicmar.ac.in</t>
  </si>
  <si>
    <t>P26700371</t>
  </si>
  <si>
    <t>P26700371@student.nicmar.ac.in</t>
  </si>
  <si>
    <t>P26700372</t>
  </si>
  <si>
    <t>P26700372@student.nicmar.ac.in</t>
  </si>
  <si>
    <t>P26700373</t>
  </si>
  <si>
    <t>P26700373@student.nicmar.ac.in</t>
  </si>
  <si>
    <t>P26700374</t>
  </si>
  <si>
    <t>P26700374@student.nicmar.ac.in</t>
  </si>
  <si>
    <t>P26700375</t>
  </si>
  <si>
    <t>P26700375@student.nicmar.ac.in</t>
  </si>
  <si>
    <t>P26700376</t>
  </si>
  <si>
    <t>P26700376@student.nicmar.ac.in</t>
  </si>
  <si>
    <t>P26700377</t>
  </si>
  <si>
    <t>P26700377@student.nicmar.ac.in</t>
  </si>
  <si>
    <t>P26700378</t>
  </si>
  <si>
    <t>P26700378@student.nicmar.ac.in</t>
  </si>
  <si>
    <t>P26700379</t>
  </si>
  <si>
    <t>P26700379@student.nicmar.ac.in</t>
  </si>
  <si>
    <t>P26700380</t>
  </si>
  <si>
    <t>P26700380@student.nicmar.ac.in</t>
  </si>
  <si>
    <t>P26700381</t>
  </si>
  <si>
    <t>P26700381@student.nicmar.ac.in</t>
  </si>
  <si>
    <t>P26700382</t>
  </si>
  <si>
    <t>P26700382@student.nicmar.ac.in</t>
  </si>
  <si>
    <t>P26700383</t>
  </si>
  <si>
    <t>P26700383@student.nicmar.ac.in</t>
  </si>
  <si>
    <t>P26700384</t>
  </si>
  <si>
    <t>P26700384@student.nicmar.ac.in</t>
  </si>
  <si>
    <t>P26700385</t>
  </si>
  <si>
    <t>P26700385@student.nicmar.ac.in</t>
  </si>
  <si>
    <t>P26700386</t>
  </si>
  <si>
    <t>P26700386@student.nicmar.ac.in</t>
  </si>
  <si>
    <t>P26700387</t>
  </si>
  <si>
    <t>P26700387@student.nicmar.ac.in</t>
  </si>
  <si>
    <t>P26700388</t>
  </si>
  <si>
    <t>P26700388@student.nicmar.ac.in</t>
  </si>
  <si>
    <t>P26700389</t>
  </si>
  <si>
    <t>P26700389@student.nicmar.ac.in</t>
  </si>
  <si>
    <t>P26700390</t>
  </si>
  <si>
    <t>P26700390@student.nicmar.ac.in</t>
  </si>
  <si>
    <t>P26700391</t>
  </si>
  <si>
    <t>P26700391@student.nicmar.ac.in</t>
  </si>
  <si>
    <t>P26700392</t>
  </si>
  <si>
    <t>P26700392@student.nicmar.ac.in</t>
  </si>
  <si>
    <t>P26700393</t>
  </si>
  <si>
    <t>P26700393@student.nicmar.ac.in</t>
  </si>
  <si>
    <t>P26700394</t>
  </si>
  <si>
    <t>P26700394@student.nicmar.ac.in</t>
  </si>
  <si>
    <t>P26700395</t>
  </si>
  <si>
    <t>P26700395@student.nicmar.ac.in</t>
  </si>
  <si>
    <t>P26700396</t>
  </si>
  <si>
    <t>P26700396@student.nicmar.ac.in</t>
  </si>
  <si>
    <t>P26700397</t>
  </si>
  <si>
    <t>P26700397@student.nicmar.ac.in</t>
  </si>
  <si>
    <t>P26700398</t>
  </si>
  <si>
    <t>P26700398@student.nicmar.ac.in</t>
  </si>
  <si>
    <t>P26700399</t>
  </si>
  <si>
    <t>P26700399@student.nicmar.ac.in</t>
  </si>
  <si>
    <t>P26700400</t>
  </si>
  <si>
    <t>P26700400@student.nicmar.ac.in</t>
  </si>
  <si>
    <t>P26700401</t>
  </si>
  <si>
    <t>P26700401@student.nicmar.ac.in</t>
  </si>
  <si>
    <t>P26700402</t>
  </si>
  <si>
    <t>P26700402@student.nicmar.ac.in</t>
  </si>
  <si>
    <t>P26700403</t>
  </si>
  <si>
    <t>P26700403@student.nicmar.ac.in</t>
  </si>
  <si>
    <t>P26700404</t>
  </si>
  <si>
    <t>P26700404@student.nicmar.ac.in</t>
  </si>
  <si>
    <t>P26700405</t>
  </si>
  <si>
    <t>P26700405@student.nicmar.ac.in</t>
  </si>
  <si>
    <t>P26700406</t>
  </si>
  <si>
    <t>P26700406@student.nicmar.ac.in</t>
  </si>
  <si>
    <t>P26700407</t>
  </si>
  <si>
    <t>P26700407@student.nicmar.ac.in</t>
  </si>
  <si>
    <t>P26700408</t>
  </si>
  <si>
    <t>P26700408@student.nicmar.ac.in</t>
  </si>
  <si>
    <t>P26700409</t>
  </si>
  <si>
    <t>P26700409@student.nicmar.ac.in</t>
  </si>
  <si>
    <t>P26700410</t>
  </si>
  <si>
    <t>P26700410@student.nicmar.ac.in</t>
  </si>
  <si>
    <t>P26700411</t>
  </si>
  <si>
    <t>P26700411@student.nicmar.ac.in</t>
  </si>
  <si>
    <t>P26700412</t>
  </si>
  <si>
    <t>P26700412@student.nicmar.ac.in</t>
  </si>
  <si>
    <t>P26700413</t>
  </si>
  <si>
    <t>P26700413@student.nicmar.ac.in</t>
  </si>
  <si>
    <t>P26700414</t>
  </si>
  <si>
    <t>P26700414@student.nicmar.ac.in</t>
  </si>
  <si>
    <t>P26700415</t>
  </si>
  <si>
    <t>P26700415@student.nicmar.ac.in</t>
  </si>
  <si>
    <t>P26700416</t>
  </si>
  <si>
    <t>P26700416@student.nicmar.ac.in</t>
  </si>
  <si>
    <t>P26700417</t>
  </si>
  <si>
    <t>P26700417@student.nicmar.ac.in</t>
  </si>
  <si>
    <t>P26700418</t>
  </si>
  <si>
    <t>P26700418@student.nicmar.ac.in</t>
  </si>
  <si>
    <t>P26700419</t>
  </si>
  <si>
    <t>P26700419@student.nicmar.ac.in</t>
  </si>
  <si>
    <t>P26700420</t>
  </si>
  <si>
    <t>P26700420@student.nicmar.ac.in</t>
  </si>
  <si>
    <t>P26700421</t>
  </si>
  <si>
    <t>P26700421@student.nicmar.ac.in</t>
  </si>
  <si>
    <t>P26700422</t>
  </si>
  <si>
    <t>P26700422@student.nicmar.ac.in</t>
  </si>
  <si>
    <t>P26700423</t>
  </si>
  <si>
    <t>P26700423@student.nicmar.ac.in</t>
  </si>
  <si>
    <t>P26700424</t>
  </si>
  <si>
    <t>P26700424@student.nicmar.ac.in</t>
  </si>
  <si>
    <t>P26700425</t>
  </si>
  <si>
    <t>P26700425@student.nicmar.ac.in</t>
  </si>
  <si>
    <t>P26700426</t>
  </si>
  <si>
    <t>P26700426@student.nicmar.ac.in</t>
  </si>
  <si>
    <t>P26700427</t>
  </si>
  <si>
    <t>P26700427@student.nicmar.ac.in</t>
  </si>
  <si>
    <t>P26700428</t>
  </si>
  <si>
    <t>P26700428@student.nicmar.ac.in</t>
  </si>
  <si>
    <t>P26700429</t>
  </si>
  <si>
    <t>P26700429@student.nicmar.ac.in</t>
  </si>
  <si>
    <t>P26700430</t>
  </si>
  <si>
    <t>P26700430@student.nicmar.ac.in</t>
  </si>
  <si>
    <t>P26700431</t>
  </si>
  <si>
    <t>P26700431@student.nicmar.ac.in</t>
  </si>
  <si>
    <t>P26700432</t>
  </si>
  <si>
    <t>P26700432@student.nicmar.ac.in</t>
  </si>
  <si>
    <t>P26700433</t>
  </si>
  <si>
    <t>P26700433@student.nicmar.ac.in</t>
  </si>
  <si>
    <t>P26700434</t>
  </si>
  <si>
    <t>P26700434@student.nicmar.ac.in</t>
  </si>
  <si>
    <t>P26700435</t>
  </si>
  <si>
    <t>P26700435@student.nicmar.ac.in</t>
  </si>
  <si>
    <t>P26700436</t>
  </si>
  <si>
    <t>P26700436@student.nicmar.ac.in</t>
  </si>
  <si>
    <t>P26700437</t>
  </si>
  <si>
    <t>P26700437@student.nicmar.ac.in</t>
  </si>
  <si>
    <t>P26700438</t>
  </si>
  <si>
    <t>P26700438@student.nicmar.ac.in</t>
  </si>
  <si>
    <t>P26700439</t>
  </si>
  <si>
    <t>P26700439@student.nicmar.ac.in</t>
  </si>
  <si>
    <t>P26700440</t>
  </si>
  <si>
    <t>P26700440@student.nicmar.ac.in</t>
  </si>
  <si>
    <t>P26700441</t>
  </si>
  <si>
    <t>P26700441@student.nicmar.ac.in</t>
  </si>
  <si>
    <t>P26700442</t>
  </si>
  <si>
    <t>P26700442@student.nicmar.ac.in</t>
  </si>
  <si>
    <t>P26700443</t>
  </si>
  <si>
    <t>P26700443@student.nicmar.ac.in</t>
  </si>
  <si>
    <t>P26700444</t>
  </si>
  <si>
    <t>P26700444@student.nicmar.ac.in</t>
  </si>
  <si>
    <t>P26700445</t>
  </si>
  <si>
    <t>P26700445@student.nicmar.ac.in</t>
  </si>
  <si>
    <t>P26700446</t>
  </si>
  <si>
    <t>P26700446@student.nicmar.ac.in</t>
  </si>
  <si>
    <t>P26700447</t>
  </si>
  <si>
    <t>P26700447@student.nicmar.ac.in</t>
  </si>
  <si>
    <t>P26700448</t>
  </si>
  <si>
    <t>P26700448@student.nicmar.ac.in</t>
  </si>
  <si>
    <t>P26700449</t>
  </si>
  <si>
    <t>P26700449@student.nicmar.ac.in</t>
  </si>
  <si>
    <t>P26700450</t>
  </si>
  <si>
    <t>P26700450@student.nicmar.ac.in</t>
  </si>
  <si>
    <t>P26700451</t>
  </si>
  <si>
    <t>P26700451@student.nicmar.ac.in</t>
  </si>
  <si>
    <t>P26700452</t>
  </si>
  <si>
    <t>P26700452@student.nicmar.ac.in</t>
  </si>
  <si>
    <t>P26700453</t>
  </si>
  <si>
    <t>P26700453@student.nicmar.ac.in</t>
  </si>
  <si>
    <t>P26700454</t>
  </si>
  <si>
    <t>P26700454@student.nicmar.ac.in</t>
  </si>
  <si>
    <t>P26700455</t>
  </si>
  <si>
    <t>P26700455@student.nicmar.ac.in</t>
  </si>
  <si>
    <t>P26700456</t>
  </si>
  <si>
    <t>P26700456@student.nicmar.ac.in</t>
  </si>
  <si>
    <t>P26700457</t>
  </si>
  <si>
    <t>P26700457@student.nicmar.ac.in</t>
  </si>
  <si>
    <t>P26700458</t>
  </si>
  <si>
    <t>P26700458@student.nicmar.ac.in</t>
  </si>
  <si>
    <t>P26700459</t>
  </si>
  <si>
    <t>P26700459@student.nicmar.ac.in</t>
  </si>
  <si>
    <t>P26700460</t>
  </si>
  <si>
    <t>P26700460@student.nicmar.ac.in</t>
  </si>
  <si>
    <t>P26700461</t>
  </si>
  <si>
    <t>P26700461@student.nicmar.ac.in</t>
  </si>
  <si>
    <t>P26700462</t>
  </si>
  <si>
    <t>P26700462@student.nicmar.ac.in</t>
  </si>
  <si>
    <t>P26700463</t>
  </si>
  <si>
    <t>P26700463@student.nicmar.ac.in</t>
  </si>
  <si>
    <t>P26700464</t>
  </si>
  <si>
    <t>P26700464@student.nicmar.ac.in</t>
  </si>
  <si>
    <t>P26700465</t>
  </si>
  <si>
    <t>P26700465@student.nicmar.ac.in</t>
  </si>
  <si>
    <t>P26700466</t>
  </si>
  <si>
    <t>P26700466@student.nicmar.ac.in</t>
  </si>
  <si>
    <t>P26700467</t>
  </si>
  <si>
    <t>P26700467@student.nicmar.ac.in</t>
  </si>
  <si>
    <t>P26700468</t>
  </si>
  <si>
    <t>P26700468@student.nicmar.ac.in</t>
  </si>
  <si>
    <t>P26700469</t>
  </si>
  <si>
    <t>P26700469@student.nicmar.ac.in</t>
  </si>
  <si>
    <t>P26700470</t>
  </si>
  <si>
    <t>P26700470@student.nicmar.ac.in</t>
  </si>
  <si>
    <t>P26700471</t>
  </si>
  <si>
    <t>P26700471@student.nicmar.ac.in</t>
  </si>
  <si>
    <t>P26700472</t>
  </si>
  <si>
    <t>P26700472@student.nicmar.ac.in</t>
  </si>
  <si>
    <t>P26700473</t>
  </si>
  <si>
    <t>P26700473@student.nicmar.ac.in</t>
  </si>
  <si>
    <t>P26700474</t>
  </si>
  <si>
    <t>P26700474@student.nicmar.ac.in</t>
  </si>
  <si>
    <t>P26700475</t>
  </si>
  <si>
    <t>P26700475@student.nicmar.ac.in</t>
  </si>
  <si>
    <t>P26700476</t>
  </si>
  <si>
    <t>P26700476@student.nicmar.ac.in</t>
  </si>
  <si>
    <t>P26700477</t>
  </si>
  <si>
    <t>P26700477@student.nicmar.ac.in</t>
  </si>
  <si>
    <t>P26700478</t>
  </si>
  <si>
    <t>P26700478@student.nicmar.ac.in</t>
  </si>
  <si>
    <t>P26700479</t>
  </si>
  <si>
    <t>P26700479@student.nicmar.ac.in</t>
  </si>
  <si>
    <t>P26700480</t>
  </si>
  <si>
    <t>P26700480@student.nicmar.ac.in</t>
  </si>
  <si>
    <t>P26700481</t>
  </si>
  <si>
    <t>P26700481@student.nicmar.ac.in</t>
  </si>
  <si>
    <t>P26700482</t>
  </si>
  <si>
    <t>P26700482@student.nicmar.ac.in</t>
  </si>
  <si>
    <t>P26700483</t>
  </si>
  <si>
    <t>P26700483@student.nicmar.ac.in</t>
  </si>
  <si>
    <t>P26700484</t>
  </si>
  <si>
    <t>P26700484@student.nicmar.ac.in</t>
  </si>
  <si>
    <t>P26700485</t>
  </si>
  <si>
    <t>P26700485@student.nicmar.ac.in</t>
  </si>
  <si>
    <t>P26700486</t>
  </si>
  <si>
    <t>P26700486@student.nicmar.ac.in</t>
  </si>
  <si>
    <t>P26700487</t>
  </si>
  <si>
    <t>P26700487@student.nicmar.ac.in</t>
  </si>
  <si>
    <t>P26700488</t>
  </si>
  <si>
    <t>Shriraj</t>
  </si>
  <si>
    <t>Sangram</t>
  </si>
  <si>
    <t>Dangat</t>
  </si>
  <si>
    <t>Shriraj Sangram Dangat</t>
  </si>
  <si>
    <t>shrirajdangat60@gmail.com</t>
  </si>
  <si>
    <t>P26700488@student.nicmar.ac.in</t>
  </si>
  <si>
    <t>02-Feb-2001</t>
  </si>
  <si>
    <t xml:space="preserve">English, Hindi, Marathi </t>
  </si>
  <si>
    <t>Music,Fitness,Travel</t>
  </si>
  <si>
    <t>Sangram Tukaram Dangat</t>
  </si>
  <si>
    <t>Gauri Sangram Dangat</t>
  </si>
  <si>
    <t>Housewife</t>
  </si>
  <si>
    <t>S/50 Renuka Nagari, Shankar Smruti, 3rd Floor, Near kirti Nagar, Wadgaon Budruk, Sinhgad road, Pune</t>
  </si>
  <si>
    <t>P26700489</t>
  </si>
  <si>
    <t>P26700489@student.nicmar.ac.in</t>
  </si>
  <si>
    <t>P26700490</t>
  </si>
  <si>
    <t>P26700490@student.nicmar.ac.in</t>
  </si>
  <si>
    <t>P26700491</t>
  </si>
  <si>
    <t>P26700491@student.nicmar.ac.in</t>
  </si>
  <si>
    <t>P26700492</t>
  </si>
  <si>
    <t>P26700492@student.nicmar.ac.in</t>
  </si>
  <si>
    <t>P26700493</t>
  </si>
  <si>
    <t>P26700493@student.nicmar.ac.in</t>
  </si>
  <si>
    <t>P26700494</t>
  </si>
  <si>
    <t>P26700494@student.nicmar.ac.in</t>
  </si>
  <si>
    <t>P26700495</t>
  </si>
  <si>
    <t>P26700495@student.nicmar.ac.in</t>
  </si>
  <si>
    <t>P26700496</t>
  </si>
  <si>
    <t>P26700496@student.nicmar.ac.in</t>
  </si>
  <si>
    <t>P26700497</t>
  </si>
  <si>
    <t>P26700497@student.nicmar.ac.in</t>
  </si>
  <si>
    <t>P26700498</t>
  </si>
  <si>
    <t>P26700498@student.nicmar.ac.in</t>
  </si>
  <si>
    <t>P26700499</t>
  </si>
  <si>
    <t>P26700499@student.nicmar.ac.in</t>
  </si>
  <si>
    <t>P26700500</t>
  </si>
  <si>
    <t>P26700500@student.nicmar.ac.in</t>
  </si>
  <si>
    <t>P26700501</t>
  </si>
  <si>
    <t>P26700501@student.nicmar.ac.in</t>
  </si>
  <si>
    <t>P26700502</t>
  </si>
  <si>
    <t>P26700502@student.nicmar.ac.in</t>
  </si>
  <si>
    <t>P26700503</t>
  </si>
  <si>
    <t>P26700503@student.nicmar.ac.in</t>
  </si>
  <si>
    <t>P26700504</t>
  </si>
  <si>
    <t>P26700504@student.nicmar.ac.in</t>
  </si>
  <si>
    <t>P26700505</t>
  </si>
  <si>
    <t>P26700505@student.nicmar.ac.in</t>
  </si>
  <si>
    <t>P26700506</t>
  </si>
  <si>
    <t>P26700506@student.nicmar.ac.in</t>
  </si>
  <si>
    <t>P26700507</t>
  </si>
  <si>
    <t>P26700507@student.nicmar.ac.in</t>
  </si>
  <si>
    <t>P26700508</t>
  </si>
  <si>
    <t>P26700508@student.nicmar.ac.in</t>
  </si>
  <si>
    <t>P26700509</t>
  </si>
  <si>
    <t>P26700509@student.nicmar.ac.in</t>
  </si>
  <si>
    <t>P26700510</t>
  </si>
  <si>
    <t>P26700510@student.nicmar.ac.in</t>
  </si>
  <si>
    <t>P26700511</t>
  </si>
  <si>
    <t>P26700511@student.nicmar.ac.in</t>
  </si>
  <si>
    <t>P26700512</t>
  </si>
  <si>
    <t>P26700512@student.nicmar.ac.in</t>
  </si>
  <si>
    <t>P26700513</t>
  </si>
  <si>
    <t>P26700513@student.nicmar.ac.in</t>
  </si>
  <si>
    <t>P26700514</t>
  </si>
  <si>
    <t>P26700514@student.nicmar.ac.in</t>
  </si>
  <si>
    <t>P26700515</t>
  </si>
  <si>
    <t>P26700515@student.nicmar.ac.in</t>
  </si>
  <si>
    <t>P26700516</t>
  </si>
  <si>
    <t>P26700516@student.nicmar.ac.in</t>
  </si>
  <si>
    <t>P26700517</t>
  </si>
  <si>
    <t>P26700517@student.nicmar.ac.in</t>
  </si>
  <si>
    <t>P26700518</t>
  </si>
  <si>
    <t>P26700518@student.nicmar.ac.in</t>
  </si>
  <si>
    <t>P26700519</t>
  </si>
  <si>
    <t>P26700519@student.nicmar.ac.in</t>
  </si>
  <si>
    <t>P26700520</t>
  </si>
  <si>
    <t>P26700520@student.nicmar.ac.in</t>
  </si>
  <si>
    <t>P26700521</t>
  </si>
  <si>
    <t>P26700521@student.nicmar.ac.in</t>
  </si>
  <si>
    <t>P26700522</t>
  </si>
  <si>
    <t>P26700522@student.nicmar.ac.in</t>
  </si>
  <si>
    <t>P26700523</t>
  </si>
  <si>
    <t>P26700523@student.nicmar.ac.in</t>
  </si>
  <si>
    <t>P26700524</t>
  </si>
  <si>
    <t>P26700524@student.nicmar.ac.in</t>
  </si>
  <si>
    <t>P26700525</t>
  </si>
  <si>
    <t>P26700525@student.nicmar.ac.in</t>
  </si>
  <si>
    <t>P26700526</t>
  </si>
  <si>
    <t>P26700526@student.nicmar.ac.in</t>
  </si>
  <si>
    <t>P26700527</t>
  </si>
  <si>
    <t>P26700527@student.nicmar.ac.in</t>
  </si>
  <si>
    <t>P26700528</t>
  </si>
  <si>
    <t>P26700528@student.nicmar.ac.in</t>
  </si>
  <si>
    <t>P26700529</t>
  </si>
  <si>
    <t>P26700529@student.nicmar.ac.in</t>
  </si>
  <si>
    <t>P26700530</t>
  </si>
  <si>
    <t>P26700530@student.nicmar.ac.in</t>
  </si>
  <si>
    <t>P26700531</t>
  </si>
  <si>
    <t>P26700531@student.nicmar.ac.in</t>
  </si>
  <si>
    <t>P26700532</t>
  </si>
  <si>
    <t>P26700532@student.nicmar.ac.in</t>
  </si>
  <si>
    <t>P26700533</t>
  </si>
  <si>
    <t>P26700533@student.nicmar.ac.in</t>
  </si>
  <si>
    <t>P26700534</t>
  </si>
  <si>
    <t>P26700534@student.nicmar.ac.in</t>
  </si>
  <si>
    <t>P26700535</t>
  </si>
  <si>
    <t>P26700535@student.nicmar.ac.in</t>
  </si>
  <si>
    <t>P26700536</t>
  </si>
  <si>
    <t>P26700536@student.nicmar.ac.in</t>
  </si>
  <si>
    <t>P26700537</t>
  </si>
  <si>
    <t>P26700537@student.nicmar.ac.in</t>
  </si>
  <si>
    <t>P26700538</t>
  </si>
  <si>
    <t>P26700538@student.nicmar.ac.in</t>
  </si>
  <si>
    <t>P26700539</t>
  </si>
  <si>
    <t>P26700539@student.nicmar.ac.in</t>
  </si>
  <si>
    <t>P26700540</t>
  </si>
  <si>
    <t>P26700540@student.nicmar.ac.in</t>
  </si>
  <si>
    <t>P26700541</t>
  </si>
  <si>
    <t>P26700541@student.nicmar.ac.in</t>
  </si>
  <si>
    <t>P26700542</t>
  </si>
  <si>
    <t>P26700542@student.nicmar.ac.in</t>
  </si>
  <si>
    <t>P26700543</t>
  </si>
  <si>
    <t>P26700543@student.nicmar.ac.in</t>
  </si>
  <si>
    <t>P26700544</t>
  </si>
  <si>
    <t>P26700544@student.nicmar.ac.in</t>
  </si>
  <si>
    <t>P26700545</t>
  </si>
  <si>
    <t>P26700545@student.nicmar.ac.in</t>
  </si>
  <si>
    <t>P26700546</t>
  </si>
  <si>
    <t>P26700546@student.nicmar.ac.in</t>
  </si>
  <si>
    <t>P26700547</t>
  </si>
  <si>
    <t>P26700547@student.nicmar.ac.in</t>
  </si>
  <si>
    <t>P26700548</t>
  </si>
  <si>
    <t>P26700548@student.nicmar.ac.in</t>
  </si>
  <si>
    <t>P26700549</t>
  </si>
  <si>
    <t>P26700549@student.nicmar.ac.in</t>
  </si>
  <si>
    <t>P26700550</t>
  </si>
  <si>
    <t>P26700550@student.nicmar.ac.in</t>
  </si>
  <si>
    <t>P26700551</t>
  </si>
  <si>
    <t>P26700551@student.nicmar.ac.in</t>
  </si>
  <si>
    <t>P26700552</t>
  </si>
  <si>
    <t>P26700552@student.nicmar.ac.in</t>
  </si>
  <si>
    <t>P26700553</t>
  </si>
  <si>
    <t>P26700553@student.nicmar.ac.in</t>
  </si>
  <si>
    <t>P26700554</t>
  </si>
  <si>
    <t>P26700554@student.nicmar.ac.in</t>
  </si>
  <si>
    <t>P26700555</t>
  </si>
  <si>
    <t>P26700555@student.nicmar.ac.in</t>
  </si>
  <si>
    <t>P26700556</t>
  </si>
  <si>
    <t>P26700556@student.nicmar.ac.in</t>
  </si>
  <si>
    <t>P26700557</t>
  </si>
  <si>
    <t>P26700557@student.nicmar.ac.in</t>
  </si>
  <si>
    <t>P26700558</t>
  </si>
  <si>
    <t>P26700558@student.nicmar.ac.in</t>
  </si>
  <si>
    <t>P26700559</t>
  </si>
  <si>
    <t>P26700559@student.nicmar.ac.in</t>
  </si>
  <si>
    <t>P26700560</t>
  </si>
  <si>
    <t>P26700560@student.nicmar.ac.in</t>
  </si>
  <si>
    <t>P26700561</t>
  </si>
  <si>
    <t>P26700561@student.nicmar.ac.in</t>
  </si>
  <si>
    <t>P26700562</t>
  </si>
  <si>
    <t>P26700562@student.nicmar.ac.in</t>
  </si>
  <si>
    <t>P26700564</t>
  </si>
  <si>
    <t>P26700564@student.nicmar.ac.in</t>
  </si>
  <si>
    <t>P26700565</t>
  </si>
  <si>
    <t>P26700565@student.nicmar.ac.in</t>
  </si>
  <si>
    <t>P26700566</t>
  </si>
  <si>
    <t>P26700566@student.nicmar.ac.in</t>
  </si>
  <si>
    <t>P26700567</t>
  </si>
  <si>
    <t>P26700567@student.nicmar.ac.in</t>
  </si>
  <si>
    <t>P26700568</t>
  </si>
  <si>
    <t>P26700568@student.nicmar.ac.in</t>
  </si>
  <si>
    <t>P26700569</t>
  </si>
  <si>
    <t>P26700569@student.nicmar.ac.in</t>
  </si>
  <si>
    <t>P26700570</t>
  </si>
  <si>
    <t>P26700570@student.nicmar.ac.in</t>
  </si>
  <si>
    <t>P26700571</t>
  </si>
  <si>
    <t>P26700571@student.nicmar.ac.in</t>
  </si>
  <si>
    <t>P26700572</t>
  </si>
  <si>
    <t>P26700572@student.nicmar.ac.in</t>
  </si>
  <si>
    <t>P26700573</t>
  </si>
  <si>
    <t>P26700573@student.nicmar.ac.in</t>
  </si>
  <si>
    <t>P26700574</t>
  </si>
  <si>
    <t>P26700574@student.nicmar.ac.in</t>
  </si>
  <si>
    <t>P26700575</t>
  </si>
  <si>
    <t>P26700575@student.nicmar.ac.in</t>
  </si>
  <si>
    <t>P26700576</t>
  </si>
  <si>
    <t>P26700576@student.nicmar.ac.in</t>
  </si>
  <si>
    <t>P26700577</t>
  </si>
  <si>
    <t>P26700577@student.nicmar.ac.in</t>
  </si>
  <si>
    <t>P26700578</t>
  </si>
  <si>
    <t>P26700578@student.nicmar.ac.in</t>
  </si>
  <si>
    <t>P26700579</t>
  </si>
  <si>
    <t>P26700579@student.nicmar.ac.in</t>
  </si>
  <si>
    <t>P26700580</t>
  </si>
  <si>
    <t>P26700580@student.nicmar.ac.in</t>
  </si>
  <si>
    <t>P26700581</t>
  </si>
  <si>
    <t>P26700581@student.nicmar.ac.in</t>
  </si>
  <si>
    <t>P26700582</t>
  </si>
  <si>
    <t>P26700582@student.nicmar.ac.in</t>
  </si>
  <si>
    <t>P26700583</t>
  </si>
  <si>
    <t>P26700583@student.nicmar.ac.in</t>
  </si>
  <si>
    <t>P26700584</t>
  </si>
  <si>
    <t>P26700584@student.nicmar.ac.in</t>
  </si>
  <si>
    <t>P26700585</t>
  </si>
  <si>
    <t>P26700585@student.nicmar.ac.in</t>
  </si>
  <si>
    <t>P26700586</t>
  </si>
  <si>
    <t>P26700586@student.nicmar.ac.in</t>
  </si>
  <si>
    <t>P26700587</t>
  </si>
  <si>
    <t>P26700587@student.nicmar.ac.in</t>
  </si>
  <si>
    <t>P26700588</t>
  </si>
  <si>
    <t>P26700588@student.nicmar.ac.in</t>
  </si>
  <si>
    <t>P26700589</t>
  </si>
  <si>
    <t>P26700589@student.nicmar.ac.in</t>
  </si>
  <si>
    <t>P26700590</t>
  </si>
  <si>
    <t>P26700590@student.nicmar.ac.in</t>
  </si>
  <si>
    <t>P26700591</t>
  </si>
  <si>
    <t>P26700591@student.nicmar.ac.in</t>
  </si>
  <si>
    <t>P26700592</t>
  </si>
  <si>
    <t>P26700592@student.nicmar.ac.in</t>
  </si>
  <si>
    <t>P26700593</t>
  </si>
  <si>
    <t>P26700593@student.nicmar.ac.in</t>
  </si>
  <si>
    <t>P26700594</t>
  </si>
  <si>
    <t>P26700594@student.nicmar.ac.in</t>
  </si>
  <si>
    <t>P26700595</t>
  </si>
  <si>
    <t>P26700595@student.nicmar.ac.in</t>
  </si>
  <si>
    <t>P26700596</t>
  </si>
  <si>
    <t>P26700596@student.nicmar.ac.in</t>
  </si>
  <si>
    <t>P26700597</t>
  </si>
  <si>
    <t>P26700597@student.nicmar.ac.in</t>
  </si>
  <si>
    <t>P26700598</t>
  </si>
  <si>
    <t>P26700598@student.nicmar.ac.in</t>
  </si>
  <si>
    <t>P26700599</t>
  </si>
  <si>
    <t>P26700599@student.nicmar.ac.in</t>
  </si>
  <si>
    <t>P26700600</t>
  </si>
  <si>
    <t>P26700600@student.nicmar.ac.in</t>
  </si>
  <si>
    <t>P26700601</t>
  </si>
  <si>
    <t>P26700601@student.nicmar.ac.in</t>
  </si>
  <si>
    <t>P26700602</t>
  </si>
  <si>
    <t>P26700602@student.nicmar.ac.in</t>
  </si>
  <si>
    <t>P26700603</t>
  </si>
  <si>
    <t>P26700603@student.nicmar.ac.in</t>
  </si>
  <si>
    <t>P26700604</t>
  </si>
  <si>
    <t>P26700604@student.nicmar.ac.in</t>
  </si>
  <si>
    <t>P26700605</t>
  </si>
  <si>
    <t>P26700605@student.nicmar.ac.in</t>
  </si>
  <si>
    <t>P26700606</t>
  </si>
  <si>
    <t>P26700606@student.nicmar.ac.in</t>
  </si>
  <si>
    <t>P26700607</t>
  </si>
  <si>
    <t>P26700607@student.nicmar.ac.in</t>
  </si>
  <si>
    <t>P26700608</t>
  </si>
  <si>
    <t>P26700608@student.nicmar.ac.in</t>
  </si>
  <si>
    <t>P26700609</t>
  </si>
  <si>
    <t>P26700609@student.nicmar.ac.in</t>
  </si>
  <si>
    <t>P26700610</t>
  </si>
  <si>
    <t>P26700610@student.nicmar.ac.in</t>
  </si>
  <si>
    <t>P26700611</t>
  </si>
  <si>
    <t>P26700611@student.nicmar.ac.in</t>
  </si>
  <si>
    <t>P26700612</t>
  </si>
  <si>
    <t>P26700612@student.nicmar.ac.in</t>
  </si>
  <si>
    <t>P26700613</t>
  </si>
  <si>
    <t>P26700613@student.nicmar.ac.in</t>
  </si>
  <si>
    <t>P26700615</t>
  </si>
  <si>
    <t>Anushka</t>
  </si>
  <si>
    <t>Pravin</t>
  </si>
  <si>
    <t>Moon</t>
  </si>
  <si>
    <t>Anushka Pravin Moon</t>
  </si>
  <si>
    <t>P26700615@student.nicmar.ac.in</t>
  </si>
  <si>
    <t>Listening to Music,Editing,Cooking</t>
  </si>
  <si>
    <t>Pravin Ramkrishna Moon</t>
  </si>
  <si>
    <t>Self-Employed</t>
  </si>
  <si>
    <t>Alka Pravin Moon</t>
  </si>
  <si>
    <t>Plot No. 80/7, Subhadra Appatment, Opposite of Hotel Center Point, Ujjwal Nagar, Wardha Road</t>
  </si>
  <si>
    <t>Plot No. 14, Behind Londe Jwellers, Besa-Beltarodi Road, Nagpur, 440037</t>
  </si>
  <si>
    <t>P26700616</t>
  </si>
  <si>
    <t>P26700616@student.nicmar.ac.in</t>
  </si>
  <si>
    <t>P26700617</t>
  </si>
  <si>
    <t>P26700617@student.nicmar.ac.in</t>
  </si>
  <si>
    <t>P26700618</t>
  </si>
  <si>
    <t>P26700618@student.nicmar.ac.in</t>
  </si>
  <si>
    <t>P26700619</t>
  </si>
  <si>
    <t>P26700619@student.nicmar.ac.in</t>
  </si>
  <si>
    <t>P26700620</t>
  </si>
  <si>
    <t>P26700620@student.nicmar.ac.in</t>
  </si>
  <si>
    <t>P26700621</t>
  </si>
  <si>
    <t>P26700621@student.nicmar.ac.in</t>
  </si>
  <si>
    <t>P26700622</t>
  </si>
  <si>
    <t>P26700622@student.nicmar.ac.in</t>
  </si>
  <si>
    <t>P26700623</t>
  </si>
  <si>
    <t>P26700623@student.nicmar.ac.in</t>
  </si>
  <si>
    <t>P26700624</t>
  </si>
  <si>
    <t>P26700624@student.nicmar.ac.in</t>
  </si>
  <si>
    <t>P26700626</t>
  </si>
  <si>
    <t>P26700626@student.nicmar.ac.in</t>
  </si>
  <si>
    <t>P26700627</t>
  </si>
  <si>
    <t>P26700627@student.nicmar.ac.in</t>
  </si>
  <si>
    <t>P26700628</t>
  </si>
  <si>
    <t>P26700628@student.nicmar.ac.in</t>
  </si>
  <si>
    <t>P26700629</t>
  </si>
  <si>
    <t>P26700629@student.nicmar.ac.in</t>
  </si>
  <si>
    <t>P26700630</t>
  </si>
  <si>
    <t>P26700630@student.nicmar.ac.in</t>
  </si>
  <si>
    <t>P26700631</t>
  </si>
  <si>
    <t>P26700631@student.nicmar.ac.in</t>
  </si>
  <si>
    <t>P26700632</t>
  </si>
  <si>
    <t>P26700632@student.nicmar.ac.in</t>
  </si>
  <si>
    <t>P26700633</t>
  </si>
  <si>
    <t>P26700633@student.nicmar.ac.in</t>
  </si>
  <si>
    <t>P26700634</t>
  </si>
  <si>
    <t>P26700634@student.nicmar.ac.in</t>
  </si>
  <si>
    <t>P26700635</t>
  </si>
  <si>
    <t>P26700635@student.nicmar.ac.in</t>
  </si>
  <si>
    <t>P26700636</t>
  </si>
  <si>
    <t>P26700636@student.nicmar.ac.in</t>
  </si>
  <si>
    <t>P26700637</t>
  </si>
  <si>
    <t>P26700637@student.nicmar.ac.in</t>
  </si>
  <si>
    <t>P26700638</t>
  </si>
  <si>
    <t>P26700638@student.nicmar.ac.in</t>
  </si>
  <si>
    <t>P26700639</t>
  </si>
  <si>
    <t>P26700639@student.nicmar.ac.in</t>
  </si>
  <si>
    <t>P26700640</t>
  </si>
  <si>
    <t>P26700640@student.nicmar.ac.in</t>
  </si>
  <si>
    <t>P26700641</t>
  </si>
  <si>
    <t>P26700641@student.nicmar.ac.in</t>
  </si>
  <si>
    <t>P26700642</t>
  </si>
  <si>
    <t>P26700642@student.nicmar.ac.in</t>
  </si>
  <si>
    <t>P26700643</t>
  </si>
  <si>
    <t>P26700643@student.nicmar.ac.in</t>
  </si>
  <si>
    <t>P26700644</t>
  </si>
  <si>
    <t>P26700644@student.nicmar.ac.in</t>
  </si>
  <si>
    <t>P26700645</t>
  </si>
  <si>
    <t>P26700645@student.nicmar.ac.in</t>
  </si>
  <si>
    <t>P26700646</t>
  </si>
  <si>
    <t>P26700646@student.nicmar.ac.in</t>
  </si>
  <si>
    <t>P26700647</t>
  </si>
  <si>
    <t>P26700647@student.nicmar.ac.in</t>
  </si>
  <si>
    <t>P26700648</t>
  </si>
  <si>
    <t>P26700648@student.nicmar.ac.in</t>
  </si>
  <si>
    <t>P26700649</t>
  </si>
  <si>
    <t>P26700649@student.nicmar.ac.in</t>
  </si>
  <si>
    <t>P26700650</t>
  </si>
  <si>
    <t>P26700650@student.nicmar.ac.in</t>
  </si>
  <si>
    <t>P26700651</t>
  </si>
  <si>
    <t>P26700651@student.nicmar.ac.in</t>
  </si>
  <si>
    <t>P26700652</t>
  </si>
  <si>
    <t>P26700652@student.nicmar.ac.in</t>
  </si>
  <si>
    <t>P26700654</t>
  </si>
  <si>
    <t>P26700654@student.nicmar.ac.in</t>
  </si>
  <si>
    <t>P26700655</t>
  </si>
  <si>
    <t>Sejal</t>
  </si>
  <si>
    <t>Kaushik</t>
  </si>
  <si>
    <t>Sejal Kaushik</t>
  </si>
  <si>
    <t>sejalkaushik.work@gmail.com</t>
  </si>
  <si>
    <t>P26700655@student.nicmar.ac.in</t>
  </si>
  <si>
    <t>28-Oct-2000</t>
  </si>
  <si>
    <t>Reading,Dancing</t>
  </si>
  <si>
    <t>Rajesh Kumar Kaushik</t>
  </si>
  <si>
    <t>Business Man</t>
  </si>
  <si>
    <t>Meenu Kaushik</t>
  </si>
  <si>
    <t>G-5/ 24-25, Sector-11, Rohini, Delhi-110085</t>
  </si>
  <si>
    <t>Titiksha Public School</t>
  </si>
  <si>
    <t>Central Board of Secondary Education, Delhi</t>
  </si>
  <si>
    <t>Guru Gobind Singh Indraprastha University</t>
  </si>
  <si>
    <t>MBS School of Planning and Architecture, Delhi</t>
  </si>
  <si>
    <t>School of Planning and Architecture, Delhi</t>
  </si>
  <si>
    <t>2026-May</t>
  </si>
  <si>
    <t>AutoCAD,Revit,MS Project,Photoshop,QGIS,ArcGIS,Sketchup,MS Powerpoint,MS Excel,MS Word,Lumion</t>
  </si>
  <si>
    <t>P26700656</t>
  </si>
  <si>
    <t>P26700656@student.nicmar.ac.in</t>
  </si>
  <si>
    <t>P26700657</t>
  </si>
  <si>
    <t>P26700657@student.nicmar.ac.in</t>
  </si>
  <si>
    <t>P26700658</t>
  </si>
  <si>
    <t>P26700658@student.nicmar.ac.in</t>
  </si>
  <si>
    <t>P26700659</t>
  </si>
  <si>
    <t>P26700659@student.nicmar.ac.in</t>
  </si>
  <si>
    <t>P26700660</t>
  </si>
  <si>
    <t>P26700660@student.nicmar.ac.in</t>
  </si>
  <si>
    <t>P26700661</t>
  </si>
  <si>
    <t>P26700661@student.nicmar.ac.in</t>
  </si>
  <si>
    <t>P26700662</t>
  </si>
  <si>
    <t>P26700662@student.nicmar.ac.in</t>
  </si>
  <si>
    <t>P26700663</t>
  </si>
  <si>
    <t>P26700663@student.nicmar.ac.in</t>
  </si>
  <si>
    <t>P26700664</t>
  </si>
  <si>
    <t>P26700664@student.nicmar.ac.in</t>
  </si>
  <si>
    <t>P26700665</t>
  </si>
  <si>
    <t>P26700665@student.nicmar.ac.in</t>
  </si>
  <si>
    <t>P26700666</t>
  </si>
  <si>
    <t>P26700666@student.nicmar.ac.in</t>
  </si>
  <si>
    <t>P26700667</t>
  </si>
  <si>
    <t>P26700667@student.nicmar.ac.in</t>
  </si>
  <si>
    <t>P26700668</t>
  </si>
  <si>
    <t>P26700668@student.nicmar.ac.in</t>
  </si>
  <si>
    <t>P26700669</t>
  </si>
  <si>
    <t>P26700669@student.nicmar.ac.in</t>
  </si>
  <si>
    <t>P26700670</t>
  </si>
  <si>
    <t>P26700670@student.nicmar.ac.in</t>
  </si>
  <si>
    <t>P26700671</t>
  </si>
  <si>
    <t>P26700671@student.nicmar.ac.in</t>
  </si>
  <si>
    <t>P26700672</t>
  </si>
  <si>
    <t>P26700672@student.nicmar.ac.in</t>
  </si>
  <si>
    <t>P26700673</t>
  </si>
  <si>
    <t>P26700673@student.nicmar.ac.in</t>
  </si>
  <si>
    <t>P26700674</t>
  </si>
  <si>
    <t>P26700674@student.nicmar.ac.in</t>
  </si>
  <si>
    <t>P26700675</t>
  </si>
  <si>
    <t>P26700675@student.nicmar.ac.in</t>
  </si>
  <si>
    <t>P26700676</t>
  </si>
  <si>
    <t>P26700676@student.nicmar.ac.in</t>
  </si>
  <si>
    <t>MBA-NBS</t>
  </si>
  <si>
    <t>P24703012</t>
  </si>
  <si>
    <t>DIWAKAR</t>
  </si>
  <si>
    <t>KHOBRAGADE</t>
  </si>
  <si>
    <t>Piyush Diwakar Khobragade</t>
  </si>
  <si>
    <t>pkhobragade640@gmail.com</t>
  </si>
  <si>
    <t>p24703012@student.nicmar.ac.in</t>
  </si>
  <si>
    <t>06-Jun-2000</t>
  </si>
  <si>
    <t>NEWS,GEOPOLITICS,CURRENT AFFAIRS</t>
  </si>
  <si>
    <t>3785 0191 6230</t>
  </si>
  <si>
    <t>DIWAKAR KHOBRAGADE</t>
  </si>
  <si>
    <t>RETIRED GOVT OFFICER</t>
  </si>
  <si>
    <t>JAYA KHOBRAGADE</t>
  </si>
  <si>
    <t>GANESH NAGAR, ARJUNI MORGAON</t>
  </si>
  <si>
    <t>MAITREYA, NEAR GOLD CINEMA</t>
  </si>
  <si>
    <t>MANOHARBHAI PATEL MILITARY SCHOOL, GONDIA</t>
  </si>
  <si>
    <t>MAHARASHTRA STATE BOARD OF SECONDARY AND HIGHER SECONDARY EDUCATION, GONDIA, MAHARASHTRA</t>
  </si>
  <si>
    <t>ST. PAUL SCIENCE &amp; COMMERCE JUNIOR COLLEGE, NAGPUR</t>
  </si>
  <si>
    <t>MAHARASHTRA STATE BOARD OF SECONDARY AND HIGHER SECONDARY EDUCATION, NAGPUR, MAHARASHTRA</t>
  </si>
  <si>
    <t>NATWARLAL MANIKLAL DALAL COLLEGE, GONDIA, MAHARASHTRA</t>
  </si>
  <si>
    <t>2018-Sep</t>
  </si>
  <si>
    <t>Ms-office</t>
  </si>
  <si>
    <t>BSE INDIA (BOMBAY STOCK EXCHANGE) | FINANCE, OPERATIONS AND DATABASE INTERN | MUMBAI | May 2025 | Jul 2025 | 7.4285714285714 Weeks</t>
  </si>
  <si>
    <t>P24703014</t>
  </si>
  <si>
    <t>PISHE</t>
  </si>
  <si>
    <t>Pishe Prathmesh Prakash</t>
  </si>
  <si>
    <t>p24703014@student.nicmar.ac.in</t>
  </si>
  <si>
    <t>6343 2619 8101</t>
  </si>
  <si>
    <t>723/1/12A, Alipur Road, Near Nene Nursing Home, Barshi, Solapur, Maharatshtra.413411</t>
  </si>
  <si>
    <t>SULAKHE HIGHSCHOOL , BARSHI</t>
  </si>
  <si>
    <t xml:space="preserve"> MAHARASHTRA STATE BOARD OF SECONDARY AND HIGHER SECONDARY EDUCATION, PUNE</t>
  </si>
  <si>
    <t>RAJARSHI SHAHU MAHAVIDYALAYA, LATUR</t>
  </si>
  <si>
    <t>MODERN COLLEGE OF ARTS, COMMERCE AND SCIENCE, GANESHKHIND, PUNE.</t>
  </si>
  <si>
    <t>Ms Office</t>
  </si>
  <si>
    <t>BANK OF MAHARASHTRA | BANKING AND OPERATIONS | PUNE | May 2025 | Jul 2025 | 8.5714285714286 Weeks</t>
  </si>
  <si>
    <t>Google Ads Free Course 2022
Company Secretary Executive Pre-Exam ( Module 2)
Company Secretary Entrance Exam
Coursera Human Resource Analytics
NISM - Security Markets Foundation Certification</t>
  </si>
  <si>
    <t>P24703017</t>
  </si>
  <si>
    <t>AGIRISETTI</t>
  </si>
  <si>
    <t>Karthik Kumar Agirisetti</t>
  </si>
  <si>
    <t>p24703017@student.nicmar.ac.in</t>
  </si>
  <si>
    <t>10-Jul-2000</t>
  </si>
  <si>
    <t>Hindi, English,Telugu</t>
  </si>
  <si>
    <t>3804 6286 7941</t>
  </si>
  <si>
    <t>AGIRISETTI RAJESHWAR</t>
  </si>
  <si>
    <t>REAL ESTATE</t>
  </si>
  <si>
    <t>AGIRISETTI ANITHA</t>
  </si>
  <si>
    <t>LADIES TAILOR</t>
  </si>
  <si>
    <t>Plot No 48, New Gayatri Nagar, Jillelguda, K.v. Rangareddy, Telangana</t>
  </si>
  <si>
    <t>RAVINDRA BHARATHI SCHOOL</t>
  </si>
  <si>
    <t>SREYAS INSTITUTE OF ENGINEERING AND TECHNOLOGY</t>
  </si>
  <si>
    <t>Revit,3Ds max,Staadpro</t>
  </si>
  <si>
    <t>NCL BUILDTEK LTD | GRADUATE ENGINEER TRAINEE | HYDERABAD | Sep 2023 | Jul 2024 | 0Y 9M |  2.40</t>
  </si>
  <si>
    <t>NEW CONSOLIDATED CONSTRUCTION CO. LTD. | PLANNING, PROJECT CO-ORDINATION AND SITE EXECUTION | MUMBAI | May 2025 | Jul 2025 | 8.7142857142857 Weeks</t>
  </si>
  <si>
    <t>Master in Civil CADD (Auto CAD, Staadpro, Revit, 3Ds Max, Primavera)
Construction Management Foundations
Microsoft Project in Construction</t>
  </si>
  <si>
    <t>P24703018</t>
  </si>
  <si>
    <t>RUTURAJ</t>
  </si>
  <si>
    <t>TAWARE</t>
  </si>
  <si>
    <t>Ruturaj Anand Taware</t>
  </si>
  <si>
    <t>p24703018@student.nicmar.ac.in</t>
  </si>
  <si>
    <t>25-Dec-2000</t>
  </si>
  <si>
    <t>Marathi, Hindi</t>
  </si>
  <si>
    <t>9573 0280 8982</t>
  </si>
  <si>
    <t>ANAND ANKUSH TAWARE</t>
  </si>
  <si>
    <t>SUJATA ANAND TAWARE</t>
  </si>
  <si>
    <t>Srno 36/2, Tukaram Nagar
Kharadi,Pune-411014</t>
  </si>
  <si>
    <t>STELLA MARIS HIGH SCHOOL</t>
  </si>
  <si>
    <t>SHRI SHIVAJI PREPORATORY MILITARY SCHOOL</t>
  </si>
  <si>
    <t xml:space="preserve">AJEENKYA DY PATIL SCHOOL OF ENGINEERING </t>
  </si>
  <si>
    <t>Auto Cad,Ms Office</t>
  </si>
  <si>
    <t>Eka mobility |  GET : Supply Chain Management | Pune | Dec 2023 | Jun 2024 | 0Y 5M | 3</t>
  </si>
  <si>
    <t>ECLATE STAFFING SOLUTIONS | SAP INTERN | PUNE | May 2025 | Jul 2025 | 8.7142857142857 Weeks</t>
  </si>
  <si>
    <t>Catia V3
Autocad
SAP MM
KPMG lean six sigma green belt</t>
  </si>
  <si>
    <t>P24703019</t>
  </si>
  <si>
    <t>BAGADE</t>
  </si>
  <si>
    <t>Shubham Vijay Bagade</t>
  </si>
  <si>
    <t>p24703019@student.nicmar.ac.in</t>
  </si>
  <si>
    <t>01-May-1994</t>
  </si>
  <si>
    <t>3502 3096 1305</t>
  </si>
  <si>
    <t>MANAGER</t>
  </si>
  <si>
    <t>Flat No.206, 2nd Floor, Sumangal Apartment, Niwara Corner, Takli Road, Kopargaon</t>
  </si>
  <si>
    <t xml:space="preserve">MAHARISH VIDYA MANDIR </t>
  </si>
  <si>
    <t>CBSE BET-KOPARGAON AHMEDNAGAR MAHARASHTRA</t>
  </si>
  <si>
    <t xml:space="preserve">SANT J S M MAHARISHI VIDYA MANDIR </t>
  </si>
  <si>
    <t xml:space="preserve">D Y PATIL UNIVERSITY </t>
  </si>
  <si>
    <t>SCHOOL OF HOSPITALITY &amp; TOURISM STUDIES NAVI MUMBAI</t>
  </si>
  <si>
    <t>2012-Aug</t>
  </si>
  <si>
    <t>MS Office,Business Development,Client Relationship Management,Customer Engagement,Sales Coordination,Lead Handling,Negotiation Skills,CRM &amp; Reporting ,Problem Solving,Cross-fuctional Corrdination,Team Leadership</t>
  </si>
  <si>
    <t>Neptune Hospitality &amp; Management Services |  F&amp;B Assistant | Maharashtra, Goa, Gujarat, Rajasthan, New Delhi, Uttar Pradesh, Jammu &amp; Kashmir, Nagaland | Dec 2014 | Dec 2015 | 1Y 0M | 1.17
Jubilant FoodWorks Limited | Assistant Guest Delight Manager | Mumbai | Jan 2016 | Nov 2016 | 0Y 10M | 2.29
Soul Konnect Hosptality LLP | Operations Manager | Mumbai | Feb 2017 | Jul 2024 | 7Y 4M | 4.20</t>
  </si>
  <si>
    <t>9 Years 3 Months</t>
  </si>
  <si>
    <t>Supply Chain Digitization
KPMG Green Belt Lean Six Sigma Certificate
Primary &amp; Secondary Markets &amp; Career in Securities Market
Finlatics Equity Markets Analyst
Business Analyst</t>
  </si>
  <si>
    <t>P24703025</t>
  </si>
  <si>
    <t>JAIDEEP</t>
  </si>
  <si>
    <t>BHASKAR</t>
  </si>
  <si>
    <t>BHAWAR</t>
  </si>
  <si>
    <t>Jaideep Bhaskar Bhawar</t>
  </si>
  <si>
    <t>p24703025@student.nicmar.ac.in</t>
  </si>
  <si>
    <t>9476 4761 0486</t>
  </si>
  <si>
    <t>SUJATA</t>
  </si>
  <si>
    <t>Saideep , Malpaninagar, Ghulewadi, Sangamner</t>
  </si>
  <si>
    <t>DR BHANUDAS G DERE ENGLISH MEDIUM SCHOOL</t>
  </si>
  <si>
    <t>DR BHANUDAS G DERE JUNIOR COLLEGE</t>
  </si>
  <si>
    <t>MIT WORLD PEACE UNIVERSITY PUNE</t>
  </si>
  <si>
    <t>Ms Office,Ms Project,Advanced Excel (pivot,Lookup,Dashboards,Cost Tracking &amp; Reporting, SAP BW (Basic),Python</t>
  </si>
  <si>
    <t>TENET COMPUTER AND COMMUNICATION PVT.LTD | ASSOCIATE MARKETING INTERN | NAGPUR | May 2022 | Jul 2022 | 8.7142857142857 Weeks
	TECHNOTRAK ENGINEERS | SUPPLYCHAIN INTERN | AHILYANAGAR,MAHARASHTRA | May 2025 | Jul 2025 | 7.4285714285714 Weeks</t>
  </si>
  <si>
    <t>P24703028</t>
  </si>
  <si>
    <t>SHRIKANT</t>
  </si>
  <si>
    <t>GONDKAR</t>
  </si>
  <si>
    <t>Shrikant Gondkar</t>
  </si>
  <si>
    <t>p24703028@student.nicmar.ac.in</t>
  </si>
  <si>
    <t>6868 4113 2967</t>
  </si>
  <si>
    <t xml:space="preserve">ANNASAHEB </t>
  </si>
  <si>
    <t>Sai Hari Prasad Niwas, Beroba Road,sathbhai Mala,shirdi</t>
  </si>
  <si>
    <t xml:space="preserve">DHRUV ACADEMY </t>
  </si>
  <si>
    <t>CBSE SANGAMNER</t>
  </si>
  <si>
    <t>K.B.ROHMARE JR. COLLEGE OF ARTS, COMMERCE AND SCIENCE</t>
  </si>
  <si>
    <t xml:space="preserve">HSE KOPERGAON </t>
  </si>
  <si>
    <t xml:space="preserve">SYMBIOSIS COLLEGE OF ARTS AND COMMERCE AN AUTONOMUS COLLEGE UNDER SAVITRIBAI PHULE PUNE UNIVERSITY </t>
  </si>
  <si>
    <t>SYMBIOSIS COLLEGE OF ARTS AND COMMERCE</t>
  </si>
  <si>
    <t>Tally ERP,MS Office</t>
  </si>
  <si>
    <t>VED PRASAD AND CO. | Accounts and Audit Assistant | Shirdi, Maharashtra | Sep 2021 | Feb 2022 | 23.285714285714 Weeks
	Bank of Maharashtra | Banking &amp; Operations | Balewadi | May 2025 | Jul 2025 | 8.7142857142857 Weeks</t>
  </si>
  <si>
    <t>Accounts and Audit Assistant
Investment Banking Virtual Experience
Data Analytics Consulting Virtual Internship
Google Fundamentals Of Digital Marketing
EDUYOUTH MEET
Financial Modeling</t>
  </si>
  <si>
    <t>P24703035</t>
  </si>
  <si>
    <t>Himanshu Yadav</t>
  </si>
  <si>
    <t>p24703035@student.nicmar.ac.in</t>
  </si>
  <si>
    <t>26-Jan-1994</t>
  </si>
  <si>
    <t>Music,Reading</t>
  </si>
  <si>
    <t>2696 0909 7765</t>
  </si>
  <si>
    <t>SCIENTIST</t>
  </si>
  <si>
    <t xml:space="preserve">SHOBHA </t>
  </si>
  <si>
    <t>FLAT NO-504, PAARTH APARTMENT, GH-66, SECTOR-55, GURGAON</t>
  </si>
  <si>
    <t>FLAT NO -B-12, TOWER - 2, TYPE- 5, EAST KIDWAI NAGAR, NEW DELHI</t>
  </si>
  <si>
    <t>2009-Feb</t>
  </si>
  <si>
    <t>2010-Apr</t>
  </si>
  <si>
    <t>2011-Feb</t>
  </si>
  <si>
    <t>DAYAL SINGH COLLEGE, NEW DELHI</t>
  </si>
  <si>
    <t>UNIVERSITY OF DELHI</t>
  </si>
  <si>
    <t>2015-Dec</t>
  </si>
  <si>
    <t>CENTRAL UNIVERSITY OF HARYANA</t>
  </si>
  <si>
    <t>MAHENDERGARH,HARYANA</t>
  </si>
  <si>
    <t>National Institute of Construction Management and Research | Office Assistant | Delhi-NCR and Pune | Sep 2019 | May 2023 | 3Y 8M | 5.31</t>
  </si>
  <si>
    <t>MARUTI SUZUKI INDIA LIMITED | Management  Intern  (Direct Taxation Department) | GURGAON | May 2025 | Jul 2025 | 10 Weeks</t>
  </si>
  <si>
    <t>Foundations of Digital Marketing and E-commence by Google</t>
  </si>
  <si>
    <t>P24703038</t>
  </si>
  <si>
    <t>SHARDUL</t>
  </si>
  <si>
    <t>KONDE</t>
  </si>
  <si>
    <t>Shardul Konde</t>
  </si>
  <si>
    <t>p24703038@student.nicmar.ac.in</t>
  </si>
  <si>
    <t>3262 9933 5113</t>
  </si>
  <si>
    <t>Plot No. 10 Kadu Layout Panchawati Katol, Nagpur 441302</t>
  </si>
  <si>
    <t>MOUNT CARMEL CONVENT SCHOOL KATOL</t>
  </si>
  <si>
    <t>DHARAMPETH M.P DEO MEMORIAL SCIENCE COLLEGE</t>
  </si>
  <si>
    <t>G.H RAISONI INSTITUTE OF ENGINEERING AND TECHNOLOGY NAGPUR</t>
  </si>
  <si>
    <t xml:space="preserve">	B2B Genie | Product Development Intern | Pune | May 2025 | Jul 2025 | 8.7142857142857 Weeks</t>
  </si>
  <si>
    <t>Financial Analyst | Udemy
The Fundamentals of Digital Marketing | Google</t>
  </si>
  <si>
    <t>P24703042</t>
  </si>
  <si>
    <t>VAISHNAV</t>
  </si>
  <si>
    <t>Kamal Suresh Vaishnav</t>
  </si>
  <si>
    <t>p24703042@student.nicmar.ac.in</t>
  </si>
  <si>
    <t>08-Sep-2001</t>
  </si>
  <si>
    <t>Hindi,English, Marathi,Gujarati</t>
  </si>
  <si>
    <t>8733 7474 1360</t>
  </si>
  <si>
    <t>NIRMALADEVI</t>
  </si>
  <si>
    <t>D/310 SHREE TULSIDHAM CHS LTD, TALAV ROAD CROSS NAVHAR ROAD, BHAYANDER EAST, THANE</t>
  </si>
  <si>
    <t>ST. FRANCIS HIGH SCHOOL</t>
  </si>
  <si>
    <t>S.V.P JR COLLEGE OF SCIENCE AND COMMERCE</t>
  </si>
  <si>
    <t>VIDYAVARDHINI'S COLLEGE OF ENGINEERING AND TECHNOLOGY, VASAI</t>
  </si>
  <si>
    <t>SHREEJI CONSTRUCTION ENGINEERS AND CONTRACTORS | INTERN | PALGHAR | Dec 2021 | Jan 2022 | 5 Weeks
SHREE ASHOKA BUILDCON | INTERN | NALASOPARA, PALGHAR | Aug 2021 | Jan 2022 | 21.857142857143 Weeks
	Tricity Realty LLP | Purchase Coordinator | Navi Mumbai | May 2025 | Jul 2025 | 8.7142857142857 Weeks</t>
  </si>
  <si>
    <t>Lean Six sigma certification</t>
  </si>
  <si>
    <t>P24703048</t>
  </si>
  <si>
    <t>RAJARSHI</t>
  </si>
  <si>
    <t>MALLICK</t>
  </si>
  <si>
    <t>Rajarshi Mallick</t>
  </si>
  <si>
    <t>p24703048@student.nicmar.ac.in</t>
  </si>
  <si>
    <t>09-Nov-2001</t>
  </si>
  <si>
    <t>6578 9561 4307</t>
  </si>
  <si>
    <t>SAHADEB MALLICK</t>
  </si>
  <si>
    <t>PIYALI MALLICK</t>
  </si>
  <si>
    <t>Vill,po-Khatul
Post - Khatul
District - Hooghly</t>
  </si>
  <si>
    <t>SAMANTA KHANDA H.K ROY HIGH SCHOOL (HS)</t>
  </si>
  <si>
    <t>WEST BENGAL BOARD OF HIGHER SECONDARY EDUCATION</t>
  </si>
  <si>
    <t xml:space="preserve">THE UNIVERSITY OF BURDWAN </t>
  </si>
  <si>
    <t>NETAJI MAHAVIDYALAYA ARAMBAGH</t>
  </si>
  <si>
    <t>MS Office, Ms Project,Power BI,Tableau</t>
  </si>
  <si>
    <t xml:space="preserve">	Vanguard Ventures | Sales Intern (Real Estate &amp; Market Development) | Thane | May 2025 | Jul 2025 | 7.4285714285714 Weeks</t>
  </si>
  <si>
    <t>P24703050</t>
  </si>
  <si>
    <t>KAUTIKRAO</t>
  </si>
  <si>
    <t>Rushikesh Kautikrao Wagh</t>
  </si>
  <si>
    <t>hrishiwagh.17@gmail.com</t>
  </si>
  <si>
    <t>p24703050@student.nicmar.ac.in</t>
  </si>
  <si>
    <t>17-Jun-1999</t>
  </si>
  <si>
    <t>Hindi ,English,Marathi</t>
  </si>
  <si>
    <t>Football ,Music</t>
  </si>
  <si>
    <t>4654 9453 9962</t>
  </si>
  <si>
    <t>KAUTIK SAYAJIRAO WAGH</t>
  </si>
  <si>
    <t>RETIRED GOVT. EMPLOYEE</t>
  </si>
  <si>
    <t>KAVITA KAUTIKRAO WAGH</t>
  </si>
  <si>
    <t>SOCIAL WORKER</t>
  </si>
  <si>
    <t>Hs No. 5 Prithvi Nagar Satara Parisar
Beed By Pass Auranagabd</t>
  </si>
  <si>
    <t>BHASKARACHARYA VIDYANIKETAN</t>
  </si>
  <si>
    <t xml:space="preserve">MAHARASHTRA STATE BOARD OF SECONDARY AND HIGHER SECONDARY EDUCATION, PUNE </t>
  </si>
  <si>
    <t>DR. R. P. NATH JR. COLLEGE</t>
  </si>
  <si>
    <t>ST. PAUL'S DEGREE AND PG. COLLEGE HYDERABAD</t>
  </si>
  <si>
    <t>MS Office,Data Dashboard(Streamlit.io),Power BI,Project Documetation &amp; Reporting</t>
  </si>
  <si>
    <t>AGRIVIJAY  | PROJECT INTERN | PUNE | May 2025 | Jul 2025 | 7.7142857142857 Weeks</t>
  </si>
  <si>
    <t>P24703052</t>
  </si>
  <si>
    <t>Harsh Pawar</t>
  </si>
  <si>
    <t>harshpawar839@gmail.com</t>
  </si>
  <si>
    <t>p24703052@student.nicmar.ac.in</t>
  </si>
  <si>
    <t>15-Jun-2002</t>
  </si>
  <si>
    <t>hindi,English,Marathi</t>
  </si>
  <si>
    <t>Reading ,Music</t>
  </si>
  <si>
    <t>9937 7060 2293</t>
  </si>
  <si>
    <t>BAPUSAHEB PAWAR</t>
  </si>
  <si>
    <t>SUNITA PAWAR</t>
  </si>
  <si>
    <t>802, Aman Society, Bhosalenagar, Shivajinagar</t>
  </si>
  <si>
    <t>DHRUV ACADEMY, SANGAMNER</t>
  </si>
  <si>
    <t>MAHATMA PHULE JUNIOR COLLEGE</t>
  </si>
  <si>
    <t>MAHARASHTRA BOARD OF SECONDARY AND HIGHER SECONDARY EDUCATION</t>
  </si>
  <si>
    <t>DR. VISHVANATH KARAD MIT WORLD PEACE UNIVERSITY</t>
  </si>
  <si>
    <t>Tableau,Python,R Studio,Power BI,MS Office ,MS Project</t>
  </si>
  <si>
    <t>AGILE CAPITAL SERVICES | BUSINESS DEVELOPMENT INTERN | NEW DELHI | Oct 2021 | Dec 2021 | 10.142857142857 Weeks
CUMMINS INDIA (KEP) | Supply Chain &amp; Operations Intern | PUNE | Jun 2025 | Aug 2025 | 8.5714285714286 Weeks</t>
  </si>
  <si>
    <t>P24703055</t>
  </si>
  <si>
    <t>Ankita Singh</t>
  </si>
  <si>
    <t>ankitasingh4764@gmail.com</t>
  </si>
  <si>
    <t>p24703055@student.nicmar.ac.in</t>
  </si>
  <si>
    <t>2204 4405 3563</t>
  </si>
  <si>
    <t xml:space="preserve">SAIDPUR KOTHIA,KURJEE
VIKASH NAGAR,
PS-DIGHA,PATNA,BIHAR,INDIA </t>
  </si>
  <si>
    <t xml:space="preserve">ST. MICHAEL’S HIGH SCHOOL </t>
  </si>
  <si>
    <t xml:space="preserve"> CENTRAL BOARD OF SECONDARY EDUCATION , PATNA, BIHAR</t>
  </si>
  <si>
    <t>ST.MICHAEL’S HIGH SCHOO</t>
  </si>
  <si>
    <t>UNIVERSITY OF CALCUTTA</t>
  </si>
  <si>
    <t xml:space="preserve">SHRI SHIKSHAYATAN COLLEGE </t>
  </si>
  <si>
    <t>NUMERO UNO CLOTHING LIMITED | Human Resources Department  | Paras Trade Centre, 6th Floor, Sector-2, Gwal Pahari, Gurugram Faridabad Toll Road, Gurugram-122003 Haryana (INDIA)  | May 2025 | Jul 2025 | 8.1428571428571 Weeks
BMW  | Account Executive  | Kolkata  | Mar 2021 | Sep 2021 | 27.714285714286 Weeks</t>
  </si>
  <si>
    <t>P24703056</t>
  </si>
  <si>
    <t>TANISHQ</t>
  </si>
  <si>
    <t>DURAPHE</t>
  </si>
  <si>
    <t>Tanishq Duraphe</t>
  </si>
  <si>
    <t>duraphet@gmail.com</t>
  </si>
  <si>
    <t>p24703056@student.nicmar.ac.in</t>
  </si>
  <si>
    <t>01-Oct-2000</t>
  </si>
  <si>
    <t>9869 8354 6001</t>
  </si>
  <si>
    <t>NITIN DURAPHE</t>
  </si>
  <si>
    <t>PREETI DURAPHE</t>
  </si>
  <si>
    <t>Kotputli Ultratech Cement Works, A-1</t>
  </si>
  <si>
    <t>THE LOVEDALE SCHOOL, SATNA</t>
  </si>
  <si>
    <t xml:space="preserve">CENTRAL BOARD OF EDUCATION, SATNA, MADHYA PRADESH </t>
  </si>
  <si>
    <t xml:space="preserve">G.D GOENKA PUBLIC SCHOOL, </t>
  </si>
  <si>
    <t>CENTRAL BOARD OF EDUCATION, GREATER NOIDA, UTTAR PRADES</t>
  </si>
  <si>
    <t>NOIDA INTERNATIONAL UNIVERSITY</t>
  </si>
  <si>
    <t>NOIDA INTERNATIONAL UNIVERSITY, NOIDA, UTTAR PRADESH</t>
  </si>
  <si>
    <t>Adobe Premier pro,FI Studio,Canva,Content creation,Brand Logo Designing</t>
  </si>
  <si>
    <t>ULTRATECH CEMENT | TRAINEE IN HR MANAGEMENT | KOTPUTLI | Mar 2024 | May 2024 | 8.5714285714286 Weeks
ULTRATECH CEMENT | INTERN | ULTRATECH CEMENT LIMITED, NYATI EMPRESS, VIMAN NAGAR PUNE, MAHARASHTRA | May 2025 | Jul 2025 | 8.7142857142857 Weeks</t>
  </si>
  <si>
    <t>P24703057</t>
  </si>
  <si>
    <t>AMAL</t>
  </si>
  <si>
    <t>SREEVALSAN</t>
  </si>
  <si>
    <t>Amal Sreevalsan</t>
  </si>
  <si>
    <t>p24703057@student.nicmar.ac.in</t>
  </si>
  <si>
    <t>12-Sep-2000</t>
  </si>
  <si>
    <t>Engli,Hindi ,Malayalam</t>
  </si>
  <si>
    <t>Playing Footbal ,Gym,Cooking</t>
  </si>
  <si>
    <t>7988 2969 6681</t>
  </si>
  <si>
    <t xml:space="preserve">SREEVALSAN TE </t>
  </si>
  <si>
    <t>EX MILITARY</t>
  </si>
  <si>
    <t xml:space="preserve">SUMANGALA NCR </t>
  </si>
  <si>
    <t>'Sreevalsam' Mocheri,Mavilayi P.o Mundalur,Kannur,Kerala</t>
  </si>
  <si>
    <t>LAKSHMI GANAPATI PG,PATIL WASTI,PATIL NAGAR,BELEWADI,PUNE,MAHARASHTRA</t>
  </si>
  <si>
    <t xml:space="preserve">ARMY PUBLIC SCHOOL </t>
  </si>
  <si>
    <t>MANGALORE UNIVERSITY</t>
  </si>
  <si>
    <t>SHRI DHARMASTHALA MANJUNATHESHWARA COLLEGE OF BUSINESS MANAGEMENT, MANGALURU, KARNATAKA</t>
  </si>
  <si>
    <t>Power BI ,MS Office</t>
  </si>
  <si>
    <t>B2B GENIE PVT LTD | Business Development &amp; Market Research Inte | PUNE | May 2025 | Jul 2025 | 8.7142857142857 Weeks</t>
  </si>
  <si>
    <t>P24703060</t>
  </si>
  <si>
    <t>TEJRAO</t>
  </si>
  <si>
    <t>Mohit Tejrao Kadam</t>
  </si>
  <si>
    <t>p24703060@student.nicmar.ac.in</t>
  </si>
  <si>
    <t>21-Jan-2003</t>
  </si>
  <si>
    <t>English,hindi,Marathi</t>
  </si>
  <si>
    <t>Playing Harmonium</t>
  </si>
  <si>
    <t>2272 8900 0940</t>
  </si>
  <si>
    <t>RUKHMINI</t>
  </si>
  <si>
    <t>101, D Wing, Chaitanya Villa, Warulwadi, Narayangaon</t>
  </si>
  <si>
    <t>G. R. P. SABNIS VIDYAMANDIR, NARAYANGAON</t>
  </si>
  <si>
    <t>SSC BOARD</t>
  </si>
  <si>
    <t>G. R. P. SABNIS JUNIOR COLLEGE, NARAYANGA</t>
  </si>
  <si>
    <t>HSC BOARD</t>
  </si>
  <si>
    <t>MAHATMA PHULE AGRICULTURE UNIVERSITY, RAHURI</t>
  </si>
  <si>
    <t>DR. D. Y. PATIL COLLEGE OF AGRI BUSINESS MANAGEMEN</t>
  </si>
  <si>
    <t>Ms Office Suite(Advanced Excel/word/power Point),Power Bi,MySQL,Market Reasearch,Lead Generation</t>
  </si>
  <si>
    <t>SYNGENTA FOUNDATION INDIA | Field Research and Stakeholder Collaboration  | PUNE | May 2025 | Jul 2025 | 8.7142857142857 Weeks</t>
  </si>
  <si>
    <t>P24703045</t>
  </si>
  <si>
    <t>Piyush Pandey</t>
  </si>
  <si>
    <t>piyushpandey2255@gmail.com</t>
  </si>
  <si>
    <t>p24703045@student.nicmar.ac.in</t>
  </si>
  <si>
    <t>hindi,English</t>
  </si>
  <si>
    <t>9877 8516 8097</t>
  </si>
  <si>
    <t>DEEPAK PANDEY</t>
  </si>
  <si>
    <t>ARTI PANDEY</t>
  </si>
  <si>
    <t>P-33 Rishipuram, Phase-2 BDA Road Khajuri Kalan Huzur, Awadhpuri</t>
  </si>
  <si>
    <t xml:space="preserve">FLAT NO. 402, FLOOR NO. 4TH FLOOR, TARANGAN BUILDING, MAHALUNGE </t>
  </si>
  <si>
    <t>ST.PAULCO-ED SCHOOL ANAND NAGAR BHOPAL M.P.</t>
  </si>
  <si>
    <t>ST. PAULCO-ED SCHOOL ANAND NAGAR BHOPAL M.P.</t>
  </si>
  <si>
    <t>DEVI AHILYA VISHWAVIDYALAYA, INDORE</t>
  </si>
  <si>
    <t>SHRI VAISHNAV INSTITUTE OF MANAGEMENT, INDORE</t>
  </si>
  <si>
    <t>MS office,Tally ERP 9,canva</t>
  </si>
  <si>
    <t>VIRASHA INFRASTRUCTURES | Management Trainee | BHOPAL | Jun 2024 | Jul 2024 | 0Y 0M
MAGESTIC REALTIES | SALES | KOTHRUD, PUNE  | May 2025 | Jul 2025 | 0Y 1M</t>
  </si>
  <si>
    <t>P24703072</t>
  </si>
  <si>
    <t>SHIVLAL</t>
  </si>
  <si>
    <t>Sakshi Shivlal Agrawal</t>
  </si>
  <si>
    <t>sakshiagrawal1916@gmail.com</t>
  </si>
  <si>
    <t>p24703072@student.nicmar.ac.in</t>
  </si>
  <si>
    <t>English,Hindi ,MARATHI</t>
  </si>
  <si>
    <t>Reading,music</t>
  </si>
  <si>
    <t>2602 4521 4351</t>
  </si>
  <si>
    <t xml:space="preserve">HOME MAKER </t>
  </si>
  <si>
    <t>Bharadi,TQ.sillod ,dist.sambhajinagar ,431113</t>
  </si>
  <si>
    <t>S.B.HIGH SCHOOL BHARADI,TQ.SILLOD,DIST.SAMBHAJINAGAR</t>
  </si>
  <si>
    <t xml:space="preserve">MAHARASHTRA </t>
  </si>
  <si>
    <t xml:space="preserve">SBES COLLEGE OF ARTS AND COMMERCE </t>
  </si>
  <si>
    <t xml:space="preserve">MMCC COLLEGE OF PUNE, MAHARASHTRA </t>
  </si>
  <si>
    <t>Ms- office ,canva ,tally</t>
  </si>
  <si>
    <t>AGRIVIJAY | MARKETING | PUNE | May 2025 | Jul 2025 | 7.8571428571429 Weeks
ROHAN BADALE &amp; ASSOCIATES | FINANCE | SILLOD | Nov 2022 | Dec 2022 | 8.5714285714286 Weeks</t>
  </si>
  <si>
    <t>M-PLAN</t>
  </si>
  <si>
    <t>P24704005</t>
  </si>
  <si>
    <t>JISKAR</t>
  </si>
  <si>
    <t>Jiskar Rutuja Prabhakar</t>
  </si>
  <si>
    <t>p24704005@student.nicmar.ac.in</t>
  </si>
  <si>
    <t>15-May-2000</t>
  </si>
  <si>
    <t>9585 8935 9614</t>
  </si>
  <si>
    <t>Shrivihar Colony New Rathi Nagar, Dhamangaon Rly</t>
  </si>
  <si>
    <t>SETH FATTELAL LABHCHAND HIGH SCHOOL AND JUNIOR COLLEGE</t>
  </si>
  <si>
    <t xml:space="preserve">SMT. MANORAMABAI MUNDALE COLLEGE OF ARCHITECTURE, NAGPUR </t>
  </si>
  <si>
    <t>AutoCAD,MS Office,Sketchup,Lumion,Revit,Photoshop</t>
  </si>
  <si>
    <t xml:space="preserve">	Vka architecture | Architecture | Pune | Feb 2022 | Oct 2022 | 37.428571428571 Weeks
	DIRECTORATE OF TOWN PLANNING &amp; VALUATION, MAHARASHTRA STATE | Planning Intern | PUNE | May 2025 | Jul 2025 | 9.5714285714286 Weeks</t>
  </si>
  <si>
    <t>UI/UX Certification
Sketchup , Vray, Lumion
Photoshop , Revit
Studying Cities: Social Science Methods for Urban Research
Sustainable Regional Principles, Planning and Transportation
AI and Disaster Management</t>
  </si>
  <si>
    <t>P24704008</t>
  </si>
  <si>
    <t>AKSHATA</t>
  </si>
  <si>
    <t>PIRAJI</t>
  </si>
  <si>
    <t>FARAKATE</t>
  </si>
  <si>
    <t>Akshata Piraji Farakate</t>
  </si>
  <si>
    <t>p24704008@student.nicmar.ac.in</t>
  </si>
  <si>
    <t>4134 4732 5438</t>
  </si>
  <si>
    <t>PSI (MUMBAI POLICE)</t>
  </si>
  <si>
    <t>Room No-401, A1(Yogesh), Shree Ganesh Chs, Plot No-1, Sector-28, Nerul (West), Navi Mumbai-400706</t>
  </si>
  <si>
    <t>ST. AUGUSTINE'S HIGH SCHOOL</t>
  </si>
  <si>
    <t>S.S. HIGH SCHOOL AND JUNIOR COLLEGE</t>
  </si>
  <si>
    <t>SYMBIOSIS SKILLS AND PROFESSIONAL UNIVERSITY, PUNE</t>
  </si>
  <si>
    <t>AutoCAD,Ms Office, SketchUP, Photoshop, Lumion, Canva, ArcGIS</t>
  </si>
  <si>
    <t>AVINASH NAIK AND ASSOCIATES | ARCHITECT INTERN | KOLHAPUR | Aug 2021 | Dec 2021 | 20.142857142857 Weeks
PUNE METROPOLITAN REGION DEVELOPMENT AUTHORITY (PMRDA) | URBAN PLANNING INTERN | PIMPRI CHINCHWAD | May 2025 | Jul 2025 | 8.5714285714286 Weeks
Archatelie India Pvt. Ltd. | Architectural Designer | Mumbai | Feb 2023 | Sep 2023 | 29.428571428571 Weeks
	Mauli Infrastructure | Architectural Designer &amp; Project Coordinator | Navi Mumbai | Jun 2022 | Jun 2023 | 55.428571428571 Weeks</t>
  </si>
  <si>
    <t>Yoga and Positive Psychology for Managing Career and Life
Studying Cities: Social Science Methods for Urban Research
AI and Disaster Management
Sustainable Regional Principles, Planning and Transportation</t>
  </si>
  <si>
    <t>P24704013</t>
  </si>
  <si>
    <t>VIRESH</t>
  </si>
  <si>
    <t>Viresh Haresh Koli</t>
  </si>
  <si>
    <t>p24704013@student.nicmar.ac.in</t>
  </si>
  <si>
    <t>05-May-2000</t>
  </si>
  <si>
    <t>7186 1738 5801</t>
  </si>
  <si>
    <t>HARESH KOLI</t>
  </si>
  <si>
    <t>JANKI KOLI</t>
  </si>
  <si>
    <t>S/O: Haresh Koli, House No-50-1, Mora Road,
 Near I.N.S Tunir, Uran, Boripakhadi, PO:
 Uran, DIST: Raigarh, 
Maharashtra - 400702</t>
  </si>
  <si>
    <t>ROOM NO. 21, OM CHS, RAM NAGAR COLONY, BAVDHAN, 411021</t>
  </si>
  <si>
    <t>CENTRAL BORAD OF SECONDARY EDUCATION</t>
  </si>
  <si>
    <t>BHARATI VIDYAPEETH PRASHALA AND JUNIOR COLLEGE</t>
  </si>
  <si>
    <t>HSC MAHARASHTRA BOARD</t>
  </si>
  <si>
    <t>VISHWANIKETAN'S INSTITUTE OF MANAGEMENT ENTREPRENEURSHIP AND ENGINEERING TECHNOLOGY</t>
  </si>
  <si>
    <t>AutoCAD, MS Office, Revit, QGIS</t>
  </si>
  <si>
    <t>L&amp;T Construction- Building &amp; Factories IC. | Site Engineer - Civil Execution | Navi Mumbai  | Jan 2023 | May 2024 | 1Y 3M | 3.12</t>
  </si>
  <si>
    <t>VAIBHAV CONSTRUCTION | INTERN | NAVI MUMBAI | Sep 2022 | Jan 2023 | 18.428571428571 Weeks
CIDCO (CITY AND INDUSTRIAL DEVELOPMENT CORPORATION OF MAHARASHTRA) | CITY PLANNING INTERN | NAVI MUMBAI | May 2025 | Jul 2025 | 8.4285714285714 Weeks</t>
  </si>
  <si>
    <t>Sustainable Regional Principles, Planning and Transportation
Studying Cities: Social Science Methods for Urban Research
AI and Disaster Management
Revit
AutoCAD</t>
  </si>
  <si>
    <t>P24704015</t>
  </si>
  <si>
    <t>MEKARTA</t>
  </si>
  <si>
    <t>Manasi Vilas Mekarta</t>
  </si>
  <si>
    <t>p24704015@student.nicmar.ac.in</t>
  </si>
  <si>
    <t>25-Dec-2001</t>
  </si>
  <si>
    <t>P24704017</t>
  </si>
  <si>
    <t>BAPUSAHEB</t>
  </si>
  <si>
    <t>DAGADE</t>
  </si>
  <si>
    <t>Prasad Bapusaheb Dagade</t>
  </si>
  <si>
    <t>prasaddagade2002@gmail.com</t>
  </si>
  <si>
    <t>p24704017@student.nicmar.ac.in</t>
  </si>
  <si>
    <t>23-Nov-2002</t>
  </si>
  <si>
    <t>Marathi,English,Hindi</t>
  </si>
  <si>
    <t>3802 8242 0120</t>
  </si>
  <si>
    <t>4/30, Vitthal Rakhumai Housing Soceity,Hingane Khurd Aapte Colony, Modern Sweet Lane, Sinhgad Road Pune-51</t>
  </si>
  <si>
    <t>SILVER CREST HIGH SCHOOL</t>
  </si>
  <si>
    <t>GOVERNMENT POLYTENHNIC,PUNE</t>
  </si>
  <si>
    <t>SAVITRIBAI PULE PUNE UNIVERSITY</t>
  </si>
  <si>
    <t>RMD SINHGAD TECHICAL INSTITUTE CAMPUS,WARJE</t>
  </si>
  <si>
    <t>Qgis,ArcGISPro,Canva,BIM/Revit</t>
  </si>
  <si>
    <t>Pune Municipal Corporation. | Urban Planner | Pune | May 2025 | Jul 2025 | 8.4285714285714 Weeks</t>
  </si>
  <si>
    <t>P24704024</t>
  </si>
  <si>
    <t>SREE</t>
  </si>
  <si>
    <t>AKULA</t>
  </si>
  <si>
    <t>Navya Sree Akula</t>
  </si>
  <si>
    <t>p24704024@student.nicmar.ac.in</t>
  </si>
  <si>
    <t>VIDYA VANI HIGH SCHOOL</t>
  </si>
  <si>
    <t>JAWAHARLAL NEHRU TECHNOLOGICAL UNIVERSITY, HYDERABAD</t>
  </si>
  <si>
    <t>INSTITUTE OF AERONAUTICAL ENGINEERING, DUNDIGAL, HYDERABAD</t>
  </si>
  <si>
    <t>Sketchup ,QGIS,Revit</t>
  </si>
  <si>
    <t>CENTRAL WATER COMMISSION | INTERN | HYDERABAD | Feb 2023 | Mar 2023 | 6.4285714285714 Weeks
NESTUP SPACE PVT LTD | DESIGNER | HYDERABAD | Apr 2024 | Jun 2024 | 12.857142857143 Weeks
National Institute of Urban Management (NIUM)  | INTERN | HYDERABAD | May 2025 | Jul 2025 | 7.7142857142857 Weeks</t>
  </si>
  <si>
    <t>P24704028</t>
  </si>
  <si>
    <t>Varsha Shetty S</t>
  </si>
  <si>
    <t>varshashetty32@gmail.com</t>
  </si>
  <si>
    <t>p24704028@student.nicmar.ac.in</t>
  </si>
  <si>
    <t>Kannada,Hindi,English</t>
  </si>
  <si>
    <t>Painting &amp; sketching,Crochet,Watching TV shows &amp; Movies,Listening Music &amp; Podcast,Baking</t>
  </si>
  <si>
    <t>5945 7243 0676</t>
  </si>
  <si>
    <t>SURESH M</t>
  </si>
  <si>
    <t>LAKSHMI</t>
  </si>
  <si>
    <t>779/780 13th CROSS 23RD MAIN 2ND PHASE JP NAGAR BANAGLORE 560078</t>
  </si>
  <si>
    <t>BETHANY HIGH SCHOOL</t>
  </si>
  <si>
    <t>NEHRU SMARKA VIDYALAYA</t>
  </si>
  <si>
    <t>Sketchup,Enscape,Limion,Rhino,Grasshopper,QGIS,ARC GIS,ARC MAP,SPSS,Mendeley</t>
  </si>
  <si>
    <t>STUDIO 69  | INTERN  | JAYNAGAR BANAGLORE | Aug 2022 | Dec 2022 | 16 Weeks
TECH COMM URBAN MANAGEMENT AND CONSULTANCY  | INTERN  | PUNE  | May 2025 | Jul 2025 | 8.7142857142857 Weeks</t>
  </si>
  <si>
    <t>P24704030</t>
  </si>
  <si>
    <t>Sumathi</t>
  </si>
  <si>
    <t>Aishwarya Sumathi</t>
  </si>
  <si>
    <t>28aishwaryas@gmail.com</t>
  </si>
  <si>
    <t>p24704030@student.nicmar.ac.in</t>
  </si>
  <si>
    <t>Kannada,English,Hindi</t>
  </si>
  <si>
    <t>Cooking,Music,Watching Shows</t>
  </si>
  <si>
    <t>8063 3372 2013</t>
  </si>
  <si>
    <t>0000000000</t>
  </si>
  <si>
    <t>SUMATHI</t>
  </si>
  <si>
    <t>81, "Sathya's Mansion", 1st A Cross, 2nd B Main, Classic Pleasant Villa Layout, Kembattahalli, JP Nagar 8th Phase, Bangalore - 560083</t>
  </si>
  <si>
    <t>THE OXFORD ENGLISH SCHOOL</t>
  </si>
  <si>
    <t>ICSE BOARD, BANGALORE URBAN</t>
  </si>
  <si>
    <t>BANGALORE INTERNATIONAL ACADEMY</t>
  </si>
  <si>
    <t>CBSE BOARD, BANGALORE URBAN</t>
  </si>
  <si>
    <t>VISHVESVARAYA TECHNOLOGICAL UNIVERSITY</t>
  </si>
  <si>
    <t>RNS SCHOOL OF ARCHITECTURE, BANGALORE URBAN</t>
  </si>
  <si>
    <t>SketchUP,Photoshop,QGIS,Mendeley,VosViewer,InfraNodus,SPSS,ArcMAp</t>
  </si>
  <si>
    <t>Siddhi Architects and Interior Designers  | Architectural Intern | Yelachenahalli, Bangalore  | Aug 2022 | Dec 2022 | 18.285714285714 Weeks
TECHCOMM URBAN MANGEMENT CONSULTANTS &amp; SERVICE PROVIDER	 | URBAN PLANNING INTERN | PUNE | May 2025 | Jul 2026 | 60.714285714286 Weeks</t>
  </si>
  <si>
    <t>MBA-SEM</t>
  </si>
  <si>
    <t>P24706002</t>
  </si>
  <si>
    <t>BHOLE</t>
  </si>
  <si>
    <t>KAUMUDI</t>
  </si>
  <si>
    <t>Bhole Kaumudi Vivek</t>
  </si>
  <si>
    <t>p24706002@student.nicmar.ac.in</t>
  </si>
  <si>
    <t>13-Mar-1999</t>
  </si>
  <si>
    <t>2340 9926 4993</t>
  </si>
  <si>
    <t>VIVEK DATTATRAY BHOLE</t>
  </si>
  <si>
    <t>YOGITA VIVEK BHOLE</t>
  </si>
  <si>
    <t>HOUSE NUMBER 886,887, CHAVDAR TALE, MAHAD, RAIGAD</t>
  </si>
  <si>
    <t>MILLENIUM GIRLS HOSTEL, NICMAR UNIVERSITY, BANER, PUNE</t>
  </si>
  <si>
    <t xml:space="preserve"> KONKAN EDUCATION SOCIETY'S PARVATIBAI MAHADEV THERVAL KANYA VIDYALAYA, MAHAD, RAIGAD</t>
  </si>
  <si>
    <t>SECONDARY SCHOOL CERTIFICATE MAHARASHTRA BOARD</t>
  </si>
  <si>
    <t>LAXMANRAO APTE JUNIOR COLLEGE, SHIVAJINAGAR, PUNE</t>
  </si>
  <si>
    <t>HIGHER SECONDARY CERTIFICATE MAHARASHTRA BOARD</t>
  </si>
  <si>
    <t>MIT WORLD PEACE UNIVERSITY, KOTHRUD, PUNE</t>
  </si>
  <si>
    <t xml:space="preserve"> MIT WORLD PEACE UNIVERSITY, KOTHRUD, PUNE</t>
  </si>
  <si>
    <t>MS Office,Primavera</t>
  </si>
  <si>
    <t>Swastik Edustart | GIS Intern | Delhi | May 2025 | Jul 2025 | 8.7142857142857 Weeks
GIS VISION INDIA | GIS Trainee | Assam | Apr 2023 | Jun 2023 | 12.857142857143 Weeks</t>
  </si>
  <si>
    <t>P24706005</t>
  </si>
  <si>
    <t>BORRA</t>
  </si>
  <si>
    <t>Ajay Kiran Borra</t>
  </si>
  <si>
    <t>p24706005@student.nicmar.ac.in</t>
  </si>
  <si>
    <t>30-Apr-2001</t>
  </si>
  <si>
    <t>5690 6461 9810</t>
  </si>
  <si>
    <t>B APPA RAO</t>
  </si>
  <si>
    <t>EXPIRED</t>
  </si>
  <si>
    <t>B AMMAJAMMA</t>
  </si>
  <si>
    <t>H NO 2-2-80/1;Kotturu Narasingrao Peta; Anakapalli Mandalam; Visakhapatnam</t>
  </si>
  <si>
    <t>GOOD SHEPHERD ENGLISH MEDIUM SCHOOL</t>
  </si>
  <si>
    <t>JAWAHARLAL NEHRU TECHNOLOGICAL UNIVERSITY, VIZIANAGARAM</t>
  </si>
  <si>
    <t>BABA INSTITUTE OF TECHNOLOGY &amp; SCIENCES</t>
  </si>
  <si>
    <t>2024-Feb</t>
  </si>
  <si>
    <t>Auto CAD,MS Office,Primavera,C Programming</t>
  </si>
  <si>
    <t>URALUNGAL LABOUR CONTRACT CO-OPERATIVE SOCIETY (ULCCS) LTD | ENERGY MANAGEMENT INTERN | KOZHIKODE,KERALA | May 2025 | Jul 2025 | 8.7142857142857 Weeks</t>
  </si>
  <si>
    <t>Master Class On Python Programming
Manufacturing-CNC-Turning
AutoCAD 2D &amp; 3D</t>
  </si>
  <si>
    <t>P24706012</t>
  </si>
  <si>
    <t>RUCHI</t>
  </si>
  <si>
    <t>PRAVINKUMAR</t>
  </si>
  <si>
    <t>MALPANI</t>
  </si>
  <si>
    <t>Ruchi Pravinkumar Malpani</t>
  </si>
  <si>
    <t>p24706012@student.nicmar.ac.in</t>
  </si>
  <si>
    <t>French,Marathi</t>
  </si>
  <si>
    <t>5760 7220 6629</t>
  </si>
  <si>
    <t>PRAVINKUMAR MALPANI</t>
  </si>
  <si>
    <t>ARCHITECT AND INTERIOR DESIGNER</t>
  </si>
  <si>
    <t>SUSHAMA MALPANI</t>
  </si>
  <si>
    <t>Plot No.10 , Omsparshh Momentum Bungalow, Vivekanand Nagar, Behind Madhur Food Plaza, Pipeline Road, Gangapur Road</t>
  </si>
  <si>
    <t>KILBIL ST.JOSEPH'S HIGH SCHOOL</t>
  </si>
  <si>
    <t>MAHARASHTRA STATE BOARD, NASHIK</t>
  </si>
  <si>
    <t>H.P.T ARTS AND R.Y.K SCIENCE COLLEGE</t>
  </si>
  <si>
    <t>MET'S SCHOOL OF ARCHITECTURE AND INTERIOR DESIGN, NASHIK, MAHARASHTRA</t>
  </si>
  <si>
    <t>AutoCAD,Ms Office, Primavera,other</t>
  </si>
  <si>
    <t>Hundreddesigns | Architectural Intern | Surat | Jun 2022 | Nov 2022 | 23 Weeks
PRASURMA DESIGNS | Junior Architect | NASHIK | Jun 2023 | Jun 2024 | 54.428571428571 Weeks
GRATTITUDE SYNERGY LLP |  SUSTAINABILITY ADVISORY INTERN | PUNE | May 2025 | Jul 2025 | 8.7142857142857 Weeks</t>
  </si>
  <si>
    <t>Linkedin Learning - What is Generative AI ?
Dronalaya - 10 day residential career skills booster program
NPTEL Online Certification - Technologies for Clean and Renewable Energy Production
Energy Audits conducted by Schneider Electric University
NPTEL Online Certification - Design Thinking (IIT Madras)
Council of Architecture (COA) Registration</t>
  </si>
  <si>
    <t>P24706013</t>
  </si>
  <si>
    <t>ARPAN</t>
  </si>
  <si>
    <t>TEWARI</t>
  </si>
  <si>
    <t>Arpan Tewari</t>
  </si>
  <si>
    <t>p24706013@student.nicmar.ac.in</t>
  </si>
  <si>
    <t>24-Jul-1995</t>
  </si>
  <si>
    <t>Hindi</t>
  </si>
  <si>
    <t>5036 8087 6833</t>
  </si>
  <si>
    <t>ASHWANI TEWARI</t>
  </si>
  <si>
    <t>RETIRED DEPUTY DIRECTOR DGCA</t>
  </si>
  <si>
    <t>MANISHA TEWARI</t>
  </si>
  <si>
    <t>RETIRED JOINT DIRECTOR LOK SABHA</t>
  </si>
  <si>
    <t>D-21, Shyam Vihar Phase 1, Road Number 5, Street Number 7, Najafgarh, NCT Delhi</t>
  </si>
  <si>
    <t>SHANTI GYAN NIKETAN SENIOR SECONDARY PUBLIC SCHOOL</t>
  </si>
  <si>
    <t>LOVELY PROFESSIONAL UNIVERSITY, PUNJAB</t>
  </si>
  <si>
    <t>LOVELY SCHOOL OF ARCHITECTURE AND DESIGN, LOVELY PROFESSIONAL UNIVERSITY, PUNJAB</t>
  </si>
  <si>
    <t>AutoCADMS Office,Primavera,other</t>
  </si>
  <si>
    <t xml:space="preserve"> Chapman Taylor India LLP | Architect and BIM Coordinator | Safdarjung, New Delhi | Aug 2023 | Mar 2024 | 0Y 7M | 7.92
Tekton Studio | Senior Architect | Daryaganj, New Delhi | Oct 2020 | Dec 2022 | 2Y 1M | 3
Creative Group LLP | BIM Architect | Description: Roles &amp; Responsibilities: Projects: Gwalior Airport, Faridabad Railway Station, Howrah Railway Station Redevelopment, Rajkot Airport and NIT Patna Prepared architectural and working drawings, coordinated building services, and managed site an | Dec 2022 | Aug 2023 | 0Y 7M | 4.44</t>
  </si>
  <si>
    <t>Renu Khanna and Associates |  Architecture Internship | Panchkula, Chandigarh | Jan 2019 | May 2019 | 17.714285714286 Weeks
Ecoboard Industries Limited | Summer Intern | Erandwane, Pune, Maharashtra | May 2025 | Jul 2025 | 8 Weeks</t>
  </si>
  <si>
    <t>Business Analyst
Technologies for Clean and Renewable Energy Production
IIT Madras - Design Thinking
Craste Internship Certification</t>
  </si>
  <si>
    <t>P24706014</t>
  </si>
  <si>
    <t>UKIDAVE</t>
  </si>
  <si>
    <t>Janhavi Girish Ukidave</t>
  </si>
  <si>
    <t>p24706014@student.nicmar.ac.in</t>
  </si>
  <si>
    <t>23-Feb-2000</t>
  </si>
  <si>
    <t>Hindi,Marathi</t>
  </si>
  <si>
    <t>2080 1494 8980</t>
  </si>
  <si>
    <t>UMA</t>
  </si>
  <si>
    <t>Flat No 4, Bldg No 1, Tapovan CHS, Tapodham Rd,Warje,Pune</t>
  </si>
  <si>
    <t>BHARATIYA VIDYA BHAVAN PARANJAPE VIDYA MANDIR</t>
  </si>
  <si>
    <t>THE MAHARASHTRA STATE BOARD OF SECONDARY &amp; HIGHER SECONDARY EDUCATION</t>
  </si>
  <si>
    <t>DR .B . N. COLLEGE OF ARCHITECTURE, PUNE</t>
  </si>
  <si>
    <t>Studio G+A |  Junior Architect | Pune | Jul 2023 | May 2024 | 0Y 10M | 2.05</t>
  </si>
  <si>
    <t>Footprints E.A.R.T.H | Architectural Intern | Ahmedabad,Gujrat | May 2022 | Nov 2022 | 26.571428571429 Weeks
SHASHWAT Green Building Consultants | Green building Intern | Pune | May 2025 | Jul 2025 | 8.7142857142857 Weeks</t>
  </si>
  <si>
    <t>P25702081</t>
  </si>
  <si>
    <t>TANYA</t>
  </si>
  <si>
    <t>Tanya Singh</t>
  </si>
  <si>
    <t>tanya.dps99@gmail.com</t>
  </si>
  <si>
    <t>p25702081@student.nicmar.ac.in</t>
  </si>
  <si>
    <t>30-May-1999</t>
  </si>
  <si>
    <t>9908 9535 3395</t>
  </si>
  <si>
    <t>NAVEEN KR. SINGH</t>
  </si>
  <si>
    <t>SPM</t>
  </si>
  <si>
    <t>SEEMA SINGH</t>
  </si>
  <si>
    <t>A1-303, ARAVALI ENCLAVE, SECTOR-12,_x000D_
VRINDAVAN COLONY</t>
  </si>
  <si>
    <t>DELHI PUBLIC SCHOOL ALLAHABAD</t>
  </si>
  <si>
    <t>CENTRAL BOARD OF SECONDARY EXAMINATION, DELHI</t>
  </si>
  <si>
    <t>AutoCAD,MS Office,PHOTOSHOP,REVIT,LUMION,ENSCAPE,SKETCHUP</t>
  </si>
  <si>
    <t>PNC Infratech Limited  | Contract Model, Financial Engineering and Site Execution  | Pune  | May 2026 | Jul 2026 | 9.5714285714286 Weeks | Campus Internship
Concept Designers | Junior Architect | Lucknow | Sep 2023 | Dec 2024 | 69.571428571429 Weeks
M.K. Singh &amp; Associates | Trainee Architect | Prayagraj | Jan 2022 | May 2022 | 17.142857142857 Weeks</t>
  </si>
  <si>
    <t>Sustainable Urban Water Systems
Urban Land Economics and Real Estate Market Dynamics
Corporate Finance</t>
  </si>
  <si>
    <t>P25702082</t>
  </si>
  <si>
    <t>PARAB</t>
  </si>
  <si>
    <t>Abhishek Sunil Parab</t>
  </si>
  <si>
    <t>abhishek.parab005@gmail.com</t>
  </si>
  <si>
    <t>p25702082@student.nicmar.ac.in</t>
  </si>
  <si>
    <t>5282 7926 1711</t>
  </si>
  <si>
    <t>SUNIL NARAYAN PARAB</t>
  </si>
  <si>
    <t>SONALI SUNIL PARAB</t>
  </si>
  <si>
    <t>C-14/3, P&amp;T Colony, Sahar Road, Andheri East</t>
  </si>
  <si>
    <t>OUR LADY OF HEALTH HIGH SCHOOL</t>
  </si>
  <si>
    <t>THAKUR POLYTECHNIC, MUMBAI</t>
  </si>
  <si>
    <t>UNIVERSAL COLLEGE OF ENGINEERING</t>
  </si>
  <si>
    <t>AutoCAD,MS Office,MS Project,Primavera,Revit,Naviswork,BIM 360,ACC,Civil 3D,Canva</t>
  </si>
  <si>
    <t>Transven Consulting Pvt Ltd | BIM Modeler (Senior) | Mumbai | Jun 2024 | Apr 2025 | 0Y 10M | 4.32
Chemionix E Solutions | BIM Engineer | Mumbai | Nov 2022 | Jan 2024 | 1Y 2M | 2.82</t>
  </si>
  <si>
    <t>Axykno Capital Services  | Finance Intern | Nagpur | May 2026 | Jul 2026 | 8.7142857142857 Weeks | Campus Internship
ACE Project Management Consultant | Trainee engineer | Mumbai | Dec 2021 | Feb 2022 | 8.1428571428571 Weeks
Chemionix e Solutions | BIM Intern | Mumbai | Aug 2022 | Nov 2022 | 13.142857142857 Weeks</t>
  </si>
  <si>
    <t>P25702083</t>
  </si>
  <si>
    <t>Patel Priyansh Deepak</t>
  </si>
  <si>
    <t>priyanshpatel.1504@gmail.com</t>
  </si>
  <si>
    <t>p25702083@student.nicmar.ac.in</t>
  </si>
  <si>
    <t>15-Sep-2004</t>
  </si>
  <si>
    <t>7087 9098 8794</t>
  </si>
  <si>
    <t>PATEL DEEPAK PRIYAKANT</t>
  </si>
  <si>
    <t>PATEL BHAVITA DEEPAK</t>
  </si>
  <si>
    <t>E-104, SEPAL RESIDENCY BEHIND GANGOTRI PARTY PLOT, SAMA SAVLI ROAD, SAMA, VADODARA</t>
  </si>
  <si>
    <t>112-1,Panchmukhi Madhav Pole, Opposite Amdavadi Pole, Raopura, Vadodara.</t>
  </si>
  <si>
    <t>GUJARAT SECONDARY &amp; HIGHER SECONDARY BOARD</t>
  </si>
  <si>
    <t>NAVRACHANA VIDYANI VIDHAYALAY</t>
  </si>
  <si>
    <t>NAVRACHANA UNIVERSITY</t>
  </si>
  <si>
    <t>VADODARA, GUJARAT</t>
  </si>
  <si>
    <t>MS Office,MS Project,Excel,PowerBI,IBM SPSS</t>
  </si>
  <si>
    <t>SEAL FOR LIFE INDUSTRIES | Intern | Vadodara | May 2024 | Jul 2024 | 5.2857142857143 Weeks</t>
  </si>
  <si>
    <t>P25702084</t>
  </si>
  <si>
    <t>PIMPLE</t>
  </si>
  <si>
    <t>Yash Anil Pimple</t>
  </si>
  <si>
    <t>yashpimpale7@gmail.com</t>
  </si>
  <si>
    <t>p25702084@student.nicmar.ac.in</t>
  </si>
  <si>
    <t>20-Aug-2002</t>
  </si>
  <si>
    <t>2966 8180 8198</t>
  </si>
  <si>
    <t>ANIL SHANTARAM PIMPLE</t>
  </si>
  <si>
    <t>BUILDER/CONTRACTOR</t>
  </si>
  <si>
    <t>APURVA ANIL PIMPLE</t>
  </si>
  <si>
    <t>B-106 Shrushti Shobha Apartment, Near Navdeep Sarees, Tembhode Road, Palghar</t>
  </si>
  <si>
    <t>TWINKLE STAR ENGLISH HIGH SCHOOL</t>
  </si>
  <si>
    <t>ST. JOHN COLLEGE OF ENGINEERING AND MANAGEMENT, PALGHAR, MAHARASHTRA</t>
  </si>
  <si>
    <t>MS Office,MS Project, Candy</t>
  </si>
  <si>
    <t>Bangalore Metro Rail Corporation Limited (BMRCL) | Site Execution Intern | Bangalore | May 2026 | Jul 2026 | 8.7142857142857 Weeks | Campus Internship</t>
  </si>
  <si>
    <t>P25702085</t>
  </si>
  <si>
    <t>Sakshi Rajesh Mane</t>
  </si>
  <si>
    <t>p25702085@student.nicmar.ac.in</t>
  </si>
  <si>
    <t>13-Feb-2000</t>
  </si>
  <si>
    <t>BADMINTON,DESIGNING,DANCING,TRAVELLING,PHOTOGRAPHY,COOKING</t>
  </si>
  <si>
    <t>3795 9001 3698</t>
  </si>
  <si>
    <t>MANGAL VASTRA ALANKAR, PUSESAWALI, SATARA</t>
  </si>
  <si>
    <t>SWAMI VIVEKANAND JUNIOR COLLEGE</t>
  </si>
  <si>
    <t>MAHARASHTRA STATE BOARD OF EDUCATION, MUMBAI, MAHARASHTRA</t>
  </si>
  <si>
    <t>VIVEKANAND EDUCATION SOCIETY'S COLLEGE OF ARCHITECTURE, MUMBAI, MAHARASHTRA</t>
  </si>
  <si>
    <t>TEAM ONE ARTEq  Pvt. Ltd. | JR Architect | BKC, Mumbai | Jul 2023 | Apr 2024 | 0Y 9M | 2.5</t>
  </si>
  <si>
    <t>SUPRABHA CONSTRUCTION COMPANY PVT.LTD |  Sales-marketing and documentaion-tendering process | Nashik | May 2026 | Jul 2026 | 9.5714285714286 Weeks | Campus Internship
GA DESIGN CONSULTANTS LLP | ARCHITECT INTERN | CHEMBUR, MUMBAI | Dec 2021 | Apr 2022 | 20 Weeks</t>
  </si>
  <si>
    <t>P25702086</t>
  </si>
  <si>
    <t>KARTHIGEYAN</t>
  </si>
  <si>
    <t>Karthigeyan M S</t>
  </si>
  <si>
    <t>karthigeyanms5@gmail.com</t>
  </si>
  <si>
    <t>p25702086@student.nicmar.ac.in</t>
  </si>
  <si>
    <t>ENGLISH,TAMIL,MALAYALAM,HINDI</t>
  </si>
  <si>
    <t>Chess,Music,Design</t>
  </si>
  <si>
    <t>3511 5312 7205</t>
  </si>
  <si>
    <t>SWAMINATHAN A</t>
  </si>
  <si>
    <t>GEETHANJALI N</t>
  </si>
  <si>
    <t>No.79,5th Street, Ponnammal Garden, Thottipalayam Road, Karamadai, Coimbatore,Tamil Nadu. 641104</t>
  </si>
  <si>
    <t>SVGV MATRICULATION HR SEC SCHOOL KARAMADAI COIMBATORE</t>
  </si>
  <si>
    <t>SVGV MATRICULATION HR SEC SCHOOL KARAMADAI</t>
  </si>
  <si>
    <t>MANIPAL SCHOOL OF ARCHITECTURE AND PLANNING, MANIPAL.</t>
  </si>
  <si>
    <t>AutoCAD, Autodesk Revit, Microsoft Project, Primavera, MS Excel, MS Office, Candy, @Risk, Sketch Up, Lumion</t>
  </si>
  <si>
    <t>Quadometry Designs (OPC) | Junior Architect | Bengaluru | Jul 2024 | Nov 2024 | 0Y 3M | 2.4
Sankar and Associates | Junior Architect | Coimbatore | Dec 2024 | May 2025 | 0Y 5M | 1.81</t>
  </si>
  <si>
    <t>Knight Frank India | Valuations and Advisory Services Intern | Bengaluru | May 2026 | Jul 2026 | 9.1428571428571 Weeks | Campus Internship
SHIBANEE+KAMAL ARCHITECTS (TOTAL ENVIRONMENT) | ARCHITECTURAL DESIGN INTERN | BENGALURU | Jan 2023 | May 2023 | 17.714285714286 Weeks</t>
  </si>
  <si>
    <t>Corporate Finance by IIT Kharagpur
Smart Cities - Management of Smart Urban Infrastructures by Ecole Polytechnique Federale de Lausanne
Managing Responsibly: Practicing Sustainability, Responsibility and Ethics by University of Manchester
Vulnerability Assessment and Resilience Development for Human Habitats by the National Institute of Disaster Management (Ministry of Home Affairs, Govt. of India)
Research Methodologies by Queen Mary University of London</t>
  </si>
  <si>
    <t>P25702089</t>
  </si>
  <si>
    <t>BHUVAN</t>
  </si>
  <si>
    <t>SUGOOR</t>
  </si>
  <si>
    <t>KS</t>
  </si>
  <si>
    <t>Bhuvan Sugoor Ks</t>
  </si>
  <si>
    <t>bhuvansugoor37@gmail.com</t>
  </si>
  <si>
    <t>p25702089@student.nicmar.ac.in</t>
  </si>
  <si>
    <t>2502 9645 0592</t>
  </si>
  <si>
    <t>SATHYANARAYANA K.A</t>
  </si>
  <si>
    <t>SAVITHA P</t>
  </si>
  <si>
    <t>Ashok Nagar_x000D_
Near Sharadhamba College</t>
  </si>
  <si>
    <t>ARVIND INTERNATIONAL HIGH SCHOOL</t>
  </si>
  <si>
    <t>KARNATAKA SECONDARY EDUCATION BOARD</t>
  </si>
  <si>
    <t>MAHESH PU COLLEGE TUMKUR</t>
  </si>
  <si>
    <t>DEPARTMENT OF PRE UNIVERSITY EDUCATION KARNATAKA</t>
  </si>
  <si>
    <t>VISVESVARAYA TECHNOLOGICAL UIVERSITY, BELAGAVI</t>
  </si>
  <si>
    <t>SIDDAGANGA INSTITUTE OF TECHNOLOGY, TUMKUR, KARNATAKA</t>
  </si>
  <si>
    <t>Infra Support Engineering Consultant Pvt. Ltd | Project Engineer | Chitradurga, Karnataka  | Oct 2024 | May 2025 | 0Y 7M | 1.92</t>
  </si>
  <si>
    <t>Address Advisors  | Business Developer Intern  | Bengaluru  | May 2026 | Jul 2026 | 9.5714285714286 Weeks | Campus Internship</t>
  </si>
  <si>
    <t>Certificate for plumbing course and emulsion application at Asian Paints
Training on Construction Management
Housing Policy &amp; Planning
Indian Town Planning and Architecture
Sustainable Urban Water Systems
Introduction to Corporate Communications
Urban Land Economics and Real Estate Market Dynamics
Real Estate Development: Building Value in Your Community</t>
  </si>
  <si>
    <t>P25702090</t>
  </si>
  <si>
    <t>RAMTEKE</t>
  </si>
  <si>
    <t>Yash Atul Ramteke</t>
  </si>
  <si>
    <t>yash11klose@gmail.com</t>
  </si>
  <si>
    <t>p25702090@student.nicmar.ac.in</t>
  </si>
  <si>
    <t>27-Sep-1999</t>
  </si>
  <si>
    <t>Music Production,Football,Dj</t>
  </si>
  <si>
    <t>8997 4079 6015</t>
  </si>
  <si>
    <t>ATUL RAMTEKE</t>
  </si>
  <si>
    <t>PRITI RAMTEKE</t>
  </si>
  <si>
    <t>Plot No: 377, Yashoda Building, Kamptee Road, Near Indora Police Chowki, Indora, Bezonbagh, Nagpur.</t>
  </si>
  <si>
    <t>TULI PUBLIC SCHOOL</t>
  </si>
  <si>
    <t>DADA RAMCHAND BAKHRU SINDHU MAHAVIDYALAYA</t>
  </si>
  <si>
    <t>SHRI DATTA MEGHE POLYTECHNIC</t>
  </si>
  <si>
    <t>MIT-ADT UNIVERSITY</t>
  </si>
  <si>
    <t>MIT-SOES, PUNE</t>
  </si>
  <si>
    <t>AutoCAD,MS Office,MS Project,Primavera,Fl Studio (Sound Production),Abelton (Sound Production)</t>
  </si>
  <si>
    <t>Swami PMC LLP | Intern | Mumbai | May 2026 | Jul 2026 | 8 Weeks | Campus Internship</t>
  </si>
  <si>
    <t>P25702091</t>
  </si>
  <si>
    <t>MUKESHKUMAR</t>
  </si>
  <si>
    <t>Om Mukeshkumar Patel</t>
  </si>
  <si>
    <t>ompatel7320@gmail.com</t>
  </si>
  <si>
    <t>p25702091@student.nicmar.ac.in</t>
  </si>
  <si>
    <t>9608 0143 5478</t>
  </si>
  <si>
    <t>MUKESHKUMAR M PATEL</t>
  </si>
  <si>
    <t>PRAVINABEN M PATEL</t>
  </si>
  <si>
    <t>101, Samarpan Society, Sec-9, Moshi, Pune- 412105</t>
  </si>
  <si>
    <t>B.S.MEMORIAL SCHOOL</t>
  </si>
  <si>
    <t>PRATIBHA JR. COLLAGE</t>
  </si>
  <si>
    <t>INDIRA INSTITUTE OF MANAGEMENT, PUNE, MAHARASHTRA</t>
  </si>
  <si>
    <t>MS Office,MS Project,Canva,wix,zero bounce</t>
  </si>
  <si>
    <t>Kesar High Street | Sales Intern | Pune | May 2026 | Jul 2026 | 8.7142857142857 Weeks | Campus Internship
Rajshree Landmark LLP | Sales Executive | Dudulgaon, Moshi, Pune | Jun 2024 | Nov 2024 | 26 Weeks</t>
  </si>
  <si>
    <t>Linked In Learning (Advertising on Facebook 2022)
Linked In Learning (Advertising on Youtube 2020)</t>
  </si>
  <si>
    <t>P25702093</t>
  </si>
  <si>
    <t>RATNAKUMAR</t>
  </si>
  <si>
    <t>HIRASKAR</t>
  </si>
  <si>
    <t>Shreyas Ratnakumar Hiraskar</t>
  </si>
  <si>
    <t>hiraskarshreyas7@gmail.com</t>
  </si>
  <si>
    <t>p25702093@student.nicmar.ac.in</t>
  </si>
  <si>
    <t>04-Sep-2002</t>
  </si>
  <si>
    <t>Outdoor Sports,Video Games,Drawing,Art &amp; Craft</t>
  </si>
  <si>
    <t>3314 2364 7042</t>
  </si>
  <si>
    <t>Shivpooja Residency, Flat 3, Plot 104, Sector 4, Santnagar, Moshi Pradhikaran, Pune</t>
  </si>
  <si>
    <t>MARATHWADA MITRA MANDAL'S INSTITUTE OF TECHNOLOGY LOHEGAON PUNE</t>
  </si>
  <si>
    <t>Pave-tech Consultants | Site Execution Intern | Kiwale, Ravet, Pune | May 2026 | Jul 2026 | 9.4285714285714 Weeks | Campus Internship
Shree Ashtavinayak Developers | Intern | Pune | Feb 2023 | Feb 2023 | 3.8571428571429 Weeks</t>
  </si>
  <si>
    <t>P25702094</t>
  </si>
  <si>
    <t>Anuj Uttam Patil</t>
  </si>
  <si>
    <t>anujpatil7025@gmail.com</t>
  </si>
  <si>
    <t>p25702094@student.nicmar.ac.in</t>
  </si>
  <si>
    <t>01-May-2002</t>
  </si>
  <si>
    <t>8750 6192 4313</t>
  </si>
  <si>
    <t>UTTAM ANANDARAO PATIL</t>
  </si>
  <si>
    <t>USHA UTTAM PATIL</t>
  </si>
  <si>
    <t>A/P Arag</t>
  </si>
  <si>
    <t>ARAG HIGHSCHOOL, ARAG, SANGLI</t>
  </si>
  <si>
    <t>SANYOOGITA PATIL CAMBRIDGE SCHOOL AND JR. COLLEGE, MIRAJ</t>
  </si>
  <si>
    <t>DBATU, LONERE</t>
  </si>
  <si>
    <t>PADMABHOOSHAN VASANTRAODADA PATIL INSTITUTE OF TECHNOLOGY,BUDHGAON</t>
  </si>
  <si>
    <t>AutoCAD, Microsoft Project, Primavera p6, Microsoft office</t>
  </si>
  <si>
    <t>Vardhaman Amrante Pvt. Ltd. | Planning &amp; Monitoring of Finishing Sequence | Ludhiana, Panjab | May 2026 | Jul 2026 | 9.5714285714286 Weeks | Campus Internship
Shivgayatri Buildcon Pvt Ltd | Jr. Engineer | Sangli | Mar 2024 | Apr 2025 | 60.285714285714 Weeks</t>
  </si>
  <si>
    <t xml:space="preserve">Urban Land Economics and Real Estate Market Dynamics
Sustainable Urban Water Systems
Asian Paints Participation
Infrastructure Economics 
Business Writing  
Introduction to Corporate Finance
Real Estate Development: Building Value in Your Community
Indian Town planning &amp; Architecture </t>
  </si>
  <si>
    <t>P25702095</t>
  </si>
  <si>
    <t>PASHAM</t>
  </si>
  <si>
    <t>Pasham Akshith Yadav</t>
  </si>
  <si>
    <t>akshithyadavpasham6.0@gmail.com</t>
  </si>
  <si>
    <t>p25702095@student.nicmar.ac.in</t>
  </si>
  <si>
    <t>06-Jan-2004</t>
  </si>
  <si>
    <t>3549 1506 4361</t>
  </si>
  <si>
    <t>PASHAM RAMESH YADAV</t>
  </si>
  <si>
    <t>PASHAM ANITHA YADAV</t>
  </si>
  <si>
    <t>7-1-92, VANI NAGAR, FEROZGUDA, Kukatpally, Hyderabad.</t>
  </si>
  <si>
    <t>ST PETERS HIGH SCHOOL</t>
  </si>
  <si>
    <t>PAGE JUNIOR COLLEGE</t>
  </si>
  <si>
    <t>MANIPAL SCHOOL OF ECONOMICS AND COMMERCE</t>
  </si>
  <si>
    <t>MS Office,MS Project,Primavera,POWER BI,TABLEAU</t>
  </si>
  <si>
    <t>Risinia Builders | Project Coordination | Hyderabad | Dec 2024 | Apr 2025 | 17.142857142857 Weeks
Lalitha FoodTech Pvt Ltd | Finance Intern  | Hyderabad | Jan 2023 | May 2023 | 17 Weeks
Instabites | Finance and Marketing  Intern  | Hyderabad | Apr 2025 | Jun 2025 | 8.7142857142857 Weeks
E construct design and build pvt ltd  | Market and feasibility analysis  | Banglore  | May 2026 | Jul 2026 | 12.428571428571 Weeks</t>
  </si>
  <si>
    <t>Create Social Media Dashboards in Tableau
Foundations of Business Strategy
Entrepreneurship I: Laying the Foundation</t>
  </si>
  <si>
    <t>P25702096</t>
  </si>
  <si>
    <t>KETAKI</t>
  </si>
  <si>
    <t>JAYANT</t>
  </si>
  <si>
    <t>MUNDIWALE</t>
  </si>
  <si>
    <t>Ketaki Jayant Mundiwale</t>
  </si>
  <si>
    <t>ketakimundiwale1309@gmail.com</t>
  </si>
  <si>
    <t>p25702096@student.nicmar.ac.in</t>
  </si>
  <si>
    <t>Sports (Badminton),Trekking,Sketching and painting,Reading</t>
  </si>
  <si>
    <t>8963 1196 3877</t>
  </si>
  <si>
    <t>JAYANT SHAMRAO MUNDIWALE</t>
  </si>
  <si>
    <t>ELECTRICAL ENGINEER</t>
  </si>
  <si>
    <t>SEEMA JAYANT MUNDIWALE</t>
  </si>
  <si>
    <t>Plot No. 137, Bhausaheb Surve Nagar, Jaitala Road</t>
  </si>
  <si>
    <t>D. Y. PATIL INTERNATIONAL SCHOOL, MIHAN</t>
  </si>
  <si>
    <t>INTERNATIONAL GENERAL CERTIFICATE OF SECONDARY EDUCATION, NAGPUR</t>
  </si>
  <si>
    <t>ST. XAVIERS HIGH SCHOOL, HINGNA BRANCH</t>
  </si>
  <si>
    <t>BHARATI VIDYAPEETH (DEEMED TO BE) UNIVERSITY, PUNE</t>
  </si>
  <si>
    <t>BHARATI VIDYAPEETH COLLEGE OF ARCHITECTURE, PUNE, MAHARASHTRA</t>
  </si>
  <si>
    <t>AutoCAD,MS Office,MS Project,Lumion,Photoshop,sketchup</t>
  </si>
  <si>
    <t>K&amp;J Projects pvt. ltd. | Project Management Intern | Nagpur | May 2026 | Jul 2026 | 8.7142857142857 Weeks | Campus Internship
Yo+ Architects | Architecture Intern | Pune | Jan 2016 | May 2024 | 433.71428571429 Weeks</t>
  </si>
  <si>
    <t>Housing Policy and Planning
Urban Land Economics and Real Estate Market Dynamics</t>
  </si>
  <si>
    <t>P25702097</t>
  </si>
  <si>
    <t>SHIVSHANKAR</t>
  </si>
  <si>
    <t>Pradip Shivshankar Chavan</t>
  </si>
  <si>
    <t>chavanprdp7@gmail.com</t>
  </si>
  <si>
    <t>p25702097@student.nicmar.ac.in</t>
  </si>
  <si>
    <t>25-Nov-1995</t>
  </si>
  <si>
    <t>ENGLISH , MARATHI &amp; HINDI</t>
  </si>
  <si>
    <t>Swimming,ESports,Cricket</t>
  </si>
  <si>
    <t>7381 0724 8111</t>
  </si>
  <si>
    <t>SHIVSHANKAR CHAVAN</t>
  </si>
  <si>
    <t>PUSHPA CHAVAN</t>
  </si>
  <si>
    <t>A/P Mudhe Galli , Mangalwedha_x000D_
Taluka - Mangalwedha District - Solapur</t>
  </si>
  <si>
    <t>ENGLISH SCHOOL MANGALWEDHA</t>
  </si>
  <si>
    <t>WALCHAND COLLEGE OF ARTS AND SCIENCE SOLAPUR</t>
  </si>
  <si>
    <t>DR. J J MAGDUM COLLEGE OF ENGINEERING , JAYSINGPUR</t>
  </si>
  <si>
    <t>Sri Vaarahi Real Assets | Real Estate Advisory  | Hyderabad | May 2026 | Jul 2026 | 8.7142857142857 Weeks | Campus Internship</t>
  </si>
  <si>
    <t>Elements &amp; Application Of Total Station In Civil Engineering
Structural Drafting Using AUTOCAD</t>
  </si>
  <si>
    <t>P25702098</t>
  </si>
  <si>
    <t>Vinayak Sharma</t>
  </si>
  <si>
    <t>vs5280791@gmail.com</t>
  </si>
  <si>
    <t>p25702098@student.nicmar.ac.in</t>
  </si>
  <si>
    <t>ENGLISH,HINDI,PUNJABI</t>
  </si>
  <si>
    <t>2209 1512 4165</t>
  </si>
  <si>
    <t>SUSHEEL SHARMA</t>
  </si>
  <si>
    <t>MONIKA AWASTHI</t>
  </si>
  <si>
    <t>C/o Himachal Metal Industry Industrial Area, Kangra H.P</t>
  </si>
  <si>
    <t>Kangra</t>
  </si>
  <si>
    <t>AADHUNIK PUBLIC SENIOR SECONDARY SCHOOL</t>
  </si>
  <si>
    <t>THAPAR UNIVERSITY</t>
  </si>
  <si>
    <t>THAPAR INSTITUTE OF ENGINEERING AND TECHNOLOGY, PATIALA, PUNJAB</t>
  </si>
  <si>
    <t>AutoCAD,MS Office,MS Project,Business Development,Site Execution,Project Management</t>
  </si>
  <si>
    <t>Homeland Realty Private Limited | Project Management intern | Mohali | May 2026 | Jul 2026 | 8.7142857142857 Weeks | Campus Internship
NHAI | Engineer across all domains of highway | CHANDIGARH | Jun 2024 | Dec 2024 | 30.428571428571 Weeks</t>
  </si>
  <si>
    <t>Urban Land economics and Real estate Market Dynamics
NPTEL Housing Policy and planning
Autocad</t>
  </si>
  <si>
    <t>P25702099</t>
  </si>
  <si>
    <t>KAUSTUBH</t>
  </si>
  <si>
    <t>Kaustubh Vijay Mohane</t>
  </si>
  <si>
    <t>kaustubh.mohane00@gmail.com</t>
  </si>
  <si>
    <t>p25702099@student.nicmar.ac.in</t>
  </si>
  <si>
    <t>20-Jul-2000</t>
  </si>
  <si>
    <t>Smart cities,urban planning,and infrastructure innovation.2)Project management and real estate finance</t>
  </si>
  <si>
    <t>8049 5469 4367</t>
  </si>
  <si>
    <t>VIJAY BHAURAO MOHANE</t>
  </si>
  <si>
    <t>GOVERMENT MEDICAL OFFICER</t>
  </si>
  <si>
    <t>ANJANA HIRALAL MORE</t>
  </si>
  <si>
    <t>GOVERMENT ICDS SUPERVISOR</t>
  </si>
  <si>
    <t>Audumbar Colony-A, House No-46.warje Jakat Naka. Karvenagar Pune411052</t>
  </si>
  <si>
    <t>ABHINAV VIDYALAYA HIGHSCHOOL, NAL STOP</t>
  </si>
  <si>
    <t>MAHARASHTRA STATE BOARD OF SECONDARY AND HIGHER SECONDARY EDUCATION. PUNE.MAHARASHTRA</t>
  </si>
  <si>
    <t>POOJYA SANE GURUJI VIDHYA PRASHASAK MANDAL. SHAHADA</t>
  </si>
  <si>
    <t>MAHARASHTRA STATE BOARD OF SECONDARY EDUCATION,MAHARASHTRA</t>
  </si>
  <si>
    <t>G.M CHOUDHARI POLYTECHNIC SHAHADA</t>
  </si>
  <si>
    <t>SINHGAD INSTITUTE OF TECHNOLOGY AND SCIENCE,NARHE</t>
  </si>
  <si>
    <t>Suprabha construction company Pvt.Ltd. | Valuation department | Nashik | May 2026 | Jul 2026 | 9.5714285714286 Weeks | Campus Internship
Suprabha construction PVT.LTD | Site supervisor | Nashik | Jan 2023 | Feb 2023 | 2.8571428571429 Weeks</t>
  </si>
  <si>
    <t>P25702101</t>
  </si>
  <si>
    <t>NIMBA</t>
  </si>
  <si>
    <t>Snehal Nimba Salunke</t>
  </si>
  <si>
    <t>snehalsalunke1725@gmail.com</t>
  </si>
  <si>
    <t>p25702101@student.nicmar.ac.in</t>
  </si>
  <si>
    <t>17-Aug-2000</t>
  </si>
  <si>
    <t>Dance,Playing batminton,Travelling,Playing chess,Drawing and painting,Anchoring,Theater</t>
  </si>
  <si>
    <t>6416 6395 2456</t>
  </si>
  <si>
    <t>NIMBA SALUNKE</t>
  </si>
  <si>
    <t>GRADUATE TEACHER</t>
  </si>
  <si>
    <t>Plot No. 20 Behind Vaibhav Mangal Karyalay Bhadgaon Road , Chalisgaon</t>
  </si>
  <si>
    <t>DR. KAKASAHEB PURNPATRE MADHYAMIK VIDHYALAY , CHALISGAON</t>
  </si>
  <si>
    <t>RASHTRIYA VIDHYALAY JUNIOR COLLEGE OF SCIENCE , CHALISGAON</t>
  </si>
  <si>
    <t>RAJARSHI SHAHU COLLEGE OF ENGINEERING , PUNE</t>
  </si>
  <si>
    <t>AutoCAD,MS Office,MS Project,Primavera,revit,civil3d,sketch up,photoshop,staadpro</t>
  </si>
  <si>
    <t>M Infra Projects Pvt. Ltd. | Project Management and Project Coordination intern | Baner , Pune | May 2026 | Jul 2026 | 8.5714285714286 Weeks | Campus Internship
OCEANFRONT CONSTRUCTION | Quantity Estimation Intern | Boisar, Palghar | Oct 2024 | May 2025 | 34.571428571429 Weeks
GIRITIRTH ASSOCIATES | INTERN AT SITE  | RAVET NEAR SHINDE VASTI  | Feb 2023 | Jun 2023 | 17.142857142857 Weeks
S. K. CONSTRUCTION | INTERN  | â€˜Aâ€™ WING, 2ND FLOOR, RANJAN HEIGHTS, RAVET, PUNE- 412 101 | Jan 2023 | Feb 2023 | 6.1428571428571 Weeks
KING MONGKUT'S INSTITUTE OF TECHNOLOGY LADKRABANG, THAILAND | RESEARCH INTERN  | ONLINE MODE  | Mar 2022 | Mar 2022 | 4.2857142857143 Weeks</t>
  </si>
  <si>
    <t>Global environment Management</t>
  </si>
  <si>
    <t>P25702102</t>
  </si>
  <si>
    <t>HEET</t>
  </si>
  <si>
    <t>Heet Dilip Jain</t>
  </si>
  <si>
    <t>jainheet2001@gmail.com</t>
  </si>
  <si>
    <t>p25702102@student.nicmar.ac.in</t>
  </si>
  <si>
    <t>12-Oct-2001</t>
  </si>
  <si>
    <t>ENGLISH,HINDI,GUJRATI,MARWARI,MARATHI</t>
  </si>
  <si>
    <t>5427 4409 4000</t>
  </si>
  <si>
    <t>DILIP AMBALAL JAIN</t>
  </si>
  <si>
    <t>PINKY DILIP JAIN</t>
  </si>
  <si>
    <t>31, Jariwala Building, Sadashiv Cross Road,Sickanagar_x000D_</t>
  </si>
  <si>
    <t>SHRI SHAKUNTALA KANTILAL ISHWARLAL JAIN HIGH SCHOOL</t>
  </si>
  <si>
    <t>MAHARASHTRA STATE BOARD OF SECONDARY AND HIGHER SECONDARY EDUCATION  , MUMBAI</t>
  </si>
  <si>
    <t>KISHINCHAND CHELLARAM COLLEGE</t>
  </si>
  <si>
    <t>MAHARASHTRA STATE BOARD OF SECONDARY AND HIGHER SECONDARY EDUCATION , MUMBAI</t>
  </si>
  <si>
    <t>INDIAN EDUCATION SOCIETY COLLEGE OF ARCHITECTURE</t>
  </si>
  <si>
    <t>AutoCAD,MS Office,MS Project,Revit,Sketchup,Lumion,Enscape,Navisworks,Adobe Photoshop,Adobe Illustrator,InDesign</t>
  </si>
  <si>
    <t>Studio MH02 | Architect | Vile Parle,Mumbai | Jun 2024 | Mar 2025 | 0Y 9M | 2.52
Access Architects | Architect | Dadar,Mumbai | Apr 2025 | Jun 2025 | 0Y 2M | 3.84</t>
  </si>
  <si>
    <t>Thite Valuers and Engineers | Valuation Intern | Mumbai | May 2026 | Jul 2026 | 8.7142857142857 Weeks | Campus Internship</t>
  </si>
  <si>
    <t>Urban Land Economics and Real Estate Market Dynamics
Corporate Finance</t>
  </si>
  <si>
    <t>P25702103</t>
  </si>
  <si>
    <t>ATHARV</t>
  </si>
  <si>
    <t>Atharv Pramod Bhalgat</t>
  </si>
  <si>
    <t>atharv.bhalgat1209@gmail.com</t>
  </si>
  <si>
    <t>p25702103@student.nicmar.ac.in</t>
  </si>
  <si>
    <t>12-Sep-2004</t>
  </si>
  <si>
    <t>English, Hindi, Marathi, Marwadi, Spanish(Beginner), French(Beginner)</t>
  </si>
  <si>
    <t>Trekking,Swimming,Boxing,Exploring</t>
  </si>
  <si>
    <t>6293 7718 5143</t>
  </si>
  <si>
    <t>PRAMOD BHALGAT</t>
  </si>
  <si>
    <t>KAVITA BHALGAT</t>
  </si>
  <si>
    <t>Anand Hospital, Dhamangoan Road_x000D_
Kada</t>
  </si>
  <si>
    <t>THE BISHOP'S CO-ED SCHOOL</t>
  </si>
  <si>
    <t>ICSE, PUNE</t>
  </si>
  <si>
    <t>P.M. MUNOT JUNIOR COLLEGE</t>
  </si>
  <si>
    <t>HSC, KADA/MAHARASHTRA</t>
  </si>
  <si>
    <t>NMIMS UNIVERSITY</t>
  </si>
  <si>
    <t>NMIMS, MUMBAI</t>
  </si>
  <si>
    <t>MS Office,MS Project,Canva</t>
  </si>
  <si>
    <t>Amanora (City Corporation Ltd.) | Project Management Intern | Pune | May 2026 | Jul 2026 | 7.7142857142857 Weeks | Campus Internship
Study Befikar | Digital Marketing Intern | Remote | Mar 2023 | May 2023 | 8.7142857142857 Weeks</t>
  </si>
  <si>
    <t>Sustainable Urban Water Systems
Urban Land Economics and Real Estate Market Dynamics
Housing Policy and Planning</t>
  </si>
  <si>
    <t>P25702104</t>
  </si>
  <si>
    <t>LEKHRAJ</t>
  </si>
  <si>
    <t>ROTTI</t>
  </si>
  <si>
    <t>Lekhraj Ishwar Rotti</t>
  </si>
  <si>
    <t>lekraj007@gmail.com</t>
  </si>
  <si>
    <t>p25702104@student.nicmar.ac.in</t>
  </si>
  <si>
    <t>24-Apr-2001</t>
  </si>
  <si>
    <t>Literature,Sports,Editing</t>
  </si>
  <si>
    <t>4037 4487 2200</t>
  </si>
  <si>
    <t>RETIRED S/O AT BSNL</t>
  </si>
  <si>
    <t>MILLENNIUM BOYS HOSTEL, NICMAR UNIVERSITY, PUNE</t>
  </si>
  <si>
    <t>Shri Laxmi Nivas, H.No. 158/B/13, Sabadi Compound, Near Old I.B., Extn. Area, Bagalkot</t>
  </si>
  <si>
    <t>SRI SATHYA SAI LOKA SEVA VIDYAKENDRA, ALIKE</t>
  </si>
  <si>
    <t>CENTRAL BOARD FOR SECONDARY EDUCATION, ALIKE, KARNATAKA</t>
  </si>
  <si>
    <t>PRARTHANA PU SCIENCE COLLEGE, BAGALKOT</t>
  </si>
  <si>
    <t>KARNATAKA STATE EDUCATION BOARD, BAGALKOT</t>
  </si>
  <si>
    <t>BANGALORE INSTITUTE OF TECHNOLOGY, BENGALURU, KARNATAKA</t>
  </si>
  <si>
    <t>AutoCAD,MS Office,MS Project,Primavera,REVIT,GIS,Adobe PhotoShop</t>
  </si>
  <si>
    <t>Puravankara Limited | Project Management Intern | Bengaluru | May 2026 | Jul 2026 | 8.7142857142857 Weeks | Campus Internship
NISHICON INFRASTRUCTURES | RETROFITTING AND REHABILITATION ENGINEER | KADUGODI, BENGALURU | Feb 2023 | Mar 2023 | 4 Weeks</t>
  </si>
  <si>
    <t>P25702105</t>
  </si>
  <si>
    <t>PRARTHANA</t>
  </si>
  <si>
    <t>Prarthana Subhash Pawar</t>
  </si>
  <si>
    <t>pawarprarthna@gmail.com</t>
  </si>
  <si>
    <t>p25702105@student.nicmar.ac.in</t>
  </si>
  <si>
    <t>8674 3400 1493</t>
  </si>
  <si>
    <t>SUBHASH PAWAR</t>
  </si>
  <si>
    <t>JAYSHREE PAWAR</t>
  </si>
  <si>
    <t>Punai Chaitanya Wadi Ward Number 16 Buldhana</t>
  </si>
  <si>
    <t>ST JOSEPH ENGLISH HIGH SCHOOL BULDHANA</t>
  </si>
  <si>
    <t>BULDHANA</t>
  </si>
  <si>
    <t>MGM POLYTECHNIC AURANGABAD</t>
  </si>
  <si>
    <t>DR.D.Y.PATIL INSTITUTE OF TECHNOLOGY PIMPRI PUNE 18</t>
  </si>
  <si>
    <t>AutoCAD,Excel,Power Point Presentation</t>
  </si>
  <si>
    <t>M/S. Niranjan Jayasingh More  | Site Execution and documentation studies | Pune | May 2026 | Jul 2026 | 8.5714285714286 Weeks | Campus Internship
BUILDER ASSOCIATION OF INDIA | INTER  | PUNE | Dec 2023 | Jan 2024 | 4.2857142857143 Weeks</t>
  </si>
  <si>
    <t>P25702106</t>
  </si>
  <si>
    <t>MUDGAL</t>
  </si>
  <si>
    <t>Mudgal Aditya Gopichand</t>
  </si>
  <si>
    <t>adityamudgal8006@gmail.com</t>
  </si>
  <si>
    <t>p25702106@student.nicmar.ac.in</t>
  </si>
  <si>
    <t>6574 9491 9651</t>
  </si>
  <si>
    <t>GOPICHAND MUDGAL</t>
  </si>
  <si>
    <t>12TH</t>
  </si>
  <si>
    <t>SONIYA MUDGAL</t>
  </si>
  <si>
    <t>FLAT-503 FELICITY RAVET OPPOSITE CELEASTIAL CITY PHASE 1 RAVET</t>
  </si>
  <si>
    <t>46/32 Maatru Chhaya House,Vidyanagar,North Sadar Bazar, Behind Civil Hospital Solapur</t>
  </si>
  <si>
    <t>ST JOHN BOSCO HIGH SCHOOL</t>
  </si>
  <si>
    <t>MAHARASHTRA STATE BOARD OF SECOUNDARY AND HIGHER SECOUNDARY EDUCATION PUNE/MAHARASHTRA</t>
  </si>
  <si>
    <t>BHAUSAHEB VARTAK POLYTECHNIC VASAI/MAHARASHTRA</t>
  </si>
  <si>
    <t>DR D Y PATIL INSTITUTE OF ENGINEERING MANAGEMENT AND RESEARCH PUNE/MAHARASHTRA</t>
  </si>
  <si>
    <t xml:space="preserve">AutoCAD,MS Office,Revit,Primavera,Synchro 4D </t>
  </si>
  <si>
    <t>CS Tech AI | BIM-Intern | PUNE(Baner | May 2026 | Jul 2026 | 8.7142857142857 Weeks | Campus Internship</t>
  </si>
  <si>
    <t>P25702108</t>
  </si>
  <si>
    <t>Ankita Dipak Patil</t>
  </si>
  <si>
    <t>ankitapatil200355@gmail.com</t>
  </si>
  <si>
    <t>p25702108@student.nicmar.ac.in</t>
  </si>
  <si>
    <t>08-Jul-2003</t>
  </si>
  <si>
    <t>9797 7255 2008</t>
  </si>
  <si>
    <t>DIPAK PATIL</t>
  </si>
  <si>
    <t>GAYTRI PATIL</t>
  </si>
  <si>
    <t>Patwari Colony, Sadaguru Apartment Amalner,Dist. Jalgaon</t>
  </si>
  <si>
    <t>SANE GURUJI KANYA HIGHSCHOOL AMALNER</t>
  </si>
  <si>
    <t>MAHARASHRA</t>
  </si>
  <si>
    <t>GOVT. POLYTECHNIC JALGAON</t>
  </si>
  <si>
    <t>RASIKLAL M. DHARIWAL SINHGAD TECHNICAL INSTITUTE PUNE , MAHARASHTRA</t>
  </si>
  <si>
    <t>Lagoo Apte Promoters &amp; Developers | Site Intern | Pune | May 2026 | Jun 2026 | 8.1428571428571 Weeks | Campus Internship
M/S. KAUSTUBH AJAY WALUNJ CIVIL ENGINEER &amp; GOVERNMENT CONTRACTOR | OPERATIONS INTERN - CIVIL EXECUTION  | AKOLE | Dec 2023 | Feb 2024 | 8.8571428571429 Weeks</t>
  </si>
  <si>
    <t>P25702109</t>
  </si>
  <si>
    <t>AAYUSH</t>
  </si>
  <si>
    <t>Aayush Agrawal</t>
  </si>
  <si>
    <t>aayushagrawal2018@gmail.com</t>
  </si>
  <si>
    <t>p25702109@student.nicmar.ac.in</t>
  </si>
  <si>
    <t>6685 7215 9795</t>
  </si>
  <si>
    <t>DINESH KUMAR AGRAWAL</t>
  </si>
  <si>
    <t>BUSINESS MEN</t>
  </si>
  <si>
    <t>RENU AGRAWAL</t>
  </si>
  <si>
    <t>YOUTHVILLE HOSTEL, BALEWADI 2,NEAR MITCON COLLEGE, BALEWADI,PUNE</t>
  </si>
  <si>
    <t>Hno.56 Bajrang Para, Sirsa Road Kohka, Bhilai</t>
  </si>
  <si>
    <t>MILE STONE ACADEMY</t>
  </si>
  <si>
    <t>CBSE/DURG</t>
  </si>
  <si>
    <t>LAL BAHADUR SHASTRI CONVENT SCHOOL</t>
  </si>
  <si>
    <t>CBSE/KOTA</t>
  </si>
  <si>
    <t>CSVTU</t>
  </si>
  <si>
    <t>BIT RAIPUR/RAIPUR</t>
  </si>
  <si>
    <t>AutoCAD,MS Office,MS Project,REVIT AND STAAD PRO</t>
  </si>
  <si>
    <t>Singhania Buildcon  | Site Execution Intern | Raipur, Chhattisgarh | May 2026 | Jul 2026 | 8.7142857142857 Weeks | Campus Internship
C.G. STATE MANDI BOARD (DURG) | TRAINEE | DURG | Jul 2023 | Aug 2023 | 4.4285714285714 Weeks
PUBLIC WORKS DEPARTMENT (C.G.) GOVERNMENT | TRAINEE | DURG | Jul 2022 | Aug 2022 | 4.4285714285714 Weeks</t>
  </si>
  <si>
    <t>PROFESSIONAL AUTOCAD</t>
  </si>
  <si>
    <t>P25702110</t>
  </si>
  <si>
    <t>NITINKUMAR</t>
  </si>
  <si>
    <t>Om Nitinkumar Patel</t>
  </si>
  <si>
    <t>patel19om@gmail.com</t>
  </si>
  <si>
    <t>p25702110@student.nicmar.ac.in</t>
  </si>
  <si>
    <t>ENGLISH,HINDI,GUJRATI,MARATHI</t>
  </si>
  <si>
    <t>2705 9848 9561</t>
  </si>
  <si>
    <t>NITINKUMAR PATEL</t>
  </si>
  <si>
    <t>MEENA PATEL</t>
  </si>
  <si>
    <t>Shree Hari Society,sec-06,moshipradhikaran,pune</t>
  </si>
  <si>
    <t>SHREE PARSHWA PRADNYALAY DNYAN SANSKAR MANDIR</t>
  </si>
  <si>
    <t>CBSE-MAHARASHTRA</t>
  </si>
  <si>
    <t>SSC-MAHARASHTRA</t>
  </si>
  <si>
    <t>PRATIBHA COLLEGE OF COMMERCE AND COMPUTER STUDIES,PUNE,MAHARASHTRA</t>
  </si>
  <si>
    <t>Diamond Developers | Management Trainee | Pune | May 2026 | Jul 2026 | 8.7142857142857 Weeks | Campus Internship</t>
  </si>
  <si>
    <t>P25702111</t>
  </si>
  <si>
    <t>SAHU</t>
  </si>
  <si>
    <t>Ketan Sahu</t>
  </si>
  <si>
    <t>arketansahu@gmail.com</t>
  </si>
  <si>
    <t>p25702111@student.nicmar.ac.in</t>
  </si>
  <si>
    <t>09-Apr-2003</t>
  </si>
  <si>
    <t>Biking,Travelling,Cycling,Swimming</t>
  </si>
  <si>
    <t>3634 3167 7333</t>
  </si>
  <si>
    <t>CHANDRA SHEKHAR SAHU</t>
  </si>
  <si>
    <t>ASSISTANT ENGINEER AT MUNICIPAL CORPORATION BILASPUR (C.G)</t>
  </si>
  <si>
    <t>SWATI SAHU</t>
  </si>
  <si>
    <t>329/16 Chadda Badi, Nehru Nagar, Bilaspur (C.G) -  495001</t>
  </si>
  <si>
    <t>DELHI PUBLIC SCHOOL BILASPUR</t>
  </si>
  <si>
    <t>PADMABHUSHAN DR. VASANTDADA PATIL COLLEGE OF  ARCHITECTURE, PUNE, MAHARASHTRA</t>
  </si>
  <si>
    <t>AutoCAD,MS Office,MS Project,Primavera,@RISK,Revit,Photoshop,Lumion,D5 Render,Sketchup,Illustrator,Indesign</t>
  </si>
  <si>
    <t>Manjeet Developers | Project Planning | Pune | May 2026 | Jul 2026 | 8.7142857142857 Weeks | Campus Internship
Techno Architecture INC | Intern Architect | Bengaluru | Jun 2024 | Dec 2024 | 26.714285714286 Weeks</t>
  </si>
  <si>
    <t>P25702113</t>
  </si>
  <si>
    <t>MEERA</t>
  </si>
  <si>
    <t>FADNIS</t>
  </si>
  <si>
    <t>Meera Fadnis</t>
  </si>
  <si>
    <t>p25702113@student.nicmar.ac.in</t>
  </si>
  <si>
    <t>P25702090@student.nicmar.ac.in</t>
  </si>
  <si>
    <t>4427 9695 7468</t>
  </si>
  <si>
    <t>MAKARAND FADNIS</t>
  </si>
  <si>
    <t>MADHURIMA FADNIS</t>
  </si>
  <si>
    <t>102 - Kedar Wing, Yashodham Enclave, Prashant Nagar, Ajni Sq., Wardha Road</t>
  </si>
  <si>
    <t>R.S. MUNDLE ENGLISH SCHOOL AND JUNIOR COLLEGE</t>
  </si>
  <si>
    <t>M.K.H. SANCHETI PUBLIC SCHOOL AND JUNIOR COLLEGE</t>
  </si>
  <si>
    <t>AutoCAD,MS Office,MS Project,SketchUp,Lumion,AdobePhotoshop,TwinMotion</t>
  </si>
  <si>
    <t>K &amp; J Projects Private Limited | Project Management Intern | Nagpur, Maharashtra, India | May 2026 | Jul 2026 | 8.5714285714286 Weeks | Campus Internship
Malewar Architects | Intern Architect | Nagpur | Jun 2023 | Oct 2023 | 16.285714285714 Weeks
Earthscapes Consultancy | Intern Architect | Ahmedabad | Jul 2022 | Nov 2022 | 17.571428571429 Weeks</t>
  </si>
  <si>
    <t>Edge Certification</t>
  </si>
  <si>
    <t>P25702114</t>
  </si>
  <si>
    <t>JAISWAL</t>
  </si>
  <si>
    <t>Ankita Jaiswal</t>
  </si>
  <si>
    <t>jaiswala237@gmail.com</t>
  </si>
  <si>
    <t>p25702114@student.nicmar.ac.in</t>
  </si>
  <si>
    <t>11-Jan-2000</t>
  </si>
  <si>
    <t>9145 5288 5155</t>
  </si>
  <si>
    <t>BINOD JAISWAL</t>
  </si>
  <si>
    <t>MANORAMA JAISWAL</t>
  </si>
  <si>
    <t>Jaiswal Medical Hall, Link Road, Jaigaon, West Bengal</t>
  </si>
  <si>
    <t>Alipurduar</t>
  </si>
  <si>
    <t>G.D GOENKA PUBLIC SCHOOL</t>
  </si>
  <si>
    <t>SILIGURI, WEST BENGAL</t>
  </si>
  <si>
    <t>SARVODAYA SENIOR SECONDARY SCHOOL</t>
  </si>
  <si>
    <t>BIJU PATNAIK UNIVERSITY OF TECHNOLOGY, ROURKELA, ODISHA</t>
  </si>
  <si>
    <t>PILOO MODY COLLEGE OF ARCHITECTURE, ABIT, CUTTACK, ODISHA</t>
  </si>
  <si>
    <t>AutoCAD,VRay,LUMION,SKETCHUP,PHOTOSHOP</t>
  </si>
  <si>
    <t>Shree Balaji Engicons Limited | Junior architect  | Belpahar, Jharsuguda, Odisha | Sep 2023 | Dec 2024 | 1Y 3M | 3.2</t>
  </si>
  <si>
    <t>Kalpataru Limited | Product Development - Sales | Mumbai | May 2026 | Jun 2026 | 6.1428571428571 Weeks | Campus Internship
KMBD Architect &amp; Engineers Consortium Pvt.Ltd | Intern Architect | Siliguri | Sep 2022 | Dec 2022 | 16.285714285714 Weeks</t>
  </si>
  <si>
    <t>P25702115</t>
  </si>
  <si>
    <t>HEMYA</t>
  </si>
  <si>
    <t>VARMAN</t>
  </si>
  <si>
    <t>Hemya Varman</t>
  </si>
  <si>
    <t>hemya8055@gmail.com</t>
  </si>
  <si>
    <t>p25702115@student.nicmar.ac.in</t>
  </si>
  <si>
    <t>04-Oct-1999</t>
  </si>
  <si>
    <t>2521 8204 4599</t>
  </si>
  <si>
    <t>VEDHAGIRI NC</t>
  </si>
  <si>
    <t>SATHEESWARI R</t>
  </si>
  <si>
    <t>No.44, 12th Cross, 2nd Block, Akshaynagar, Ramamurthy Nagar, Bengaluru</t>
  </si>
  <si>
    <t>JAIGOPAL GARODIA RASHTROTTHANA VIDYA KENDRA</t>
  </si>
  <si>
    <t>CENTRAL BOARD OF SECONDARY EDUCATION, BENGALURU, KARNATAKA</t>
  </si>
  <si>
    <t>ST. JOSEPH'S PRE-UNIVERSITY COLLEGE</t>
  </si>
  <si>
    <t>GOVT OF KARNATAKA, DEPARTMENT OF PRE-UNIVERSITY EDUCATION</t>
  </si>
  <si>
    <t>SRM SAID, CHENGALPATTU, TAMIL NADU</t>
  </si>
  <si>
    <t>AutoCAD,MS Office,MS Project,Sketchup,Revit,Lumion,Enscape,Candy</t>
  </si>
  <si>
    <t>Collaborative Workspace Consultants LLP | Associate | Bengaluru | Sep 2023 | Jan 2025 | 1Y 4M | 3.6</t>
  </si>
  <si>
    <t>DEBRIQUE CREATIVE LABS PVT LTD (MODULUS HOUSING) | INTERN | IITM RESEARCH PARK, CHENNAI | May 2026 | Jul 2026 | 8.7142857142857 Weeks | Campus Internship
Colliers International (India) Property Services Private Limited | Intern | Bengaluru | Jun 2022 | Oct 2022 | 17.571428571429 Weeks</t>
  </si>
  <si>
    <t>Real Estate Development : Building Value in your community
Introduction to Corporate Finance
Corporate Communications
Urban Land Economics and Real Estate Market Dynamics
Real Estate Financial Modeling
Sustainable Urban Water Systems
Introduction to Financial Accounting</t>
  </si>
  <si>
    <t>P25702116</t>
  </si>
  <si>
    <t>Tushar Sanjay Sarpe</t>
  </si>
  <si>
    <t>tusharsarpe07@gmail.com</t>
  </si>
  <si>
    <t>p25702116@student.nicmar.ac.in</t>
  </si>
  <si>
    <t>8763 7422 9096</t>
  </si>
  <si>
    <t>SANJAY TUKARAM SARPE</t>
  </si>
  <si>
    <t>RETIRED DEPUTY ENGINEER</t>
  </si>
  <si>
    <t>ANJALI SANJAY SARPE</t>
  </si>
  <si>
    <t>Bhim Nagar,omerga</t>
  </si>
  <si>
    <t>PODAR INTERNATIONAL SCHOOL, LATUR</t>
  </si>
  <si>
    <t>DAYANAND SCIENCE JUNIOR COLLEGE</t>
  </si>
  <si>
    <t>Sarpe Builders and Developers  | Project Management &amp; Civil Engineering Intern | Omerga, Dharashiv, Maharashtra   | May 2026 | Jul 2026 | 9.1428571428571 Weeks | Campus Internship</t>
  </si>
  <si>
    <t>P25702117</t>
  </si>
  <si>
    <t>MUNOT</t>
  </si>
  <si>
    <t>Sakshi Munot</t>
  </si>
  <si>
    <t>sakshimunot04@gmail.com</t>
  </si>
  <si>
    <t>p25702117@student.nicmar.ac.in</t>
  </si>
  <si>
    <t>English, Hindi, Marwadi, Marathi</t>
  </si>
  <si>
    <t>9347 0740 0576</t>
  </si>
  <si>
    <t>JITENDRA MUNOT</t>
  </si>
  <si>
    <t>RAJASHRI MUNOT</t>
  </si>
  <si>
    <t>Sakshi Plot No 25, Lane 9, Natraj Society, Karvenagar</t>
  </si>
  <si>
    <t>ST. MICHAEL'S SCHOOL</t>
  </si>
  <si>
    <t>PEMRAJSAR SARDA COLLEGE</t>
  </si>
  <si>
    <t>DR. BHANUBEN NANAVATI COLLEGE OF ARCHITECTURE FOR WOMEN, PUNE</t>
  </si>
  <si>
    <t>AutoCAD,MS Office,MS Project,Primavera,Adobe Photoshop,Adobe InDesign,Autodesk Revit,Sketchup,Rhinoceros 3D,Lumion</t>
  </si>
  <si>
    <t>Architect Sachin and Sujata Sule | Junior Architect | Pune | Feb 2025 | Jun 2025 | 0Y 4M | 1.8</t>
  </si>
  <si>
    <t>Kalpataru Limited | Design Intern | Pune | May 2026 | Jul 2026 | 8.5714285714286 Weeks | Campus Internship
Ignitus Architectural Studio | Intern Architect | Ahmedabad | Jul 2023 | Dec 2023 | 20.714285714286 Weeks</t>
  </si>
  <si>
    <t>P25702119</t>
  </si>
  <si>
    <t>PARTH</t>
  </si>
  <si>
    <t>Parth Aniruddha Pande</t>
  </si>
  <si>
    <t>parth.pande0112@gmail.com</t>
  </si>
  <si>
    <t>p25702119@student.nicmar.ac.in</t>
  </si>
  <si>
    <t>01-Dec-2003</t>
  </si>
  <si>
    <t>7436 7917 3207</t>
  </si>
  <si>
    <t>PALLAVI</t>
  </si>
  <si>
    <t>Flat No 202, C-wing, Jayanti Nagari-2, Besa, Beltarodi Road, Nagpur.</t>
  </si>
  <si>
    <t>T,B,R,A,N'S MUNDLE ENGLISH MEDIUM</t>
  </si>
  <si>
    <t>DIPLOMA IN CONSTRUCTION TECHNOLOGY</t>
  </si>
  <si>
    <t>DHARAMPETH POLYTECHNIC, NAGPUR, MAHARASHTRA</t>
  </si>
  <si>
    <t>ST VINCENT PALLOTI COLLEGE OF ENGINEERING AND TECHNOLOGY, NAGPUR, MAHARASHTRA</t>
  </si>
  <si>
    <t>Tuljai Infratech Pvt Ltd | Quantity Estimation | Chhatrapati Sambhajinagar | May 2026 | Jul 2026 | 8.7142857142857 Weeks | Campus Internship</t>
  </si>
  <si>
    <t>P25702120</t>
  </si>
  <si>
    <t>RITISHA</t>
  </si>
  <si>
    <t>Ritisha Gupta</t>
  </si>
  <si>
    <t>ritishagupta1@gmail.com</t>
  </si>
  <si>
    <t>p25702120@student.nicmar.ac.in</t>
  </si>
  <si>
    <t>14-Nov-2001</t>
  </si>
  <si>
    <t>Digital Illustration &amp; Creative Design,Photography,Reading on Urban Development &amp; Architecture,Playing Sports,exploring architecture through travel</t>
  </si>
  <si>
    <t>7780 6164 4626</t>
  </si>
  <si>
    <t>COMPANY SECRETARY</t>
  </si>
  <si>
    <t>PALLAVI GUPTA</t>
  </si>
  <si>
    <t>A-11 Chandra Nagar Colony, MR-9 Square, A.B. Road, Behind Amarvilas Hotel</t>
  </si>
  <si>
    <t>SRI SATHYA SAI VIDYA VIHAR, INDORE</t>
  </si>
  <si>
    <t>SHRI VAISHNAV VIDYAPEETH VISHWAVIDALAYA, INDORE</t>
  </si>
  <si>
    <t>SHRI VAISHNAV INSTITUTE OF ARCHITECTURE, INDORE</t>
  </si>
  <si>
    <t>MS Project, Prima Vera, AutoCAD, Revit, @RISK, MS Office, Adobe Photoshop, Lumion, SketchUp, Advanced Excel, Adobe Illustrator, Canva</t>
  </si>
  <si>
    <t>Nine Squares Architects pvt. ltd. | Junior Architect | Indore | Jan 2025 | Jun 2025 | 0Y 5M | 3</t>
  </si>
  <si>
    <t>Fortress Infracon Limited | Infrastructure Advisory &amp; Project Consulting | Thane, Mumbai | May 2026 | Jul 2026 | 8.7142857142857 Weeks | Campus Internship
Archicon Design | Intern Architect | Pune | Jan 2023 | Jun 2023 | 21.285714285714 Weeks</t>
  </si>
  <si>
    <t>P25702121</t>
  </si>
  <si>
    <t>SARATH</t>
  </si>
  <si>
    <t>Sarath S</t>
  </si>
  <si>
    <t>srtart007@gmail.com</t>
  </si>
  <si>
    <t>p25702121@student.nicmar.ac.in</t>
  </si>
  <si>
    <t>24-Mar-2001</t>
  </si>
  <si>
    <t>ENGLISH, MALAYALAM, TAMIL AND HINDI</t>
  </si>
  <si>
    <t>8222 4298 5123</t>
  </si>
  <si>
    <t>SASIKUMAR</t>
  </si>
  <si>
    <t>RETIRED BANK EMPLOYEE</t>
  </si>
  <si>
    <t>RESMI D</t>
  </si>
  <si>
    <t>UPPER PRIMARY SCHOOL TEACHER</t>
  </si>
  <si>
    <t>9D NARAYANA APARTMENTS_x000D_
KALPATHY, PALAKKAD</t>
  </si>
  <si>
    <t>Aiswarya_x000D_
Arakurissi, Mannarkkad</t>
  </si>
  <si>
    <t>METEMHSS MANNARKKAD</t>
  </si>
  <si>
    <t>KERALA BOARD OF PUBLIC EXAMINATIONS</t>
  </si>
  <si>
    <t>GOVERNMENT HIGHER SECONDARY SCHOOL POTTASSERY</t>
  </si>
  <si>
    <t>BOARD OF HIGHER SECONDARY EXAMINATIONS, KERALA</t>
  </si>
  <si>
    <t>GOVERNMENT ENGINEERING COLLEGE THRISSUR, KERALA</t>
  </si>
  <si>
    <t>AutoCAD,MS Office,MS Project,Primavera,Sketchup,Revit,Adobe illustrator,Adobe photoshop,Lumion,D5 render</t>
  </si>
  <si>
    <t>Hilti India Pvt Ltd | Sales intern | Mumbai  | May 2026 | Jul 2026 | 8.5714285714286 Weeks | Campus Internship
Biom Medical Technology Pvt  Ltd | Design intern | Kerala | May 2025 | Jun 2025 | 8.5714285714286 Weeks
Hatch and Thatch Design Studio | Intern architect | Thrissur, Kerala | Jul 2023 | Dec 2023 | 21.857142857143 Weeks</t>
  </si>
  <si>
    <t>P25702122</t>
  </si>
  <si>
    <t>KHARAT</t>
  </si>
  <si>
    <t>Kharat Krishna Ravindra</t>
  </si>
  <si>
    <t>kharatpatil25@gmail.com</t>
  </si>
  <si>
    <t>p25702122@student.nicmar.ac.in</t>
  </si>
  <si>
    <t>3453 7590 3977</t>
  </si>
  <si>
    <t>C:1204, Cozy Homes , Awhalwadi Road ,wagholi ,pune</t>
  </si>
  <si>
    <t>LOKSEVA ENGLISH MEDIUM SCHOOL</t>
  </si>
  <si>
    <t>MAHARASHTRA STATE BOARD OF SECONDARY AND HIGHER SECONDARY EDUCATION,  PUNE</t>
  </si>
  <si>
    <t>BHIVRABAI SAWANT POLYTECHNIC , JSPM , WAGHOLI,PUNE</t>
  </si>
  <si>
    <t>IMPERIAL COLLEGE OF ENGINEERING AND RESEARCH , JSPM , WAGHOLI ,PUNE</t>
  </si>
  <si>
    <t>Amanora Park Town -City Corporation Limited | Planning  Department  | Gateway phase II - Hadapsar,Pune | May 2026 | Jul 2026 | 8.7142857142857 Weeks | Campus Internship
Larsen &amp; toubro | Intern in pipeline engineering  | Powai, Mumbai  | Apr 2025 | May 2025 | 8.5714285714286 Weeks</t>
  </si>
  <si>
    <t>P25702123</t>
  </si>
  <si>
    <t>Vivek Arya</t>
  </si>
  <si>
    <t>ar.vivek1997@gmail.com</t>
  </si>
  <si>
    <t>p25702123@student.nicmar.ac.in</t>
  </si>
  <si>
    <t>03-Jan-1997</t>
  </si>
  <si>
    <t>3858 9343 8768</t>
  </si>
  <si>
    <t>ASHOK ARYA</t>
  </si>
  <si>
    <t>SUPERINTENDENT AT NARCOTICS POLICE</t>
  </si>
  <si>
    <t>RAJSHREE ARYA</t>
  </si>
  <si>
    <t>Bungalow No. - 608, Omaxe Hills</t>
  </si>
  <si>
    <t>SANGAM SCHOOL OF EXCELLENCE</t>
  </si>
  <si>
    <t>SUBHASH ENGLISH H.S. SCHOOL</t>
  </si>
  <si>
    <t>BOARD OF SECONDARY EDUCATION, BHOPAL, MADHYA PRADESH</t>
  </si>
  <si>
    <t>UNIVERSITY INSTITUTE OF ARCHITECTURE, GHARUAN, PANJAB</t>
  </si>
  <si>
    <t>AutoCAD,MS Office,MS Project,Lumion,Rhinoceros,Site Survey,Virtual Reality,Client Handling,SAP,Project &amp; Operation Management,Detail Project Report</t>
  </si>
  <si>
    <t>TeamLease Services Limited  deputed to UltraTech Cement Limited |  Regional Lead Utec Experience centre | Jaipur | Aug 2022 | May 2024 | 1Y 9M | 5.12
Architect Raunak Parodkar | Junior Architect | Goa | Dec 2021 | Jun 2022 | 0Y 6M | 0.9</t>
  </si>
  <si>
    <t>M Infra Projects Pvt. Ltd. | Project Management and Project Coordination | Pune | May 2026 | Jul 2026 | 8.5714285714286 Weeks | Campus Internship
Guptas Associated &amp; Architects | Intern Architect | Indore | Jan 2020 | Jun 2020 | 24.285714285714 Weeks</t>
  </si>
  <si>
    <t>P25702124</t>
  </si>
  <si>
    <t>J K</t>
  </si>
  <si>
    <t>Aravind J K</t>
  </si>
  <si>
    <t>aravindjk21@gmail.com</t>
  </si>
  <si>
    <t>p25702124@student.nicmar.ac.in</t>
  </si>
  <si>
    <t>21-Feb-1997</t>
  </si>
  <si>
    <t>English, Hindi,Malayalam</t>
  </si>
  <si>
    <t>7932 0955 8784</t>
  </si>
  <si>
    <t>JAYAKUMAR G</t>
  </si>
  <si>
    <t>KUMARI SHEELA R</t>
  </si>
  <si>
    <t>RETIRED PRIVATE SCHOOL TEACHER</t>
  </si>
  <si>
    <t>Arunodayam, CRPN 113, Pangappara.P.O</t>
  </si>
  <si>
    <t>JYOTI NILAYAM SECONDARY SCHOOL, ST.ANDREWS, TRIVANDRUM, KERALA</t>
  </si>
  <si>
    <t>JYOTI NILAYAM HIGHER SECONDARY SCHOOL ST.ANDREWS TRIVANDRUM KERALA</t>
  </si>
  <si>
    <t>BOARD OF HIGHER SECONDARY EDUCATION KERALA</t>
  </si>
  <si>
    <t>APJ ABDUL KALAM TECHNOLOGICAL UNIVERSITY,THIRUVANANTHAPURAM, KERALA</t>
  </si>
  <si>
    <t>ST.THOMAS INSTITUTE FOR SCIENCE AND TECHNOLOGY, THIRUVANATHAPURAM, KERALA</t>
  </si>
  <si>
    <t>Sobha Limited | Planning, Project Management | Kochi, Kerala | May 2026 | Jul 2026 | 9 Weeks | Campus Internship
CONFIDENT GROUP | Site Engineer | Kozhikode, Thiruvanathapuram, Kerala | Oct 2024 | Jun 2025 | 33.571428571429 Weeks
RADIANZ Design-Build | Site Engineer | Thiruvananthapuram, Kerala | Apr 2022 | May 2023 | 58.714285714286 Weeks</t>
  </si>
  <si>
    <t>Business Communication
Foundations of Project Management
Sustainable Urban Water Systems
Real Estate Financial Modeling
Corporate Finance</t>
  </si>
  <si>
    <t>P25702125</t>
  </si>
  <si>
    <t>PRANITA</t>
  </si>
  <si>
    <t>PIPRADE</t>
  </si>
  <si>
    <t>Pranita Subhash Piprade</t>
  </si>
  <si>
    <t>pranitapiprade@gmail.com</t>
  </si>
  <si>
    <t>p25702125@student.nicmar.ac.in</t>
  </si>
  <si>
    <t>8967 5951 0219</t>
  </si>
  <si>
    <t>SHEGAON B.K NEAR BUS STOP AND PETROL PUMP</t>
  </si>
  <si>
    <t>Walmik Chowk, Sonal Talkies, Bhadrawati</t>
  </si>
  <si>
    <t>ST. ANNE'S HIGH SCHOOL WARORA</t>
  </si>
  <si>
    <t>SOMALWAR HIGH SCHOOL &amp; JUNIOR COLLEGE,NAGPUR</t>
  </si>
  <si>
    <t>PRIYADARSHINI INSTITUTE OF ARCHITECTURE &amp; DESIGN STUDIES</t>
  </si>
  <si>
    <t>AutoCAD,MS Office,photoshop,lumion,sketchup</t>
  </si>
  <si>
    <t>hasba design studio | junior architect | Nagpur | Jan 2024 | Apr 2025 | 1Y 2M | 1.2</t>
  </si>
  <si>
    <t>Bhate &amp; Raje construction company | Project Planning | Navi Mumbai | May 2026 | Jul 2026 | 8.4285714285714 Weeks | Campus Internship
VINAY JAISWAL AND ASSOCIATES | ARCHITECT INTERN | NAGPUR | Feb 2022 | Nov 2022 | 39.714285714286 Weeks</t>
  </si>
  <si>
    <t>autocad,photoshop,sketchup and lumion</t>
  </si>
  <si>
    <t>P25702126</t>
  </si>
  <si>
    <t>SAMANT</t>
  </si>
  <si>
    <t>Rahul Rajesh Samant</t>
  </si>
  <si>
    <t>rahul.r.samant@gmail.com</t>
  </si>
  <si>
    <t>p25702126@student.nicmar.ac.in</t>
  </si>
  <si>
    <t>20-Jul-1999</t>
  </si>
  <si>
    <t>Dance,Music,Gaming</t>
  </si>
  <si>
    <t>2861 3281 8106</t>
  </si>
  <si>
    <t>RAJESH SAMANT</t>
  </si>
  <si>
    <t>SAP CONSULTANT</t>
  </si>
  <si>
    <t>SHRUTI SAMANT</t>
  </si>
  <si>
    <t>BANK BRANCH MANAGER</t>
  </si>
  <si>
    <t>Room No. 4, Chandrauday Colony, Mahakali Caves Road, Near Little Flower High School, Andheri East</t>
  </si>
  <si>
    <t>ST. DOMINIC SAVIO HIGH SCHOOL</t>
  </si>
  <si>
    <t>SSC - MUMBAI, MAHRASHTRA</t>
  </si>
  <si>
    <t>BHAVAN'S COLLEGE</t>
  </si>
  <si>
    <t>HSC - MUMBAI, MAHARASHTRA</t>
  </si>
  <si>
    <t>VIVA SCHOOL OF ARCHITECTURE</t>
  </si>
  <si>
    <t>AutoCAD,MS Office,MS Project,Sketchup,Lumion,Enscape,Photoshop,Excel,Indesign</t>
  </si>
  <si>
    <t>TINGE By Rhea Truptesh | Jr. Architect | Andheri East, Mumbai | Jul 2022 | Jun 2024 | 1Y 11M | 2.37
Zeel Architects | Jr. Architect | Goregaon East, Mumbai | Jun 2024 | May 2025 | 0Y 11M | 3.36</t>
  </si>
  <si>
    <t>Kalpataru Ltd | Design Management | Mumbai | May 2026 | Jul 2026 | 9.5714285714286 Weeks | Campus Internship</t>
  </si>
  <si>
    <t>P25702127</t>
  </si>
  <si>
    <t>SUDHANSHU</t>
  </si>
  <si>
    <t>DAYMA</t>
  </si>
  <si>
    <t>Sudhanshu Mahendra Dayma</t>
  </si>
  <si>
    <t>sdayma316@gmail.com</t>
  </si>
  <si>
    <t>p25702127@student.nicmar.ac.in</t>
  </si>
  <si>
    <t>07-May-1996</t>
  </si>
  <si>
    <t>7205 9601 0877</t>
  </si>
  <si>
    <t>MAHENDRA DAYMA</t>
  </si>
  <si>
    <t>DURGA DAYMA</t>
  </si>
  <si>
    <t>Sukhakarta Row House No.9 Near Bus Stop , Shivaji Nagar, Satpur Nashik</t>
  </si>
  <si>
    <t>H.A.B ENGLISH MEDIUM SCHOOL</t>
  </si>
  <si>
    <t>GOKHALE'S EDUCATION SOCIETY (R.Y.K SCIENCE COLLEGE)</t>
  </si>
  <si>
    <t>OYSTER COLLEGE OF ARCHITECTURE, AURANGABAD, MAHARASHTRA</t>
  </si>
  <si>
    <t>AutoCAD,MS Office,MS Project,Primavera,Photoshop,Lumion,Adobe indesign,illustrator,corona render</t>
  </si>
  <si>
    <t>Puneet Urban spaces | Jr. Architect | Thane, Mumbai | Feb 2024 | Jul 2025 | 1Y 4M | 3.93
Atelier Design Studio | Jr. Architect | Kalyan | Dec 2021 | Jun 2023 | 1Y 5M | 2.16
Pvv infra | Jr. Architect | CST , Mumbai | Jun 2023 | Dec 2023 | 0Y 6M | 3.36</t>
  </si>
  <si>
    <t>3 Years 5 Months</t>
  </si>
  <si>
    <t>P25702128</t>
  </si>
  <si>
    <t>SAWALE</t>
  </si>
  <si>
    <t>Atharv Dipak Sawale</t>
  </si>
  <si>
    <t>atharvsawale2000@gmail.com</t>
  </si>
  <si>
    <t>p25702128@student.nicmar.ac.in</t>
  </si>
  <si>
    <t>ENGLISH,HINDI &amp; MARATHI</t>
  </si>
  <si>
    <t>2285 4256 3036</t>
  </si>
  <si>
    <t>HEMLATA</t>
  </si>
  <si>
    <t>PB BARBOLE FLAT NO. 8 RACHANA AVENUE, GOODLUK CHOUK, FC ROAD, DECCAN, PUNE</t>
  </si>
  <si>
    <t>Solapur Road,Sawale Chal, Barshi</t>
  </si>
  <si>
    <t>SULAKHE HIGH SCHOOL BARSHI</t>
  </si>
  <si>
    <t>SHRIMAN BHAUSAHEB ZADBUKE JR COLLEGE BARSHI</t>
  </si>
  <si>
    <t>MAEER'S MIT COLLEGE OF RAILWAY ENGINEERING &amp; RESEARCH, JAMGAON BARSHI</t>
  </si>
  <si>
    <t xml:space="preserve">AutoCAD,MS Office,MS Project,Primavera, Project Planning, Project Management, Project Co-Ordination </t>
  </si>
  <si>
    <t>Karan Builders  | Planning Intern  | Pune | May 2026 | Jul 2026 | 8.7142857142857 Weeks | Campus Internship</t>
  </si>
  <si>
    <t>Diploma Course in Railway Track Technology</t>
  </si>
  <si>
    <t>P25702129</t>
  </si>
  <si>
    <t>HIMMATBHAI</t>
  </si>
  <si>
    <t>MAKWANA</t>
  </si>
  <si>
    <t>Akash Himmatbhai Makwana</t>
  </si>
  <si>
    <t>akashmakwana347971@gmail.com</t>
  </si>
  <si>
    <t>p25702129@student.nicmar.ac.in</t>
  </si>
  <si>
    <t>16-Oct-1997</t>
  </si>
  <si>
    <t>ENGLISH, HINDI, GUJARATHI, MARATHI</t>
  </si>
  <si>
    <t>4485 4265 3650</t>
  </si>
  <si>
    <t>HIMMATBHAI BABUBHAI MAKWANA</t>
  </si>
  <si>
    <t>JAYA HIMMATBHAI MAKWANA</t>
  </si>
  <si>
    <t>5A/103, Shraddha Building, Asha Nagar, Thakur Complex, Kandivali East.</t>
  </si>
  <si>
    <t>CHILDRENS ACADEMY</t>
  </si>
  <si>
    <t>MAHARASHTRA STATE BOARD OF SECONDARY AND HIGHER SECONDARY EDUCATION, MUMBAI</t>
  </si>
  <si>
    <t>SHRI T P BHATIA COLLEGE OF SCIENCE, MUMBAI</t>
  </si>
  <si>
    <t>UNIVERSITY OF MUMBAI, MAHARASHTRA</t>
  </si>
  <si>
    <t>UNIVERSAL COLLEGE OF ENGINEERING, VASAI</t>
  </si>
  <si>
    <t>F. M. ENTERPRISES | PROJECT ENGINEER | MUMBAI | Mar 2021 | Jul 2022 | 1Y 4M | 1.92
C B AND SONS CONSTRUCTIONS PVT LTD | SITE ENGINEER | MUMBAI | Aug 2019 | Feb 2021 | 1Y 6M | 1.56</t>
  </si>
  <si>
    <t>AVA LIFESPACES PRIVATE LIMITED | Project Management Intern | Mumbai | May 2026 | Jul 2026 | 8.7142857142857 Weeks | Campus Internship</t>
  </si>
  <si>
    <t>Corporate Finance
Urban Land Economics and Real Estate Market Dynamics
Corporate Communications</t>
  </si>
  <si>
    <t>P25702130</t>
  </si>
  <si>
    <t>VARUDEV</t>
  </si>
  <si>
    <t>Varudev Singh</t>
  </si>
  <si>
    <t>varudevsingh551@gmail.com</t>
  </si>
  <si>
    <t>p25702130@student.nicmar.ac.in</t>
  </si>
  <si>
    <t>30-Aug-2003</t>
  </si>
  <si>
    <t>HINDI , ENGLISH</t>
  </si>
  <si>
    <t>7134 6368 2680</t>
  </si>
  <si>
    <t>SURYADEV SINGH</t>
  </si>
  <si>
    <t>ANITA SINGH</t>
  </si>
  <si>
    <t>34 D Vijay Mandal Enclave Kalu Sarai</t>
  </si>
  <si>
    <t>THE MOTHERS INTERNATIONAL SCHOOL</t>
  </si>
  <si>
    <t>NEW DELHI</t>
  </si>
  <si>
    <t>THAPAR INSTITUTE OF ENGINEERING AND TECHNOLOGY PATIALA PUNJAB</t>
  </si>
  <si>
    <t xml:space="preserve"> Emaar Properties | Project Planning Intern | gurgaon | May 2026 | Jul 2026 | 8.5714285714286 Weeks | Campus Internship</t>
  </si>
  <si>
    <t>P25702131</t>
  </si>
  <si>
    <t>JAVALIKAR</t>
  </si>
  <si>
    <t>Tushar Kumar Javalikar</t>
  </si>
  <si>
    <t>tusharjavalikar7@gmail.com</t>
  </si>
  <si>
    <t>p25702131@student.nicmar.ac.in</t>
  </si>
  <si>
    <t>29-Sep-2002</t>
  </si>
  <si>
    <t>ENGLISH,HINDI,MARATHI,KANNADA.</t>
  </si>
  <si>
    <t>4158 1680 2368</t>
  </si>
  <si>
    <t>KUMAR JAVALIKAR</t>
  </si>
  <si>
    <t>BUISNESS MAN</t>
  </si>
  <si>
    <t>ANUPAMA KUMAR JAVALIKAR</t>
  </si>
  <si>
    <t>NEAR IB OFFICE PATTEKAR LAYOUT HALIYAL_x000D_</t>
  </si>
  <si>
    <t>Uttara Kannada</t>
  </si>
  <si>
    <t>At Post Mangalwad Tq Haliyal.</t>
  </si>
  <si>
    <t>V.V.D SCHOOL OF EXCELLENCE HALIYAL</t>
  </si>
  <si>
    <t>KLS PU COLLEGE HALIYAL</t>
  </si>
  <si>
    <t>KLS VDIT HALIYAL</t>
  </si>
  <si>
    <t>KLS VDIT HALIYAL KARNATAKA</t>
  </si>
  <si>
    <t>Repplen Projects Private Limited  | Intern-Planning  | Pune New Sangvi  | May 2026 | Jun 2026 | 8.1428571428571 Weeks | Campus Internship
B.M.ASSOCIATES | Site Engineer  | huballi karnataka | Aug 2023 | Sep 2023 | 3.4285714285714 Weeks</t>
  </si>
  <si>
    <t>CIVIL ENGINEERS TRAINING INSTITUTE</t>
  </si>
  <si>
    <t>P25702132</t>
  </si>
  <si>
    <t>KHYATI</t>
  </si>
  <si>
    <t>SUSHIL</t>
  </si>
  <si>
    <t>Khyati Sushil Gupta</t>
  </si>
  <si>
    <t>ar.khyati08@gmail.com</t>
  </si>
  <si>
    <t>p25702132@student.nicmar.ac.in</t>
  </si>
  <si>
    <t>28-Mar-2001</t>
  </si>
  <si>
    <t>4241 5494 8087</t>
  </si>
  <si>
    <t>SUSHIL GUPTA</t>
  </si>
  <si>
    <t>MONIKA KUMARI</t>
  </si>
  <si>
    <t>804, Hitakshi Heights, Indralok, Phase-8, Near Kamlakar Patil Hall, Bhayander East, Thane-401105</t>
  </si>
  <si>
    <t>MAHARASHTRA STATE BOARD OF SECONDARY AND HIGHER SECONDARY EDUCATION â€“ THANE, MAHARASHTRA</t>
  </si>
  <si>
    <t>SARDAR VALLABHBHAI PATEL VIDYALAYA AND JR. COLLEGE</t>
  </si>
  <si>
    <t>MAHARASHTRA STATE BOARD OF SECONDARY AND HIGHER SECONDARY EDUCATION â€“ MUMBAI, MAHARASHTRA</t>
  </si>
  <si>
    <t>THAKUR SCHOOL OF ARCHITECTURE AND PLANNING â€“ MUMBAI, MAHARASHTRA</t>
  </si>
  <si>
    <t>AutoCAD,MS Office,MS Project,Photoshop,Sketchup,lumion,powerpoint</t>
  </si>
  <si>
    <t>Vision 1 Architects | Junior Architect | Kandivali East, Mumbai, Maharashtra 400093 | Jul 2023 | Apr 2024 | 0Y 9M | 2.16
EKA Architects | Junior Architect | Andheri West, Mumbai, Maharashtra 400093 | Jun 2024 | Dec 2024 | 0Y 6M | 3</t>
  </si>
  <si>
    <t>Ashwin Sheth Group | Project Planning Intern | Thane, Mumbai | May 2026 | Jul 2026 | 8.8571428571429 Weeks | Campus Internship
ANA DESIGNS PVT. LTD. | INTERN ARCHITECT | ANDHERI EAST, MUMBAI, MAHARASHTRA | Feb 2022 | May 2022 | 15.714285714286 Weeks</t>
  </si>
  <si>
    <t>Architecture Software &amp; Workshops</t>
  </si>
  <si>
    <t>P25702133</t>
  </si>
  <si>
    <t>ANGAD</t>
  </si>
  <si>
    <t>SIRSAT</t>
  </si>
  <si>
    <t>Omkar Angad Sirsat</t>
  </si>
  <si>
    <t>omkarsirsat15@gmail.com</t>
  </si>
  <si>
    <t>p25702133@student.nicmar.ac.in</t>
  </si>
  <si>
    <t>15-Jun-2003</t>
  </si>
  <si>
    <t>2545 4480 2875</t>
  </si>
  <si>
    <t>ANGAD SIRSAT</t>
  </si>
  <si>
    <t>ANURADHA SIRSAT</t>
  </si>
  <si>
    <t>Dhaneshwar,plot No-45, Sector No-10 Shriram Colony , Sector-10, Bhosari Pradhikaran</t>
  </si>
  <si>
    <t>PIMPRI CHINCHWAD POLYTECHNIC / PUNE</t>
  </si>
  <si>
    <t>DR.D.Y. PATIL SCHOOL OF ENGINEERING&amp;TECHNOLOGY PUNE-26</t>
  </si>
  <si>
    <t xml:space="preserve">Asian Paints | Sales engineering Intern | Pune | May 2026 | Jul 2026 | 0Y 2M | 3.5 </t>
  </si>
  <si>
    <t>Asian Paints Ltd | Sales engineering Intern | pune | May 2026 | Jul 2026 | 8.7142857142857 Weeks | Campus Internship
R.D. DESPANDAY CONSULTANTS PVT LTD | TRAINEE ENGINEER  | PRADHIKARAN NIGDI | May 2024 | Nov 2024 | 25.142857142857 Weeks</t>
  </si>
  <si>
    <t>P25702134</t>
  </si>
  <si>
    <t>Prajapati Kirtan Nitinkumar</t>
  </si>
  <si>
    <t>prajapatikirtan09@gmail.com</t>
  </si>
  <si>
    <t>p25702134@student.nicmar.ac.in</t>
  </si>
  <si>
    <t>31-Aug-2004</t>
  </si>
  <si>
    <t>ENGLISH, GUJARATI, HINDI</t>
  </si>
  <si>
    <t>3059 4229 8769</t>
  </si>
  <si>
    <t>YOGITABEN</t>
  </si>
  <si>
    <t>2/889, Bhagvati Society, Behind Mahi Colony, Collage Chowkdi, Petlad</t>
  </si>
  <si>
    <t>CONVENT OF JESUS AND MARY HIGH SCHOOL</t>
  </si>
  <si>
    <t>DHARMSINH DESAI UNIVERSITY NADIAD</t>
  </si>
  <si>
    <t>AutoCAD,MS Office,MS Project,Primavera,SketchUp,Revit/BIM</t>
  </si>
  <si>
    <t>RUDRANI INFRASTRUCTURE &amp; DEVELOPER | PROJECT MANAGEMENT INTERN | VADODARA | May 2026 | Jul 2026 | 8.7142857142857 Weeks | Campus Internship
R &amp; B Sub Division Anand | Civil Engineering Intern | Anand | Dec 2024 | Mar 2025 | 16.714285714286 Weeks
DARSHANAM SMART SPACES | JUNIOR CIVIL ENGINEER | VADODARA | May 2024 | Jun 2024 | 4.8571428571429 Weeks</t>
  </si>
  <si>
    <t>P25702136</t>
  </si>
  <si>
    <t>YASHWANT</t>
  </si>
  <si>
    <t>Swapnil Yashwant Jadhav</t>
  </si>
  <si>
    <t>31s.swapniljadhav@gmail.com</t>
  </si>
  <si>
    <t>p25702136@student.nicmar.ac.in</t>
  </si>
  <si>
    <t>27-Jul-2001</t>
  </si>
  <si>
    <t>5437 2265 3473</t>
  </si>
  <si>
    <t>GOLD VALUER</t>
  </si>
  <si>
    <t>FLAT NO -403, WING C, PLOT NO 12, VASTU. FILM CITY, ZONE 4 NR RAHEJA TOWER</t>
  </si>
  <si>
    <t>85/631, Swarganga  Co. Op. Housing Society, MHB Colony, Dindoshi  Nagar, Near Reliance Energy</t>
  </si>
  <si>
    <t>YASHODHAM HIGH SCHOOL &amp; JUNIOR COLLEGE</t>
  </si>
  <si>
    <t>THAKUR POLYTECHNIC, KANDIVALI(E), MUMBAI-400101, MAHARASHTRA</t>
  </si>
  <si>
    <t>VIDYA VIKAS EDUCATION TRUSTS UNIVERSAL  COLLEGE OF ENGINEERING,KAMAN,VASAI-401208</t>
  </si>
  <si>
    <t>AutoCAD, MS Office, MS Project, Primavera, Daily Progress Reporting (DPR), Planned vs. Actual Progress Monitoring, Interpretation of structural and architectural drawings, Analytical &amp; Problem Solving Skills ,Labor management</t>
  </si>
  <si>
    <t>Prithvi Enterprises | Trainee Engineer | Goregaon(W), Mumbai-400104, Maharashtra  | Jun 2023 | Dec 2023 | 0Y 6M | 2.64
Talib &amp; Shamsi Construction PVT LTD | Jr Engineer | Borivali (E), Mumbai-400104, Maharashtra. | Jan 2024 | May 2025 | 1Y 4M | 3.24</t>
  </si>
  <si>
    <t>PSP Projects Limited | Civil Intern | Dharavi,Mumbai | May 2026 | Jun 2026 | 7.8571428571429 Weeks | Campus Internship</t>
  </si>
  <si>
    <t>Course on Primavera project management(P6),Certified by Cadd center, Andheri(East) ,Mumbai
Certification in auto cad 2D ,Certified by Max computer education, Kandivali (W),Mumbai
Certifications course in Auto cad 2D and Primavera P6 in project management
Certificate course in auto cad 2D and Primavera P6 project management
1) Certificate course in Auto cad 2D</t>
  </si>
  <si>
    <t>P25702137</t>
  </si>
  <si>
    <t>AASHAY</t>
  </si>
  <si>
    <t>Aashay Suresh Bhagat</t>
  </si>
  <si>
    <t>aashaybhagat22@gmail.com</t>
  </si>
  <si>
    <t>p25702137@student.nicmar.ac.in</t>
  </si>
  <si>
    <t>22-Oct-1999</t>
  </si>
  <si>
    <t>4902 5905 9130</t>
  </si>
  <si>
    <t>SURESH BHAGAT</t>
  </si>
  <si>
    <t>ARUNA BHAGAT</t>
  </si>
  <si>
    <t>YOUTHVILLE BALEWADI 2, NEAR AMAR TECH PARK, BALEWADI, PUNE</t>
  </si>
  <si>
    <t>10, Bhagat Nagar, Near Sutgirni, Wanadongri, Hingna, Nagpur</t>
  </si>
  <si>
    <t>VIMALTAI TIDKE CONVENT AND JR. COLLEGE</t>
  </si>
  <si>
    <t>AutoCAD,MS Office,MS Project,Primavera,Revit (Architectural MEP &amp; Structural),Navisworks,Recap Pro,Adobe InDesign,Lumion,Sketchup,Twinmotion</t>
  </si>
  <si>
    <t>Akshay Bobde and Associates | Jr. Architect | Nagpur | Sep 2023 | Jun 2024 | 0Y 9M | 1.5
Specuwin (a subsidiary of pinnacleiit) | BIM Modeller | Remote | Jan 2023 | Aug 2023 | 0Y 7M | 1.5</t>
  </si>
  <si>
    <t>Architect Rushikesh H. | Project Management Intern | Mumbai | May 2026 | Jul 2026 | 9.5714285714286 Weeks | Campus Internship
Ar. Joseph D'silva | Intern Architect | Panjim, Goa | Mar 2021 | Jul 2021 | 19.428571428571 Weeks</t>
  </si>
  <si>
    <t>Revit
Autocad
Advance BIM Professional Training</t>
  </si>
  <si>
    <t>P25702138</t>
  </si>
  <si>
    <t>BAPU</t>
  </si>
  <si>
    <t>Aditya Bapu Jadhav</t>
  </si>
  <si>
    <t>adityajadhav17831@gmail.com</t>
  </si>
  <si>
    <t>p25702138@student.nicmar.ac.in</t>
  </si>
  <si>
    <t>17-Jun-2003</t>
  </si>
  <si>
    <t>6469 4028 8753</t>
  </si>
  <si>
    <t>BAPU JADHAV</t>
  </si>
  <si>
    <t>USHA JADHAV</t>
  </si>
  <si>
    <t>FLAT NO 5 SHRI HARI PALACE SWAMI VIVEKANANDA COLONY  BEHIND ROYAL MEDICO CHAUDHARY PARK WAKAD</t>
  </si>
  <si>
    <t>Ramwadi Jinti Near Vitthal Temple Solapur</t>
  </si>
  <si>
    <t>SHRI FATTECHAND JAIN VIDYALAYA AND JUNIOR COLLEGE CHINCHWAD</t>
  </si>
  <si>
    <t>GOVERMENT POLYTECHNIC PUNE</t>
  </si>
  <si>
    <t>SINHGAD INSTITUTE OF TECHNOLOGY AND SCIENCE PUNE</t>
  </si>
  <si>
    <t>Sobha Ltd. | Project planning  | Sobha Ayana Bangalore  | May 2026 | Jul 2026 | 9 Weeks | Campus Internship
NYATI ENGINEERS CONSULTANTS PVT. LTD | SITE ENGINEER | THE CORINTHIANS RESORTS &amp; CLUB UNDRI PUNE | Aug 2021 | Sep 2021 | 5.7142857142857 Weeks
AK construction  &amp; Architectural | site engineer | mangalmay restaurant vidani tal.phaltan Dist.satara | Dec 2023 | Jan 2024 | 3.8571428571429 Weeks</t>
  </si>
  <si>
    <t>P25702139</t>
  </si>
  <si>
    <t>H</t>
  </si>
  <si>
    <t>Darshan B H</t>
  </si>
  <si>
    <t>darshanbhgowrpade@gmail.com</t>
  </si>
  <si>
    <t>p25702139@student.nicmar.ac.in</t>
  </si>
  <si>
    <t>15-Feb-2002</t>
  </si>
  <si>
    <t>ENGLISH, HINDI, KANNADA &amp; TELUGU</t>
  </si>
  <si>
    <t>9467 5920 7185</t>
  </si>
  <si>
    <t>HANUMANTHAPPA</t>
  </si>
  <si>
    <t>ASHA H B</t>
  </si>
  <si>
    <t>5/1 2ND FLOOR, 2ND MAIN_x000D_
AZADNAGAR, CHAMARAJPET</t>
  </si>
  <si>
    <t>S/O Hanumanthappa, Benkikere(v) Hodigere (p) Channagiri(T) Davanagere(D)</t>
  </si>
  <si>
    <t>SRI RAMAKRISHNA ENGLISH MEDIUM H S</t>
  </si>
  <si>
    <t>MAGANUR BASAPPA PU COLLAGE</t>
  </si>
  <si>
    <t>DEPARTMENT OF PRE-UNIVERCITY EDUCATION</t>
  </si>
  <si>
    <t>VISVESVARAYA TECHNOLOGICAL UNIVERCITY</t>
  </si>
  <si>
    <t>NITTE MEENAKSHI INSTITUE OF TECHNOLOGY</t>
  </si>
  <si>
    <t>SAFEX TECHNO SOLUTIONS | PROJECT MANAGEMENT INTERN | Kushalanagara | May 2026 | Jul 2026 | 10.428571428571 Weeks | Campus Internship
Sobha Limited | Trainee Site Engineer | Bangalore  | Jul 2023 | Aug 2023 | 4.4285714285714 Weeks</t>
  </si>
  <si>
    <t>P25702140</t>
  </si>
  <si>
    <t>SUBHASHREE</t>
  </si>
  <si>
    <t>ACHARYA</t>
  </si>
  <si>
    <t>Subhashree Acharya</t>
  </si>
  <si>
    <t>acharyasubhashree58@gmail.com</t>
  </si>
  <si>
    <t>p25702140@student.nicmar.ac.in</t>
  </si>
  <si>
    <t>01-Jul-1998</t>
  </si>
  <si>
    <t>8050 0226 1799</t>
  </si>
  <si>
    <t>BIRAJA PRASAD ACHARYA</t>
  </si>
  <si>
    <t>GOVT. EMPLOYEE</t>
  </si>
  <si>
    <t>SNEHALATA ACHARYA</t>
  </si>
  <si>
    <t>D-1, Lane-1, Bairagi Nagar, Jharpada Cenal Road</t>
  </si>
  <si>
    <t>VIVEKANANDA SIKSHA KENDRA</t>
  </si>
  <si>
    <t>BOARD OF SECONDARY EDUCATION, ODISHA</t>
  </si>
  <si>
    <t>ARCHITECTURAL ASSISTANTSHIP</t>
  </si>
  <si>
    <t>GOVERNMENT POLYTECHNIC, BHUBANESWAR</t>
  </si>
  <si>
    <t>PILOO MODY COLLEGE OF ARCHITECTURE, CUTTACK</t>
  </si>
  <si>
    <t>AutoCA,msoffice,MSproject,Photoshop,Sketchup,Lumion,Indesign,GIS</t>
  </si>
  <si>
    <t>Utkal Builders Limited | Senior Executive - Design Coordinator  | Bhubaneswar | Oct 2024 | May 2025 | 0Y 7M | 3.8</t>
  </si>
  <si>
    <t>Cushman &amp; Wakefield India | Project Management Intern | Pune | May 2026 | Jul 2026 | 8.7142857142857 Weeks | Campus Internship</t>
  </si>
  <si>
    <t xml:space="preserve">Design for Sustainable Urbanization
Exploring Green Building Innovations – a Covid 19 intervention
IGBC’s Student Chapter Annual Meet 2021 </t>
  </si>
  <si>
    <t>P25702141</t>
  </si>
  <si>
    <t>PAYAL</t>
  </si>
  <si>
    <t>R.</t>
  </si>
  <si>
    <t>Payal R. Kshirsagar</t>
  </si>
  <si>
    <t>payalkshirsagar237@gmail.com</t>
  </si>
  <si>
    <t>p25702141@student.nicmar.ac.in</t>
  </si>
  <si>
    <t>24-Feb-2000</t>
  </si>
  <si>
    <t>3155 4040 6377</t>
  </si>
  <si>
    <t>101, Plot 208/209 Surangama Appartment_x000D_
Manewada</t>
  </si>
  <si>
    <t>KSHIRSAGAR PAYAL RAVINDRA</t>
  </si>
  <si>
    <t>INSTITUTE OF DESIGN EDUCATION &amp; ARCHITECTURAL STUDIES, NAGPUR, MAHARASHTRA</t>
  </si>
  <si>
    <t>AutoCAD,MS Office,MS Project,sketup,photoshop,lumion,revit,coral</t>
  </si>
  <si>
    <t>Origin Associates | Junior Architect | Pune  | Dec 2022 | Apr 2025 | 2Y 4M | 5.4</t>
  </si>
  <si>
    <t>aXYKno Capital Services Pvt Ltd | Real Estate Advisory Intern  | Nagpur | May 2026 | Jul 2026 | 8.7142857142857 Weeks | Campus Internship
Misal Architects And Associates | Intern  | Nagpur | May 2021 | Oct 2021 | 22.571428571429 Weeks</t>
  </si>
  <si>
    <t>P25702142</t>
  </si>
  <si>
    <t>RAIKAR</t>
  </si>
  <si>
    <t>Vedant Damodar Raikar</t>
  </si>
  <si>
    <t>raikar.vedant@gmail.com</t>
  </si>
  <si>
    <t>p25702142@student.nicmar.ac.in</t>
  </si>
  <si>
    <t>09-Mar-2000</t>
  </si>
  <si>
    <t>ENGLISH, HINDI, MARATHI, KONKANI, GUJRATI</t>
  </si>
  <si>
    <t>3984 6902 0953</t>
  </si>
  <si>
    <t>DAMODAR RAIKAR</t>
  </si>
  <si>
    <t>VIDYA RAIKAR</t>
  </si>
  <si>
    <t>501 VISHWADHAM CO-OP SOCIETY, NEHRU NAGAR, KURLA E</t>
  </si>
  <si>
    <t>A/14 Pethe Nagar Society, Kedarmal Road , Malad East</t>
  </si>
  <si>
    <t>AVM HIGH SCHOOL</t>
  </si>
  <si>
    <t>MUMBAI, MAHARASHTRA</t>
  </si>
  <si>
    <t>SHRI T P BHATIA JR. COLLEGE OF SCIENCE</t>
  </si>
  <si>
    <t>AutoCAD,MS Office,Lumion,Sketchup,Photoshop,vray</t>
  </si>
  <si>
    <t>Metadesigns | Junior Architect/ Project Architect | Mumbai, Maharashtra | Feb 2024 | Apr 2025 | 1Y 2M | 2.4
Form Space and Design Architects (FSND) | Junior Architect | Mumbai, Maharashtra | Jul 2023 | Sep 2023 | 0Y 2M | 2.16</t>
  </si>
  <si>
    <t>Cushman &amp; Wakefield  | Strategic Consulting- Intern | Mumbai  | May 2026 | Jul 2026 | 8.5714285714286 Weeks | Campus Internship
SHASHI PRABHU AND ASSOCIATES | INTERN ARCHITECT | MUMBAI, MAHARASHTRA | Dec 2021 | Apr 2022 | 18.428571428571 Weeks</t>
  </si>
  <si>
    <t>P25702143</t>
  </si>
  <si>
    <t>SIDDARTH</t>
  </si>
  <si>
    <t>Siddarth S</t>
  </si>
  <si>
    <t>siddarthselvaraj3@gmail.com</t>
  </si>
  <si>
    <t>p25702143@student.nicmar.ac.in</t>
  </si>
  <si>
    <t>24-May-2003</t>
  </si>
  <si>
    <t>Tamil, English, Kannada</t>
  </si>
  <si>
    <t>4940 0127 2075</t>
  </si>
  <si>
    <t>SELVARAJ K</t>
  </si>
  <si>
    <t>COOK</t>
  </si>
  <si>
    <t>NITHYANANTHI</t>
  </si>
  <si>
    <t>1/229, 4th Street, Rasichettipalayam,_x000D_
Zamin Uthukuli(PO),_x000D_
Pollachi - 642004</t>
  </si>
  <si>
    <t>MANI HIGHER SECONDARY SCHOOL</t>
  </si>
  <si>
    <t>TAMILNADU STATEBOARD</t>
  </si>
  <si>
    <t>KPR INSTITUTE OF ENGINEERING AND TECHNOLOGY, COIMBATORE, TAMIL NADU.</t>
  </si>
  <si>
    <t>MS Excel,MS Office,MS Project,Primevera P6,AutoCAD,SketchUp,Tekla Structures,Adobe illustrator,RIB Candy</t>
  </si>
  <si>
    <t>Sublime Structures | Junior Detailing Engineer | Coimbatore | May 2024 | Jun 2025 | 1Y 1M | 2.4</t>
  </si>
  <si>
    <t>Modulus Housing | Founder's office - Operations | IITM. Chennai | May 2026 | Jul 2026 | 8.7142857142857 Weeks | Campus Internship
KPR Institute of Engineering and Technology | Designing Trainee | Coimbatore | Jun 2022 | Jun 2022 | 2 Weeks
G Ramamoorthi Constructions (I) Pvt Ltd | Assistant Site Engineer | Coimbatore | Dec 2021 | Dec 2021 | 2.2857142857143 Weeks</t>
  </si>
  <si>
    <t>L&amp;T Edutech - Formwork Engineering Practices
L&amp;T Edutech - Project Management For Engineers
L&amp;T Edutech - Concreting Techniques and Practices
NPTEL - Corporate Finance</t>
  </si>
  <si>
    <t>P25702144</t>
  </si>
  <si>
    <t>DAVE</t>
  </si>
  <si>
    <t>Hrishikesh Gopal Dave</t>
  </si>
  <si>
    <t>hrishikeshdave99@gmail.com</t>
  </si>
  <si>
    <t>p25702144@student.nicmar.ac.in</t>
  </si>
  <si>
    <t>Hindi, English, Marathi, Marwari</t>
  </si>
  <si>
    <t>Exploring new places,Interacting with new  people,Photography,Trekking &amp; hiking,Sports</t>
  </si>
  <si>
    <t>7019 2724 9204</t>
  </si>
  <si>
    <t>GOPAL MADANLAL DAVE</t>
  </si>
  <si>
    <t>REKHA GOPAL DAVE</t>
  </si>
  <si>
    <t>FL A 102 TODKAR ANGAN SN-41/2A YEWALEWADI NR. ZP SCHOOL PUNE-48</t>
  </si>
  <si>
    <t>ROSARY SCHOOLS &amp; JR COLLEGE</t>
  </si>
  <si>
    <t>MAHARASHTRA BOARD OF SECONDARY SCHOOL CERTIFICATE PUNE</t>
  </si>
  <si>
    <t>TRINITY POLYTECHNIC</t>
  </si>
  <si>
    <t>TRINITY ACADEMY COLLEGE OF ENGINEERING</t>
  </si>
  <si>
    <t>Relation RealTech Pvt Ltd | Planning &amp; Strategy  | Pune | May 2026 | Jul 2026 | 8.7142857142857 Weeks | Campus Internship
Pragati Engineering | Operational Intern  | Pune | Dec 2024 | May 2025 | 21.571428571429 Weeks</t>
  </si>
  <si>
    <t>P25702145</t>
  </si>
  <si>
    <t>CHORE</t>
  </si>
  <si>
    <t>Chore Vaibhavi Pradip</t>
  </si>
  <si>
    <t>vaibhavichore49@gmail.com</t>
  </si>
  <si>
    <t>p25702145@student.nicmar.ac.in</t>
  </si>
  <si>
    <t>3114 0649 1140</t>
  </si>
  <si>
    <t>Dnyneshwari Nagar,Near Arav Pride ,Shegaon-Rahatgaon Road,</t>
  </si>
  <si>
    <t>RAJESHWARI VIDYA MANDIR</t>
  </si>
  <si>
    <t>P.R.PATIL COLLEGE OF ARCHITECTURE, AMRAVATI</t>
  </si>
  <si>
    <t>AutoCAD,MS Office,MS Project, Primavera,MS PowerPoint, MS Excel, MS Word, Candy, Canva</t>
  </si>
  <si>
    <t>Krishna Rrealty | Operations Intern | Pune | May 2026 | Jul 2026 | 9.7142857142857 Weeks | Campus Internship</t>
  </si>
  <si>
    <t>Infrastructure Economics</t>
  </si>
  <si>
    <t>P25702146</t>
  </si>
  <si>
    <t>MOOLVANSHI</t>
  </si>
  <si>
    <t>Abhinav Moolvanshi</t>
  </si>
  <si>
    <t>abhinavmoolvanshi71617@gmail.com</t>
  </si>
  <si>
    <t>p25702146@student.nicmar.ac.in</t>
  </si>
  <si>
    <t>2835 7840 2701</t>
  </si>
  <si>
    <t>AKHILESH KUMAR</t>
  </si>
  <si>
    <t>9B/89 VRINDAVAN YOJNA,RAIBARELI ROAD,LUCKNOW</t>
  </si>
  <si>
    <t>LUCKNOW PUBLIC SCH VRINDAVAN YOJANA LUCKNOW UP</t>
  </si>
  <si>
    <t>CBSE LUCKNOW UP</t>
  </si>
  <si>
    <t>ST HENRY PUB IC MADEHGANJ KHADRA LUCKNOW</t>
  </si>
  <si>
    <t>UP BOARD, LUCKNOW/UTTAR PRADESH</t>
  </si>
  <si>
    <t>BABASAHEB BHIMRAO AMBEDKAR UNIVERSITY</t>
  </si>
  <si>
    <t>BABASAHEB BHIMRAO AMBEDKAR UNIVERSITY LUCKNOW</t>
  </si>
  <si>
    <t>AutoCAD,MS Office,MS Project,REVIT ARCHITECTURE 2021,STAAD PRO V8i</t>
  </si>
  <si>
    <t>REPPLEN PROJECTS PRIVATE LIMITED | INTERN-PLANNING | PRAYAGRAJ | May 2026 | Jun 2026 | 8.1428571428571 Weeks | Campus Internship
AMNA | Trainee | Basti | Mar 2024 | Sep 2024 | 30.285714285714 Weeks
RDSO | Trainee | Lucknow | Jun 2022 | Jul 2022 | 3.5714285714286 Weeks</t>
  </si>
  <si>
    <t>Autodesk AutoCad, Revit Architecture</t>
  </si>
  <si>
    <t>P25702147</t>
  </si>
  <si>
    <t>Bhushan Gopal Chaudhari</t>
  </si>
  <si>
    <t>chaudharibhushan9990@gmail.com</t>
  </si>
  <si>
    <t>p25702147@student.nicmar.ac.in</t>
  </si>
  <si>
    <t>18-Nov-2001</t>
  </si>
  <si>
    <t>2276 2390 8175</t>
  </si>
  <si>
    <t>GOPAL CHAUDHARI</t>
  </si>
  <si>
    <t>VANDANA CHAUDHARI</t>
  </si>
  <si>
    <t>Plot No.12,professor Colony,near Biyani High School,Bhusawal</t>
  </si>
  <si>
    <t>ST. ALOYSIUS CONVENT HIGH SCHOOL</t>
  </si>
  <si>
    <t>SCC MAHARASHTRA BOARD</t>
  </si>
  <si>
    <t>P O NAHATA COLLEGE, BHUSAWAL</t>
  </si>
  <si>
    <t>SHRI GULABRAO DEONAR COLLEGE OF ENGINEERING</t>
  </si>
  <si>
    <t>DR. BABASAHEB AMBEDKAR TECHNOLOGICAL UNIVERSITY, BHUSAWAL</t>
  </si>
  <si>
    <t>SHRI. SANT GADGEBABA COLLEGE OF ENGINEERING AND TECHNOLOGY, BHUSAWAL</t>
  </si>
  <si>
    <t>Himalaya constructions and consultant | Real Estate Project Coordinator  | Bhusawal | May 2026 | Jul 2026 | 8.7142857142857 Weeks | Campus Internship</t>
  </si>
  <si>
    <t>Quantity surveying and project billing using MS-EXCEL
Microsoft project
Autocad
Construction project management
Sustainable Urban Water Systems
Urban Land Economics and Real Estate Market Dynamics</t>
  </si>
  <si>
    <t>P25702148</t>
  </si>
  <si>
    <t>KHEMCHAND</t>
  </si>
  <si>
    <t>CHAINANI</t>
  </si>
  <si>
    <t>Aditya Khemchand Chainani</t>
  </si>
  <si>
    <t>adityachainani29@gmail.com</t>
  </si>
  <si>
    <t>p25702148@student.nicmar.ac.in</t>
  </si>
  <si>
    <t>09-Jun-2002</t>
  </si>
  <si>
    <t>Exploring new places,Interacting with new people,Photography,Trekking &amp; hiking,Sports</t>
  </si>
  <si>
    <t>2034 2840 7117</t>
  </si>
  <si>
    <t>VINITA</t>
  </si>
  <si>
    <t>LIFE REPUBLIC,R16 AREZO A, WING A, GAIKWAD NAGAR RD, PUNAWALE, PUNE</t>
  </si>
  <si>
    <t>Plot No 478,Sindhi Colony , Khamla, Nagpur</t>
  </si>
  <si>
    <t>SOMALWAR NIKALAS HIGH SCHOOL &amp; JR. COLLEGE</t>
  </si>
  <si>
    <t>MAHARASHTRA BOARD OF SECONDARY AND HIGHER SECONDARY EDUCATION PUNE. NAGPUR/MAHARASHTRA</t>
  </si>
  <si>
    <t>AutoCAD,MS Project,Project Planning and Management,NAVISWORK MANAGE 2025,REVIT ARCHITECTURE 2025</t>
  </si>
  <si>
    <t>Singhania Buildcon Pvt. Ltd. | Planning, Site execution &amp; Control, and Procurement  | Raipur, Chhattisgarh  | May 2026 | Jul 2026 | 8.7142857142857 Weeks | Campus Internship
NIRMAYI CONSTRUCTION | TRAINEE SITE ENGINEER | NAGPUR | Jun 2024 | Jul 2024 | 3.2857142857143 Weeks
PLA PROJECTS PRIVATE LIMITED | TRAINEE SITE ENGINEER | NAGPUR | Dec 2024 | Apr 2025 | 19 Weeks</t>
  </si>
  <si>
    <t>Naviswork Manage
Revit Architecture
Project Planning and Management</t>
  </si>
  <si>
    <t>P25702150</t>
  </si>
  <si>
    <t>SRUSHTI</t>
  </si>
  <si>
    <t>LOMTE</t>
  </si>
  <si>
    <t>Srushti Viraj Lomte</t>
  </si>
  <si>
    <t>lomte.srushti@gmail.com</t>
  </si>
  <si>
    <t>p25702150@student.nicmar.ac.in</t>
  </si>
  <si>
    <t>7587 6418 1462</t>
  </si>
  <si>
    <t>VIRAJ LOMTE</t>
  </si>
  <si>
    <t>YOGITA LOMTE</t>
  </si>
  <si>
    <t>I 1104 AMITS BLOOMFIELD,AMBEGAON BK . NEAR INDRAYANI SCHOOL PUNE</t>
  </si>
  <si>
    <t>Rajeev Township_x000D_
1 Vijayshree Apt_x000D_
Rajiv Nagar</t>
  </si>
  <si>
    <t>SYMBIOSIS SCHOOL , NASHIK</t>
  </si>
  <si>
    <t>SHREE PRAMOD PATIL JUNIOR COLLEGE</t>
  </si>
  <si>
    <t>Suprabhat Buidcon | Business Development intern  | Nashik  | May 2026 | Jul 2026 | 8.7142857142857 Weeks | Campus Internship
Space Evolve Consultants | Architectural Intern | Nashik  | Jun 2024 | Oct 2024 | 19.857142857143 Weeks</t>
  </si>
  <si>
    <t>Green Building certication , elective course</t>
  </si>
  <si>
    <t>P25702151</t>
  </si>
  <si>
    <t>RAJAT</t>
  </si>
  <si>
    <t>RASANE</t>
  </si>
  <si>
    <t>Rajat Rahul Rasane</t>
  </si>
  <si>
    <t>rajatxrasane@gmail.com</t>
  </si>
  <si>
    <t>p25702151@student.nicmar.ac.in</t>
  </si>
  <si>
    <t>06-May-2002</t>
  </si>
  <si>
    <t>6729 3291 5479</t>
  </si>
  <si>
    <t>RAHUL RASANE</t>
  </si>
  <si>
    <t>RAKHEE RASANE</t>
  </si>
  <si>
    <t>6, Shriketan Apartments, 425/13 TMV Colony, Mukundnagar, Pune 411037</t>
  </si>
  <si>
    <t>HUTCHINGS HIGH SCHOOL</t>
  </si>
  <si>
    <t>RAJIV GANDHI ACADEMY OF E-LEARNING SCHOOL &amp; JUNIOR COLLEGE OF SCIENCE</t>
  </si>
  <si>
    <t>M/s Rahul Rasane | Site Engineer / Project Manager | Girikunj - Taljai Hills, Taljai Pathar, Dhankawadi, Pune 411043 | Jun 2024 | Jan 2025 | 0Y 7M | 4.2</t>
  </si>
  <si>
    <t>Corporate Finance</t>
  </si>
  <si>
    <t>P25702152</t>
  </si>
  <si>
    <t>RUTIK</t>
  </si>
  <si>
    <t>LAXMANRAO</t>
  </si>
  <si>
    <t>GIRADKAR</t>
  </si>
  <si>
    <t>Rutik Laxmanrao Giradkar</t>
  </si>
  <si>
    <t>rutikgiradkar@gmail.com</t>
  </si>
  <si>
    <t>p25702152@student.nicmar.ac.in</t>
  </si>
  <si>
    <t>05-Oct-2000</t>
  </si>
  <si>
    <t>2470 1320 6060</t>
  </si>
  <si>
    <t>Ekurli, Po- Talegaon Talatule, Tah- Wardha, Dist- Wardha, Maharashtra, 442001</t>
  </si>
  <si>
    <t>INDIAN MILITARY SCHOOL</t>
  </si>
  <si>
    <t>SHRI VYANKAYTESH JUNIOR COLLEGE</t>
  </si>
  <si>
    <t>MS Project, Primavera P6, MS Office, AutoCAD, Revit-Architecture</t>
  </si>
  <si>
    <t>REPPLEN PROJECTS PRIVATE LIMITED | Planning Intern | Pune | May 2026 | Jun 2026 | 8.1428571428571 Weeks | Campus Internship
PUBLIC WORKS DIVISION | Intern | P.W. Sub Division, Seloo, Wardha, Maharashtra | Feb 2022 | Jul 2022 | 25.571428571429 Weeks
BAJAJ AUTO LIMITED | Intern | Bajaj Nagar, Waluj, Midc, Aurangabad, Maharashtra | Aug 2019 | Aug 2019 | 0.71428571428571 Weeks</t>
  </si>
  <si>
    <t>AutoCAD
Revit Architecture
SAP2000</t>
  </si>
  <si>
    <t>P25702153</t>
  </si>
  <si>
    <t>AMDHARE</t>
  </si>
  <si>
    <t>Ayush Narendra Amdhare</t>
  </si>
  <si>
    <t>ayush664041@gmail.com</t>
  </si>
  <si>
    <t>p25702153@student.nicmar.ac.in</t>
  </si>
  <si>
    <t>03-Dec-2002</t>
  </si>
  <si>
    <t>7673 1483 7106</t>
  </si>
  <si>
    <t>YOUTHVILLE BALEWADI 2, NEXT TO AMAR TECH PARK, PUNE, MAHARASHTRA 411045</t>
  </si>
  <si>
    <t>Plot No.31,kohley Layout,khadgaon Road,wadi,</t>
  </si>
  <si>
    <t>CDS SCHOOL NAGPUR</t>
  </si>
  <si>
    <t>G H RAISONI VIDYA NIKETAN NAGPUR MAHARASHTRA</t>
  </si>
  <si>
    <t>TIRPUDE INSTITUTE OF MANAGEMENT EDUCATION, SADAR, NAGPUR/MAHARASHTRA</t>
  </si>
  <si>
    <t>Goldbricks Infrastructure Pvt.Ltd | Sales executive | NAGPUR | May 2026 | Jul 2026 | 9.7142857142857 Weeks | Campus Internship
OPEN WINGS FOUNDATION | Non-profit organization | Noida, Uttar Pradesh | Jul 2024 | Oct 2024 | 13.142857142857 Weeks</t>
  </si>
  <si>
    <t>P2201001</t>
  </si>
  <si>
    <t>ESHIKA</t>
  </si>
  <si>
    <t>Eshika Vikas Patil</t>
  </si>
  <si>
    <t>eshikapatil8@gmail.com</t>
  </si>
  <si>
    <t>p2201001@student.nicmar.ac.in</t>
  </si>
  <si>
    <t>22-Jun-2004</t>
  </si>
  <si>
    <t>Dance,Singing,Painting,Swimming,Reading</t>
  </si>
  <si>
    <t>3568 7659 0201</t>
  </si>
  <si>
    <t>VIKAS TUKARAM PATIL</t>
  </si>
  <si>
    <t>MEGHA VIKAS PATIL</t>
  </si>
  <si>
    <t>H - 1003, Lake Vista Society, Shaninagar, Katraj</t>
  </si>
  <si>
    <t>AARYANS WORLDS SCHOOL</t>
  </si>
  <si>
    <t>NATIONAL INSTITUTE OF OPEN SCHOOLING</t>
  </si>
  <si>
    <t>NICMAR UNIVERSITY, PUNE</t>
  </si>
  <si>
    <t xml:space="preserve">MS Office,C++,c, MS Projects, Adobe Illustrator basics, Adobe Photoshop Basic, Python Basic, </t>
  </si>
  <si>
    <t>Suzlon Energy LTD  | OMS - BD  | Pune  | May 2026 | Jul 2026 | 9.1428571428571 Weeks | Campus Internship
RUCHA GROUP | HR INTERN  | SHIVAJINAGAR, PUNE | May 2024 | Jul 2024 | 8.7142857142857 Weeks
COGNIZEN INNOVATION | HR+ MARKETING  | DELHI  | May 2025 | Jul 2025 | 8.7142857142857 Weeks</t>
  </si>
  <si>
    <t>Yoga and positive psychology for managing career and life
Hindi Bhasha Bodh
Korean I
English for research paper writing
Indian Knowledge System 
Innovation, Business Model and Entrepreneurship</t>
  </si>
  <si>
    <t>P2201002</t>
  </si>
  <si>
    <t>UDIT</t>
  </si>
  <si>
    <t>Udit Singh</t>
  </si>
  <si>
    <t>kabirsingh231456@gmail.com</t>
  </si>
  <si>
    <t>p2201002@student.nicmar.ac.in</t>
  </si>
  <si>
    <t>25-Feb-2004</t>
  </si>
  <si>
    <t>7816 1680 8281</t>
  </si>
  <si>
    <t>LOKENDRA SINGH</t>
  </si>
  <si>
    <t>RASHMI SINGH</t>
  </si>
  <si>
    <t>115, MBH BOYS HOSTEL, NICMAR UNIVERSITY, POST OFFICE, 25/1, BALEWADI ROAD, RAM NAGAR, BANER, PUNE, MAHARASHTRA</t>
  </si>
  <si>
    <t>HOUSE NUMBER 119, AVTAR SINGH ROAD, AGRA CANTT, AGRA, UTTAR PRADESH</t>
  </si>
  <si>
    <t>Agra</t>
  </si>
  <si>
    <t>NALANDA ACADEMY ANANTPURA, KOTA, RAJASTHAN</t>
  </si>
  <si>
    <t>CENTRAL BOARD OF SECONDARY EDUCATION, KOTA, RAJASTHAN</t>
  </si>
  <si>
    <t>MAHI INTERNATIONAL SCHOOL, AGRA, UTTAR PRADESH</t>
  </si>
  <si>
    <t>CENTRAL BOARD OF SECONDARY EDUCATION, AGRA, UTTAR PRADESH</t>
  </si>
  <si>
    <t>MS Office,C &amp; C++ PROGRAMMING,ORACLE,PHOTOSHOP,ILLUSTRATOR</t>
  </si>
  <si>
    <t>SRV MEDIA PVT. LTD | DIGITAL MARKETING | 3RD FLOOR, OFFICE NO. 301, NANDAN PROBIZ, NEAR BALEWADI HIGH STREET, LAXMAN NAGAR, BANER, PUNE, MAHARASHTRA 411045 | May 2024 | Jul 2024 | 8.7142857142857 Weeks
Nicmar | Data Analyst  | Online  | Jul 2024 | Sep 2024 | 8.8571428571429 Weeks
UNIVERSITY OF ILLINOIS | FINANCIAL ACCOUNTING WORK THROUGH COURSERA | ONLINE  | May 2025 | Jul 2025 | 8.7142857142857 Weeks
RAJGURU SALES CORPORATION | Business Development | Jaipur | May 2026 | Jul 2026 | 9.4285714285714 Weeks</t>
  </si>
  <si>
    <t>P2201003</t>
  </si>
  <si>
    <t>VIJIT</t>
  </si>
  <si>
    <t>Vijit Yadav</t>
  </si>
  <si>
    <t>vijityadav37@gmail.com</t>
  </si>
  <si>
    <t>p2201003@student.nicmar.ac.in</t>
  </si>
  <si>
    <t>10-Feb-2005</t>
  </si>
  <si>
    <t>ENGLISH AND  HINDI</t>
  </si>
  <si>
    <t>Sports,Yoga,Trekking,Reading,Rubik&amp;#39;s Cube</t>
  </si>
  <si>
    <t>8589 1137 0658</t>
  </si>
  <si>
    <t>GREESH CHANDRA YADAV</t>
  </si>
  <si>
    <t>EX-SERVICEMAN</t>
  </si>
  <si>
    <t>MANJU LATA</t>
  </si>
  <si>
    <t>NICMAR UNIVERSITY, MBH ROOM NO- 116, 25/1, BALEWADI, NEAR NIA POST OFFICE</t>
  </si>
  <si>
    <t>14/ JASWANT ESTATE COLONY, KOLLAKHA, DEORI ROAD, AGRA, UTTAR PRADESH</t>
  </si>
  <si>
    <t>VIJIT YADAV</t>
  </si>
  <si>
    <t>MS Office,Python (programming language),C (programming language),RDBMS (relational database management system),MS EXCEL,Adobe Photoshop,Adobe Illustrator</t>
  </si>
  <si>
    <t>Bombay Stock Exchange Brokers' Forum | Capital Market Operation | Mumbai | May 2026 | Jul 2026 | 9.5714285714286 Weeks | Campus Internship
SRV MEDIA PVT. LTD | DIGITAL MARKETING  | PUNE | May 2024 | Jul 2024 | 8.7142857142857 Weeks
UNIVERSITY OF ILLINOIS | FINANCIAL ACCOUNTING WORK THROUGH COURSERA | ONLINE | May 2025 | Jul 2025 | 8.7142857142857 Weeks</t>
  </si>
  <si>
    <t>Excel in finance
Python
NISM Fest</t>
  </si>
  <si>
    <t>P2201006</t>
  </si>
  <si>
    <t>ANINDITA</t>
  </si>
  <si>
    <t>JEEVAN</t>
  </si>
  <si>
    <t>Anindita Jeevan</t>
  </si>
  <si>
    <t>aninditaj1234@gmail.com</t>
  </si>
  <si>
    <t>p2201006@student.nicmar.ac.in</t>
  </si>
  <si>
    <t>20-May-2003</t>
  </si>
  <si>
    <t>ENGLISH,HINDI,MALAYALAM,MARATHI,FRENCH</t>
  </si>
  <si>
    <t>Dancing,Painting,Content creation,Journalling,Swimming,Singing,Listening to Music</t>
  </si>
  <si>
    <t>9731 1150 6250</t>
  </si>
  <si>
    <t>JEEVAN KOOLOTHUMKANDY</t>
  </si>
  <si>
    <t>SONA JEEVAN</t>
  </si>
  <si>
    <t>C 902, Vatsalya Vihar, Nagras Road, Aundh,Pune 411007</t>
  </si>
  <si>
    <t>INDIRA NATIONAL SCHOOL</t>
  </si>
  <si>
    <t>CBSE DELHI BOARD(MAHARASHTRA)</t>
  </si>
  <si>
    <t>MS Office,Basics of MS Excel,MYSQL Basics,PYTHON Basics,ILLUSTRATOR Basics,Photoshop basics,Office 365,RDBMS BASICS,C++ basics</t>
  </si>
  <si>
    <t>Dancing Curve Institute | Instructor, Admin | Aundh  | Aug 2021 | Sep 2025 | 4Y 1M | 2</t>
  </si>
  <si>
    <t>E-Construct | Project Management Intern | Bangalore | May 2026 | Jun 2026 | 8.1428571428571 Weeks | Campus Internship
Millennium Engineers and Contractors | HR INTERN | Balewadi Pune | May 2024 | Jul 2024 | 8 Weeks
Dancing Curve Institute | Marketing , Sales and Administration Executive | Pune | May 2025 | Jul 2025 | 8.7142857142857 Weeks</t>
  </si>
  <si>
    <t>International Business I
Basic Statistics
Inferential Statistics
Qualitative Research Methods
Quantitative methods 
Getting started with MS Office 365
Indian Knowledge System (Swayam, NPTEL)
Yoga and Positive Psychology
Economics of Innovation</t>
  </si>
  <si>
    <t>P2201007</t>
  </si>
  <si>
    <t>BHANGALE</t>
  </si>
  <si>
    <t>Pooja Jayant Bhangale</t>
  </si>
  <si>
    <t>pjbnicmar@gmail.com</t>
  </si>
  <si>
    <t>p2201007@student.nicmar.ac.in</t>
  </si>
  <si>
    <t>21-Jul-2003</t>
  </si>
  <si>
    <t>Music,Badminton,Trekking</t>
  </si>
  <si>
    <t>2527 7626 9526</t>
  </si>
  <si>
    <t>CHARUSHILA</t>
  </si>
  <si>
    <t>B-2 Suyash Row Bunglow, Krushna Park, Panchak, Jail Road, Nashik Road</t>
  </si>
  <si>
    <t>RYAN INTERNATIONAL SCHOOL</t>
  </si>
  <si>
    <t>NUTAN VIDYAMANDIR</t>
  </si>
  <si>
    <t>NICMAR UNIVERSITY,. PUNE</t>
  </si>
  <si>
    <t>MS Office,PowerPoint</t>
  </si>
  <si>
    <t>Sobha Realty | HR Intern | Head Office, Bangalore | May 2026 | Jul 2026 | 0Y 2M</t>
  </si>
  <si>
    <t>RUCHA GROUP | HR INTERN | SHIVAJI NAGAR, PUNE | May 2024 | Jul 2024 | 8.7142857142857 Weeks
COGNIZEN INNOVATIONS | HR AND MARKETING INTERN  | DELHI-NCR (WORK FROM HOME) | May 2025 | Jul 2025 | 8.7142857142857 Weeks</t>
  </si>
  <si>
    <t>Yoga and Positive Psychology for Managing Career and Life
Hindi Bhasha Bhod
English for research paper writing</t>
  </si>
  <si>
    <t>P2201008</t>
  </si>
  <si>
    <t>ZAKIYA</t>
  </si>
  <si>
    <t>SHAMSHUDDIN</t>
  </si>
  <si>
    <t>MULLA</t>
  </si>
  <si>
    <t>Zakiya Shamshuddin Mulla</t>
  </si>
  <si>
    <t>zakiyamulla08@gmail.com</t>
  </si>
  <si>
    <t>p2201008@student.nicmar.ac.in</t>
  </si>
  <si>
    <t>08-Jul-2004</t>
  </si>
  <si>
    <t>English ,Hindi ,Marathi</t>
  </si>
  <si>
    <t>sketching,painting,singing,travelling,learning new languages</t>
  </si>
  <si>
    <t>5174 4560 7081</t>
  </si>
  <si>
    <t>RETIRED STATE GOVERNMENT OFFICER</t>
  </si>
  <si>
    <t>TARANNUM</t>
  </si>
  <si>
    <t>A-403 Mithras Park ,Near Shivar Chowk, Pimple Saudagar</t>
  </si>
  <si>
    <t>D A V PUBLIC SCHOOL</t>
  </si>
  <si>
    <t>S N B P INTERNATIONAL SCHOOL</t>
  </si>
  <si>
    <t>NICMAR UNIVERISTY, PUNE</t>
  </si>
  <si>
    <t>Application of SQL(Queries and Joints), Application of Python, Excel (Dashboards; Data analytics; pivot charts),Strategic Generative AI Research,MS Project, Ms office,PowerBi,Adobe Photoshop and illustrator</t>
  </si>
  <si>
    <t>Econstruct Design and Build Private Limited | Project Management Intern | Bengaluru | May 2026 | Jun 2026 | 8.1428571428571 Weeks | Campus Internship
SRV MEDIA PVT. LTD | DIGITAL MARKETING - INTERN | BALEWADI HIGH STREET, LAXMAN NAGAR, BANER, PUNE, MAHARASHTRA 411045 | May 2024 | Jun 2024 | 7.5714285714286 Weeks
UNIVERSITY OF ILLINOIS | FINANCIAL ACCOUNTING WORK THROUGH COURSERA | ONLINE  | May 2025 | Jul 2025 | 8.7142857142857 Weeks</t>
  </si>
  <si>
    <t>Lean Six Sigma Green Belt Certification Programme by KPMG
Investment Risk Management
Create a Financial Statement using Microsoft Excel
Business Analysis &amp; Process Management
Financial Management
Financial Analysis - Skills  for Success</t>
  </si>
  <si>
    <t>P2201010</t>
  </si>
  <si>
    <t>PRAMIT</t>
  </si>
  <si>
    <t>Pramit - Gupta</t>
  </si>
  <si>
    <t>primepramit@gmail.com</t>
  </si>
  <si>
    <t>p2201010@student.nicmar.ac.in</t>
  </si>
  <si>
    <t>02-Sep-2004</t>
  </si>
  <si>
    <t>Artwork,collecting books,Technology,Simulators,Lego</t>
  </si>
  <si>
    <t>3771 5557 9327</t>
  </si>
  <si>
    <t>SOFTWARE ENGIRNEER,DIRECTOR</t>
  </si>
  <si>
    <t>GEETA</t>
  </si>
  <si>
    <t>HOUSEWIFE(PREVIOUSLY HOME TUTOR AND BUSINESS WOMAN)</t>
  </si>
  <si>
    <t>B 601 Golden Trellis ,golden Street,near Madhuban Society Balewadi,pune_x000D_
411045</t>
  </si>
  <si>
    <t>RADCLIFFE</t>
  </si>
  <si>
    <t>THANE</t>
  </si>
  <si>
    <t>BARNES SCHOOL AND JUNIOR COLLEGE</t>
  </si>
  <si>
    <t>NASIK</t>
  </si>
  <si>
    <t>NICMAR UNIVERSITY, PUNE/MAHARASTRA</t>
  </si>
  <si>
    <t>other,powerpoint</t>
  </si>
  <si>
    <t>CANOPUS INFOSYSTEMS PVT. LTD. | MARKET RESEARCHER  | MUNICH, GERMANNY | Jun 2024 | Jul 2024 | 8.5714285714286 Weeks
Coursera (Industry-Recognized Certification Program | Summer Intern (Finance &amp; Business Management via Online Certification | Remote/Online (Partner Universities: University of Pennsylvania, Duke University, University of Illinois Urbana-Champaign | Jun 2025 | Jul 2025 | 8.5714285714286 Weeks</t>
  </si>
  <si>
    <t>P25703001</t>
  </si>
  <si>
    <t>DHANPAL</t>
  </si>
  <si>
    <t>KAWALE</t>
  </si>
  <si>
    <t>Chinmay Dhanpal Kawale</t>
  </si>
  <si>
    <t>chinmayk090401@gmail.com</t>
  </si>
  <si>
    <t>p25703001@student.nicmar.ac.in</t>
  </si>
  <si>
    <t>09-Apr-2001</t>
  </si>
  <si>
    <t>9692 8181 4424</t>
  </si>
  <si>
    <t>DHANPAL KAWALE</t>
  </si>
  <si>
    <t>REKHA KAWALE</t>
  </si>
  <si>
    <t>SKY LINE PG 2, 503, OPPOSITE HIRAI SITAI MANDIR</t>
  </si>
  <si>
    <t>Sai Mauly Colony, Fulchur Peth</t>
  </si>
  <si>
    <t>GUJARATI NATIONAL HIGH SCHOOL, GONDIA-441614</t>
  </si>
  <si>
    <t>MAHARASHTRA STATE BOARD SECONDARY EDUCATION, PUNE, MAHARASHTRA</t>
  </si>
  <si>
    <t>SAKET JR. COLLEGE GONDIA</t>
  </si>
  <si>
    <t>KAVI KULGURU INSTITUTE OF TECHNOLOGY AND SCIENCE, RAMTEK</t>
  </si>
  <si>
    <t>Edsom Fintech Pvt. Ltd. | Finance intern | Pune, Maharashtra, India | May 2026 | Jun 2026 | 7.7142857142857 Weeks | Campus Internship</t>
  </si>
  <si>
    <t>P25703002</t>
  </si>
  <si>
    <t>ROSHNI</t>
  </si>
  <si>
    <t>SANDEEP</t>
  </si>
  <si>
    <t>GODBOLE</t>
  </si>
  <si>
    <t>Roshni Sandeep Godbole</t>
  </si>
  <si>
    <t>roshni.godbole7@gmail.com</t>
  </si>
  <si>
    <t>p25703002@student.nicmar.ac.in</t>
  </si>
  <si>
    <t>07-Sep-2003</t>
  </si>
  <si>
    <t>6498 5713 0324</t>
  </si>
  <si>
    <t>SANDEEP GODBOLE</t>
  </si>
  <si>
    <t>VIDYA GODBOLE</t>
  </si>
  <si>
    <t>Flat No.- 5, Jenika Apt, Near Shivaji Uday Mandal, Tanaji Nagar, Chinchwad, Pune-33.</t>
  </si>
  <si>
    <t>BLOSSOM PUBLIC SCHOOL, TATHAWADE</t>
  </si>
  <si>
    <t>MECHANICAL ENGINEERING</t>
  </si>
  <si>
    <t>GOVERNMENT POLYTECHNIC, PUNE, MAHARASHTRA</t>
  </si>
  <si>
    <t>PIMPRI CHINCHWAD COLLEGE OF ENGINEERING, NIGDI, PUNE-44.</t>
  </si>
  <si>
    <t>AutoCAD,MS Project,Solid Edge,Python,Tableau,SQL,Microsoft Power BI,MS Excel</t>
  </si>
  <si>
    <t>Finnovators Services Pvt Ltd | Operations intern | Pune | May 2026 | Jul 2026 | 8.7142857142857 Weeks | Campus Internship
INTRAINZ INNOVATION PVT LTD. | RESEARCH INTERN  | BENGALURU, KARNATAKA | Feb 2024 | Apr 2024 | 8.5714285714286 Weeks
High Energy Materials Research Laboratory, DRDO, Ministry of Defence. | Design Intern | Sutarwadi, Pune-411021 | May 2024 | Jul 2024 | 10 Weeks</t>
  </si>
  <si>
    <t>emS Stock Market Institute - Basic to Advance (Indian stock market)
CAD DESK- NX CAD
NPTEL - Computer Integrated Manufacturing.
Unstop Brand Management
Coursera Operations Management
Coursera International Business</t>
  </si>
  <si>
    <t>P25703003</t>
  </si>
  <si>
    <t>PRERNA</t>
  </si>
  <si>
    <t>Prerna Kumari</t>
  </si>
  <si>
    <t>prerna840900@gmail.com</t>
  </si>
  <si>
    <t>p25703003@student.nicmar.ac.in</t>
  </si>
  <si>
    <t>11-Oct-2004</t>
  </si>
  <si>
    <t>5937 8786 3732</t>
  </si>
  <si>
    <t>HARENDRA KISHOR PD SINGH</t>
  </si>
  <si>
    <t>RITA KUMARI</t>
  </si>
  <si>
    <t>NICMAR UNIVERSITY, MILLENNIUM GIRL'S HOSTEL, _x000D_
ROOM NO - 801</t>
  </si>
  <si>
    <t>Simra , Parsa Bazar_x000D_</t>
  </si>
  <si>
    <t>DESTINY INTERNATIONAL SCHOOL</t>
  </si>
  <si>
    <t>GYANODAYA GURUKUL</t>
  </si>
  <si>
    <t>PATLIPUTRA UNIVERSITY</t>
  </si>
  <si>
    <t>ARCADE BUSINESS COLLAGE, PATNA</t>
  </si>
  <si>
    <t>MS Office,Tally prime</t>
  </si>
  <si>
    <t>SOBHA Limited India  | HR intern  | BANGALORE  | May 2026 | Jul 2026 | 8.7142857142857 Weeks | Campus Internship</t>
  </si>
  <si>
    <t>Certificate of Completion Advance Diploma In Computer Application
Certificate for Completion of LibreOffice Suite Calc 6.3 Training by Spoken Tutorial Project
Certificate for Completion of LibreOffice Suite Impress 6.3 Training by Spoken Tutorial Project
Certificate For Completion of LibreOffice Suite Writer 6.3 Training by Spoken Tutorial Project
Certificate for Completion of Introduction to Computer Training by Spoken Tutorial Project
Certificate of Completion Communication Skills by Microsoft
Certificate of Completion Digital Productivity  by Microsoft
Certificate of completion Enterpreneurship by Microsoft
Certificate of completion Employability skills by Microsoft
Certificate programme in Banking, Finance and Insurance by Bajaj Finserv Limited</t>
  </si>
  <si>
    <t>P25703004</t>
  </si>
  <si>
    <t>Sneha Kumari</t>
  </si>
  <si>
    <t>snehakumari1592000@gmail.com</t>
  </si>
  <si>
    <t>p25703004@student.nicmar.ac.in</t>
  </si>
  <si>
    <t>15-Sep-2001</t>
  </si>
  <si>
    <t>7065 4965 7148</t>
  </si>
  <si>
    <t>VISHWANATH PRASAD</t>
  </si>
  <si>
    <t>DIMPAL DEVI</t>
  </si>
  <si>
    <t>NICMAR UNIVERSITY, MILLENNIUM GIRL'S HOSTEL, ROOM NO. 801</t>
  </si>
  <si>
    <t>NANDLAL CHHAPRA</t>
  </si>
  <si>
    <t>PREMALOK MISSION SCHOOL</t>
  </si>
  <si>
    <t>AMIRCHAND BALIKA UCHH VIDYALAYA</t>
  </si>
  <si>
    <t>BIHAR BOARD OF OPEN SCHOOLING &amp; EXAMINATION, PATNA</t>
  </si>
  <si>
    <t>ARCADE BUSINESS COLLEGE, PATNA</t>
  </si>
  <si>
    <t>MS Office,Tally Prime</t>
  </si>
  <si>
    <t>SOBHA Limited India | HR Intern | Bangalore | May 2026 | Jul 2026 | 8.7142857142857 Weeks | Campus Internship</t>
  </si>
  <si>
    <t>Certificate for completion of Certified Industrial Accountant (Modular)
Certificate for completion of LibreOffice Suite Calc 6.3 Training by Spoken Tutorial Project
Certificate for completion of LibreOffice Suite Impress 6.3 training by Spoken Tutorial Project
Certificate for completion of LibreOffice Suite Writer 6.3 training by Spoken Tutorial Project
Certificate for completion of Gedit Text Editor training by Spoken Tutorial Project
Certificate for completion of introduction to computer training by Spoken Tutorial Project
Certificate of completion Communication Skills by Microsoft
Certificate of completion of Digital productivity by Microsoft
Certificate of completion Entrepreneurship by Microsoft
Certificate of completion Employbility Skills by Microsoft
Certificate programme  in Banking, finance and Insurance by Bajaj Finserv Limited
HR Workshop Certificate Programme in Banking, Finance and Insurance by Bajaj Finserv Limited</t>
  </si>
  <si>
    <t>P25703005</t>
  </si>
  <si>
    <t>RATH</t>
  </si>
  <si>
    <t>Ayush Rath</t>
  </si>
  <si>
    <t>ayushrathdb@gmail.com</t>
  </si>
  <si>
    <t>p25703005@student.nicmar.ac.in</t>
  </si>
  <si>
    <t>English, Hindi &amp; Odia</t>
  </si>
  <si>
    <t>4501 3198 7662</t>
  </si>
  <si>
    <t>PRAKASH CHANDRA RATHA</t>
  </si>
  <si>
    <t>LAXMIPRIYA MISHRA</t>
  </si>
  <si>
    <t>D2-202, NISARG NIRMITI HOUSING SOCIETY, PIMPLE SAUDAGAR</t>
  </si>
  <si>
    <t>Nuapada Chhak, Madhupatna</t>
  </si>
  <si>
    <t>Cuttack</t>
  </si>
  <si>
    <t>SNBP INTERNATIONAL SCHOOL</t>
  </si>
  <si>
    <t>MIT SCHOOL OF ENGINEERING PUNE</t>
  </si>
  <si>
    <t>Spades Entertainment | Executive Marketing &amp; Business Development | Pune | Jun 2023 | Jun 2025 | 2Y 0M | 2.88</t>
  </si>
  <si>
    <t>The Backbenchers Digital LLP | Marketing Intern | Baner, Pune | May 2026 | Jul 2026 | 8.5714285714286 Weeks | Campus Internship</t>
  </si>
  <si>
    <t>P25703006</t>
  </si>
  <si>
    <t>VARIMA</t>
  </si>
  <si>
    <t>Varima Tripathi</t>
  </si>
  <si>
    <t>varimatripathi@gmail.com</t>
  </si>
  <si>
    <t>p25703006@student.nicmar.ac.in</t>
  </si>
  <si>
    <t>7804 9253 7674</t>
  </si>
  <si>
    <t>ATUL KANTI TRIPATHI</t>
  </si>
  <si>
    <t>NISHA TRIPATHI</t>
  </si>
  <si>
    <t>20/1, First Floor, West Patel Nagar</t>
  </si>
  <si>
    <t>New Delhi</t>
  </si>
  <si>
    <t>BR AMBEDKAR UNIVERSITY DELHI</t>
  </si>
  <si>
    <t>AMBEDKAR COLLEGE, NEW DELHI, DELHI</t>
  </si>
  <si>
    <t>MS Office,MS Project,MS Excel,JIRA</t>
  </si>
  <si>
    <t>Ahluwalia Contracts (India) ltd.  | Supply chain and security intern  | Okhla, Delhi NCR  | May 2026 | Jul 2026 | 8.7142857142857 Weeks | Campus Internship
Playhard Academy | Assistant Coach | Delhi | Mar 2025 | Jul 2025 | 17.428571428571 Weeks
Pamm Advertising and Marketing | Finance Intern | Delhi | Jul 2023 | Jul 2023 | 3.8571428571429 Weeks</t>
  </si>
  <si>
    <t>Methods and statistics in social science- final research project
Qualitative Research Methods
Operations Management
Basic statistics
National level case study competition in supply chain
Advanced Entrepreneurship-Cum Skill Development Programme
TCS Youth Employment Program</t>
  </si>
  <si>
    <t>P25703007</t>
  </si>
  <si>
    <t>Sakshi Jaiswal</t>
  </si>
  <si>
    <t>jaiswalsakshi22062001@gmail.com</t>
  </si>
  <si>
    <t>p25703007@student.nicmar.ac.in</t>
  </si>
  <si>
    <t>9653 3010 7200</t>
  </si>
  <si>
    <t>DHIRENDRA JAISWAL</t>
  </si>
  <si>
    <t>SARITA JAISWAL</t>
  </si>
  <si>
    <t>GEETAPURI CHAURAHA , KHARGAPUR , GOMTINAGAR</t>
  </si>
  <si>
    <t>Durga Mandir Road , Bhatpar Rani</t>
  </si>
  <si>
    <t>Deoria</t>
  </si>
  <si>
    <t>LITTLE FLOWER SCHOOL , SALEMPUR</t>
  </si>
  <si>
    <t>LUCKNOW PUB COL VINAMRA KHAND GOMTI NGR LUCKNOW</t>
  </si>
  <si>
    <t>BABU BANARASI DAS UNIVERSITY</t>
  </si>
  <si>
    <t>BABU BANARASI DAS UNIVERSITY LUCKNOW</t>
  </si>
  <si>
    <t>Sobha Limited | HR | Bangalore | May 2026 | Jul 2026 | 8.7142857142857 Weeks | Campus Internship</t>
  </si>
  <si>
    <t>Product Management
Excel for Beginners
Nisargamitra natural farming and study center
Business Analytics with Excel: Elementary to Advanced
International Business I
Operations Management
Introduction to Marketing
Microsoft office 365
Negotiation fundamentals
India Knowledge System (IKS) and Human Resource Management(HRM):Work, Wisdom, Wellbeing
Qualitative Research Methods
Methods and Statistics in Social Science - Final Research Project
Successful Career Development
English For Career Development 
Inferential Statistics
Basic Statistics
Success with Integrity: Business Ethics Foundation
AI for Productivity
Supply chain Sourcing 
Quantitative Methods
Negotiation, Mediation&amp; Conflict Resolution-Capstone Project</t>
  </si>
  <si>
    <t>P25703008</t>
  </si>
  <si>
    <t>VAIDYA</t>
  </si>
  <si>
    <t>Atharva Sudhir Vaidya</t>
  </si>
  <si>
    <t>atharvavaidya0711@gmail.com</t>
  </si>
  <si>
    <t>p25703008@student.nicmar.ac.in</t>
  </si>
  <si>
    <t>9834 0588 9722</t>
  </si>
  <si>
    <t>SUDHIR RAMBHAU VAIDYA</t>
  </si>
  <si>
    <t>DE</t>
  </si>
  <si>
    <t>RANJANA SUDHIR VAIDYA</t>
  </si>
  <si>
    <t>Plot No. 133, Parvati Nagar, Behind Jeevan School, Nagpur 440027</t>
  </si>
  <si>
    <t>SOMALWAR HIGHSCHOOL NIKALAS BRANCH</t>
  </si>
  <si>
    <t>STATE BOARD NAGPUR/MAHARASHTRA</t>
  </si>
  <si>
    <t>DIPLOMA IN AUTOMOBILE ENGINEERING</t>
  </si>
  <si>
    <t>VISHWAKARMA INSTITUTE OF TECHNOLOGY, PUNE/MAHARASHTRA</t>
  </si>
  <si>
    <t>AutoCAD,MS Office,Powerbi,Fusion 360,Advanced Exel,SQL</t>
  </si>
  <si>
    <t>Metafold Engineering Pvt. Ltd. | ERP Engineer Trainee | Pune, India | Aug 2024 | Apr 2025 | 0Y 8M | 3.97</t>
  </si>
  <si>
    <t>Edsom Fintech | Finance + B.A. Intern | Pune | May 2026 | Jun 2026 | 7.7142857142857 Weeks | Campus Internship
INDTAMP INDUSTRIES | INTERN | PUNE | Jan 2024 | Jun 2024 | 21.714285714286 Weeks</t>
  </si>
  <si>
    <t>P25703009</t>
  </si>
  <si>
    <t>SHEETAL</t>
  </si>
  <si>
    <t>Sheetal S</t>
  </si>
  <si>
    <t>sheetalgowda.1216@gmail.com</t>
  </si>
  <si>
    <t>p25703009@student.nicmar.ac.in</t>
  </si>
  <si>
    <t>10-Jan-1998</t>
  </si>
  <si>
    <t>English, Hindi, Kannada, Konkani</t>
  </si>
  <si>
    <t>6369 9604 8642</t>
  </si>
  <si>
    <t>SHIVALINGAIAH</t>
  </si>
  <si>
    <t>#11, Near Sadhana Public School, Ganigarapalya, Talaghattpura Post</t>
  </si>
  <si>
    <t>PRARTHANA CENTRAL SCHOOL</t>
  </si>
  <si>
    <t>CBSE BENGALURU</t>
  </si>
  <si>
    <t>JNANASWEEKAR PU COLLEGE</t>
  </si>
  <si>
    <t>DAYANANDA SAGAR ACADEMY OF TECHNOLOGY AND MANAGEMENT, BENGALURU</t>
  </si>
  <si>
    <t>MS Office,Power BI</t>
  </si>
  <si>
    <t>Concentrix | Senior Engineer | Bengaluru | Jul 2019 | Jun 2021 | 1Y 10M | 2.85
Telus International | Online Data Analyst | Freelance | Dec 2021 | Mar 2025 | 3Y 2M | 1.5</t>
  </si>
  <si>
    <t>5 Years 0 Months</t>
  </si>
  <si>
    <t>Twikk Sustainability Solutions LLP | Executive - Sustainable Supply Chain | Ahmedabad | May 2026 | Jul 2026 | 9.7142857142857 Weeks | Campus Internship
Bosch Rexroth | Intern | Bengaluru | Jul 2018 | Aug 2018 | 3.5714285714286 Weeks</t>
  </si>
  <si>
    <t>P25703010</t>
  </si>
  <si>
    <t>JORWEKAR</t>
  </si>
  <si>
    <t>Ajinkya Chandrakant Jorwekar</t>
  </si>
  <si>
    <t>ajinkyajorwekar6847@gmail.com</t>
  </si>
  <si>
    <t>p25703010@student.nicmar.ac.in</t>
  </si>
  <si>
    <t>10-May-2002</t>
  </si>
  <si>
    <t>4938 0986 6692</t>
  </si>
  <si>
    <t>CHANDRAKANT JORWEKAR</t>
  </si>
  <si>
    <t>GEETAANJALI JORWEKAR</t>
  </si>
  <si>
    <t>Court Road Gajanannagar Kopargaon</t>
  </si>
  <si>
    <t>MAHARSHI VIDHYA MANDIR</t>
  </si>
  <si>
    <t>CBSE KOPARGAON/MAHARASHTRA</t>
  </si>
  <si>
    <t>2006-Aug</t>
  </si>
  <si>
    <t>SHRI SAI BABA UCCHA MADHYAMIK MAHAVIDHYALAY</t>
  </si>
  <si>
    <t>SPPU, PUNE</t>
  </si>
  <si>
    <t>SANJIVANI COLLEGE OF PHARMACEUTICAL AND RESEARCH KOPARGAON/MAHARASHTRA</t>
  </si>
  <si>
    <t>MS Office,MS Project,RGui,Python</t>
  </si>
  <si>
    <t>Econstruct Design &amp; Build Pvt. Ltd. | Business Development | Bangalore  | May 2026 | Jun 2026 | 8.1428571428571 Weeks | Campus Internship
Advanced Enzymes | Intern | Malegaon MIDC sinnar,Nashik-422113 | Jul 2023 | Aug 2023 | 2.4285714285714 Weeks
Holden Medical Laboratories | Intern | Malegaon MIDC sinnar,Nashik-422113 | Jul 2023 | Aug 2023 | 4.2857142857143 Weeks</t>
  </si>
  <si>
    <t>P25703011</t>
  </si>
  <si>
    <t>VAGISHA</t>
  </si>
  <si>
    <t>KASHYAP</t>
  </si>
  <si>
    <t>Vagisha Kashyap</t>
  </si>
  <si>
    <t>vagishak962@mail.com</t>
  </si>
  <si>
    <t>p25703011@student.nicmar.ac.in</t>
  </si>
  <si>
    <t>19-Mar-2003</t>
  </si>
  <si>
    <t>2225 5907 3135</t>
  </si>
  <si>
    <t>VINOD KUMAR TIWARI</t>
  </si>
  <si>
    <t>GAZETTE VETERINARY DOCTOR</t>
  </si>
  <si>
    <t>NEHA TIWARI</t>
  </si>
  <si>
    <t>H/o Y.N Tiwari , Azad Nagar , Road No 2 , East Lane , Kankarbagh , Patna</t>
  </si>
  <si>
    <t>CARMEL HIGH SCHOOL , PATNA</t>
  </si>
  <si>
    <t>ICSE ,BIHAR</t>
  </si>
  <si>
    <t>ISC , BIHAR</t>
  </si>
  <si>
    <t>BANARAS HINDU UNIVERSITY</t>
  </si>
  <si>
    <t>ARYA MAHILA POST GRADUATE COLLEGE , VARANASI</t>
  </si>
  <si>
    <t>MS Office,I HAVE A BACKGRAOUND KNOWLEDGE ON CANVAS</t>
  </si>
  <si>
    <t>Central Coalfields Limited Ranchi Jharkhand  | HR Intern | Ranchi  | May 2026 | Jul 2026 | 9.5714285714286 Weeks</t>
  </si>
  <si>
    <t>4Ps of Marketing Mix
AI for productivity 
Successful career development 
Basic statistics
Supply chain sourcing 
Qualitative research methodology 
Operations management 
Negotiation, Mediation and conflict resolution - capstone project
Negotiation Fundamentals 
International Business 
Introduction of Marketing 
Getting started with Microsoft office 365</t>
  </si>
  <si>
    <t>P25703014</t>
  </si>
  <si>
    <t>Aditya Singh</t>
  </si>
  <si>
    <t>aditya3708@gmail.com</t>
  </si>
  <si>
    <t>p25703014@student.nicmar.ac.in</t>
  </si>
  <si>
    <t>7384 8400 8088</t>
  </si>
  <si>
    <t>SANJEEV KUMAR SINGH</t>
  </si>
  <si>
    <t>BABITA SINGH</t>
  </si>
  <si>
    <t>1st Floor , Cerise Floors , Central Park Flower Valley , Sector 32-33 , Sohna , Gurugram.</t>
  </si>
  <si>
    <t>ARAVALI INTERNATIONAL SCHOOL</t>
  </si>
  <si>
    <t>FARIDABAD / HARYANA</t>
  </si>
  <si>
    <t>J.C BOSE UNIVERSITY OF SCIENCE AND TECHNOLOGY</t>
  </si>
  <si>
    <t>ARAVALI COLLEGE OF ENGINEERING AND MANAGEMENT , FARIDABAD / HARYANA</t>
  </si>
  <si>
    <t>DECATHLON SPORTS INDIA PVT. LTD. | SPORT LEADER | FARIDABAD / HARYANA | Sep 2022 | Jun 2023 | 0Y 8M | 1.8</t>
  </si>
  <si>
    <t>Simplify Home | Digital Marketing | Hyderabad | May 2026 | Jun 2026 | 8 Weeks | Campus Internship</t>
  </si>
  <si>
    <t>TRAINING OF TRAINERS</t>
  </si>
  <si>
    <t>P25703015</t>
  </si>
  <si>
    <t>SHALIGRAM</t>
  </si>
  <si>
    <t>Atharva Nitin Shaligram</t>
  </si>
  <si>
    <t>atharvashaligram18@gmail.com</t>
  </si>
  <si>
    <t>p25703015@student.nicmar.ac.in</t>
  </si>
  <si>
    <t>18-Mar-1999</t>
  </si>
  <si>
    <t>5164 7234 6982</t>
  </si>
  <si>
    <t>NITIN SHALIGRAM</t>
  </si>
  <si>
    <t>SAYALI SHALIGRAM</t>
  </si>
  <si>
    <t>Malhar, S.No.16, Plot No.20, Balewadi, Pune-411045</t>
  </si>
  <si>
    <t>DR. KALMADI SHAMARAO HIGH SCHOOL AUNDH</t>
  </si>
  <si>
    <t>DR. KALMADI SHAMARAO JUNIOR COLLEGE</t>
  </si>
  <si>
    <t>MODERN COLLEGE OF ARTS, SCIENCE AND COMMERCE</t>
  </si>
  <si>
    <t>DWS India Private Limited | Senior Analyst | Pune | Jan 2022 | May 2024 | 2Y 4M | 6.3</t>
  </si>
  <si>
    <t>K&amp;I Wealth Advisors LLP | Finance Intern | Powai, Mumbai | May 2026 | Jul 2026 | 8.4285714285714 Weeks | Campus Internship
PowerMann Consult | Trainee | Pune | Dec 2020 | May 2021 | 25.857142857143 Weeks
AMFI Registered Mutual Fund Distributor | Intern | Pune | Apr 2020 | Nov 2020 | 34.714285714286 Weeks</t>
  </si>
  <si>
    <t>P25703016</t>
  </si>
  <si>
    <t>AADRIKA</t>
  </si>
  <si>
    <t>RATHORE</t>
  </si>
  <si>
    <t>Aadrika Rathore</t>
  </si>
  <si>
    <t>anshirathore97@gmail.com</t>
  </si>
  <si>
    <t>p25703016@student.nicmar.ac.in</t>
  </si>
  <si>
    <t>Art and craft,diy,music,cooking,painting</t>
  </si>
  <si>
    <t>6233 5092 1251</t>
  </si>
  <si>
    <t>LATE MITHLESH RATHORE</t>
  </si>
  <si>
    <t>NIL</t>
  </si>
  <si>
    <t>DEEPALI RATHORE</t>
  </si>
  <si>
    <t>F-1204 SILVER GARDENIA SOCIETY BRT ROAD RAVET</t>
  </si>
  <si>
    <t>126 Rohit Nagar Phase 2</t>
  </si>
  <si>
    <t>ST. JOSEPHS CONVENT SR SEC SCHOOL</t>
  </si>
  <si>
    <t>BARKATULLAH UNIVERSITY</t>
  </si>
  <si>
    <t>THE BHOPAL SCHOOL OF SOCIAL SCIENCES, BHOPAL, MADHYA PRADESH</t>
  </si>
  <si>
    <t>EDSOM FIN. TECH | FINANCE INTERN | PUNE | May 2026 | Jun 2026 | 8 Weeks | Campus Internship</t>
  </si>
  <si>
    <t>P25703017</t>
  </si>
  <si>
    <t>NIVAS</t>
  </si>
  <si>
    <t>Harshvardhan Nivas Desai</t>
  </si>
  <si>
    <t>harshnivasdesai@gmail.com</t>
  </si>
  <si>
    <t>p25703017@student.nicmar.ac.in</t>
  </si>
  <si>
    <t>02-Apr-2003</t>
  </si>
  <si>
    <t>2610 4033 9455</t>
  </si>
  <si>
    <t>NIVAS DESAI</t>
  </si>
  <si>
    <t>SANGITA DESAI</t>
  </si>
  <si>
    <t>Saneguruji Vasahat,Kolhapur</t>
  </si>
  <si>
    <t>SHRI V. J. DESHMUKH HIGHSCHOOL,KOLHAPUR</t>
  </si>
  <si>
    <t>KOLHAPUR,MAHARASHTRA</t>
  </si>
  <si>
    <t>THE NEW COLLEGE ,KOLHAPUR</t>
  </si>
  <si>
    <t>PUNE,MAHARASHTRA</t>
  </si>
  <si>
    <t>E Construct Design And Build Pvt.Ltd | Business Developer | Bangalore  | May 2026 | Jun 2026 | 8.1428571428571 Weeks | Campus Internship</t>
  </si>
  <si>
    <t>P25703020</t>
  </si>
  <si>
    <t>SALGAR</t>
  </si>
  <si>
    <t>Abhishek Atul Salgar</t>
  </si>
  <si>
    <t>abhi.salgar999@gmail.com</t>
  </si>
  <si>
    <t>p25703020@student.nicmar.ac.in</t>
  </si>
  <si>
    <t>5649 1983 9704</t>
  </si>
  <si>
    <t>Sushila Sadan, Juni Bhaji Mandai Road, Near Mantri Wada, Urun Islampur</t>
  </si>
  <si>
    <t>MAHATMA GANDHI VIDYALAYA</t>
  </si>
  <si>
    <t>HUTATMA RAJGURU MAHAVIDYALAYA</t>
  </si>
  <si>
    <t>AutoCAD, MS Office, MS Project</t>
  </si>
  <si>
    <t>MAHARASHTRA METRO RAIL CORPORATION LIMITED  | Intern | Pune | May 2026 | Jul 2026 | 9.7142857142857 Weeks | Campus Internship
Gala Habitats LLP | Trainee Engineer | Mumbai | Dec 2022 | Mar 2023 | 12 Weeks</t>
  </si>
  <si>
    <t>MS-CIT
Certificate of Participation
Auto CAD</t>
  </si>
  <si>
    <t>P25703021</t>
  </si>
  <si>
    <t>KISHU</t>
  </si>
  <si>
    <t>Kishu Rajput</t>
  </si>
  <si>
    <t>kishurajput194@gmail.com</t>
  </si>
  <si>
    <t>p25703021@student.nicmar.ac.in</t>
  </si>
  <si>
    <t>01-Jan-2004</t>
  </si>
  <si>
    <t>9704 0567 0554</t>
  </si>
  <si>
    <t>HARENDRA KUMAR</t>
  </si>
  <si>
    <t>VINEETA DEVI</t>
  </si>
  <si>
    <t>NAGLA PIPAL AKABARPUR KUTUBPUR FIROZABAD</t>
  </si>
  <si>
    <t>SHRI DURGA INT COLL JASRANA FIROZABAD</t>
  </si>
  <si>
    <t>BOARD OF HIGH SCHOOL AND INTERMEDIATE EDUCATION UTTAR PRADESH</t>
  </si>
  <si>
    <t>CHAUDHARY CHARAN SINGH UNIVERSITY MEERUT</t>
  </si>
  <si>
    <t>PRINCE INSTITUTE OF INNOVATIVE TECHNOLOGY, GHAZIABAD</t>
  </si>
  <si>
    <t>Majestic Realties | Digital Marketing and Sales Intern | Pune | May 2026 | Jun 2026 | 7.7142857142857 Weeks | Campus Internship</t>
  </si>
  <si>
    <t>Negotiation, Mediation, and Conflict Resolution  Capstone Project
Salesforce Certificate
International Business
Negotiation Fundamentals
Operations  management
Getting started with Microsoft Office 365
High Performance Collaboration: Leadership, Teamwork, and Negotiation
Business Analytics with Excel: Elementary to Advanced
Marketing Strategy
Introduction to Marketing
Financial Markets
Supply Chain Sourcing
Introduction to Social Media Marketing
Social Media Management
Fundamentals of Social Media Advertising
Digital Marketing
Google Ads for Beginners
Foundations of Digital Marketing and E-commerce</t>
  </si>
  <si>
    <t>P25703022</t>
  </si>
  <si>
    <t>Vaibhavi Pravin Chaudhari</t>
  </si>
  <si>
    <t>vaibhavi.chaudhari@icloud.com</t>
  </si>
  <si>
    <t>p25703022@student.nicmar.ac.in</t>
  </si>
  <si>
    <t>10-Mar-2003</t>
  </si>
  <si>
    <t>4155 1572 8820</t>
  </si>
  <si>
    <t>PRAVIN CHAUDHARI</t>
  </si>
  <si>
    <t>JYOTI CHAUDHARI</t>
  </si>
  <si>
    <t>Plot No 56, Jay Vishwa Bharati Colony, Aurangabad -431005</t>
  </si>
  <si>
    <t>BHASKARACHARYA ENGLISH SCHOOL</t>
  </si>
  <si>
    <t>DEVGIRI COLLEGE</t>
  </si>
  <si>
    <t>BoxOffice Space | Sales and Marketing Intern | Baner , Pune | May 2026 | Jul 2026 | 8.7142857142857 Weeks | Campus Internship</t>
  </si>
  <si>
    <t>P25703023</t>
  </si>
  <si>
    <t>Siddharth Mani</t>
  </si>
  <si>
    <t>yadavsiddharth0708@gmail.com</t>
  </si>
  <si>
    <t>p25703023@student.nicmar.ac.in</t>
  </si>
  <si>
    <t>07-Aug-2001</t>
  </si>
  <si>
    <t>4709 9761 2096</t>
  </si>
  <si>
    <t>SUSHANT KUMAR YADAV</t>
  </si>
  <si>
    <t>PUBLIC SERVICE</t>
  </si>
  <si>
    <t>SAVITA DEVI</t>
  </si>
  <si>
    <t>S/O- SUSHANT KUMAR YADAV, GRAM - LAXMIPUR BABHANIYAN, BABHANIA, BHAGALPUR, BIHAR - 813204</t>
  </si>
  <si>
    <t>Bhagalpur</t>
  </si>
  <si>
    <t>ST JOSEPH'S SCHOOL NTPC KAHALGAON BHAGALPUR BIHAR</t>
  </si>
  <si>
    <t>VJ INTERNATIONAL SCHOOL LODHIPUR GORADIH ROAD BHAGALPUR BIHAR</t>
  </si>
  <si>
    <t>T.M. BHAGALPUR UNIVERSITY</t>
  </si>
  <si>
    <t>S.S.V. COLLEGE, KAHALGAON, BIHAR</t>
  </si>
  <si>
    <t>BVSM INDIA INSURANCE BROKERS PVT. LTD. | MARKETING &amp; SALES INTERN | BANER, PUNE | May 2026 | Jun 2026 | 7.8571428571429 Weeks | Campus Internship</t>
  </si>
  <si>
    <t>Negotiation Fundamentals
Business Analytics with Excel: Elementary to  Advanced
Introduction to Marketing
International Business I
Operations Management
Getting started with Microsoft Office 365
Negotiation, Mediation, and Conflict Resolution  Capstone Project
Procurement Negotiation</t>
  </si>
  <si>
    <t>P25703024</t>
  </si>
  <si>
    <t>PRITIDEEPA</t>
  </si>
  <si>
    <t>MALLIA</t>
  </si>
  <si>
    <t>Pritideepa Mallia</t>
  </si>
  <si>
    <t>pritideepamallia@gmail.com</t>
  </si>
  <si>
    <t>p25703024@student.nicmar.ac.in</t>
  </si>
  <si>
    <t>04-Feb-2000</t>
  </si>
  <si>
    <t>Odia, English, Hindi</t>
  </si>
  <si>
    <t>6553 1550 4971</t>
  </si>
  <si>
    <t>MANORANJAN MALLIA</t>
  </si>
  <si>
    <t>PRAVATI MALLIA</t>
  </si>
  <si>
    <t>Brundawan Bhawan, Plot No.-1818, Friends Colony, Bhimtangi , Land Mark- Versha Plaza Apartment, Bhubaneswar-2 ,Odisha</t>
  </si>
  <si>
    <t>DAV PUBLIC SCHOOL, POKHARIPUT</t>
  </si>
  <si>
    <t>CBSE, ODISHA/BHUBANESWAR</t>
  </si>
  <si>
    <t>GLOBAL INTERNATIONAL SCHOOL, BHIKANPURA</t>
  </si>
  <si>
    <t>S'O'A NATIONAL INSTITUTE OF LAW, BHUBANESWAR/ODISHA</t>
  </si>
  <si>
    <t>MS Project</t>
  </si>
  <si>
    <t>Majestic Realties | Human Resource Management Intern | Kothrud, Pune | May 2026 | Jun 2026 | 7.7142857142857 Weeks | Campus Internship
Orissa High Court | Legal Intern | Cuttack, Odisha | Sep 2022 | Sep 2022 | 4.1428571428571 Weeks
District Court of Bhubaneswar | Legal Intern | Bhubaneswar, Odisha | Aug 2021 | Aug 2021 | 4.2857142857143 Weeks
NALCO | Legal Intern | BHUBANESWAR | Jan 2021 | Feb 2021 | 3.2857142857143 Weeks</t>
  </si>
  <si>
    <t>P25703025</t>
  </si>
  <si>
    <t>PREM</t>
  </si>
  <si>
    <t>ANGALI</t>
  </si>
  <si>
    <t>Prem Chand Angali</t>
  </si>
  <si>
    <t>prem.angali97051@gmail.com</t>
  </si>
  <si>
    <t>p25703025@student.nicmar.ac.in</t>
  </si>
  <si>
    <t>19-Jun-2002</t>
  </si>
  <si>
    <t>9952 0778 5086</t>
  </si>
  <si>
    <t>RAMESH ANGALI</t>
  </si>
  <si>
    <t>AREA SALES MANAGER</t>
  </si>
  <si>
    <t>NIRMALA ANGALI</t>
  </si>
  <si>
    <t>H.no. 22-449/EP, Road No. 8, Vinayaka Hills, Almasguda</t>
  </si>
  <si>
    <t>HYDERABAD</t>
  </si>
  <si>
    <t>Sinplify Home | Marketing intern | Hyderabad  | May 2026 | Jul 2026 | 8.2857142857143 Weeks | Campus Internship</t>
  </si>
  <si>
    <t>P25703026</t>
  </si>
  <si>
    <t>ASMITA</t>
  </si>
  <si>
    <t>Asmita Tripathi</t>
  </si>
  <si>
    <t>asmitatripathi68@gmail.com</t>
  </si>
  <si>
    <t>p25703026@student.nicmar.ac.in</t>
  </si>
  <si>
    <t>4811 4282 8010</t>
  </si>
  <si>
    <t>SHASHIKANT MANI TRIPATHI</t>
  </si>
  <si>
    <t>Jawahar Navodaya Vidyalaya Dabhasemar Ayodhya</t>
  </si>
  <si>
    <t>Ayodhya</t>
  </si>
  <si>
    <t>JAWAHAR NAVODAYA VIDYALAYA MAHARAJGANJ</t>
  </si>
  <si>
    <t>CBSE  MAHARAJGANJ</t>
  </si>
  <si>
    <t>JAWAHAR NAVODAYA VIDYALAYA DABHASEMAR</t>
  </si>
  <si>
    <t>CBSE  AYODHYA</t>
  </si>
  <si>
    <t>LUCKNOW UNIVERSITY</t>
  </si>
  <si>
    <t>BAPPA SHRI NARAYAN VOCATIONAL PG COLLEGE</t>
  </si>
  <si>
    <t>MS Office,POWER BI,MS EXCEL,POWERPOINT,WORD,OUTLOOK,GOOGLE WORKSPACE,CANVA</t>
  </si>
  <si>
    <t>Vitaly India pvt Ltd | Executive Marketing Manager  | Gorakhpur  | Jun 2023 | Mar 2024 | 0Y 9M | 3
Nakshatra infrastructure | Human Resource Manager | Nagpur  | Jun 2024 | May 2025 | 0Y 11M | 4.2</t>
  </si>
  <si>
    <t>Majestic Realties  | Digital Marketing Intern | Pune | May 2026 | Jun 2026 | 7.7142857142857 Weeks | Campus Internship
Prism Johnson limited | HR intern | Varanasi  | Jan 2022 | Mar 2022 | 12.714285714286 Weeks</t>
  </si>
  <si>
    <t>Zero cost hiring
Preparing to manage human resource
Introduction to Blockchain technology
Introduction to excel
Search Engine Optimization (SEO) with Squarespace
Operation Management
Negotiation,Mediation,and Conflict Resolution
Business Analytics with Excel
International Business
Getting started with Microsoft office 365
Introduction to Marketing
Negotiation fundamental</t>
  </si>
  <si>
    <t>P25703027</t>
  </si>
  <si>
    <t>RICHA</t>
  </si>
  <si>
    <t>Richa Sharma</t>
  </si>
  <si>
    <t>richasharma.dholpur@gmail.com</t>
  </si>
  <si>
    <t>p25703027@student.nicmar.ac.in</t>
  </si>
  <si>
    <t>21-Dec-1994</t>
  </si>
  <si>
    <t>6831 2443 8810</t>
  </si>
  <si>
    <t>SHIVDATT SHARMA</t>
  </si>
  <si>
    <t>MEERA SHARMA</t>
  </si>
  <si>
    <t>Behind Gurudwara, Ashok Vihar Colony</t>
  </si>
  <si>
    <t>JAWAHAR NAVODAYA VIDYALAYA, DHOLPUR (RAJASTHAN)</t>
  </si>
  <si>
    <t>BARKATULLAH VISHWAVIDYALAYA, BHOPAL</t>
  </si>
  <si>
    <t>EXTOL INSTITUTE OF MANAGEMENT, BHOPAL (MP)</t>
  </si>
  <si>
    <t>THE IIS UNIVERSITY, JAIPUR</t>
  </si>
  <si>
    <t>M.Sc</t>
  </si>
  <si>
    <t>Power BI, Tableau, MS Project, MS Office, Python, R, Data Analytics</t>
  </si>
  <si>
    <t>Nexgen Infra Solution | Business Development Associate | Gurugram, Haryana | Jun 2020 | Jul 2022 | 2Y 0M | 3</t>
  </si>
  <si>
    <t>Maharashtra Metro Rail Corporation Limited | Intern-Planning | Pune | May 2026 | Jul 2026 | 9.5714285714286 Weeks | Campus Internship
Birla Institute of Scientific Research | Research Trainee | Jaipur (Rajasthan) | Jul 2016 | Dec 2016 | 26.142857142857 Weeks
Madhya Pradesh Vigyan Sabha | Research Trainee | Bhopal (MP) | Mar 2015 | Apr 2015 | 5.1428571428571 Weeks</t>
  </si>
  <si>
    <t>Indian Green Building Council Accredited professional-Associate
Agentblazer Innovator by Salesforce
AI for Productivity by Duke University
International Business by The University of New Maxico
Supply Chain Sourcing by Rutgers The State University of New Jersey
Negotiation, Mediaton, and Conflict Resolution by ESSEC Business School
Operations Management by IESE Business School
Methods and Statistics in Social Science by University of Amsterdam
Effective Business Plan IIM Banglore
Success with Integrity: Business Ethics Foundation</t>
  </si>
  <si>
    <t>P25703028</t>
  </si>
  <si>
    <t>PAVAN</t>
  </si>
  <si>
    <t>RAOSAHEB</t>
  </si>
  <si>
    <t>MUNDANE</t>
  </si>
  <si>
    <t>Pavan Raosaheb Mundane</t>
  </si>
  <si>
    <t>shreemundane6@gmail.com</t>
  </si>
  <si>
    <t>p25703028@student.nicmar.ac.in</t>
  </si>
  <si>
    <t>07-Jan-1999</t>
  </si>
  <si>
    <t>Marathi, Hindi , English</t>
  </si>
  <si>
    <t>8979 5197 7383</t>
  </si>
  <si>
    <t>RASOSAHEB MUNDANE</t>
  </si>
  <si>
    <t>RAMA MUNDANE</t>
  </si>
  <si>
    <t>Saurabh Colony Vmv Road House No 29 Raosaheb Keshavrao Mundane</t>
  </si>
  <si>
    <t>SHREE SAMARTH HIGHSCHOOL AMRAVATI</t>
  </si>
  <si>
    <t>MAHARASTRA STATE BOARD EDUCATION</t>
  </si>
  <si>
    <t>P.R.PATIL INSTITUTE OF DIPLOMA AND TECHNOLOGY</t>
  </si>
  <si>
    <t>TSSMS BHIVARABAI SAWANT NARHE PUNE</t>
  </si>
  <si>
    <t>MS Office,MS Project,JIRA,JAVA,SELENIUM,TESTNG,SQL,POWERBI,excel</t>
  </si>
  <si>
    <t>TESTOMTER PVT LTD | QA AUTOMATION TESTER | pune | Nov 2022 | Apr 2025 | 2Y 5M | 4.2</t>
  </si>
  <si>
    <t>EDSOM FINTECH PVT . LTD  | Finance / Business analytics Intern  | Pune  | May 2026 | Jun 2026 | 7.7142857142857 Weeks | Campus Internship</t>
  </si>
  <si>
    <t>P25703029</t>
  </si>
  <si>
    <t>SHREYA</t>
  </si>
  <si>
    <t>SUMAN</t>
  </si>
  <si>
    <t>Shreya Suman</t>
  </si>
  <si>
    <t>sumanshreya272000@gmail.com</t>
  </si>
  <si>
    <t>p25703029@student.nicmar.ac.in</t>
  </si>
  <si>
    <t>27-Nov-2000</t>
  </si>
  <si>
    <t>7402 0657 6255</t>
  </si>
  <si>
    <t>SHAMBHU NATH GUPTA</t>
  </si>
  <si>
    <t>ARTI DEVI</t>
  </si>
  <si>
    <t>Kali Sthan Gali, Nathnagar,Bhagalpur</t>
  </si>
  <si>
    <t>SAINT JOSEPH'S SCHOOL</t>
  </si>
  <si>
    <t>INTER SCHOOL SABOUR,BHAGALPUR</t>
  </si>
  <si>
    <t>BIHAR BOARD OF OPEN SCHOOLING AND EXAMINATIONS,PATNA</t>
  </si>
  <si>
    <t>T. M. BHAGALPUR UNIVERSITY</t>
  </si>
  <si>
    <t>MARWARI COLLEGE, BHAGALPUR</t>
  </si>
  <si>
    <t>P25703030</t>
  </si>
  <si>
    <t>HARSHDA</t>
  </si>
  <si>
    <t>Harshda Raut</t>
  </si>
  <si>
    <t>harshuraut879@gmail.com</t>
  </si>
  <si>
    <t>p25703030@student.nicmar.ac.in</t>
  </si>
  <si>
    <t>08-Nov-2001</t>
  </si>
  <si>
    <t>6724 1384 5460</t>
  </si>
  <si>
    <t>GAJANAN T RAUT</t>
  </si>
  <si>
    <t>EX ARMY</t>
  </si>
  <si>
    <t>SUNITA RAUT</t>
  </si>
  <si>
    <t>FLAT NO.101, WING -H, TANISH SRUSHTI GAT NO. 504, ALANDI MARKAL ROAD, CHAROLI KHURD, PUNE -412105</t>
  </si>
  <si>
    <t>ARMY SCHOOL BEG &amp; CENTRE KIRKEE PUNE MR</t>
  </si>
  <si>
    <t>MIT ARTS,COMMERCE &amp; SCIENCE COLLEGE, ALANDI, PUNE</t>
  </si>
  <si>
    <t>Bombay Stock Exchange Broker's Forum | Capital Market Operations Intern | Mumbai  | May 2026 | Jul 2026 | 9.5714285714286 Weeks | Campus Internship
INTERSHIP STUDIO | SALES INTERN | PUNE | May 2022 | Jun 2022 | 4.8571428571429 Weeks
Career Help | Human Resource Intern | Hyderabad  | Sep 2024 | Nov 2024 | 8.7142857142857 Weeks</t>
  </si>
  <si>
    <t>Introduction to Marketing
Negotiation, Mediation, and Conflict Resolution - Capstone Project
Operations Management
International Business I
Getting started with Microsoft Office 365</t>
  </si>
  <si>
    <t>P25703031</t>
  </si>
  <si>
    <t>HARSHA</t>
  </si>
  <si>
    <t>Harsha S</t>
  </si>
  <si>
    <t>harsha0501s@gmail.com</t>
  </si>
  <si>
    <t>p25703031@student.nicmar.ac.in</t>
  </si>
  <si>
    <t>05-Feb-2001</t>
  </si>
  <si>
    <t>3871 4990 4108</t>
  </si>
  <si>
    <t>SASI K R</t>
  </si>
  <si>
    <t>ANITHAKUMARI M S</t>
  </si>
  <si>
    <t>GURUKRIPA, CHARAMANGALAM, MUHAMMA.P.O, CHERTHALA</t>
  </si>
  <si>
    <t>JAWAHAR NAVODAYA VIDYALAYA</t>
  </si>
  <si>
    <t>CBSE,KERALA</t>
  </si>
  <si>
    <t>ZAKIR HUSAIN DELHI COLLEGE, DELHI</t>
  </si>
  <si>
    <t>other,M S EXCEL</t>
  </si>
  <si>
    <t>BOMBAY STOCK EXCHANGE BROKERS' FORUM(BBF) | Capital Market Operation Intern | MUMBAI | May 2026 | Jul 2026 | 9.5714285714286 Weeks | Campus Internship</t>
  </si>
  <si>
    <t>P25703032</t>
  </si>
  <si>
    <t>KHEDEKAR</t>
  </si>
  <si>
    <t>Yash Vilas Khedekar</t>
  </si>
  <si>
    <t>khedekaryash19@gmail.com</t>
  </si>
  <si>
    <t>p25703032@student.nicmar.ac.in</t>
  </si>
  <si>
    <t>19-Jun-2003</t>
  </si>
  <si>
    <t>4088 8741 3124</t>
  </si>
  <si>
    <t>403, B WING, BLD NO. 3, KADSIDHESHWAR SOCIETY,_x000D_
RAMTEKDI , NR GOPI TAILORS,_x000D_
SEWREE</t>
  </si>
  <si>
    <t>ANTONIO DE SOUZA HIGH SCHOOL</t>
  </si>
  <si>
    <t>MAHARASHTRA STATE BOARD SECONDARY AND SECONDARY EDUCATION,PUNE</t>
  </si>
  <si>
    <t>CHETANA COLLEGE</t>
  </si>
  <si>
    <t>D.G RUPAREL COLLEGE</t>
  </si>
  <si>
    <t>other,MSCIT,TALLY PRIME</t>
  </si>
  <si>
    <t>Majestic Realities | Digital Marketing intern | Pune  | May 2026 | Jun 2026 | 7.7142857142857 Weeks | Campus Internship</t>
  </si>
  <si>
    <t>P25703033</t>
  </si>
  <si>
    <t>MAHARSHI</t>
  </si>
  <si>
    <t>Maharshi Devendra Joshi</t>
  </si>
  <si>
    <t>maharshidjoshi@gmail.com</t>
  </si>
  <si>
    <t>p25703033@student.nicmar.ac.in</t>
  </si>
  <si>
    <t>02-May-2001</t>
  </si>
  <si>
    <t>English, Hindi, Gujarati.</t>
  </si>
  <si>
    <t>5453 9988 5160</t>
  </si>
  <si>
    <t>DEVENDRA JOSHI</t>
  </si>
  <si>
    <t>NEETA JOSHI</t>
  </si>
  <si>
    <t>402 Shreeji App, _x000D_
Patel Col - 4</t>
  </si>
  <si>
    <t>Jamnagar</t>
  </si>
  <si>
    <t>AHMEDABAD UNIVERSITY</t>
  </si>
  <si>
    <t>AHMEDABAD UNIVERSITY, AHMEDABAD, GUJARAT</t>
  </si>
  <si>
    <t>Ahmedabad University | Teaching Assistant | Ahmedabad | Jul 2023 | Oct 2023 | 0Y 2M | 1.8</t>
  </si>
  <si>
    <t>Ace Infoway Private limited | Marketing Intern | Ahmedabad, Gujarat, India | May 2026 | Jul 2026 | 8.4285714285714 Weeks | Campus Internship
Nayara Energy | Vocational Trainee | Jamnagar, Gujarat | Jun 2022 | Jul 2022 | 8.2857142857143 Weeks</t>
  </si>
  <si>
    <t>P25703034</t>
  </si>
  <si>
    <t>NIHAR</t>
  </si>
  <si>
    <t>PALAV</t>
  </si>
  <si>
    <t>Nihar Tanaji Palav</t>
  </si>
  <si>
    <t>np12122000@gmail.com</t>
  </si>
  <si>
    <t>p25703034@student.nicmar.ac.in</t>
  </si>
  <si>
    <t>12-Dec-2000</t>
  </si>
  <si>
    <t>Marathi, English, Hindi, Kokani</t>
  </si>
  <si>
    <t>9908 4745 6340</t>
  </si>
  <si>
    <t>AVISHA PALAV</t>
  </si>
  <si>
    <t>FLAT NO 408, 4TH FLOOR, B WING, PINNACLE NEELANCHAL, SUS, PUNE</t>
  </si>
  <si>
    <t>Sarvoday Nagar, Teacher's Colony, New Salaiwada, Sawantwadi</t>
  </si>
  <si>
    <t>MILAGRIS HIGH SCHOOL</t>
  </si>
  <si>
    <t>SHREE PANCHAM KHEMRAJ MAHAVIDHYALAI</t>
  </si>
  <si>
    <t>VISHWAKARMA INSTITUE OF INFORMATION TECHNOLOGY</t>
  </si>
  <si>
    <t>AutoCAD,MS Office,Power BI,Tabluea,SQL</t>
  </si>
  <si>
    <t>Trimurthy Construction  | Project Engineer  | Sawantwadi/Kudal, Maharashtra | May 2026 | Jul 2026 | 8 Weeks | Campus Internship
Shree Sai Consultancy Pvt Ltd | Site Engineer | Sawantwadi, Maharashtra | Mar 2024 | Dec 2024 | 43.571428571429 Weeks
Centrix Project Solutions. Pvt  Ltd | Site Engineer | Powai, Mumbai | Sep 2023 | Jan 2024 | 17.428571428571 Weeks</t>
  </si>
  <si>
    <t>P25703035</t>
  </si>
  <si>
    <t>WADKAR</t>
  </si>
  <si>
    <t>Siddhi Sachin Wadkar</t>
  </si>
  <si>
    <t>siddhiwadkar25@gmail.com</t>
  </si>
  <si>
    <t>p25703035@student.nicmar.ac.in</t>
  </si>
  <si>
    <t>25-Jul-2003</t>
  </si>
  <si>
    <t>Reading,Writing poetry,Playing badminton</t>
  </si>
  <si>
    <t>4126 1391 1990</t>
  </si>
  <si>
    <t>SACHIN WADKAR</t>
  </si>
  <si>
    <t>HARSHALA WADKAR</t>
  </si>
  <si>
    <t>SERVICE SECTOR</t>
  </si>
  <si>
    <t>A-801, Kapil Vastu, Above Bank Of India, Near Vitthal Mandir, Navsahydri, Pune</t>
  </si>
  <si>
    <t>ROSARY SCHOOL</t>
  </si>
  <si>
    <t>SINHAGAD COLLEGE OF ARTS AND COMMERCE</t>
  </si>
  <si>
    <t>ABASAHEB GARWARE</t>
  </si>
  <si>
    <t>ABASAHEB GARWARE COLLEGE OF ARTS AND SCIENCE, PUNE/MAHARASHTRA</t>
  </si>
  <si>
    <t>RWTH Aachen University India Office | Marketing Executive | Pune, India | Jun 2024 | Feb 2025 | 0Y 8M | 2.4</t>
  </si>
  <si>
    <t>P25703037</t>
  </si>
  <si>
    <t>Ashish Ranjan Kumar</t>
  </si>
  <si>
    <t>kumarashishranjan18@gmail.com</t>
  </si>
  <si>
    <t>P25703037@student.nicmar.ac.in</t>
  </si>
  <si>
    <t>10-Mar-1999</t>
  </si>
  <si>
    <t>Basketball</t>
  </si>
  <si>
    <t>7101 5056 4241</t>
  </si>
  <si>
    <t>REKHAN KUMARI</t>
  </si>
  <si>
    <t>RAVI RANJAN, FLAT NO. G-38 , SUGHAM SABUJ COMPLEX , NARENDRAPUR , NEAR LAL GATE</t>
  </si>
  <si>
    <t>OM LANDMARK</t>
  </si>
  <si>
    <t>MOTA CHILODA , GANDHINAGAR , GUJARAT</t>
  </si>
  <si>
    <t>VASANT RAO NAIK</t>
  </si>
  <si>
    <t>AURANGABAD , MAHARASHTRA</t>
  </si>
  <si>
    <t>DYPIEMR</t>
  </si>
  <si>
    <t>HG Infra Engineering Ltd | ASSISTANT ENGINEER (STRUCTURAL ENGINEER) | DELHI , TATANAGAR | Jan 2023 | Sep 2024 | 1Y 8M | 3.85
Syv Biotech Pvt Ltd . | Accounts and Sales Executive | pune  | Feb 2025 | Jun 2025 | 0Y 4M | 1.8</t>
  </si>
  <si>
    <t>Pune Metro  | Planning  | pune | May 2026 | Jul 2026 | 9.7142857142857 Weeks | Campus Internship</t>
  </si>
  <si>
    <t>P25703038</t>
  </si>
  <si>
    <t>KISHAN</t>
  </si>
  <si>
    <t>DALMIA</t>
  </si>
  <si>
    <t>Kishan Dalmia</t>
  </si>
  <si>
    <t>kishandalmiais@gmail.com</t>
  </si>
  <si>
    <t>p25703038@student.nicmar.ac.in</t>
  </si>
  <si>
    <t>02-Nov-2001</t>
  </si>
  <si>
    <t>English, Hindi, Odia, Marwadi</t>
  </si>
  <si>
    <t>7543 2281 3385</t>
  </si>
  <si>
    <t>PRAKASH CHANDRA DALMIA</t>
  </si>
  <si>
    <t>RADHA DALMIA</t>
  </si>
  <si>
    <t>GA 153 Niladri Vihar Chandrasekharpur</t>
  </si>
  <si>
    <t>LOYOLA SCHOOL</t>
  </si>
  <si>
    <t>JAIN COLLEGE, V.V. PURAM</t>
  </si>
  <si>
    <t>BENGALURU CITY UNIVERSITY, BENGALURU</t>
  </si>
  <si>
    <t>MS Office,ZOHO</t>
  </si>
  <si>
    <t>iCOVER Insure | Business and Quality Analyst | Work from Home | Jul 2024 | Nov 2024 | 0Y 4M | 3.24</t>
  </si>
  <si>
    <t>Edsom Fintech Pvt. Ltd. | HR | Baner, Pune | May 2026 | Jun 2026 | 7.7142857142857 Weeks | Campus Internship
Matix Exports | Export Executive | Bengaluru | Nov 2022 | Mar 2023 | 17.571428571429 Weeks</t>
  </si>
  <si>
    <t>Project management skills
managing organizational change
Hr communications by HRCI
Hr communications by SHRM</t>
  </si>
  <si>
    <t>P25703039</t>
  </si>
  <si>
    <t>Sneha Prabhakar Meshram</t>
  </si>
  <si>
    <t>snehameshram13012@gmail.com</t>
  </si>
  <si>
    <t>p25703039@student.nicmar.ac.in</t>
  </si>
  <si>
    <t>13-Jan-2002</t>
  </si>
  <si>
    <t>9879 4981 3056</t>
  </si>
  <si>
    <t>PRABHAKAR MESHRAM</t>
  </si>
  <si>
    <t>GOVERNMENT EMPLOYEE (MSECB)</t>
  </si>
  <si>
    <t>BHARATI MESHRAM</t>
  </si>
  <si>
    <t>Shanti Nagar Near Ganvir Hospital Bramhapuri Dist- Chandrapur</t>
  </si>
  <si>
    <t>CENTRAL BOARD OF SECONDARY EDUCATION ,AURANGABAD</t>
  </si>
  <si>
    <t>CHRISTANAND SCHOOL AND JUNIOR COLLEGE  , BRAMHAPURI</t>
  </si>
  <si>
    <t>MAHARASHTRA STATE BOARD OF SECONDARY AND HIGHER SECONDARY EDUCATION, NAGPUR DIVISIONAL BOARD</t>
  </si>
  <si>
    <t>G H RAISONI COLLEGE OF ENGINEERING ,NAGPUR</t>
  </si>
  <si>
    <t>other,EXCEL</t>
  </si>
  <si>
    <t>K&amp;I Wealth Advisory LLP | Digital marketing and strategy intern  | Mumbai | May 2026 | Jul 2026 | 8.4285714285714 Weeks | Campus Internship</t>
  </si>
  <si>
    <t>P25703040</t>
  </si>
  <si>
    <t>JAMDADE</t>
  </si>
  <si>
    <t>SUMIT</t>
  </si>
  <si>
    <t>SHEKHAR</t>
  </si>
  <si>
    <t>Jamdade Sumit Shekhar</t>
  </si>
  <si>
    <t>sumiiijamdade03@gmail.com</t>
  </si>
  <si>
    <t>p25703040@student.nicmar.ac.in</t>
  </si>
  <si>
    <t>03-Nov-2003</t>
  </si>
  <si>
    <t>5497 5578 6066</t>
  </si>
  <si>
    <t>SHEKHAR SHIVAJI JAMDADE</t>
  </si>
  <si>
    <t>SUNITA SHEKHAR JAMDADE</t>
  </si>
  <si>
    <t>NICMAR GATE NO 2, MILLENNIUM BOYS HOSTEL, RAM NAGAR, BALEWADI ROAD, BANER, PUNE</t>
  </si>
  <si>
    <t>295, Dwarkadhish Apartment, Gangapuri, Near Nagar Palika School 5, Wai, Satara</t>
  </si>
  <si>
    <t>BLOSSOM CHILDREN'S ACADEMY, WAI, SATARA</t>
  </si>
  <si>
    <t>MAHARASHTRA STATE BOARD OF SECONDARY AND HIGHER SECONDARY EDUCATION, PUNE (WAI, SATARA/MAHARASHTRA)</t>
  </si>
  <si>
    <t>DHANJAYRAO GADGIL COLLEGE OF COMMERCE, SATARA</t>
  </si>
  <si>
    <t>MAHARASHTRA STATE BOARD OF SECONDARY AND HIGHER SECONDARY EDUCATION, PUNE (SATARA/MAHARASHTRA)</t>
  </si>
  <si>
    <t>SARHAD COLLEGE OF ARTS, COMMERCE AND SCIENCE, KATRAJ, PUNE, MAHARASHTRA</t>
  </si>
  <si>
    <t>MS Office,MS Project,Advanced Excel</t>
  </si>
  <si>
    <t>Majestic Realities | Digital Marketing intern | Pune | May 2026 | Jun 2026 | 7.7142857142857 Weeks | Campus Internship</t>
  </si>
  <si>
    <t>International Business I (University of New Mexico - Coursera)
Operations Management (IESE Business School - Coursera)
Negotiation Fundamentals (ESSEC Business School - Coursera)</t>
  </si>
  <si>
    <t>P25703041</t>
  </si>
  <si>
    <t>ABHYANKAR</t>
  </si>
  <si>
    <t>Vaibhavi Ganesh Abhyankar</t>
  </si>
  <si>
    <t>vaibhaviabhyankar27@gmail.com</t>
  </si>
  <si>
    <t>p25703041@student.nicmar.ac.in</t>
  </si>
  <si>
    <t>27-Nov-2003</t>
  </si>
  <si>
    <t>3978 2207 6391</t>
  </si>
  <si>
    <t>GANESH ABHYANKAR</t>
  </si>
  <si>
    <t>SERVICE(PRIVATE SECTOR)</t>
  </si>
  <si>
    <t>GAYATRI ABHYANKAR</t>
  </si>
  <si>
    <t>A-49, Adarsh Nagar, Kushalpur, Raipur(C.G)</t>
  </si>
  <si>
    <t>KRISHNA PUBLIC SCHOOL</t>
  </si>
  <si>
    <t>CENTRAL BOARD OF SECONDARY EDUCATION,RAIPUR/CHHATTISGARH</t>
  </si>
  <si>
    <t>PT. RAVISHANKAR SHUKLA UNIVERSITY</t>
  </si>
  <si>
    <t>VIVEKANAND MAHAVIDYALAYA, RAIPUR/CHHATTISGARH</t>
  </si>
  <si>
    <t>Finnovators Services Private Limited | Finance Operations Intern | Pune | May 2026 | Jul 2026 | 8.7142857142857 Weeks | Campus Internship</t>
  </si>
  <si>
    <t>P25703042</t>
  </si>
  <si>
    <t>Pranav Pravin Kadam</t>
  </si>
  <si>
    <t>kadampranav.0103@gmail.com</t>
  </si>
  <si>
    <t>p25703042@student.nicmar.ac.in</t>
  </si>
  <si>
    <t>01-Mar-2003</t>
  </si>
  <si>
    <t>4984 6590 0026</t>
  </si>
  <si>
    <t>PRAVIN BAPURAO KADAM</t>
  </si>
  <si>
    <t>PRIYA PRAVIN KADAM</t>
  </si>
  <si>
    <t>Plot No 11, Maharashtra Nagar, Kalamba Road, Kolhapur</t>
  </si>
  <si>
    <t>DYP'S SHANTINIKETAN SCHOOL</t>
  </si>
  <si>
    <t>DYP'S SHANTINIKETAN JUNIOR COLLEGE</t>
  </si>
  <si>
    <t>AutoCAD,MS Office,Figma,Python</t>
  </si>
  <si>
    <t>Britannia Industries Ltd. | Procurement Intern | Pune District | May 2026 | Jul 2026 | 7.7142857142857 Weeks | Campus Internship
Synergy Green Industries | Intern | Kolhapur | Jun 2024 | Jul 2024 | 4.2857142857143 Weeks
Wilo Mather &amp; Platt Pvt. Ltd. | Inward Quality Intern | Kolhapur | Jan 2025 | Apr 2025 | 15.285714285714 Weeks</t>
  </si>
  <si>
    <t>Introduction to Data Analysis using Microsoft Excel</t>
  </si>
  <si>
    <t>P25703043</t>
  </si>
  <si>
    <t>ELIAS</t>
  </si>
  <si>
    <t>Elias Eldhose</t>
  </si>
  <si>
    <t>eliaseldhose007@gmail.com</t>
  </si>
  <si>
    <t>p25703043@student.nicmar.ac.in</t>
  </si>
  <si>
    <t>08-Dec-2000</t>
  </si>
  <si>
    <t>CRICKET,OFFROADING,MOVIES,OVERLAND EXPEDITIONS</t>
  </si>
  <si>
    <t>6935 5764 6940</t>
  </si>
  <si>
    <t>ELDHO VARGHESE</t>
  </si>
  <si>
    <t>CINI.P</t>
  </si>
  <si>
    <t>Neduvelikudy House_x000D_
Vaikkara P.O_x000D_
Assamannor_x000D_
Perumbavoor_x000D_
683549</t>
  </si>
  <si>
    <t>ST GEORGE PUBLIC SCHOOL KEEZHILLAM ERNAKULAM</t>
  </si>
  <si>
    <t>MGM H.S.S. KURUPPAMPADY</t>
  </si>
  <si>
    <t>KERALA BOARD</t>
  </si>
  <si>
    <t>MAR ATHANASIUS COLLEGE, KOTHAMANGALAM</t>
  </si>
  <si>
    <t>ERNAKULAM</t>
  </si>
  <si>
    <t>UNION CHRISTIAN COLLEGE, ALUVA</t>
  </si>
  <si>
    <t>MA</t>
  </si>
  <si>
    <t>MS Office, MS Project, Sales Force</t>
  </si>
  <si>
    <t>Sri Vaarahi Real Assets  | Intern – Marketing Analytics and Digital Strategies  | Hyderabad | May 2026 | Jul 2026 | 8.7142857142857 Weeks | Campus Internship
UNION CHRISTIAN COLLEGE | ADAPTING TO THE NEW NORM: EXPLORING CUSTOMERS ATTITUDE TOWARDS E-BANKING SERVICES IN THE POST COVID SCENARIO | ALUVA | Jan 2023 | Oct 2023 | 39.857142857143 Weeks</t>
  </si>
  <si>
    <t>Salesforce Innovator
Getting started with Microsoft Office 365
Negotiation, Mediation, and Conflict Resolution - Capstone Project
Operations Management
Introduction to Marketing
International Business</t>
  </si>
  <si>
    <t>P25703044</t>
  </si>
  <si>
    <t>SHRIRAM</t>
  </si>
  <si>
    <t>PALVE</t>
  </si>
  <si>
    <t>Vivek Shriram Palve</t>
  </si>
  <si>
    <t>vickypalve68@gmail.com</t>
  </si>
  <si>
    <t>p25703044@student.nicmar.ac.in</t>
  </si>
  <si>
    <t>31-May-2003</t>
  </si>
  <si>
    <t>4454 3755 6475</t>
  </si>
  <si>
    <t>D-604, 43Privet Drive, Balewadi Near To_x000D_
SBI Bank, Pune</t>
  </si>
  <si>
    <t>RAMSHETH THAKUR PUBLIC SCHOOL</t>
  </si>
  <si>
    <t>CBSE, KHARGHAR-NAVI MUMBAI</t>
  </si>
  <si>
    <t>HSC, PUNE</t>
  </si>
  <si>
    <t>SYMBIOSIS COLLEGE OF ARTS AND COMMERCE, PUNE</t>
  </si>
  <si>
    <t>MS Office,MS Project,MS Excel,python,tally prime,ms powerpoint</t>
  </si>
  <si>
    <t>VCC Express &amp; Logistics | Operations manager | Pune | Aug 2024 | Jul 2025 | 48.714285714286 Weeks
Younity | Business development &amp; research | Pune | Dec 2022 | Dec 2022 | 2 Weeks</t>
  </si>
  <si>
    <t>Tally
Python</t>
  </si>
  <si>
    <t>P25703045</t>
  </si>
  <si>
    <t>BHUMIKA</t>
  </si>
  <si>
    <t>THAGUNNA</t>
  </si>
  <si>
    <t>Bhumika Thagunna</t>
  </si>
  <si>
    <t>bhumithagunna12@gmail.com</t>
  </si>
  <si>
    <t>p25703045@student.nicmar.ac.in</t>
  </si>
  <si>
    <t>17-Mar-2001</t>
  </si>
  <si>
    <t>4022 2224 6051</t>
  </si>
  <si>
    <t>PREM SINGH THAGUNNA</t>
  </si>
  <si>
    <t>TAILORING SHOP</t>
  </si>
  <si>
    <t>SHANTA THAGUNNA</t>
  </si>
  <si>
    <t>NESTWORKS PG, HIRAI SITAI ROAD, HINJEWADI</t>
  </si>
  <si>
    <t>Sector No. -7, Near Masjid, Khandu Colony</t>
  </si>
  <si>
    <t>Banswara</t>
  </si>
  <si>
    <t>16357 - JAWAHAR NAVODAYA VIDYALAYA, BANSWARA</t>
  </si>
  <si>
    <t>BANSWARA / RAJASTHAN</t>
  </si>
  <si>
    <t>NUTAN SENIOR SECONDARY SCHOOL, BANSWARA</t>
  </si>
  <si>
    <t>BHARATI VIDYAPEETH DEEMED UNIVERSITY, PUNE</t>
  </si>
  <si>
    <t>BHARATI VIDYAPEETH COLLEGE OF ENGINEERING, PUNE</t>
  </si>
  <si>
    <t>MS Office,MS Project,DBMS,SDLC,Operations Management,Python,AI Tools</t>
  </si>
  <si>
    <t>Edsom Fintech Pvt. Ltd. | Business Analyst and Finance Intern | Pune | May 2026 | Jun 2026 | 7.7142857142857 Weeks | Campus Internship
Null Class | IOT Intern | Bangalore | Jun 2023 | Aug 2023 | 8.4285714285714 Weeks</t>
  </si>
  <si>
    <t>Effective Business Plan On-Campus Certification Programme | National B-Plan Championship, E-Cell IIM Bangalore &amp; MakeIntern
Salesforce Certified Agentforce Specialist</t>
  </si>
  <si>
    <t>P25703046</t>
  </si>
  <si>
    <t>PRADHAN</t>
  </si>
  <si>
    <t>Rahul Pradhan</t>
  </si>
  <si>
    <t>rahulpradhan549@gmail.com</t>
  </si>
  <si>
    <t>p25703046@student.nicmar.ac.in</t>
  </si>
  <si>
    <t>8756 1353 9584</t>
  </si>
  <si>
    <t>TEKACHAND PRADHAN</t>
  </si>
  <si>
    <t>BABITA PRADHAN</t>
  </si>
  <si>
    <t>Blue House , Infront Of Purohit Kalyan Mandap_x000D_
Near BSNL Tower, Shantinagar, Padampur</t>
  </si>
  <si>
    <t>VIKASH RESIDENTIAL SCHOOL BARGARH</t>
  </si>
  <si>
    <t>CENTRAL BOARD OF SECONDARY EDUCATION  ODISHA</t>
  </si>
  <si>
    <t>CV RAMAN COLLEGE OF ENGINEERING BHUBANESWAR</t>
  </si>
  <si>
    <t>other,SQL,JAVA,SAP</t>
  </si>
  <si>
    <t>EZ Realty |  Real Estate Procurement Consultant Intern | Pune,Maharashtra | May 2026 | Jul 2026 | 8.7142857142857 Weeks | Campus Internship</t>
  </si>
  <si>
    <t>P25703047</t>
  </si>
  <si>
    <t>SRIYA</t>
  </si>
  <si>
    <t>SAMHITA</t>
  </si>
  <si>
    <t>J Sriya Samhita</t>
  </si>
  <si>
    <t>sriyajammula2004@gmail.com</t>
  </si>
  <si>
    <t>p25703047@student.nicmar.ac.in</t>
  </si>
  <si>
    <t>03-Oct-2004</t>
  </si>
  <si>
    <t>ENGLISH, HINDI, TELUGU, ODIA</t>
  </si>
  <si>
    <t>2151 0546 9274</t>
  </si>
  <si>
    <t>J SRINIVASA RAO</t>
  </si>
  <si>
    <t>J MADHAVI</t>
  </si>
  <si>
    <t>PATRA STREET_x000D_
BIG BAZAAR NEAR KHASPA STREET, BRAHMAPUR</t>
  </si>
  <si>
    <t>ST VINCENT'S CONVENT SCHOOL</t>
  </si>
  <si>
    <t>ICSE BRAHMAPUR</t>
  </si>
  <si>
    <t>SHIKSHA HIGHER DECONDARY SCHOOL</t>
  </si>
  <si>
    <t>CHSE BERHMAPUR</t>
  </si>
  <si>
    <t>KHALLIKOTE UNITARY UNIVERSITY</t>
  </si>
  <si>
    <t>KHALLIKOTE UNITARY UNIVERSITY, BERHAMPUR,ODISHA</t>
  </si>
  <si>
    <t>Maruti Suzuki India Limited | Supply Chain Intern | Gurugram, Haryana | May 2026 | Jul 2026 | 8.7142857142857 Weeks | Campus Internship
Digit Hack Software Solution  | Marketing Analyst Intern | Bengaluru | May 2024 | Jul 2024 | 8.7142857142857 Weeks</t>
  </si>
  <si>
    <t>INTERNATIONAL BUSINESS-1
GETTING STARTED WITH MICROSOFT 365
BUSINESS ANALYTICS WITH EXCEL
NEGOTIATIONS FUNDEMENTALS
NEGOTIATION MEDIATION AND CONFLICT RESOLUTION
OPERATIONS MANAGEMENT
INTRODUCTION TO MARKETING
SALESFORCE (INNOVATOR)</t>
  </si>
  <si>
    <t>P25703048</t>
  </si>
  <si>
    <t>VERMA</t>
  </si>
  <si>
    <t>Ayush Verma</t>
  </si>
  <si>
    <t>vayush943@gmail.com</t>
  </si>
  <si>
    <t>p25703048@student.nicmar.ac.in</t>
  </si>
  <si>
    <t>26-Jun-2002</t>
  </si>
  <si>
    <t>Strength Training,Playing Chess</t>
  </si>
  <si>
    <t>2108 3249 0597</t>
  </si>
  <si>
    <t>RITU RAJ VERMA</t>
  </si>
  <si>
    <t>SUNITA VERMA</t>
  </si>
  <si>
    <t>Tehsil Sunni, Jaili Dhar (143), Shimla, Himachal Pradesh</t>
  </si>
  <si>
    <t>ST. EDWARDS SCHOOL</t>
  </si>
  <si>
    <t>CHITKARA UNIVERSITY</t>
  </si>
  <si>
    <t>CHITKARA UNIVERSITY, PUNJAB</t>
  </si>
  <si>
    <t>MS Excel,MS PowerPoint,MS WORD</t>
  </si>
  <si>
    <t>Asset Deals | Sales and Marketing Intern | Pune | May 2026 | Jul 2026 | 8.4285714285714 Weeks | Campus Internship
Hotel Holiday Home | Front Office Trainee | Shimla | Jun 2023 | Oct 2023 | 17.857142857143 Weeks
THE ST REGIS | F&amp;B Intern | DOHA, QATAR | Sep 2022 | Dec 2022 | 17.285714285714 Weeks</t>
  </si>
  <si>
    <t>P25703049</t>
  </si>
  <si>
    <t>AJMERA</t>
  </si>
  <si>
    <t>Shweta Ajmera</t>
  </si>
  <si>
    <t>shweta_kabra88@yahoo.com</t>
  </si>
  <si>
    <t>P25703049@student.nicmar.ac.in</t>
  </si>
  <si>
    <t>04-Jan-1987</t>
  </si>
  <si>
    <t>Reading Books</t>
  </si>
  <si>
    <t>6172 6238 4150</t>
  </si>
  <si>
    <t>BADRI AJMERA</t>
  </si>
  <si>
    <t>KRISHNA AJMERA</t>
  </si>
  <si>
    <t>C 904, ROYAL RAHADKI GREENS, OPPOSITE ARENA 29, SHIVRAJ NAGAR LANE NO 1, RAHATANI</t>
  </si>
  <si>
    <t>M LAND CHILDREN ACADEMY SS, TONK</t>
  </si>
  <si>
    <t>BOARD OF SECONDARY EDUCATION, RAJASTHAN</t>
  </si>
  <si>
    <t>2001-Jun</t>
  </si>
  <si>
    <t>TAGORE BAL NIKETAN SR SEC SCH TONK</t>
  </si>
  <si>
    <t>2002-Apr</t>
  </si>
  <si>
    <t>2003-Apr</t>
  </si>
  <si>
    <t>MAHARISHI DAYANAND UNIVERSITY AJMERA</t>
  </si>
  <si>
    <t>GOVT GIRLS COLLEGE TONK</t>
  </si>
  <si>
    <t>MAHARSHI DAYANAND SARASWATI UNIVERSITY, AJMER</t>
  </si>
  <si>
    <t>M.Com</t>
  </si>
  <si>
    <t>2006-Apr</t>
  </si>
  <si>
    <t>Tally ERP 9,Winman,Saral</t>
  </si>
  <si>
    <t>Elpro International School | Assistant Manager-Accounts and Finance | Chinchwad, Pune | Oct 2021 | Mar 2025 | 3Y 4M | 5.8
Proactive Engineering Services | Accounts Manager | Warje,PUNE | Mar 2019 | Oct 2021 | 2Y 6M | 2.4
DKP Financial Sevices | Associate- Accounts and Tax  | Shahad Thane | Jun 2013 | Feb 2017 | 3Y 8M | 1.8</t>
  </si>
  <si>
    <t>9 Years 8 Months</t>
  </si>
  <si>
    <t>Edsom Fintech Pvt Ltd | Business Analyst | Baner | May 2026 | Jun 2026 | 7.7142857142857 Weeks | Campus Internship
Vushnu Khandelwal &amp; co | Trainee Article | Jaipur | Nov 2007 | May 2011 | 182.28571428571 Weeks</t>
  </si>
  <si>
    <t>ESG Job Simulation
Audit Simulation
Career Catalyst: Audit
FINLATICS EQUITY MARKETS ANALYST</t>
  </si>
  <si>
    <t>P25703050</t>
  </si>
  <si>
    <t>HUKKERI</t>
  </si>
  <si>
    <t>Aryan Vinay Hukkeri</t>
  </si>
  <si>
    <t>aryanvhukkeri@gmail.com</t>
  </si>
  <si>
    <t>p25703050@student.nicmar.ac.in</t>
  </si>
  <si>
    <t>16-Aug-2001</t>
  </si>
  <si>
    <t>English, Hindi, Marathi, Sanskrit</t>
  </si>
  <si>
    <t>Singing,Photography,Travel,Cultural activities,Video editing</t>
  </si>
  <si>
    <t>2142 3810 8170</t>
  </si>
  <si>
    <t>VINAY HUKUMCHAND HUKKERI</t>
  </si>
  <si>
    <t>UJWALA VINAY HUKKERI</t>
  </si>
  <si>
    <t>VTP BELAIR, BLUEWATERS TOWNSHIP, PUNE</t>
  </si>
  <si>
    <t>Takari Road Nianai Nagar Near RIT</t>
  </si>
  <si>
    <t>ISLAMPUR HIGH SCHOOL ISLAMPUR 415409</t>
  </si>
  <si>
    <t>VIDYAMANDIR JUNIOR COLLEGE URUN ISLAMPUR</t>
  </si>
  <si>
    <t>MAHARSHTRA STATE BOARD</t>
  </si>
  <si>
    <t>RAJARAMBAPU INSTITUTE OF TECHNOLOGY ISHWARPUR 415409 ,SANGLI</t>
  </si>
  <si>
    <t>MS Office,MS Project,SAP hana,SAP ABAP,Orcad</t>
  </si>
  <si>
    <t>Mundhra Logistics  | Logistics Coordinator  | pune | Feb 2024 | Jul 2025 | 1Y 5M | 5</t>
  </si>
  <si>
    <t>Eltech Electrodesigns and Solutions Pvt Ltd | R &amp; D Intern  | Shivane  | Jan 2023 | May 2023 | 20.285714285714 Weeks
Mundhra Logistics  | Logistics Coordinator  | J M Road Shivajinagar | May 2026 | Jul 2026 | 9.7142857142857 Weeks</t>
  </si>
  <si>
    <t>P25703051</t>
  </si>
  <si>
    <t>SHAGUN</t>
  </si>
  <si>
    <t>DOGRA</t>
  </si>
  <si>
    <t>Shagun Dogra</t>
  </si>
  <si>
    <t>shagunmahajan2004@gmail.com</t>
  </si>
  <si>
    <t>p25703051@student.nicmar.ac.in</t>
  </si>
  <si>
    <t>28-Jan-2004</t>
  </si>
  <si>
    <t>ENGLISH, HINDI, DOGRI</t>
  </si>
  <si>
    <t>Travelling,Trekking,Reading books,Learning new languages</t>
  </si>
  <si>
    <t>5165 6622 8090</t>
  </si>
  <si>
    <t>JUGAL DOGRA</t>
  </si>
  <si>
    <t>POONAM DOGRA</t>
  </si>
  <si>
    <t>House Number 125, Ward No. 3, Ramnagar</t>
  </si>
  <si>
    <t>Udhampur</t>
  </si>
  <si>
    <t>BHARTIYA VIDYA MANDIR HIGH SCHOOL</t>
  </si>
  <si>
    <t>THE JAMMU &amp; KASHMIR STATE BOARD OF SCHOOL EDUCATION , RAMNAGAR</t>
  </si>
  <si>
    <t>B B S VIDYAPEETH DINA NAGAR</t>
  </si>
  <si>
    <t>CENTRAL BOARD OF SECONDARY EDUCATION, RAMNAGAR</t>
  </si>
  <si>
    <t>SHRI MATA VAISHNO DEVI UNIVERSITY , KATRA</t>
  </si>
  <si>
    <t>Bank of Maharashtra |  Banking and operations | Pune | May 2026 | Jun 2026 | 8 Weeks | Campus Internship
J &amp; K Bank | Summer Intern | Ramnagar, J&amp;K | Jun 2023 | Jul 2023 | 6.5714285714286 Weeks</t>
  </si>
  <si>
    <t>Negotiation, Mediation, and Conflict Resolution - Capstone Project
Negotiation Fundamentals
Business Analytics with Excel
Operations Management
Introduction to Marketing
Get started with Microsoft 365
International Business 1</t>
  </si>
  <si>
    <t>P25703052</t>
  </si>
  <si>
    <t>AMRITESH</t>
  </si>
  <si>
    <t>Amritesh Kumar Shivam</t>
  </si>
  <si>
    <t>amritesh16jan@gmail.com</t>
  </si>
  <si>
    <t>p25703052@student.nicmar.ac.in</t>
  </si>
  <si>
    <t>6920 7552 0862</t>
  </si>
  <si>
    <t>UZWAL KUMAR</t>
  </si>
  <si>
    <t>RENU KUMARI</t>
  </si>
  <si>
    <t>NICMAR UNIVERSITY PLAT NO 251 NIA POST OFFICE BALEWADI , TALUKA HAVELI</t>
  </si>
  <si>
    <t>S/o  Uzwal Kumar Kali Mandir Road  Nepali Nagar Ashiyana Digha</t>
  </si>
  <si>
    <t>DR D RAM DAV PUBLIC SCHOOL</t>
  </si>
  <si>
    <t>PUNE MAHARASTRA</t>
  </si>
  <si>
    <t>Bank of Maharashtra  | Management trainee Intern | Pune , Balewadi  | May 2026 | Jun 2026 | 8 Weeks | Campus Internship</t>
  </si>
  <si>
    <t>FINLATICS EQUITY MARKET ANALYST</t>
  </si>
  <si>
    <t>P25703053</t>
  </si>
  <si>
    <t>Rushikesh Rajendra Deshmukh</t>
  </si>
  <si>
    <t>deshmukhrushi396@gmail.com</t>
  </si>
  <si>
    <t>p25703053@student.nicmar.ac.in</t>
  </si>
  <si>
    <t>11-Apr-2003</t>
  </si>
  <si>
    <t>4066 0255 1166</t>
  </si>
  <si>
    <t>FL,NO 1 KHADKESHWAR Apartament KHADKESHWAR , Aurangabad MAHARASHTRA _x000D_
431001</t>
  </si>
  <si>
    <t>HOLY CROSS ENGLISH HIGH SCHOOL</t>
  </si>
  <si>
    <t>VIVEKANAND ARTS, SARDAR DALIPSINGH COMMERCE &amp; SCIENCE COLLEGE, AURANGABAD</t>
  </si>
  <si>
    <t>DR. BABASAHEB AMBEDKAR MARATHAWAD UNIVERSITY</t>
  </si>
  <si>
    <t>MS Office,EXCEL</t>
  </si>
  <si>
    <t>Address Advisors  | Business Development Intern  | Pune, Maharashtra, India | May 2026 | Jul 2026 | 9.5714285714286 Weeks | Campus Internship</t>
  </si>
  <si>
    <t>P25703054</t>
  </si>
  <si>
    <t>Ketan Milind Patil</t>
  </si>
  <si>
    <t>ketanmpatil2810@gmail.com</t>
  </si>
  <si>
    <t>p25703054@student.nicmar.ac.in</t>
  </si>
  <si>
    <t>28-Oct-2002</t>
  </si>
  <si>
    <t>Traveling and Exploring,Listening to Music,Watching Movies,Cooking</t>
  </si>
  <si>
    <t>5680 7711 8545</t>
  </si>
  <si>
    <t>NEETA</t>
  </si>
  <si>
    <t>A3 902 MANTRA MONARCH, PATIL WASTI, PATIL NAGAR, BALEWADI, PUNE</t>
  </si>
  <si>
    <t>11, Subhash Colony, Shirpur</t>
  </si>
  <si>
    <t>SMITA PATIL PUBLIC SCHOOL</t>
  </si>
  <si>
    <t>CENTRAL BOARD OF SECONDARY EDUCATION SHIRPUR, MAHARASHTRA</t>
  </si>
  <si>
    <t>R.C.PATEL ENGLISH MEDIUM JUNIOR COLLEGE</t>
  </si>
  <si>
    <t>MAHARASHTRA STATE BOARD OF SECONDARY AND HIGHER SECONDARY EDUCATION, SHIRPUR, MAHARASHTRA</t>
  </si>
  <si>
    <t>NATIONAL COUNCIL OF HOTEL MANAGEMENT AND CATERING TECHNOLOGY</t>
  </si>
  <si>
    <t>INSTITUTE OF HOTEL MANAGEMENT, CATERING TECHNOLOGY &amp; APPLIED NUTRITION, PORVORIM, GOA</t>
  </si>
  <si>
    <t>Python,Ms Office,Ms Project,Canva,Trello,</t>
  </si>
  <si>
    <t>Majestic Realties  | Digital Marketing Intern  | Pune | May 2026 | Jun 2026 | 7.7142857142857 Weeks | Campus Internship
Enrise By Sayaji | Intern | Indore | Dec 2021 | Apr 2022 | 15.857142857143 Weeks
TIP TOP INTERNATIONAL | On Job Trainee Front Office | Pune | Jan 2024 | Apr 2024 | 13 Weeks
Lejhro Technology | Human Resource Associate | Bhubaneswar | Oct 2024 | Feb 2025 | 18 Weeks</t>
  </si>
  <si>
    <t xml:space="preserve">Executive Program in Human Resource Management
KPMG Six Sigma Green Belt </t>
  </si>
  <si>
    <t>P25703055</t>
  </si>
  <si>
    <t>NISCHAY</t>
  </si>
  <si>
    <t>SISODIA</t>
  </si>
  <si>
    <t>Nischay Sisodia</t>
  </si>
  <si>
    <t>gomti.sisodia65@gmail.com</t>
  </si>
  <si>
    <t>p25703055@student.nicmar.ac.in</t>
  </si>
  <si>
    <t>10-Oct-2002</t>
  </si>
  <si>
    <t>Sketching,football,basketball,esports</t>
  </si>
  <si>
    <t>2731 7525 6804</t>
  </si>
  <si>
    <t>R.B. SISODIA</t>
  </si>
  <si>
    <t>GOMTI SISODIA</t>
  </si>
  <si>
    <t>BEAUTICIAN</t>
  </si>
  <si>
    <t>NEHRU NAGAR BHOPAL</t>
  </si>
  <si>
    <t>Nehru Nagar, 23, Gomti Colony</t>
  </si>
  <si>
    <t>BAL BHAWAN SCHOOL</t>
  </si>
  <si>
    <t>CBSE / BHOPAL  / MADHYA PRADESH</t>
  </si>
  <si>
    <t>INSTITUTE FOR EXCELLENCE IN HIGHER EDUCATION ,BHOPAL , MADHYA PRADESH</t>
  </si>
  <si>
    <t>MS Office,I know the basics of excel.</t>
  </si>
  <si>
    <t>The Backbenchers Digital LLP   | Marketing Intern  | Baner , Pune  | May 2026 | Jul 2026 | 8.5714285714286 Weeks | Campus Internship
Moksh Overseas Educon Limited | Digital Marketing Internship | bhopal,india | Mar 2024 | Apr 2024 | 6 Weeks</t>
  </si>
  <si>
    <t>Digital Marketing</t>
  </si>
  <si>
    <t>P25703056</t>
  </si>
  <si>
    <t>SETABJA</t>
  </si>
  <si>
    <t>TARAFDER</t>
  </si>
  <si>
    <t>Setabja Tarafder</t>
  </si>
  <si>
    <t>setabja.tarafder@gmail.com</t>
  </si>
  <si>
    <t>p25703056@student.nicmar.ac.in</t>
  </si>
  <si>
    <t>ENGLISH, HINDI , BENGALI</t>
  </si>
  <si>
    <t>5114 7125 5886</t>
  </si>
  <si>
    <t>LATE BIPLOB TARAFDER</t>
  </si>
  <si>
    <t>SHOVA TARAFDER</t>
  </si>
  <si>
    <t>Sf-1, Sk Heights,miraton Gardens, Chicalim Ground, Vasco Da Gama, Goa</t>
  </si>
  <si>
    <t>NAVY CHILDREN SCHOOL</t>
  </si>
  <si>
    <t>CENTRAL BOARD OF SECONDARY EDUCATION , GOA</t>
  </si>
  <si>
    <t>KENDRIYA VIDYALAYA NO 1</t>
  </si>
  <si>
    <t>CENTRAL BOARD OF SECONDARY EDUCATION, GOA</t>
  </si>
  <si>
    <t>PARVATIBAI CHOWGULE COLLEGE OF ARTS AND SCIENCE</t>
  </si>
  <si>
    <t>Goa Shipyard Limited | Supply chain management intern | VASCO-DA-GAMA , GOA | May 2026 | Jul 2026 | 8.5714285714286 Weeks | Campus Internship</t>
  </si>
  <si>
    <t>P25703057</t>
  </si>
  <si>
    <t>YEOLA</t>
  </si>
  <si>
    <t>Chaitanya Mayur Yeola</t>
  </si>
  <si>
    <t>chaitanyayeola9@gmail.com</t>
  </si>
  <si>
    <t>p25703057@student.nicmar.ac.in</t>
  </si>
  <si>
    <t>Playing Cricket and Reading Books,Singing,Learning a new language</t>
  </si>
  <si>
    <t>4221 4537 5755</t>
  </si>
  <si>
    <t>MAYUR YEOLA</t>
  </si>
  <si>
    <t>SUCHITA YEOLA</t>
  </si>
  <si>
    <t>BUSINESS,HOUSEWIFE</t>
  </si>
  <si>
    <t>Dagaji Ajba Patil Nagar, Chaugaon Road,Satana</t>
  </si>
  <si>
    <t>BES'T ENGLISH MEDIUM SCHOOL,SATANA,NASHIK</t>
  </si>
  <si>
    <t>MAHARASHTRA STATE BOARD OF SECONDARY AND HIGHER SECONDARY EDUCATION,NASHIK</t>
  </si>
  <si>
    <t>B.Y.K COLLEGE OF COMMERCE,NASHIK</t>
  </si>
  <si>
    <t>SAVITRIBAI PHULE UNIVERSITY,PUNE</t>
  </si>
  <si>
    <t>MODERN COLLEGE OF ARTS,SCIENCE AND COMMERCE,PUNE</t>
  </si>
  <si>
    <t>CA Akshay Rane and Associates | Finance Intern | Nashik | May 2026 | Jul 2026 | 8.5714285714286 Weeks | Campus Internship</t>
  </si>
  <si>
    <t>Business analytics with Excel: Elementary to Advanced
Getting started with Microsoft office 365
SEBI Investor Awareness Test-NISM
Financial Markets-Yale University
JPMorgan Chase – Investment Banking Job Simulation | Forage</t>
  </si>
  <si>
    <t>P25703058</t>
  </si>
  <si>
    <t>CHHAJED</t>
  </si>
  <si>
    <t>Mohit Harshal Chhajed</t>
  </si>
  <si>
    <t>522mohit.chhajed0908@gmail.com</t>
  </si>
  <si>
    <t>p25703058@student.nicmar.ac.in</t>
  </si>
  <si>
    <t>12-Apr-2003</t>
  </si>
  <si>
    <t>English, Hindi, Marathi, Marwadi, German</t>
  </si>
  <si>
    <t>7650 8995 1069</t>
  </si>
  <si>
    <t>HARSHAL BANSILAL CHHAJED</t>
  </si>
  <si>
    <t>BHARATI HARSHAL CHHAJED</t>
  </si>
  <si>
    <t>PLOT NO: 06, FLAT NO: 101, SHANTAI, CTS2218, VATAN NAGAR, TALEGAON DABHADE, PUNE: 410507</t>
  </si>
  <si>
    <t>KANTILAL SHAH VIDYALAYA</t>
  </si>
  <si>
    <t>NESS WADIA COLLEGE OF COMMERCE, PUNE</t>
  </si>
  <si>
    <t>MS Office, MS Project, Digital Marketing, Power BI, Market Research &amp; Lead Generation, Data Entry and Management, Prompt Engineering, SQL, Python</t>
  </si>
  <si>
    <t>OJASVI LOGISTICS | Business Development Manager | PUNE | Sep 2024 | Aug 2025 | 0Y 11M | 3
TOOLTECH GLOBAL ENGINEERING PVT LTD | Business Development Associate | PUNE | Jun 2024 | Jul 2024 | 0Y 1M | 3.8</t>
  </si>
  <si>
    <t>EZ REALTY | BUSINESS ANALYST | PUNE | May 2026 | Jul 2026 | 8.7142857142857 Weeks | Campus Internship
NESS WADIA COLLEGE OF COMMERCE | PLACEMENT COORDINATOR | PUNE | Jun 2022 | May 2024 | 104.28571428571 Weeks</t>
  </si>
  <si>
    <t>Basic to Advanced Structured Query
Basic to Advanced Microsoft Power BI
Basic to Advanced Microsoft Excel
Digital Marketing
IBM Basics of Business Analysis
Marketing Fundamentals
Operations Management
Negotiations Fundamentals</t>
  </si>
  <si>
    <t>P25703059</t>
  </si>
  <si>
    <t>Divya Ashok Deshmukh</t>
  </si>
  <si>
    <t>deshmukhdivya855@gmail.com</t>
  </si>
  <si>
    <t>p25703059@student.nicmar.ac.in</t>
  </si>
  <si>
    <t>7868 0557 1857</t>
  </si>
  <si>
    <t>ASHOK DESHMUKH</t>
  </si>
  <si>
    <t>NISHA DESHMUKH</t>
  </si>
  <si>
    <t>NICMAR HOSTE PUNE</t>
  </si>
  <si>
    <t>Ram Kuti, Durga Nagar, Nandura</t>
  </si>
  <si>
    <t>ST. ANNS, ENGISH MEDIUM HIGH SCHOOL</t>
  </si>
  <si>
    <t>M. P. KOTHARI JR. COLLEGE , NANDURA</t>
  </si>
  <si>
    <t>MAHATMA PHULE AGRICULTURAL UNIVERSITY</t>
  </si>
  <si>
    <t>SCHOOL OF AGRIBUSINESS MANAGEMENT BARAMATI</t>
  </si>
  <si>
    <t>Syngenta Foundation India  | Banking and Finance Intern  | Pune | May 2026 | Jul 2026 | 8.4285714285714 Weeks | Campus Internship</t>
  </si>
  <si>
    <t>P25703060</t>
  </si>
  <si>
    <t>RAWAL</t>
  </si>
  <si>
    <t>Rawal Jatin Shambhu</t>
  </si>
  <si>
    <t>rawaljatin778@gmail.com</t>
  </si>
  <si>
    <t>p25703060@student.nicmar.ac.in</t>
  </si>
  <si>
    <t>31-Jul-2004</t>
  </si>
  <si>
    <t>Badminton,Cricket,Travel</t>
  </si>
  <si>
    <t>7208 8707 8506</t>
  </si>
  <si>
    <t>SHAMBHU RAWAL</t>
  </si>
  <si>
    <t>KUSUM RAWAL</t>
  </si>
  <si>
    <t>506, Balaji Tower-2, Sutharwad, Vapi</t>
  </si>
  <si>
    <t>SHREE SWAMINARYAN SECONDARY ENGLISH MEDIUM SCHOOL, SALVAV, VAPI</t>
  </si>
  <si>
    <t>ST. FRANCIS' HIGH SCHOOL, VAPI</t>
  </si>
  <si>
    <t>PARUL UNIVERSITY, VADODARA</t>
  </si>
  <si>
    <t>Simplify Home | Marketing Intern | Hyderabad, Telangana | May 2026 | Jun 2026 | 8 Weeks | Campus Internship</t>
  </si>
  <si>
    <t>P25703061</t>
  </si>
  <si>
    <t>ANUP</t>
  </si>
  <si>
    <t>Anup Jaiswal</t>
  </si>
  <si>
    <t>anupjaiswal3969@gmail.com</t>
  </si>
  <si>
    <t>p25703061@student.nicmar.ac.in</t>
  </si>
  <si>
    <t>English and hindi</t>
  </si>
  <si>
    <t>3960 6936 1952</t>
  </si>
  <si>
    <t>DEELIP JAISWAL</t>
  </si>
  <si>
    <t>LATE INDU DEVI</t>
  </si>
  <si>
    <t>Vill + Post Nimej Dist, Buxar Bihar</t>
  </si>
  <si>
    <t>Buxar</t>
  </si>
  <si>
    <t>GYAN JYOTI AWASIYA VIDYALAYA BHOJPUR BIHAR</t>
  </si>
  <si>
    <t>R P S RESIDENTIAL SCHOOL DANAPUR PATNA BIHAR</t>
  </si>
  <si>
    <t>PROF. RAJENDRA SINGH ( RAJJU BHAIYA) UNIVERSITY PRAYAGRAJ UTTAR PRADESH</t>
  </si>
  <si>
    <t>UNITED INSTITUTE OF MANAGEMENT PRAYAGRAJ UTTAR PRADESH</t>
  </si>
  <si>
    <t>Majestic Realties  | Digital Marketing Intern | Pune, Maharashtra  | May 2026 | Jun 2026 | 7.7142857142857 Weeks | Campus Internship</t>
  </si>
  <si>
    <t>Introduction to marketing (university of Pennsylvani - Coursera )
International business (university of new maxico - Coursera)</t>
  </si>
  <si>
    <t>P25703062</t>
  </si>
  <si>
    <t>BANDI</t>
  </si>
  <si>
    <t>NIHARIKA</t>
  </si>
  <si>
    <t>Bandi Niharika</t>
  </si>
  <si>
    <t>niharikabandi.01@gmail.com</t>
  </si>
  <si>
    <t>p25703062@student.nicmar.ac.in</t>
  </si>
  <si>
    <t>29-Jan-2002</t>
  </si>
  <si>
    <t>Playing Badminton,Listening to Music,Photography,Creative Designing,Swimming,Reading Books,Exploring new Technologies,Learning new Languages,Traveling,Participating in Cultural Events</t>
  </si>
  <si>
    <t>2792 1625 0403</t>
  </si>
  <si>
    <t>BANDI NAGU BABU</t>
  </si>
  <si>
    <t>BANDI KAMALA RANI</t>
  </si>
  <si>
    <t>53-16-85/3, K.R.M Colony, Maddilapalem, Near Canara Bank ATM</t>
  </si>
  <si>
    <t>BHASHYAM PUBLIC SCHOOL</t>
  </si>
  <si>
    <t>SRIGAYATRI JUNIOR COLLEGE</t>
  </si>
  <si>
    <t>GAYATRI VIDYA PARISHAD COLLEGE OF ENGINEERING</t>
  </si>
  <si>
    <t>AutoCAD,MS Office,CATIA V5,Adobe Photoshop (PS),Adobe Illustrator (AI),ANSYS,Canva</t>
  </si>
  <si>
    <t>Godrej Properties Limited | Operations - Contracts and Procurement | Chennai - Padur | May 2026 | Jul 2026 | 8.7142857142857 Weeks | Campus Internship</t>
  </si>
  <si>
    <t>Python Basics
AI-ML Virtual Internship
Android Developer Virtual Internship
Robotic Process Automation (RPA)
Al tools and ChatGPT workshop
Salesforce Agentblazer Innovator
Salesforce Agentblazer Champion
Negotiation Fundamentals
Business Analytics with Excel: Elementary to Advanced
Getting started with Microsoft Office 365
International Business I
Operations Management
Negotiation, Mediation, and Conflict Resolution - Capstone Project
Introduction to Marketing</t>
  </si>
  <si>
    <t>P25703063</t>
  </si>
  <si>
    <t>Sneha Singh</t>
  </si>
  <si>
    <t>snehajugnu@gmail.com</t>
  </si>
  <si>
    <t>p25703063@student.nicmar.ac.in</t>
  </si>
  <si>
    <t>18-Dec-2004</t>
  </si>
  <si>
    <t>9056 6798 8487</t>
  </si>
  <si>
    <t>NP SINGH</t>
  </si>
  <si>
    <t>ENGINEERING</t>
  </si>
  <si>
    <t>JUGNU SINGH</t>
  </si>
  <si>
    <t>House No. 16 Maheshpuri Niwaru Road Jhotwara</t>
  </si>
  <si>
    <t>IIS (DEEMED TO BE UNIVERSITY)</t>
  </si>
  <si>
    <t>IIS (DEEMED TO BE UNIVERSITY), JAIPUR, RAJASTHAN</t>
  </si>
  <si>
    <t>Gunarth Infra Pvt. Ltd. | Finance Intern  | Vadodara, Gujarat  | May 2026 | Jul 2026 | 8.7142857142857 Weeks | Campus Internship</t>
  </si>
  <si>
    <t>P25703064</t>
  </si>
  <si>
    <t>TANUJA</t>
  </si>
  <si>
    <t>KARALE</t>
  </si>
  <si>
    <t>Tanuja Machhindra Karale</t>
  </si>
  <si>
    <t>karaletanuja666@gmail.com</t>
  </si>
  <si>
    <t>p25703064@student.nicmar.ac.in</t>
  </si>
  <si>
    <t>English, Hindi , Maratthi</t>
  </si>
  <si>
    <t>Blogging,Reading Books,Fitness Activities,Trekking,Dancing,Capturing &amp; Editing</t>
  </si>
  <si>
    <t>9106 5386 8291</t>
  </si>
  <si>
    <t>Deolali Pravara,_x000D_
Rahuri,Ahmednagar</t>
  </si>
  <si>
    <t>NEW ENGLISH SCHOOL</t>
  </si>
  <si>
    <t>ATMA MALIK INTERNATIONAL SCHOOL</t>
  </si>
  <si>
    <t>BRIHAN MHARASHTRA COLLEGE OF COMMERCE</t>
  </si>
  <si>
    <t>MS Office,MS Project,Google Analytics,Canva,SEMrush,Ahrefs,Hubspot,WordPress,Hootsuite,Biffer,Zoho CRM,EXCEL</t>
  </si>
  <si>
    <t>Edsom Fintech pvt. ltd. | Digital Marketing and Finance Departments | Baner,Pune | May 2026 | Jun 2026 | 7.7142857142857 Weeks | Campus Internship
BESTLA &amp; INDUSTRIES | MANAGED SEO &amp; SOCIAL MEDIA CAMPAIGNS,CREATED MARKETING CONTENT &amp; ANALYZED PERFORMANCE METRICS | PUNE | May 2025 | Aug 2025 | 16.857142857143 Weeks</t>
  </si>
  <si>
    <t>P25703065</t>
  </si>
  <si>
    <t>BORULE</t>
  </si>
  <si>
    <t>Soham Vilas Borule</t>
  </si>
  <si>
    <t>sohamborule244@gmail.com</t>
  </si>
  <si>
    <t>p25703065@student.nicmar.ac.in</t>
  </si>
  <si>
    <t>02-Apr-2004</t>
  </si>
  <si>
    <t>3475 6972 6423</t>
  </si>
  <si>
    <t>Cha.sambhaji Maharaj Colony, Lonkar Wasti, Keshav Nagar, Mundhwa,pune36.</t>
  </si>
  <si>
    <t>SANE GURUJI SECONDARY SCHOOL</t>
  </si>
  <si>
    <t>PUNE / MAHARASHTRA</t>
  </si>
  <si>
    <t>HARIBHAI V. DESAI COLLEGE PUNE/MAHARASHTRA</t>
  </si>
  <si>
    <t>MS Project,Tally/ advanced Excel</t>
  </si>
  <si>
    <t>SKY TAPES  | Purchase and procurement  | Manjari Budruk  | May 2026 | Jul 2026 | 9.5714285714286 Weeks | Campus Internship</t>
  </si>
  <si>
    <t>P25703066</t>
  </si>
  <si>
    <t>DEV</t>
  </si>
  <si>
    <t>KAMLESH</t>
  </si>
  <si>
    <t>ASHARA</t>
  </si>
  <si>
    <t>Dev Kamlesh Ashara</t>
  </si>
  <si>
    <t>ashradev8888@gmail.com</t>
  </si>
  <si>
    <t>p25703066@student.nicmar.ac.in</t>
  </si>
  <si>
    <t>25-Mar-2003</t>
  </si>
  <si>
    <t>English, Hindi, Gujarati and Marathi</t>
  </si>
  <si>
    <t>9859 7572 8869</t>
  </si>
  <si>
    <t>KAMLESH ISHWARLAL ASHARA</t>
  </si>
  <si>
    <t>PRITI KAMLESH ASHARA</t>
  </si>
  <si>
    <t>A/003 Dhoop Chav Bldg, Ambadi Road Cross, Near Sai Garden, Vasai West,</t>
  </si>
  <si>
    <t>MOUNT CARMEL JUNIOR COLLEGE</t>
  </si>
  <si>
    <t>B.K. SHROFF COLLEGE OF ARTS AND M.H. SHROFF COLLEGE OF COMMERCE</t>
  </si>
  <si>
    <t>other,Excel</t>
  </si>
  <si>
    <t>Receivables Exchange of India Limited | Operations Intern | Kanjurmarg, Mumbai | May 2026 | Jul 2026 | 8.7142857142857 Weeks | Campus Internship
VANTAGE KNOWLEDGE ACADEMY | BUSINESS DEVELOPMENT EXECUTIVE | ANDHERI, MUMBAI, MAHARASHTRA  | Jan 2025 | Mar 2025 | 8.4285714285714 Weeks</t>
  </si>
  <si>
    <t>Practical Taxation
2D Animation
Life Skills
Ethical Hacking
Investment In Financial Markets Based on Technical Analysis
Microsoft 365
Business Analytics with Excel
Operations Management</t>
  </si>
  <si>
    <t>P25703067</t>
  </si>
  <si>
    <t>SATAKSHI</t>
  </si>
  <si>
    <t>Satakshi Nayak</t>
  </si>
  <si>
    <t>satakshinayak3@gmail.com</t>
  </si>
  <si>
    <t>p25703067@student.nicmar.ac.in</t>
  </si>
  <si>
    <t>17-Sep-2002</t>
  </si>
  <si>
    <t>Yoga / Meditation,Reading books,Research &amp; reading journals,Music (playing an instrument,singing),Creative writing / Poetry,Astrology &amp; Horoscope Study,Numerology Research,Palmistry &amp; Hand Analysis</t>
  </si>
  <si>
    <t>8601 5902 8795</t>
  </si>
  <si>
    <t>VINIT NAYAK</t>
  </si>
  <si>
    <t>SHILPA NAYAK</t>
  </si>
  <si>
    <t>Flat No 306 3rd Floor Ganesh Heritage Swarnjayanti Nagar Bilaspur (C.G)</t>
  </si>
  <si>
    <t>SATAKSHI NAYAK</t>
  </si>
  <si>
    <t>ICSE DURG CHHATTISGARH</t>
  </si>
  <si>
    <t>ATAL BIHARI VAJPAYEE VISHWAVIDHYALA</t>
  </si>
  <si>
    <t>LCIT COLLEGE OF COMMERCE AND SCIENCE</t>
  </si>
  <si>
    <t>ATAL BIHARI VAJPAYEE VISHWAVIDYALAYA BILASPUR</t>
  </si>
  <si>
    <t>Simplify Home | Digital Marketing Intern | Hyderabad | May 2026 | Jun 2026 | 8 Weeks | Campus Internship</t>
  </si>
  <si>
    <t>Business Analytics with Excel : Elementary to Advanced
Introduction to Marketing
Negotiation Fundamentals
Negotiation,Mediation, and Conflict Resolution - Capstone Project</t>
  </si>
  <si>
    <t>P25703069</t>
  </si>
  <si>
    <t>KAKAD</t>
  </si>
  <si>
    <t>Shruti Kishor Kakad</t>
  </si>
  <si>
    <t>shrutikakad2008@gmail.com</t>
  </si>
  <si>
    <t>p25703069@student.nicmar.ac.in</t>
  </si>
  <si>
    <t>english\hindi\marathi</t>
  </si>
  <si>
    <t>7888 4703 9313</t>
  </si>
  <si>
    <t>KISHOR KAKAD</t>
  </si>
  <si>
    <t>ARCHANA KAKAD</t>
  </si>
  <si>
    <t>At Mangul Post Dagadparwa Tq Barshitakli Dist Akola</t>
  </si>
  <si>
    <t>NOEL SCHOOL CBSE AKOLA</t>
  </si>
  <si>
    <t>SMT . MEHERBANU JUNIOR COLLAGE OF SCIENCE AND COMMERCE</t>
  </si>
  <si>
    <t>SHRI SHIVAJI COLLEGE OF ARTS, COMMERCE AND SCIENCE AKOT, MAHARASHTRA</t>
  </si>
  <si>
    <t>other,Advance Excel</t>
  </si>
  <si>
    <t>Basics of Python
Invesment Banking Job Simulation
Advance Excel</t>
  </si>
  <si>
    <t>P25703070</t>
  </si>
  <si>
    <t>KUSHAGRA</t>
  </si>
  <si>
    <t>Kushagra Singh</t>
  </si>
  <si>
    <t>kushagra.mv@gmail.com</t>
  </si>
  <si>
    <t>p25703070@student.nicmar.ac.in</t>
  </si>
  <si>
    <t>05-Mar-1993</t>
  </si>
  <si>
    <t>8675 2557 5837</t>
  </si>
  <si>
    <t>PRAMOD SINGH</t>
  </si>
  <si>
    <t>PRAMILA SINGH</t>
  </si>
  <si>
    <t>C/o Pramod Singh, Defence Colony, Cantonment, Varanasi</t>
  </si>
  <si>
    <t>Varanasi</t>
  </si>
  <si>
    <t>OP JINDAL SCHOOL</t>
  </si>
  <si>
    <t>CENTRAL BOARD OF SECONDARY EDUCATION, RAIGARH, CHHATTISGARH</t>
  </si>
  <si>
    <t>BHARATI VIDYAPEETH JAWAHARLAL NEHRU INSTITUTE OF TECHNOLOGY, PUNE, MAHARASHTRA</t>
  </si>
  <si>
    <t>BHARATI VIDYAPEETH</t>
  </si>
  <si>
    <t>COLLEGE OF ENGINEERING PUNE, MAHARASHTRA</t>
  </si>
  <si>
    <t>VAUTID India Private Limited | Production Engineer, Sales Coordinator | Pune, Maharashtra | Jun 2020 | Jul 2025 | 5Y 1M | 4.73</t>
  </si>
  <si>
    <t>N. Ranga Rao &amp; Sons Private Limited (Cycle Pure Agarbathies) | Supply Chain Management Intern  | Mysuru, Karnataka | May 2026 | Jul 2026 | 9.5714285714286 Weeks | Campus Internship
Jindal Steel and Power limited | Summer Training | Raigarh, Chhattisgarh | May 2014 | Jun 2014 | 3.8571428571429 Weeks</t>
  </si>
  <si>
    <t>Google: Foundations of Project Management</t>
  </si>
  <si>
    <t>P25703071</t>
  </si>
  <si>
    <t>SHASHIKANTH</t>
  </si>
  <si>
    <t>SINGARE</t>
  </si>
  <si>
    <t>Arjun Shashikanth Singare</t>
  </si>
  <si>
    <t>arjunsingare11@gmail.com</t>
  </si>
  <si>
    <t>p25703071@student.nicmar.ac.in</t>
  </si>
  <si>
    <t>21-Jun-2004</t>
  </si>
  <si>
    <t>5484 7843 8750</t>
  </si>
  <si>
    <t>SHASHIKANTH SINGARE</t>
  </si>
  <si>
    <t>GOVERMENT SERVANT</t>
  </si>
  <si>
    <t>YOGITA SINGARE</t>
  </si>
  <si>
    <t>'Mirai' Plot No 1 . Revati Housing Soceity_x000D_
Itkheda, Paithan Road, Aurangabad</t>
  </si>
  <si>
    <t>AGRASEN VIDYA MANDIR</t>
  </si>
  <si>
    <t>MAHARSHTRA STATE BOARD OF SECONDARY AND HIGHER SECONDARY EDUCATION</t>
  </si>
  <si>
    <t>DEOGIRI INSTITUTE OF TECHNOLOGY AND MANAGEMENT STUDIES</t>
  </si>
  <si>
    <t>Maharashtra metro rail corporation limited  | Multi model integration intern  | Pune  | May 2026 | Jul 2026 | 9.7142857142857 Weeks | Campus Internship</t>
  </si>
  <si>
    <t>P25703072</t>
  </si>
  <si>
    <t>ANURAG</t>
  </si>
  <si>
    <t>Anurag Ajit Jadhav</t>
  </si>
  <si>
    <t>anurag.workall@gmail.com</t>
  </si>
  <si>
    <t>p25703072@student.nicmar.ac.in</t>
  </si>
  <si>
    <t>26-Feb-1997</t>
  </si>
  <si>
    <t>Playing Flute,Reading Books,Trekking</t>
  </si>
  <si>
    <t>6638 5568 9354</t>
  </si>
  <si>
    <t>AMITA</t>
  </si>
  <si>
    <t>Room No.1, Kadam Chawl, Jamil Nagar, Bhandup West, Mumbai 400078</t>
  </si>
  <si>
    <t>COSMOS ENGLISH HIGH SCHOOL</t>
  </si>
  <si>
    <t>VPM'S B.N. BANDODKAR COLLEGE OF SCIENCE, THANE</t>
  </si>
  <si>
    <t>ANNASAHEB CHUDAMAN PATIL COLLEGE OF ENGINEERING, KHARGHAR, MAHARASHTRA</t>
  </si>
  <si>
    <t>AutoCAD, MS Office, MS Project, Primavera, SQL, Python, Oracle, Tableau, Salesforce AI Agents</t>
  </si>
  <si>
    <t>WSP Consultants India Private Limited | Asst Consultant - HSE | Noida &amp;amp; Mumbai | May 2024 | Jul 2025 | 1Y 1M | 10
Sharp Designers &amp; Engineers India Private Limited | HSE Coordinator | Nagaothane &amp; Pune | May 2023 | Dec 2023 | 0Y 6M | 6
Industrial Energy Solutions | HSE Officer | Jamnagar &amp;amp;amp; Surat | Apr 2022 | Apr 2023 | 1Y 0M | 5
Coolpack HVAC Systems Private Limited | Safety Engineer | Mumbai | Dec 2021 | Mar 2022 | 0Y 3M | 2.5
GVK Mumbai International Airport Limited | HSE &amp; Maintenance Trainee | Mumbai | Dec 2019 | Dec 2020 | 1Y 0M | 1.2</t>
  </si>
  <si>
    <t>Majestic Realties | HR &amp; Project Management Intern | Pune | May 2026 | Jun 2026 | 7.7142857142857 Weeks | Campus Internship
International Architecture Trading and Contracting Company/ ITL Al Amara | HSE Officer | Kingdom Of Saudi Arabia | Dec 2023 | Mar 2024 | 11.285714285714 Weeks</t>
  </si>
  <si>
    <t>Safety Trade Validation Certification
First Aid and CPR Approved DISH
ISO 45001 LEAD AUDITOR
NEBOSH International General Certificate</t>
  </si>
  <si>
    <t>P25703073</t>
  </si>
  <si>
    <t>Aditya Chandrashekhar Patil</t>
  </si>
  <si>
    <t>adityapatil1761@gmail.com</t>
  </si>
  <si>
    <t>p25703073@student.nicmar.ac.in</t>
  </si>
  <si>
    <t>17-Jun-2001</t>
  </si>
  <si>
    <t>7550 2277 1349</t>
  </si>
  <si>
    <t>CHANDRASHEKHAR PATIL</t>
  </si>
  <si>
    <t>CHETANA PATIL</t>
  </si>
  <si>
    <t>D-405 SARTTHI SKYBAY PHASE 2, BALEWADI, PUNE</t>
  </si>
  <si>
    <t>Civil Line, Nandura Road, Khamgaon</t>
  </si>
  <si>
    <t>ST. ANNS ENGLISH MEDIUM HIGH SCHOOL</t>
  </si>
  <si>
    <t>LATE MAHARSHI BHASKARRAO SHINGNE COLLEGE</t>
  </si>
  <si>
    <t>DR. D. Y. PATIL COLLEGE OF AGRIBUSINESS MANAGEMENT</t>
  </si>
  <si>
    <t>Centrum wealth Ltd.  | Wealth management intern | Pune | May 2026 | Jun 2026 | 8.1428571428571 Weeks | Campus Internship
Syngenta Foundation India | Intern at IRise Program | Pune | Dec 2023 | Jul 2024 | 32.714285714286 Weeks
 Proptranxact ( Surrealt Ventures LLP) | Market Research, Sales and Business Development  | Mumbai, Andheri (E) | Jan 2025 | Jun 2025 | 25.714285714286 Weeks</t>
  </si>
  <si>
    <t xml:space="preserve">NISM V-A Mutual Funds Distributor 
NISM XXI-A PMS Distributor </t>
  </si>
  <si>
    <t>P25703075</t>
  </si>
  <si>
    <t>APPA</t>
  </si>
  <si>
    <t>Ashok Appa Jagtap</t>
  </si>
  <si>
    <t>ashokjagtap2441@gmail.com</t>
  </si>
  <si>
    <t>p25703075@student.nicmar.ac.in</t>
  </si>
  <si>
    <t>20-Nov-2001</t>
  </si>
  <si>
    <t>5144 9369 7102</t>
  </si>
  <si>
    <t>APPA JAGTAP</t>
  </si>
  <si>
    <t>10TH</t>
  </si>
  <si>
    <t>ANITA JAGTAP</t>
  </si>
  <si>
    <t>AT.Kanhobachiwadi TQ.Shirur Kasar Dist-Beed</t>
  </si>
  <si>
    <t>SARASWATI VIDYALAY KHADGAON LATUR</t>
  </si>
  <si>
    <t>LATUR-MAHARASHTRA</t>
  </si>
  <si>
    <t>BABUJI AVHAD MAHAVIDYALAY PATHARDI AHEMADNAGAR</t>
  </si>
  <si>
    <t>PATHARDI-AHEMADNAGAR-MAHARASHTRA</t>
  </si>
  <si>
    <t>MAHATMA PHULE KRISHI VIDYAPEETH RAHURI</t>
  </si>
  <si>
    <t>DR.D.Y. PATIL COLLEGE OF AGRICULTURE BUSINESS MANAGEMENT AKURDI ,PUNE</t>
  </si>
  <si>
    <t>other,MS-CIT</t>
  </si>
  <si>
    <t>Majestic Realties | Digital marketing and sales | Pune | May 2026 | Jun 2026 | 7.7142857142857 Weeks | Campus Internship</t>
  </si>
  <si>
    <t>P25703076</t>
  </si>
  <si>
    <t>UPADHYAY</t>
  </si>
  <si>
    <t>Sharad Upadhyay</t>
  </si>
  <si>
    <t>sharadupadhyay52@gmail.com</t>
  </si>
  <si>
    <t>p25703076@student.nicmar.ac.in</t>
  </si>
  <si>
    <t>30-Mar-2003</t>
  </si>
  <si>
    <t>7179 0622 1900</t>
  </si>
  <si>
    <t>DEEPAK UPADHYAY</t>
  </si>
  <si>
    <t>POOJA UPADHYAY</t>
  </si>
  <si>
    <t>Deepapur , Rajatalab , Varanasi , Uttar Pradesh</t>
  </si>
  <si>
    <t>NATIONAL INSTITUTE OF OPEN SCHOOLING , BHADOHI , UTTAR PRADESH</t>
  </si>
  <si>
    <t>M J F PUBLIC SCHOOL</t>
  </si>
  <si>
    <t>MAHATMA GANDHI KASHI VIDYAPITH , VARANASI</t>
  </si>
  <si>
    <t>ASHA MAHAVIDYALAYA , BABATPUR , VARANASI , UTTAR PRADESH</t>
  </si>
  <si>
    <t>Operations Management</t>
  </si>
  <si>
    <t>P25703077</t>
  </si>
  <si>
    <t>PREMPRAKASH</t>
  </si>
  <si>
    <t>Prakash Premprakash Choudhary</t>
  </si>
  <si>
    <t>psaran0698@gmail.com</t>
  </si>
  <si>
    <t>p25703077@student.nicmar.ac.in</t>
  </si>
  <si>
    <t>13-May-2003</t>
  </si>
  <si>
    <t>6088 2634 7024</t>
  </si>
  <si>
    <t>KUNNIDEVI</t>
  </si>
  <si>
    <t>B1/201, Prestige Panorama Society, Manjri Road, Keshavnagar, Pune</t>
  </si>
  <si>
    <t>JAYAWANT PUBLIC SCHOOL</t>
  </si>
  <si>
    <t>MAHARSHTRA STATE BOARD OF SECONDARY AND HIGHER SECONDARY EDUCATION, PUNE</t>
  </si>
  <si>
    <t>Revespaces  | Strategic Business Development Intern  | Pune | May 2026 | Jul 2026 | 8.7142857142857 Weeks | Campus Internship
LEEAS NUTRA COSMETICS | Sales and Marketing Intern | Pune | May 2022 | Jul 2022 | 8.2857142857143 Weeks
DECATHLON SPORTS INDIA PRIVATE LIMITED | Stock Management and Merchandising Intern | Pune | Jun 2023 | Aug 2023 | 9.1428571428571 Weeks
BLUESTONE JEWELLERY AND LIFESTYLE PVT. LTD. | Sales and Operations Intern | Pune | Jan 2024 | May 2024 | 19.571428571429 Weeks</t>
  </si>
  <si>
    <t>P25703078</t>
  </si>
  <si>
    <t>DOULAT</t>
  </si>
  <si>
    <t>Dhanashri Doulat Jadhav</t>
  </si>
  <si>
    <t>jadhavdhanashri7904@gmail.com</t>
  </si>
  <si>
    <t>p25703078@student.nicmar.ac.in</t>
  </si>
  <si>
    <t>07-Sep-2004</t>
  </si>
  <si>
    <t>Love to serve Animals,Traveling,Bike Riding,Watching movies</t>
  </si>
  <si>
    <t>6299 4766 5932</t>
  </si>
  <si>
    <t>Pusewadi Vasti, A/p Bambawade, Tal-Shirala, Dist-Sangli</t>
  </si>
  <si>
    <t>TAKAVE HIGHSCHOOL, TAKAVE</t>
  </si>
  <si>
    <t>MAHARASHTRA STATE BOARD, KOLHAPUR DIVISIONAL BOARD</t>
  </si>
  <si>
    <t>SHRIMATI KUSUMTAI RAJARAMBAPU PATIL KANYA MAHAVIDYALAYA, ISLAMPUR</t>
  </si>
  <si>
    <t>RAJARAMBAPU INSTITUTE OF TECHNOLOGY, ISLAMPUR MAHARASHTRA</t>
  </si>
  <si>
    <t>MS Office,Excel,Powerpoint,Tally ERP with GST</t>
  </si>
  <si>
    <t>P25703080</t>
  </si>
  <si>
    <t>Siddhesh Sanjay Jadhav</t>
  </si>
  <si>
    <t>siddheshjadhav2324@gmail.com</t>
  </si>
  <si>
    <t>p25703080@student.nicmar.ac.in</t>
  </si>
  <si>
    <t>17-Aug-2003</t>
  </si>
  <si>
    <t>9957 6989 8815</t>
  </si>
  <si>
    <t>JAYSHREE JADHAV</t>
  </si>
  <si>
    <t>Plot No. 27 Padalkar Colony, Kasba Bawda, Kolhapur 416006</t>
  </si>
  <si>
    <t>SHRIMANT MAISAHEB BAVDEKAR VIDYALAYA</t>
  </si>
  <si>
    <t>MAHARASHTRA STATE BOARD OF SECONDARY EDUCATION, PUNE</t>
  </si>
  <si>
    <t>B. M. ROTE JUNIOR COLLEGE</t>
  </si>
  <si>
    <t>MAHARASHTRA STATE BOARD OF HIGHER SECONDARY EDUCATION, PUNE</t>
  </si>
  <si>
    <t>KOLHAPUR INSTITUTE OF TECHNOLOGY'S COLLEGE OF ENGINEERING KOLHAPUR</t>
  </si>
  <si>
    <t>AutoCAD, MS Office, MS Project, PTC Creo (3d Design)</t>
  </si>
  <si>
    <t>Ecoboard Industries Ltd | Procurement Intern | Pune | May 2026 | Jun 2026 | 8 Weeks | Campus Internship
KIrloskar Oil Engines Ltd. | Design Engineer | Kolhapur | Jan 2025 | Apr 2025 | 12.857142857143 Weeks</t>
  </si>
  <si>
    <t>P25703036</t>
  </si>
  <si>
    <t>Vishal Rajendra Pawar</t>
  </si>
  <si>
    <t>p25703036@student.nicmar.ac.in</t>
  </si>
  <si>
    <t>22-Jul-2001</t>
  </si>
  <si>
    <t>9687 4978 0368</t>
  </si>
  <si>
    <t>RAJENDRA PAWAR</t>
  </si>
  <si>
    <t>NANDA PAWAR</t>
  </si>
  <si>
    <t>CLOTHING BUSINESS</t>
  </si>
  <si>
    <t>Tulja Heights Ubha Bazar Sawantwadi</t>
  </si>
  <si>
    <t>R.P.D JR COLLEGE SAWANTWADI</t>
  </si>
  <si>
    <t>PES MODERN COLLEGE OF ENGINEERING PUNE</t>
  </si>
  <si>
    <t>AutoCAD,MS Office,MS Project,EXCEL,powerpoint,power bi</t>
  </si>
  <si>
    <t>Shree Enterprises | GET | pune | Sep 2023 | Sep 2024 | 1Y 0M | 2.16</t>
  </si>
  <si>
    <t>Boxoffice Space | Purchase &amp; Procurement Intern | Baner pune | May 2026 | Jul 2026 | 8.4285714285714 Weeks | Campus Internship</t>
  </si>
  <si>
    <t>MBA-ENS</t>
  </si>
  <si>
    <t>P25707001</t>
  </si>
  <si>
    <t>SUHAN</t>
  </si>
  <si>
    <t>Kamble Suhan Jagdish</t>
  </si>
  <si>
    <t>suhankamble62@gmail.com</t>
  </si>
  <si>
    <t>P25707001@student.nicmar.ac.in</t>
  </si>
  <si>
    <t>28-Nov-2003</t>
  </si>
  <si>
    <t>2829 2472 7740</t>
  </si>
  <si>
    <t>JAGDISH KAMBLE</t>
  </si>
  <si>
    <t>PROJECT LEAD - (PRIVATE SERVICE)</t>
  </si>
  <si>
    <t>SANDHYA KAMBLE</t>
  </si>
  <si>
    <t>Dattakrupa, Vadgaon Road, In Front Of Ram Mandir, Gurudatta Residency, Alandi Rural, Pune</t>
  </si>
  <si>
    <t>PRIYADARSHANI ENGLISH MEDIUM SCHOOL, ALANDI, PUNE</t>
  </si>
  <si>
    <t>DIPLOMA IN CIVIL ENGINEERING.</t>
  </si>
  <si>
    <t>AISSMS COLLEGE OF POLYTECHNIC, PUNE.</t>
  </si>
  <si>
    <t>SAVITRIBAI PHULE PUNE UNIVERSITY (SPPU)</t>
  </si>
  <si>
    <t>DR. D. Y. PATIL INSTITUTE OF TECHNOLOGY, PIMPRI, PUNE.</t>
  </si>
  <si>
    <t>MS Office,Monitoring &amp; Controlling,Teamwork,Microsoft Excel,Microsoft PowerPoint,Microsoft Word,Financial Fundamentals,Basic financial modelling,Integrate artificial intelligence AI,Life Cycle Assessment (LCA),Carbon &amp; GHG Accounting,Energy &amp; Resource Eff</t>
  </si>
  <si>
    <t>Grattitude Synergy LLP | Management Intern | Pune | May 2026 | Jul 2026 | 8.7142857142857 Weeks | Campus Internship
CONSTROLOGIX ENGINEERING &amp; RESEARCH SERVICES PVT. LTD. | JUNIOR QUALITY ENGINEER INTERN | PUNE | Dec 2023 | Jan 2024 | 4 Weeks</t>
  </si>
  <si>
    <t>GHG Accounting &amp; Carbon Accounting
Municipal Solid Waste Management By NPTEL, IIT Guwahati
Career Essentials in Sustainable Tech by Microsoft and LinkedIn
McKinsey Forward Program
SEBI Investor Certification Examination
Water Wastewater Management
Investor Education - Basic
Water and Wastewater Management (SCADA Operating System)</t>
  </si>
  <si>
    <t>P25707002</t>
  </si>
  <si>
    <t>DILIP KUMAR</t>
  </si>
  <si>
    <t>PANDRANKI</t>
  </si>
  <si>
    <t>Dilip Kumar Pandranki</t>
  </si>
  <si>
    <t>dilipkumarpandranki@gmail.com</t>
  </si>
  <si>
    <t>p25707002@student.nicmar.ac.in</t>
  </si>
  <si>
    <t>7349 0033 6944</t>
  </si>
  <si>
    <t>PANDRANKI SURI BABU</t>
  </si>
  <si>
    <t>PANDRANKI NIRMALA</t>
  </si>
  <si>
    <t>8-15, SATTIVANIPALEM VILLAGE, JAGGAYYAPALEM POST, PENDURTHI MANDAL</t>
  </si>
  <si>
    <t>BHASHYAM HIGH SCHOOL</t>
  </si>
  <si>
    <t>GOVT. POLYTECHNIC-VISHAKHAPATNAM</t>
  </si>
  <si>
    <t>JAWAHARLAL NEHRU TECHNOLOGICAL UNIVERSITY GURAJADA, VIZIANAGARAM</t>
  </si>
  <si>
    <t>VIGNAN'S INSTITUTE OF INFORMATION TECHNOLOGY, VISAKHAPATNAM</t>
  </si>
  <si>
    <t>AutoCAD,MS Office,REVIT,SKETCHUP,V-RAY,SimaPro,OpenLCA</t>
  </si>
  <si>
    <t>GREENEX ENVIRONMENTAL PRIVATE LIMITED | ESG &amp; Sustainability Intern | Pune | May 2026 | Jul 2026 | 8.5714285714286 Weeks | Campus Internship
SAMVID PROJECT SOLUTIONS PRIVATE LIMITED | TRANIEE ENGINEER (CIVIL &amp; STRUCTURAL) | VISAKHAPATNAM | Jul 2023 | Apr 2024 | 36.857142857143 Weeks</t>
  </si>
  <si>
    <t>AutoCad
Workshop on GHG Accounting &amp; Carbon Accounting - Nicmar University
Introduction to ESG
IGBC Accredited Professional - Associate
Revit Software</t>
  </si>
  <si>
    <t>P25707003</t>
  </si>
  <si>
    <t>DROUPADA</t>
  </si>
  <si>
    <t>BABASO</t>
  </si>
  <si>
    <t>MULIK</t>
  </si>
  <si>
    <t>Droupada Babaso Mulik</t>
  </si>
  <si>
    <t>droupadamulik@gmail.com</t>
  </si>
  <si>
    <t>p25707003@student.nicmar.ac.in</t>
  </si>
  <si>
    <t>08-Dec-1999</t>
  </si>
  <si>
    <t>Volunteering in Social Activities (Social Work),Reading,Travelling,Photography</t>
  </si>
  <si>
    <t>8130 9895 3360</t>
  </si>
  <si>
    <t>BABASO PANDURANG MULIK</t>
  </si>
  <si>
    <t>MEENABAI BABASO MULIK</t>
  </si>
  <si>
    <t>308 Narayan Vastu,Main Road, Shivajinagar, Taluka: Kadegaon</t>
  </si>
  <si>
    <t>401 Parineeta. Lane 5B, Right Bhusari Colony. 38, Kothrud, Pune, PIN 411 038</t>
  </si>
  <si>
    <t>MAHATMA GANDHI VIDYALAYA, KADEGAON</t>
  </si>
  <si>
    <t>TILAK HIGHSCHOOL AND JR. COLLEGE, KARAD</t>
  </si>
  <si>
    <t>AISSMS COLLEGE OF ENGINEERING, PUNE</t>
  </si>
  <si>
    <t>MS Office,MS Project,MS Excel,LEAN Six-Sigma,SimaPro,Open LCA,AutoCAD,Carbon Accounting</t>
  </si>
  <si>
    <t>Ecosan Services Foundation | Project Associate | Karve Nagar, Pune | Jan 2025 | Jun 2025 | 0Y 5M | 2.5
Innovela Building Solutions | Jr. Detailer (Trainee) | Koregaon Park, Pune | Apr 2024 | Oct 2024 | 0Y 6M | 1.92</t>
  </si>
  <si>
    <t>Greenex Environmental | INTERN | Pune | May 2026 | Jul 2026 | 8.5714285714286 Weeks | Campus Internship
TEMBHU LIFT IRRIGATION DEPARTMENT, GOVERNMENT OF MAHARASHTRA, | INTERN | KADEPUR | Jan 2022 | Feb 2022 | 4.5714285714286 Weeks
DESAI INFRA PROJECTS (INDIA) PVT.LTD. | INTERN | KARAD (SURLI) | Nov 2020 | Dec 2020 | 2.1428571428571 Weeks</t>
  </si>
  <si>
    <t>AutoCAD 2D-3D Certificate
McKinsey org forward learning program
GHG Accounting and Carbon Accounting
LEAN SIX SIGMA YELLOW BELT- DMADV (Pursullence)
Safety In Construction Industry 84/100</t>
  </si>
  <si>
    <t>P25707004</t>
  </si>
  <si>
    <t>NEETU</t>
  </si>
  <si>
    <t>VINU</t>
  </si>
  <si>
    <t>KOSHY</t>
  </si>
  <si>
    <t>Neetu Vinu Koshy</t>
  </si>
  <si>
    <t>neetuvkn@gmail.com</t>
  </si>
  <si>
    <t>p25707004@student.nicmar.ac.in</t>
  </si>
  <si>
    <t>05-Feb-1997</t>
  </si>
  <si>
    <t>English,hindi,Malayalam</t>
  </si>
  <si>
    <t>5411 3084 4474</t>
  </si>
  <si>
    <t>VINU C KOSHY</t>
  </si>
  <si>
    <t>CHIEF ENGINEER</t>
  </si>
  <si>
    <t>SHINY VINU KOSHY</t>
  </si>
  <si>
    <t>48/1862A Grameena Vayensala Road Chalikavattom Vytilla Ernakulam Kochi Kerala-682019</t>
  </si>
  <si>
    <t>TOC-H PUBLIC SCHOOL</t>
  </si>
  <si>
    <t>MAR BASELIOS COLLEGE OF ENGINEERING AND TECHNOLOGY</t>
  </si>
  <si>
    <t>Aarvee Associates | Trainee Engineer | Kochi | Mar 2023 | May 2024 | 1Y 2M | 2.7
KEC international Limited | Engineer-Planning | Kochi | May 2022 | Jan 2023 | 0Y 8M | 3</t>
  </si>
  <si>
    <t>Kochi Metro Rail Limited | student | kochi | Jul 2018 | Jul 2018 | 0.28571428571429 Weeks
L&amp;T India | student | kochi | Jul 2016 | Jul 2016 | 0.85714285714286 Weeks</t>
  </si>
  <si>
    <t>NPTEL</t>
  </si>
  <si>
    <t>P25707005</t>
  </si>
  <si>
    <t>VISHWAS</t>
  </si>
  <si>
    <t>CHUKKI</t>
  </si>
  <si>
    <t>Vishwas Chukki</t>
  </si>
  <si>
    <t>vchukki@gmail.com</t>
  </si>
  <si>
    <t>p25707005@student.nicmar.ac.in</t>
  </si>
  <si>
    <t>English,Kannada,Hindi,Telugu</t>
  </si>
  <si>
    <t>4751 8221 8819</t>
  </si>
  <si>
    <t>UMAPATI CHUKKI</t>
  </si>
  <si>
    <t>SUJATHA CHUKKI</t>
  </si>
  <si>
    <t>#2/34 Shivakrupa, Near Eshwara Temple, Sirwar, 584129</t>
  </si>
  <si>
    <t>PSSEMR SCHOOL</t>
  </si>
  <si>
    <t>DAVANAGERE</t>
  </si>
  <si>
    <t>MASVS GURUKUL PU COLLEGE</t>
  </si>
  <si>
    <t>MYSURU</t>
  </si>
  <si>
    <t>MYSURU UNIVERSITY</t>
  </si>
  <si>
    <t>EHSCPL | INTERN | BENGALURU  | Dec 2023 | Apr 2024 | 20.571428571429 Weeks</t>
  </si>
  <si>
    <t>P25707007</t>
  </si>
  <si>
    <t>HARI VENKATARAO</t>
  </si>
  <si>
    <t>GEDDADA</t>
  </si>
  <si>
    <t>Hari Venkatarao Geddada</t>
  </si>
  <si>
    <t>geddadaharivenkatarao@gmail.com</t>
  </si>
  <si>
    <t>p25707007@student.nicmar.ac.in</t>
  </si>
  <si>
    <t>11-Oct-2002</t>
  </si>
  <si>
    <t>English, Telugu, Hindi</t>
  </si>
  <si>
    <t>9746 6407 5076</t>
  </si>
  <si>
    <t>GEDDADA CHAKRAVARTHY</t>
  </si>
  <si>
    <t>GEDDADA SYAMALA</t>
  </si>
  <si>
    <t>HOUSE WIFE9</t>
  </si>
  <si>
    <t>9-104, Geddada Vari Veedhi, Seetharamapuram, Tallarevu Mandal, Koringa(PO)</t>
  </si>
  <si>
    <t>Z P P HIGH SCHOOL</t>
  </si>
  <si>
    <t>VIGNAN'S UNIVERSITY</t>
  </si>
  <si>
    <t>VIGNAN'S FOUNDATION FOR SCIENCE, TECHNOLOGY &amp; RESEARCH, GUNTUR, ANDHRA PRADESH</t>
  </si>
  <si>
    <t>MS Office,CMG</t>
  </si>
  <si>
    <t>Govardhan EcoVillage | Intern - ESG &amp; Sustainability | Galtare, Palghar, Maharashtra  | May 2026 | Jul 2026 | 9.7142857142857 Weeks | Campus Internship
COROMANDEL INTERNATIONAL LTD | E.H.S INTERN | VISAKHAPATNAM | Jan 2024 | May 2024 | 17 Weeks</t>
  </si>
  <si>
    <t>GHG Accounting and Carbon Accounting - NICMAR UNIVERSITY,Pune
Introduction to ESG - CFI
Introduction to Greenhouse Gas Accounting for IT - CISCO
CSRD FUNDAMENTALS (Level-1) - CSRD INSTITUTE</t>
  </si>
  <si>
    <t>P25707008</t>
  </si>
  <si>
    <t>K S</t>
  </si>
  <si>
    <t>Sreelakshmi K S</t>
  </si>
  <si>
    <t>sreelakshmiks440@gmail.com</t>
  </si>
  <si>
    <t>p25707008@student.nicmar.ac.in</t>
  </si>
  <si>
    <t>13-Mar-1998</t>
  </si>
  <si>
    <t>8534 4029 5105</t>
  </si>
  <si>
    <t>SOMAN K K</t>
  </si>
  <si>
    <t>LIJI P K</t>
  </si>
  <si>
    <t>Sreelakshmi KS, Pavatte House, P O Polppakkara, Edappal, Malappuram , Kerala</t>
  </si>
  <si>
    <t>A V H S PONNANI</t>
  </si>
  <si>
    <t>GOVERNMENT HIGHER SECONDARY SCHOOL, THRIKKAVU</t>
  </si>
  <si>
    <t>BOARD OF HIGHER SECONDARY EXAMINATIONS, THIRUVANANTHAPURAM / KERALA</t>
  </si>
  <si>
    <t>APJ ABDUL KALAM TECHNOLOGICAL  UNIVERSITY</t>
  </si>
  <si>
    <t>NSS COLLEGE OF ENGINEERING , PALAKKAD</t>
  </si>
  <si>
    <t>Simapro, OpenLCA, OneClickLCA, VSCODE,FIGMA,UI/UX DESIGN</t>
  </si>
  <si>
    <t>Infosys Limited | Technology Analyst | Mysore | Jan 2021 | Apr 2024 | 3Y 2M | 4.5</t>
  </si>
  <si>
    <t>ClimatEnlighten LLP | Research &amp; Curriculum Development Intern | Remote | May 2026 | Jul 2026 | 9.7142857142857 Weeks | Campus Internship
COSTFORD - CENTRE OF SCIENCE AND TECHNOLOGY FOR RURAL DEVELOPMENT | CIVIL ENGINEERING INTERN | THRISSUR | Jul 2017 | Jul 2017 | 0.57142857142857 Weeks</t>
  </si>
  <si>
    <t>ESG Essentials : Navigating Sustainable Business Practices
NPTEL: Municipal Solid Waste Management
NPTEL-Carbon Accounting and Sustainable Designs in  Product Lifecycle Management
ESG Reporting : TheESGInstitute
ESG Essentials for Sustainable Business Coursera
Skill enhancement workshop on LCA
Introduction to Generative AI in Human Resources
Understanding Research Methods</t>
  </si>
  <si>
    <t>P25706001</t>
  </si>
  <si>
    <t>SAILESH</t>
  </si>
  <si>
    <t>Sailesh Kumar</t>
  </si>
  <si>
    <t>psylesh03@gmail.com</t>
  </si>
  <si>
    <t>p25706001@student.nicmar.ac.in</t>
  </si>
  <si>
    <t>ENGLISH AND TAMIL</t>
  </si>
  <si>
    <t>4448 1365 4021</t>
  </si>
  <si>
    <t>AMBAYIRAM</t>
  </si>
  <si>
    <t>PAINTING CONTRACTOR</t>
  </si>
  <si>
    <t>NIRMALA AMBAYIRAM</t>
  </si>
  <si>
    <t>78, Gandhipuram, Srinivasapuram Road</t>
  </si>
  <si>
    <t>BEST MATRICULATION HIGHER SECONDARY SCHOOL</t>
  </si>
  <si>
    <t>STATE BOARD OF TAMIL NADU</t>
  </si>
  <si>
    <t>MEENAKSHI COLLEGE OF ENGINEERING</t>
  </si>
  <si>
    <t>AutoCAD,MS Office,MS Project,Primavera,Sketchup,D5 render,Enscape,lumion 12.5,Adobe Photoshop,Open LCA,One click LCA</t>
  </si>
  <si>
    <t>DtoC Associates LLP | Project Management Intern | Chennai | May 2026 | Jul 2026 | 8.7142857142857 Weeks | Campus Internship
Abhilash Architects | Architecture Intern | Kerala | Jul 2022 | Nov 2022 | 17.142857142857 Weeks</t>
  </si>
  <si>
    <t>Understanding Research Methods
Renewable Energy Projects
Project Valuation
Introduction to Generative AI in Human Resource
Global Environmental Management
Generative AI and ESG
Exploring Renewable Energy Schemes
Renewable Energy Technology Fundamentals
Energy Conversion Technologies (Biomass and Coal)</t>
  </si>
  <si>
    <t>P25706002</t>
  </si>
  <si>
    <t>Siddhi Sureshchandra Gosavi</t>
  </si>
  <si>
    <t>gosavisiddhisuresh@gmail.com</t>
  </si>
  <si>
    <t>p25706002@student.nicmar.ac.in</t>
  </si>
  <si>
    <t>Marathi Hindi English</t>
  </si>
  <si>
    <t>4804 8803 4185</t>
  </si>
  <si>
    <t>PROFESSOR HOD POLYTECHNIC COLLEGE</t>
  </si>
  <si>
    <t>A/103, Rushabh Tower, Suncity, Vasai West, Mumbai, Pin-401202</t>
  </si>
  <si>
    <t>VIDYAVARDHINI'S COLLEGE OF ENGINEERING &amp; TECHNOLOGY</t>
  </si>
  <si>
    <t>Reliance Corporate Park | Intern | Navi Mumbai, Ghansoli | May 2026 | Jul 2026 | 8.5714285714286 Weeks | Campus Internship
EN CON Project Consultants for Architectural &amp; Structural Works | Trainee Engineer  | Mumbai, Vasai | Jun 2023 | Jul 2023 | 2.7142857142857 Weeks
KRISHNA CONCHEM PRODUCT PVT. LTD. | TRAINEE | MUMBAI, VASAI | Jun 2022 | Jul 2022 | 1.5714285714286 Weeks</t>
  </si>
  <si>
    <t>Structural Audit
Total Station
Certificate of Excellence
Dr. FIXIT
Techknowvent 2020</t>
  </si>
  <si>
    <t>P25706003</t>
  </si>
  <si>
    <t>Aditya Praveen Menon</t>
  </si>
  <si>
    <t>27adityamenon@gmail.com</t>
  </si>
  <si>
    <t>p25706003@student.nicmar.ac.in</t>
  </si>
  <si>
    <t>27-Oct-2003</t>
  </si>
  <si>
    <t>English, Hindi, Malayalam, Tamil, Telugu</t>
  </si>
  <si>
    <t>7416 9229 9414</t>
  </si>
  <si>
    <t>PRAVEEN MOHAN</t>
  </si>
  <si>
    <t>DHIVYA MANATHAZATH</t>
  </si>
  <si>
    <t>Subhasree, Kaipenchery, Aylur P/o, 678510, Palakkad Dist, Kerala</t>
  </si>
  <si>
    <t>DOHA MODERN INDIAN SCHOOL</t>
  </si>
  <si>
    <t>C.B.S.E, DOHA, QATAR</t>
  </si>
  <si>
    <t>NATIONAL INSTITUTE OF TECHNOLOGY TIRUCHIRAPPALLI</t>
  </si>
  <si>
    <t>NATIONAL INSTITUTE OF TECHNOLOGY, TIRUCHIRAPPALLI, TAMIL NADU</t>
  </si>
  <si>
    <t>ClimatEnlighten LLP  | research and curriculum development intern | Remote | May 2026 | Jul 2026 | 9.7142857142857 Weeks | Campus Internship
Al-Balagh Trading and Contracting CO.w.l.l | summer trainee | Lusail, Doha, Qatar | May 2024 | Jul 2024 | 8.7142857142857 Weeks
INDIAN OIL CORPORATION LIMITED | WINTER TRAINEE | GUWAHATI | Dec 2023 | Jan 2024 | 4.4285714285714 Weeks</t>
  </si>
  <si>
    <t>P25706004</t>
  </si>
  <si>
    <t>NIMJE</t>
  </si>
  <si>
    <t>Janhavi Nimje</t>
  </si>
  <si>
    <t>nimjan2001@gmail.com</t>
  </si>
  <si>
    <t>p25706004@student.nicmar.ac.in</t>
  </si>
  <si>
    <t>26-Sep-2001</t>
  </si>
  <si>
    <t>Oil Painting,Poetry,Trevelling</t>
  </si>
  <si>
    <t>7331 4122 6888</t>
  </si>
  <si>
    <t>SHRIKANT NIMJE</t>
  </si>
  <si>
    <t>MADHURI NIMJE</t>
  </si>
  <si>
    <t>K-MONTILLA, PURANICS, FLAT NO. 901, 9TH FLOOR, BALEWADI, PUNE</t>
  </si>
  <si>
    <t>Sai Bhoomi Apartment, Flat No. B-320, Torwa, Bilaspur, Chhattisgarh</t>
  </si>
  <si>
    <t>KENDRIYA VIDYALAYA S R RLY BILASPUR CG</t>
  </si>
  <si>
    <t>BHARATI VIDYAPEETH COLLEGE OF ARCHITECTURE</t>
  </si>
  <si>
    <t>AutoCAD,MS Office,MS Project,Primavera,Revit,Sketchup,v ray,enscape,Photoshop,SimaPro,OpenLCA,OneClickLCA, Power BI</t>
  </si>
  <si>
    <t>Urban Loci | Junior Architect | Pune | Dec 2024 | May 2025 | 0Y 5M | 2</t>
  </si>
  <si>
    <t>Agami Realty LLP | Sustainable Energy Management Intern | Mumbai | May 2026 | Jul 2026 | 7.8571428571429 Weeks | Campus Internship
Vaastavya Architects &amp; Interior Designers | Intern | Pune | Jul 2023 | Oct 2023 | 14.571428571429 Weeks</t>
  </si>
  <si>
    <t>Coursera - Renewable Energy Projects
Coursera - Generative AI and ESG
Coursera - ESG essential for Sustainable Business
IGBC AP - Associate
Professional Revit &amp; BIM Certification Program
Renewable Energy Technology Fundamentals
Project Valuation</t>
  </si>
  <si>
    <t>P25706005</t>
  </si>
  <si>
    <t>PA</t>
  </si>
  <si>
    <t>Kavya Pa</t>
  </si>
  <si>
    <t>kavyaappaiah604@gmail.com</t>
  </si>
  <si>
    <t>p25706005@student.nicmar.ac.in</t>
  </si>
  <si>
    <t>21-Mar-2002</t>
  </si>
  <si>
    <t>6587 9739 5188</t>
  </si>
  <si>
    <t>APPAIAH PK</t>
  </si>
  <si>
    <t>BEENA CB</t>
  </si>
  <si>
    <t>SRIMANGALA VILLAGE AND POST PONNAMPET TALUK KODAGU KARNATAKA</t>
  </si>
  <si>
    <t>Kodagu</t>
  </si>
  <si>
    <t>Police Quarters Meenupete Malabar Road Virajpet Kodagu</t>
  </si>
  <si>
    <t>KAVYA PA</t>
  </si>
  <si>
    <t>YUVARAJA'S COLLEGE</t>
  </si>
  <si>
    <t xml:space="preserve">Power BI ,Primavera, Surfer software, QGIS, </t>
  </si>
  <si>
    <t>Decarbonic global private limited  | Sustainability and Energy intern | Hybrid  | May 2026 | Aug 2026 | 13.142857142857 Weeks | Campus Internship</t>
  </si>
  <si>
    <t>P25706006</t>
  </si>
  <si>
    <t>MOHAMMAD</t>
  </si>
  <si>
    <t>ZAID</t>
  </si>
  <si>
    <t>Mohammad Zaid Shaikh</t>
  </si>
  <si>
    <t>zaidshaikh8928@gmail.com</t>
  </si>
  <si>
    <t>p25706006@student.nicmar.ac.in</t>
  </si>
  <si>
    <t>03-Apr-2003</t>
  </si>
  <si>
    <t>ENGLISH, HINDI , MARATHI</t>
  </si>
  <si>
    <t>6169 8638 6022</t>
  </si>
  <si>
    <t>ANIS AHMED</t>
  </si>
  <si>
    <t>INDIAN RAILWAYS</t>
  </si>
  <si>
    <t>RUKHSANA BANO</t>
  </si>
  <si>
    <t>Room No.90, 60 Feet Road Madina Nagar Dharavi Mahim East Mumbai - 400017</t>
  </si>
  <si>
    <t>IES MANIK VIDYA MANDIR</t>
  </si>
  <si>
    <t>ELECTRICAL ENGINEERING</t>
  </si>
  <si>
    <t>M.H SABOO SIDDIK POLYTECHNIC</t>
  </si>
  <si>
    <t>SAINT FRANCIS INSTITUTE OF TECHNOLOGY</t>
  </si>
  <si>
    <t>AutoCAD,MS Office,Primavera,matlab</t>
  </si>
  <si>
    <t>KRYFS POWER COMPONENTS LIMITED | Sales &amp; Business Development  | MUMBAI | Jun 2024 | Jul 2025 | 1Y 1M | 3.88</t>
  </si>
  <si>
    <t>Renewxpert Solutions LLp | Project Management Intern | Pune | May 2026 | Jul 2026 | 9.5714285714286 Weeks | Campus Internship</t>
  </si>
  <si>
    <t>P25706007</t>
  </si>
  <si>
    <t>PETA</t>
  </si>
  <si>
    <t>Satish Reddy Peta</t>
  </si>
  <si>
    <t>satish.14012000@gmail.com</t>
  </si>
  <si>
    <t>p25706007@student.nicmar.ac.in</t>
  </si>
  <si>
    <t>14-Jan-2000</t>
  </si>
  <si>
    <t>6605 7263 8821</t>
  </si>
  <si>
    <t>PETA PURUSHOTHAM REDDY</t>
  </si>
  <si>
    <t>SR. LIAISON</t>
  </si>
  <si>
    <t>PETA ESWARI</t>
  </si>
  <si>
    <t>7-52/27, Aravinda Enclave, Bolligudem, Chengicherla, Hyderabad.</t>
  </si>
  <si>
    <t>KAMALA MEMORIAL HIGH SCHOOL</t>
  </si>
  <si>
    <t>BOARD OF SECONDARY EDUCATION, TELANGANA STATE, INDIA.</t>
  </si>
  <si>
    <t>VIGNANA BHARATHI INSTITUTE OF TECHNOLOGY HYDERABAD</t>
  </si>
  <si>
    <t>AutoCAD,MS Office,Creo Parametric,SharePoint,SolidWorks</t>
  </si>
  <si>
    <t>Rainbow Engineering &amp; Manufacturing | Mechanical Design Engineer | Hyderabad | Sep 2023 | Feb 2025 | 1Y 5M | 3.6</t>
  </si>
  <si>
    <t>ClimatEnlighten LLP | Research and curriculum development intern | Remote | May 2026 | Jul 2026 | 9.7142857142857 Weeks | Campus Internship</t>
  </si>
  <si>
    <t>P25706008</t>
  </si>
  <si>
    <t>ARANGA</t>
  </si>
  <si>
    <t>SUBRAMANIAM S</t>
  </si>
  <si>
    <t>Aranga Subramaniam S</t>
  </si>
  <si>
    <t>arangasubramaniam@gmail.com</t>
  </si>
  <si>
    <t>p25706008@student.nicmar.ac.in</t>
  </si>
  <si>
    <t>9480 9558 1867</t>
  </si>
  <si>
    <t>LIMGAMMAL</t>
  </si>
  <si>
    <t>7/310, Sengulam Street, Veerasigamani, Sankarankovil</t>
  </si>
  <si>
    <t>Tenkasi</t>
  </si>
  <si>
    <t>A.V.K INTERNATIONAL RESIDENTIAL SCHOOL</t>
  </si>
  <si>
    <t>VEL'S PUBLIC SCHOOL</t>
  </si>
  <si>
    <t>B. S. ABDUR RAHMAN CRESCENT INSTITUTE OF SCIENCE AND TECHNOLOGY</t>
  </si>
  <si>
    <t>B. S. ABDUR RAHMAN CRESCENT INSTITUTE OF SCIENCE AND TECHNOLOGY,VANDALUR,CHENNAI</t>
  </si>
  <si>
    <t>RenewXpert Solutions Llp | Business Development Trainee | Pune | May 2026 | Jul 2026 | 8.7142857142857 Weeks | Campus Internship</t>
  </si>
  <si>
    <t>P25706009</t>
  </si>
  <si>
    <t>GHATOL</t>
  </si>
  <si>
    <t>Vijaya Subhash Ghatol</t>
  </si>
  <si>
    <t>vijayasghatol@gmail.com</t>
  </si>
  <si>
    <t>p25706009@student.nicmar.ac.in</t>
  </si>
  <si>
    <t>Minimalist Living,Zero-waste Lifestyle,Video Editing,Photography,Classical dance (Bharatnatyam),Sketching,Rangoli,Mehndi,Cooking,Baking</t>
  </si>
  <si>
    <t>3241 1299 9899</t>
  </si>
  <si>
    <t>SUBHASH VISHNU GHATOL</t>
  </si>
  <si>
    <t>ADDITIONAL EXECUTIVE ENGINEER AT MSEDCL (ELECTRICAL ENGINEER)</t>
  </si>
  <si>
    <t>ARADHANA SUBHASH GHATOL</t>
  </si>
  <si>
    <t>TRADER, CONTENT CREATOR AND HOMEMAKER</t>
  </si>
  <si>
    <t>204, 1A-C, SHUBHASHRI RESIDENCY PHASE 3, GANGANAGAR, AKURDI, PIMPRI-CHINCHWAD</t>
  </si>
  <si>
    <t>Sai Leela Heritage, Flat No. 201, Near Chandrabhaga Corner, Ravet</t>
  </si>
  <si>
    <t>CHHATRAPATI SHAHU ACADEMY, SATARA</t>
  </si>
  <si>
    <t>MSBSHSE,PUNE</t>
  </si>
  <si>
    <t>LOKNETE SUBRAO KADAM JR. COLLEGE OF ARTS, COMMERCE AND SCIENCE,Â SATARA</t>
  </si>
  <si>
    <t>AFFILIATED TO SAVITRIBAI PHULE PUNE UNIVERSITY (SPPU)</t>
  </si>
  <si>
    <t>PIMPRI CHINCHWAD COLLEGE OF ENGINEERING, PUNE, MAHARASHTRA</t>
  </si>
  <si>
    <t>AutoCAD,MS Office,MS Project,Primavera,WaterGEMS,ArcGIS,SimaPro,OpenLCA</t>
  </si>
  <si>
    <t>RenewXpert Solutions LLP | Sustainable Energy Management Intern | Pune | May 2026 | Jul 2026 | 9.5714285714286 Weeks | Campus Internship
KSHIRSAGAR ENTERPRISES PVT. LTD. | RESEARCH SCHOLAR | KSHIRSAGAR ENTERPRISES PVT. LTD. AT POST KALAMB, TAL- AMBEGAON, DIST.- PUNE (410515) | Jun 2024 | Aug 2024 | 12 Weeks</t>
  </si>
  <si>
    <t>Principles of Construction Management- 65/100
Integrated Waste Management for a Smart City- 71/100
Sustainable Engineering Concepts and Life Cycle Analysis- 86/100
Building Materials as a Cornerstone to Sustainability- 94/100
Energy Conversion Technologies (Biomass and Coal)- 66/100
Engineering Aspects of Biofuels and Biomass Conversion Technologies- 90/100</t>
  </si>
  <si>
    <t>P25706010</t>
  </si>
  <si>
    <t>SREEDHARAN</t>
  </si>
  <si>
    <t>Sheetal Sreedharan</t>
  </si>
  <si>
    <t>ssreen2204@gmail.com</t>
  </si>
  <si>
    <t>p25706010@student.nicmar.ac.in</t>
  </si>
  <si>
    <t>22-Oct-2004</t>
  </si>
  <si>
    <t>English, Hindi, Marathi, Tamil</t>
  </si>
  <si>
    <t>Bharatnatyam,Carnatic vocals,Iyengar Yoga</t>
  </si>
  <si>
    <t>9090 7954 4786</t>
  </si>
  <si>
    <t>N. SREEDHARAN</t>
  </si>
  <si>
    <t>CHITRA SREEDHARAN</t>
  </si>
  <si>
    <t>RETIRED PROFESSOR</t>
  </si>
  <si>
    <t>Flat No 9, Comficentra, 40-A/2, Bhau-Patil Road, Bopodi, Pune.</t>
  </si>
  <si>
    <t>D.A.V PUBLIC SCHOOL, AUNDH, PUNE</t>
  </si>
  <si>
    <t>CBSE BOARD, CITY: PUNE</t>
  </si>
  <si>
    <t>LOYOLA HIGH SCHOOL AND JUNIOR COLLEGE, PASHAN, PUNE</t>
  </si>
  <si>
    <t>HSC BOARD IN PUNE</t>
  </si>
  <si>
    <t>MS Office,Python (Beginner level)</t>
  </si>
  <si>
    <t>Conservit Power Solutions  | Business development  | Pune | May 2026 | Jul 2026 | 8.7142857142857 Weeks | Campus Internship</t>
  </si>
  <si>
    <t>P25706011</t>
  </si>
  <si>
    <t>KADU</t>
  </si>
  <si>
    <t>Sakshi Atul Kadu</t>
  </si>
  <si>
    <t>sakshi10kadu@gmail.com</t>
  </si>
  <si>
    <t>p25706011@student.nicmar.ac.in</t>
  </si>
  <si>
    <t>9407 6977 6553</t>
  </si>
  <si>
    <t>ATUL SARDAR KADU</t>
  </si>
  <si>
    <t>SAVITA ATUL KADU</t>
  </si>
  <si>
    <t>Sakshi Villa, Datta Prasad, Housing Society, Lane No.2, Survey No.47/3, Ganesh Nagar, Wadgaonsheri, Pune- 411014</t>
  </si>
  <si>
    <t>PRODIGY PUBLIC SCHOOL, WAGHOLI</t>
  </si>
  <si>
    <t>CBSE, PUNE MAHARASHTRA</t>
  </si>
  <si>
    <t>NOWROSJEE WADIA COLLEGE, PUNE</t>
  </si>
  <si>
    <t>HSC, PUNE MAHARASHTRA</t>
  </si>
  <si>
    <t>MIT ART, DESIGN AND TECHNOLOGY UNIVERSITY,PUNE</t>
  </si>
  <si>
    <t>MIT ART, DESIGN AND TECHNOLOGY UNIVERSITY, PUNE, MAHARASHTRA</t>
  </si>
  <si>
    <t xml:space="preserve">AutoCAD, MS Office, Primavera, Adobe Photoshop, Adobe Illustrator, Adobe InDesign, One Click LCA, Sima Pro, Power BI </t>
  </si>
  <si>
    <t>Sustain And Save Pvt Ltd. | Green Building Analyst Intern | Pune | May 2026 | Jul 2026 | 8.7142857142857 Weeks | Campus Internship
Shree Bramha Architects | Architectural Intern | Wagholi,Pune  | Jan 2024 | Jun 2024 | 21.428571428571 Weeks</t>
  </si>
  <si>
    <t>GHG Accounting &amp; Carbon Accounting
Sustainable Engineering Concepts and Life Cycle Analysis
Product Engineering and Design Thinking</t>
  </si>
  <si>
    <t>P25706012</t>
  </si>
  <si>
    <t>PATHAK</t>
  </si>
  <si>
    <t>Harsh Pathak</t>
  </si>
  <si>
    <t>harshxpathak@gmail.com</t>
  </si>
  <si>
    <t>p25706012@student.nicmar.ac.in</t>
  </si>
  <si>
    <t>08-May-2003</t>
  </si>
  <si>
    <t>Music,Photography</t>
  </si>
  <si>
    <t>3616 8512 2270</t>
  </si>
  <si>
    <t>VIVEK PATHAK</t>
  </si>
  <si>
    <t>RASHMI PATHAK</t>
  </si>
  <si>
    <t>FLAT G 3,Ground Floor,Malhar Sankul,Baapgaon,Bhiwandi</t>
  </si>
  <si>
    <t>DON BOSCO HIGH SCHOOL</t>
  </si>
  <si>
    <t>K.M AGRAWAL COLLEGE</t>
  </si>
  <si>
    <t>FERGUSSON COLLEGE (AUTONOMOUS),PUNE</t>
  </si>
  <si>
    <t>Govardhan Eco Village | Energy Efficiency Intern | Govardhan Eco Village, Galtare, P.O. Hamrapur, Wada (Taluka), Palghar (District) - 421 303, Maharashtra, India  | May 2026 | Jul 2026 | 9.7142857142857 Weeks | Campus Internship</t>
  </si>
  <si>
    <t>P25706013</t>
  </si>
  <si>
    <t>Laxmikant Yeshwant Deshmukh</t>
  </si>
  <si>
    <t>lddeshmukh802@gmail.com</t>
  </si>
  <si>
    <t>p25706013@student.nicmar.ac.in</t>
  </si>
  <si>
    <t>9377 1595 6286</t>
  </si>
  <si>
    <t>YESHWANTRAO BHAGWANTRAO DESHMUKH</t>
  </si>
  <si>
    <t>JYOTI YESHWANTRAO DESHMUKH</t>
  </si>
  <si>
    <t>65, Panchmukhi Hanuman Mandir Ganesh Nagar Nanded</t>
  </si>
  <si>
    <t>NAGARJUNA PUBLIC SCHOOL NANDED</t>
  </si>
  <si>
    <t>SHRI CHATRAPATI SHIVAJI UCHCH MADHYAMIK VIDYALAYA ADAS</t>
  </si>
  <si>
    <t>MAHARASHTRA STATE BOARD OF SECONDARY &amp;HIGHER SECONDARY EDUCATION PUNE</t>
  </si>
  <si>
    <t>DR. BABASAHEB AMEBEDKAR TECHNOLOGICAL UNIVERSITY</t>
  </si>
  <si>
    <t xml:space="preserve">AutoCAD, MS Office ( Estimate) , primavera , Microsoft Power BI , LCA , </t>
  </si>
  <si>
    <t>Swiss Newater  | Sustainability intern  |  Pimpri-Chinchwad, Maharashtra | May 2026 | Jul 2026 | 8.7142857142857 Weeks | Campus Internship
BALAJI DEVELOPER &amp; VASTU RACHANA ASSOCIATES | CIVIL ENGINEER  | PIMPRI CHINCHWAD | Apr 2025 | Jun 2025 | 12.857142857143 Weeks</t>
  </si>
  <si>
    <t>NPTEL ONLINE CERTIFICATION</t>
  </si>
  <si>
    <t>P25706014</t>
  </si>
  <si>
    <t>IQRA</t>
  </si>
  <si>
    <t>TAYABA</t>
  </si>
  <si>
    <t>Iqra Tayaba Shaik</t>
  </si>
  <si>
    <t>iqratayaba.shaik@gmail.com</t>
  </si>
  <si>
    <t>p25706014@student.nicmar.ac.in</t>
  </si>
  <si>
    <t>06-Dec-2001</t>
  </si>
  <si>
    <t>English,Hindi,Telugu</t>
  </si>
  <si>
    <t>2229 2252 2984</t>
  </si>
  <si>
    <t>SHAIK SHAMEER BASHA</t>
  </si>
  <si>
    <t>STRUCTURAL ENGINEER</t>
  </si>
  <si>
    <t>SHAIK TASNEEM BANU</t>
  </si>
  <si>
    <t>BLOCK B1,FLAT NO.615, SVS PATELS CALLISTO APARTMENTS, AMRUTAHALLI</t>
  </si>
  <si>
    <t>6-3-176,flat No.102,Shiri Avenue Apartments, Ram Nagar</t>
  </si>
  <si>
    <t>AKSHARA INTERNATIONAL SCHOOL</t>
  </si>
  <si>
    <t>ANANTAPUR, ANDHRA PRADESH</t>
  </si>
  <si>
    <t>PINEGROVE JUNIOR COLLEGE</t>
  </si>
  <si>
    <t>HYDERABAD,TELANGANA</t>
  </si>
  <si>
    <t>BM SREENIVASAIAH SCHOOL OF ARCHITECTURE, BANGALORE, KARNATAKA</t>
  </si>
  <si>
    <t>AutoCAD,MS Office,Primavera,Sketchup,Revit,Adobe Photoshop,Enscape</t>
  </si>
  <si>
    <t>Neev Green Building Consultancy | Green Building Analyst | Pune | May 2026 | Jul 2026 | 8.7142857142857 Weeks | Campus Internship</t>
  </si>
  <si>
    <t>9th Zero Energy Mass Custom Home</t>
  </si>
  <si>
    <t>P25706015</t>
  </si>
  <si>
    <t>PRITAL</t>
  </si>
  <si>
    <t>Kamble Prital Vijay</t>
  </si>
  <si>
    <t>pritalvijaykamble20@gmail.com</t>
  </si>
  <si>
    <t>p25706015@student.nicmar.ac.in</t>
  </si>
  <si>
    <t>01-Dec-1998</t>
  </si>
  <si>
    <t>9077 0751 0612</t>
  </si>
  <si>
    <t>VIJAY KAMBLE</t>
  </si>
  <si>
    <t>GANGA</t>
  </si>
  <si>
    <t>WARD NO-2, KANHAPUR, PO-SUKALI STATION, DIS- WARDHA</t>
  </si>
  <si>
    <t>MATOSHREE RAMABAI MADHAMIK VIDYALAYA, SINDHI (MEGHE), WARDHA</t>
  </si>
  <si>
    <t>D.C JUNIOR COLLAGE , SELOO</t>
  </si>
  <si>
    <t>RTMNU</t>
  </si>
  <si>
    <t>B.D. COLLAGE OF ENGINEERING SEWAGRAM, WARDHA</t>
  </si>
  <si>
    <t>AutoCAD, MS Office, MS Project, Primavera, Sketch UP, MS-CIT</t>
  </si>
  <si>
    <t>Ecoboard Industries Limited | Project Management  | Pune | May 2026 | Jun 2026 | 8 Weeks | Campus Internship
M/S D.V. PATEL AND CO. ENGINEERS &amp; CONTRACTORS | SITE ENGINEER | WARDHA | May 2019 | Jun 2019 | 4.4285714285714 Weeks
R &amp; R ASSOCIATES ARCHITECTURE + CONSTRUCTION | SITE ENGINEER | WARDHA | Jan 2024 | Aug 2024 | 34.571428571429 Weeks
SPD INFRA CONSULTANTS PRIVATE LIMITED | CIVIL ENGINEER | NAGPUR | Oct 2022 | Dec 2023 | 61.857142857143 Weeks</t>
  </si>
  <si>
    <t>Occupational safety and Dignity of sanitation workers and dry waste man
MS-CIT
AUTO CAD
Energy Conversion Technolgies (Biomass and Coal)</t>
  </si>
  <si>
    <t>P25706016</t>
  </si>
  <si>
    <t>ANU</t>
  </si>
  <si>
    <t>DEEPTHI</t>
  </si>
  <si>
    <t>Anu Deepthi</t>
  </si>
  <si>
    <t>anudeepthiavk@gmail.com</t>
  </si>
  <si>
    <t>p25706016@student.nicmar.ac.in</t>
  </si>
  <si>
    <t>6434 4163 7345</t>
  </si>
  <si>
    <t>SHASHIDHARA K M</t>
  </si>
  <si>
    <t>SHAMITHA</t>
  </si>
  <si>
    <t>#12,sreerampura 2nd Stage, Kandayanagara, Mysore- 570023</t>
  </si>
  <si>
    <t>ACHARYA VIDYA KULA</t>
  </si>
  <si>
    <t>INDIAN CERTIFICATE OF SECONDARY EDUCATION(ICSE)</t>
  </si>
  <si>
    <t>CHAITRA PU COLLEGE</t>
  </si>
  <si>
    <t>KARNATAKA SCHOOL EXAMINATION AND ASSESSMENT BOARD(KSEAB)</t>
  </si>
  <si>
    <t>SRI JAYACHAMARAJENDRA COLLEGE OF ENGINEERING</t>
  </si>
  <si>
    <t>MS Office,Primavera,Simapro,Python,GaBi</t>
  </si>
  <si>
    <t>Renewxpert Solutions Llp | Business Development  | Pune | May 2026 | Jul 2026 | 8.7142857142857 Weeks | Campus Internship
CIPLA | EHS intern | Bangalore | Aug 2024 | Sep 2024 | 4.4285714285714 Weeks
SABIC | LCA- Sustainability intern | Bangalore | Jan 2025 | Jul 2025 | 25.857142857143 Weeks</t>
  </si>
  <si>
    <t>P25706017</t>
  </si>
  <si>
    <t>ADHIP</t>
  </si>
  <si>
    <t>RAVIKRISHNAN</t>
  </si>
  <si>
    <t>Adhip Ravikrishnan</t>
  </si>
  <si>
    <t>adhip.ravikrishnan@gmail.com</t>
  </si>
  <si>
    <t>p25706017@student.nicmar.ac.in</t>
  </si>
  <si>
    <t>English, Hindi, Malayalam, Spanish</t>
  </si>
  <si>
    <t>8020 0017 2492</t>
  </si>
  <si>
    <t>DILEEP M KRISHNAN</t>
  </si>
  <si>
    <t>DIVYA R</t>
  </si>
  <si>
    <t>Haven On Hills, Thiruvallom P.O, Thiruvananthapuram</t>
  </si>
  <si>
    <t>CHRIST NAGAR SENIOR SECONDARY SCHOOL</t>
  </si>
  <si>
    <t>CBSE, TRIVANDRUM, KERALA</t>
  </si>
  <si>
    <t>CHRIST NAGAR ENGLISH HIGHER SECONDARY SCHOOL</t>
  </si>
  <si>
    <t>HSE KERALA, KOWDIAR, KERALA</t>
  </si>
  <si>
    <t>MAR BASELIOS COLLEGE OF ENGINEERING AND TECHNOLOGY, NALANCHIRA, KERALA</t>
  </si>
  <si>
    <t>AutoCAD,Primavera</t>
  </si>
  <si>
    <t>K Raheja Corp Real Estate Private Ltd. | ESG Intern | Bandra-Kurla Complex, Navi Mumbai, Maharashtra | May 2026 | Jun 2026 | 7.8571428571429 Weeks | Campus Internship
Chalet Hotels Ltd. | Intern | Westin Mumbai Powai Lake, Saki Vihar Road, Maharashtra, India | Apr 2023 | Apr 2023 | 1.5714285714286 Weeks
AHAM BUILDERS, CONSULTANTS, DEVELOPERS | INTERN | MANGALORE, KAZHAKUTTOM, MANACAUD | Oct 2023 | Oct 2023 | 1.1428571428571 Weeks</t>
  </si>
  <si>
    <t>P25706018</t>
  </si>
  <si>
    <t>Utkarsha Rajesh Bhosale</t>
  </si>
  <si>
    <t>utkarshabhosale00815@gmail.com</t>
  </si>
  <si>
    <t>p25706018@student.nicmar.ac.in</t>
  </si>
  <si>
    <t>05-Apr-2003</t>
  </si>
  <si>
    <t>Playing badminton,Explore heritage structure</t>
  </si>
  <si>
    <t>3971 5999 0212</t>
  </si>
  <si>
    <t>RAJESH BHOSALE</t>
  </si>
  <si>
    <t>RAILWAY T.E</t>
  </si>
  <si>
    <t>SARALA BHOSALE</t>
  </si>
  <si>
    <t>Khadka Road Chindhu Nemade Colony</t>
  </si>
  <si>
    <t>K.NARKHEDE VIDYALAYA</t>
  </si>
  <si>
    <t>MAHARASHTRA STATE BOARD OF SECONDARY AND HIGHER SECONDARY EDUCATION, NASHIK DIVISIONAL BOARD</t>
  </si>
  <si>
    <t>SINHGAD COLLEGE OF ARCHITECTURE VADGAON, PUNE.</t>
  </si>
  <si>
    <t>AutoCAD,MS Office,Primavera,Sketchup,photoshop,lumion,enscape,SIMA pro,Open LCA,One click LCA</t>
  </si>
  <si>
    <t>AIRBORNE INDUSTRIES LLP | ARCHITECT INTERN | PUNE | Jun 2024 | Nov 2024 | 21.571428571429 Weeks</t>
  </si>
  <si>
    <t>Awareness programme on energy conservation and ECSBC
IGBC-AP certificate
Exploring renewable energy scheme
Generative AI and ESG
Understanding research methods
Project valuation and the capital budgeting process
Renewable energy technology fundamental
Renewable power and electricity system
Renewable energy project
Introduction to generative AI in human resources
ESG essential for sustainable business
Global environmental management</t>
  </si>
  <si>
    <t>P25706019</t>
  </si>
  <si>
    <t>Abhijith S</t>
  </si>
  <si>
    <t>abhijith7737e@gmail.com</t>
  </si>
  <si>
    <t>p25706019@student.nicmar.ac.in</t>
  </si>
  <si>
    <t>ENGLISH,HINDI,MALAYALAM,TAMIL,KANNADA</t>
  </si>
  <si>
    <t>7242 6454 8057</t>
  </si>
  <si>
    <t>SASIDHARAN NAIR</t>
  </si>
  <si>
    <t>AGRI</t>
  </si>
  <si>
    <t>GEETHA P</t>
  </si>
  <si>
    <t>SREEVALSAM PULIMEL PATTOOR PO NOORANAD</t>
  </si>
  <si>
    <t>SREE BUDDHA CENTRAL SCHOOL PATTOOR</t>
  </si>
  <si>
    <t>HIGHER SECONDARY SCHOOL NOORANAD PADANILAM</t>
  </si>
  <si>
    <t>BOARD OF HIGHER SECONDARY EXAMINATION THIRUVANANTHAPURAM</t>
  </si>
  <si>
    <t>APJ ABDUL KALAM TECHNOLOGICAL UNIVERSITY THIRUVANANTHAPURAM KERALA</t>
  </si>
  <si>
    <t>MUSALIAR COLLEGE OF ENGINEERING AND TECHNOLOGY PATHANAMTHITTA</t>
  </si>
  <si>
    <t>MS Office,EXCEL,PYTHON,DATA ANALYTICS</t>
  </si>
  <si>
    <t>Office of Kodikkunnil Suresh MP (LOKSABHA)  | Project Review Committee  |  Keralam | May 2026 | Jul 2026 | 8.1428571428571 Weeks | Campus Internship
TRAINITY | DATA ANALYTICS | . | Jul 2023 | Sep 2023 | 8 Weeks
MATRIX ARCHITECTS AND INTERIORS | PROJECT COORDINATOR | ERNAKULAM | Sep 2021 | Sep 2022 | 53.571428571429 Weeks
ALMANAC NUTRITION PRIVATE LIMITED | BUSINESS DEVELOPMENT  | BENGALURU  | Jan 2024 | Jan 2025 | 54.285714285714 Weeks</t>
  </si>
  <si>
    <t>P25706020</t>
  </si>
  <si>
    <t>MOHAMMED ADNAN</t>
  </si>
  <si>
    <t>MOHAMMED ASLAM</t>
  </si>
  <si>
    <t>Mohammed Adnan Mohammed Aslam Shaikh</t>
  </si>
  <si>
    <t>adnanshaikh7796@gmail.com</t>
  </si>
  <si>
    <t>p25706020@student.nicmar.ac.in</t>
  </si>
  <si>
    <t>3066 6927 5066</t>
  </si>
  <si>
    <t>MOHAMMED ASLAM SHAIKH</t>
  </si>
  <si>
    <t>LABOR CONTRACTOR</t>
  </si>
  <si>
    <t>RASHIDA ASLAM SHAIKH</t>
  </si>
  <si>
    <t>Flat No. 202 Building No. 5, Moti Baug CHS. Ltd. Almas Colony Road, Near Shamim Apt. Mumbra, Thane.</t>
  </si>
  <si>
    <t>M. H. SABOO SIDDIK POLYTECHNIC</t>
  </si>
  <si>
    <t>ST. FRANCIS INSTITUTE OF TECHNOLOGY, MUMBAI</t>
  </si>
  <si>
    <t>AutoCAD,MS Office,MS Project,Primavera,Navis,MATLAB Simulink</t>
  </si>
  <si>
    <t>Listenlights | Associate Project Controls Engineer | Mumbai | Jun 2024 | Jul 2025 | 1Y 1M | 6.1</t>
  </si>
  <si>
    <t>BECIS | Intern - Construction &amp; Project Management  | Pune  | May 2026 | Jul 2026 | 9.5714285714286 Weeks | Campus Internship
DISCOVER TECHNOLOGIES | INTERN | ONLINE | May 2020 | Jun 2020 | 6.1428571428571 Weeks
Central Railway | Intern | Mumbai | Jun 2023 | Jun 2023 | 2.1428571428571 Weeks
BEST | Intern | Mumbai | Dec 2022 | Jan 2023 | 4.2857142857143 Weeks</t>
  </si>
  <si>
    <t>P25706021</t>
  </si>
  <si>
    <t>KHODKE</t>
  </si>
  <si>
    <t>BRAHMA</t>
  </si>
  <si>
    <t>SARANG</t>
  </si>
  <si>
    <t>Khodke Brahma Sarang</t>
  </si>
  <si>
    <t>linkmebrahma@gmail.com</t>
  </si>
  <si>
    <t>p25706021@student.nicmar.ac.in</t>
  </si>
  <si>
    <t>5499 6525 3495</t>
  </si>
  <si>
    <t>SARANG KHODKE</t>
  </si>
  <si>
    <t>SARLA KHODKE</t>
  </si>
  <si>
    <t>Flat No 302 3rd  Floor, Ashirwad Solar ASK &amp; COMPANY, Silver Park Apartment, Shivanjali Ln No. 2, Dattanagar, Chowk, Katraj, Pune, Maharashtra 411046</t>
  </si>
  <si>
    <t>JAGRUTHI VIDYALAYA, AKOLA, MAHARASHTRA</t>
  </si>
  <si>
    <t>RASHTRASANT TUKADOJI MAHARAJ NAGPUR UNIVERSITY, MAHARASHTRA</t>
  </si>
  <si>
    <t>G H RAISONI COLLAGE OF ENGINEERING AND MANAGEMENT, NAGPUR, MAHARASHTRA</t>
  </si>
  <si>
    <t>AutoCAD,MS Office,MS Project,Primavera,Power BI,SimaPro,One Click LCA</t>
  </si>
  <si>
    <t>Snil Contractors | Junior Engineer | Pune | Nov 2024 | Jul 2025 | 0Y 7M | 1.56</t>
  </si>
  <si>
    <t>Salemax Plus Techno Pvt. Ltd. | Real Estate Advisory Intern | Pune | May 2026 | Jul 2026 | 8.7142857142857 Weeks | Campus Internship
Zilla Parishad, Nagpur | Intern | Nagpur | Jun 2023 | Jul 2023 | 4.2857142857143 Weeks
Maharashtra Jeevan Pradhikaran Sub Division Murtizapur | Intern | Murtizapur | Feb 2022 | Feb 2022 | 2.8571428571429 Weeks
A ONE GROUP, Shivajinagar, Pune | Intern | Pune | Dec 2023 | May 2024 | 21.571428571429 Weeks</t>
  </si>
  <si>
    <t>GCC-TBC English 30wpm
One day awareness Programme on Energy Conservation and ECSBC
McKinsey.org Forward Program
(NPTEL) Building Materials as a Cornerstone to Sustainability
Workshop on GHG Accounting &amp; Carbon Accounting</t>
  </si>
  <si>
    <t>P25706022</t>
  </si>
  <si>
    <t>AASTHA</t>
  </si>
  <si>
    <t>Aastha Atul Shinde</t>
  </si>
  <si>
    <t>aasthashinde08@gmail.com</t>
  </si>
  <si>
    <t>p25706022@student.nicmar.ac.in</t>
  </si>
  <si>
    <t>2873 8238 4479</t>
  </si>
  <si>
    <t>ATUL ANANDA SHINDE</t>
  </si>
  <si>
    <t>VRUSHALI ATUL SHINDE</t>
  </si>
  <si>
    <t>FLAT NO.24 WING A SNEHAL PARK SHASTRI NAGAR KOHAPUR MAHARASHTRA</t>
  </si>
  <si>
    <t>SEVENTH DAY ADVENTIST HIGHER SECONDARY SCHOOL</t>
  </si>
  <si>
    <t>INDIAN CERTIFICATE OF SECONDARY EDUCATION (KOLHAPUR)</t>
  </si>
  <si>
    <t>SHAHU DAYANAND HIGH SCHOOL</t>
  </si>
  <si>
    <t>THE MAHARASHTRA STATE BOARD SECONDARY AND HIGHER SECONDARY EDUCATION (KOLHAPUR)</t>
  </si>
  <si>
    <t>KOLHAPUR INSTITUTE OF TECHNOLOGY'S COLLEGE OF ENGINEERING</t>
  </si>
  <si>
    <t>SURAJ ESTATE DEVELOPERS | INTERN | KOLHAPUR, MAHARASHTRA | Jan 2025 | Jun 2025 | 21.571428571429 Weeks</t>
  </si>
  <si>
    <t>REVIT
AUTO CAD</t>
  </si>
  <si>
    <t>P25706023</t>
  </si>
  <si>
    <t>AUM</t>
  </si>
  <si>
    <t>ROKADE</t>
  </si>
  <si>
    <t>Aum Rokade</t>
  </si>
  <si>
    <t>aum.rokade@gmaill.com</t>
  </si>
  <si>
    <t>p25706023@student.nicmar.ac.in</t>
  </si>
  <si>
    <t>7633 6529 5051</t>
  </si>
  <si>
    <t>VINOD ROKADE</t>
  </si>
  <si>
    <t>SUNITA KHADASE</t>
  </si>
  <si>
    <t>CAO, HEALTH DEPARTMENT, AKOLA</t>
  </si>
  <si>
    <t>C/O Sunita Khadse, Flat No. A 04, Plot No-36, Shree Bhagirathi Residency, Shahnoorwadi, Aurangabad, Maharashtra.</t>
  </si>
  <si>
    <t>PODAR INTERNATIONAL SCHOOL (CBSE)</t>
  </si>
  <si>
    <t>AURANGABAD, MAHARASHTRA, INDIA</t>
  </si>
  <si>
    <t>VASANTRAO NAIK MAHAVIDYALAYA</t>
  </si>
  <si>
    <t>DR. BABASAHEB AMBEDKAR TECHNOLOGICAL UNIVERSITY.</t>
  </si>
  <si>
    <t>DEOGIRI INSTITUTE OF ENGINEERING AND MANAGEMENT STUDIES</t>
  </si>
  <si>
    <t>Govardhan Eco-Village | Sustainability Intern | Govardhan Eco-Village, Palghar, Mumbai. | May 2026 | Jul 2026 | 9.7142857142857 Weeks | Campus Internship
S.B.S. &amp; ASSOCIATES | INTERN | AURANGABAD  | Mar 2023 | Jun 2023 | 13.714285714286 Weeks</t>
  </si>
  <si>
    <t>P25706024</t>
  </si>
  <si>
    <t>RAWLE</t>
  </si>
  <si>
    <t>Himanshu Rajendra Rawle</t>
  </si>
  <si>
    <t>himanshurawle@gmail.com</t>
  </si>
  <si>
    <t>p25706024@student.nicmar.ac.in</t>
  </si>
  <si>
    <t>03-Jan-1999</t>
  </si>
  <si>
    <t>Jump Rope,Speed Cubing</t>
  </si>
  <si>
    <t>8928 9031 8764</t>
  </si>
  <si>
    <t>House No.3571, Misal Layout, Behind Old Shiv Temple, Jaripatka, Nagpur_x000D_
Anusaya Niwas</t>
  </si>
  <si>
    <t>BHAVAN'S BHAGWANDAS PUROHIT VIDYA MANDIR CIVIL LINES , NAGPUR</t>
  </si>
  <si>
    <t>CENTRAL BOARD OF SECONDARY EDUCATION , NAGPUR , MAHARASHTRA</t>
  </si>
  <si>
    <t>CENTRE POINT SCHOOL KATOL ROAD , NAGPUR</t>
  </si>
  <si>
    <t>SIR J.J. COLLEGE OF ARCHITECTURE , MUMBAI , MAHARASHTRA</t>
  </si>
  <si>
    <t>AutoCAD,MS Office,MS Project,Primavera,Revit,Naviswork,Photoshop,Lumion,Notion,Sketchup,Twinmotion,Premier Pro,Indesign,Canva</t>
  </si>
  <si>
    <t>Navy Blue Energy Labs PVT. LTD. | Business Development Executive | Pune | May 2026 | Jul 2026 | 8.7142857142857 Weeks | Campus Internship
HABITROO ARCH SPACE PVT LTD | JUNIOR ARCHITECT AND MANAGEMENT INTERN | PUNE | May 2025 | Jul 2025 | 8.7142857142857 Weeks
SPACE DESIGN ARCHITECTS PLANNER AND INTERIOR DESIGNER | JUNIOR ARCHITECT INTERN | NAVI MUMBAI | Jan 2021 | May 2021 | 16.714285714286 Weeks
EnviroLAB Consulting, | ESD Analyst Intern | Remote | Jun 2026 | Aug 2026 | 8.7142857142857 Weeks</t>
  </si>
  <si>
    <t>Exploring Renewable Energy Schemes
Generative AI and ESG
Global Environment Management
Introduction to Generative AI in Human Resource
Master Microsoft Excel Apply, Analyze &amp; Visualize
Renewable Energy Technology Management
ESG Essentials for Sustainable Business
Google Ads for Beginners Coursera Project Network
Foundations of User Experience (UX) Design Google
Autodesk Revit Certified Professional Certification|Autodesk
Autodesk Naviswork|Autodesk
Successful Negotiation: Essential Strategies and Skills|Coursera|University of Michigan
Sales Representative Certification Program|Reliance Foundation|National Skill Development Corporation
BIM Professional Course for Architects and Engineers|Novatr|National Skill Development Corporation</t>
  </si>
  <si>
    <t>P25706025</t>
  </si>
  <si>
    <t>ROHINI</t>
  </si>
  <si>
    <t>WAGHMODE</t>
  </si>
  <si>
    <t>Rohini Tanaji Waghmode</t>
  </si>
  <si>
    <t>rohiniwaghmode13@gmail.com</t>
  </si>
  <si>
    <t>p25706025@student.nicmar.ac.in</t>
  </si>
  <si>
    <t>Marathi , English , Hindi</t>
  </si>
  <si>
    <t>Sports,trekking,traveling,photography,documentation,and organizing team events.</t>
  </si>
  <si>
    <t>5214 2683 1832</t>
  </si>
  <si>
    <t>NEAR WESTEND MALL , AUNDH</t>
  </si>
  <si>
    <t>At Post Tisangi , Taluka - Pandharpur , Dist - Solapur 413304</t>
  </si>
  <si>
    <t>SINHGAD PUBLIC SCHOOL</t>
  </si>
  <si>
    <t>CBSE , PANDHARPUR , MAHARASHTRA</t>
  </si>
  <si>
    <t>ANNASAHEB PATILVA UCCHA VIDYALAY TISANGI , PANDHARPUR , MAHARASHTRA</t>
  </si>
  <si>
    <t>MAHARASHTRA STATE BOARD OF SECONDARY &amp; HIGHER SECONDARY EDUCATION, PANDHARPUR, MAHARASHTRA</t>
  </si>
  <si>
    <t>DR BHANUBEN NANAVATI COLLEGE OF ARCHITECTURE FOR WOMEN</t>
  </si>
  <si>
    <t>AutoCAD,MS Office,MS Project,Primavera,Sketch up,Lumion,enscape,climate consultant,ecotect analysis,canva</t>
  </si>
  <si>
    <t>Meraki Architecture | Junior Architect | Pune | Feb 2025 | Aug 2025 | 0Y 6M | 1.8</t>
  </si>
  <si>
    <t>RenewXpert Solution LLP | Sustainable Energy Management Intern  | Pune  | May 2026 | Jul 2026 | 9.5714285714286 Weeks | Campus Internship
CHANDAN PARAB DESIGNS | INTERN ARCHITECT | GOA | Jun 2023 | Dec 2023 | 26.142857142857 Weeks
Decathlon Sports India Pvt. Ltd. | Omni Sports Advisor (OSA) – Mountain Sports | Pune | Nov 2025 | May 2026 | 25.714285714286 Weeks</t>
  </si>
  <si>
    <t>NATURAL MATERIAL HANDS ON WORKSHOP
VOLLEYBALL TOURNAMENT
COA ARCHITECT LICENSE</t>
  </si>
  <si>
    <t>P25706026</t>
  </si>
  <si>
    <t>MANU</t>
  </si>
  <si>
    <t>Manu R</t>
  </si>
  <si>
    <t>manu.rs08113@gmail.com</t>
  </si>
  <si>
    <t>p25706026@student.nicmar.ac.in</t>
  </si>
  <si>
    <t>08-Nov-2003</t>
  </si>
  <si>
    <t>English,Hindi,Tamil,Kannada</t>
  </si>
  <si>
    <t>2725 5502 8732</t>
  </si>
  <si>
    <t>RAJANI R</t>
  </si>
  <si>
    <t>SAVITHA R</t>
  </si>
  <si>
    <t>19/1,15th Cross,4th Main,LN Puram</t>
  </si>
  <si>
    <t>SRI CHAITANYA PU COLLEGE</t>
  </si>
  <si>
    <t>B.M.S COLLEGE OF ENGINEERING</t>
  </si>
  <si>
    <t>ClimatEngligthen LLP | Research Intern | Remote | May 2026 | Jul 2026 | 9.7142857142857 Weeks | Campus Internship
South Western Railway,Office of the Deputy Chief Engineer(Station Development,Construction Organisation), Bengaluru Cantonment | Student Trainee- Station Development and Construction  | Yeshwanthpur Railway Station | Jul 2024 | Aug 2024 | 4.2857142857143 Weeks</t>
  </si>
  <si>
    <t>P25704001</t>
  </si>
  <si>
    <t>RAMNATH</t>
  </si>
  <si>
    <t>Ramnath Mahesh Nayak</t>
  </si>
  <si>
    <t>rahilnyk.99@gmail.com</t>
  </si>
  <si>
    <t>p25704001@student.nicmar.ac.in</t>
  </si>
  <si>
    <t>10-Dec-1999</t>
  </si>
  <si>
    <t>5854 5441 9964</t>
  </si>
  <si>
    <t>GOVT. SERVICE</t>
  </si>
  <si>
    <t>A-6 Neelkamal Co-op Hsg Scty, Shantinagar, Ponda-Goa</t>
  </si>
  <si>
    <t>A.J.DE ALMEIDA HIGH SCHOOL</t>
  </si>
  <si>
    <t>GOA BOARD OF SECONDARY AND HIGHER SECONDARY EDUCATION, ALTO-BETIM, GOA</t>
  </si>
  <si>
    <t>S.S.SAMITI'S HSS OF SCIENCE</t>
  </si>
  <si>
    <t>AutoCAD,MS Office,Sketchup,Lumion</t>
  </si>
  <si>
    <t>PWD (DIV-XVIII) (Roads) | SURVEYOR 6 (Apprentice) | PWD, Ponda-Goa | Oct 2023 | Oct 2024 | 0Y 11M | 1.56
AXIODYN CONSULTANTS | JUNIOR ENGINEER/ DESIGNER | Comba, Margao-Goa | May 2023 | Oct 2023 | 0Y 4M | 1.5</t>
  </si>
  <si>
    <t>Town and Country Planning Department | Urban Planning Intern | Panaji-Goa | May 2026 | Jun 2026 | 7.5714285714286 Weeks | Campus Internship
R.B.S CANDIAPARCAR | Site Engineer | Farmagudi, Ponda-Goa | Mar 2023 | May 2023 | 8.7142857142857 Weeks</t>
  </si>
  <si>
    <t>Introduction to Urban Planning</t>
  </si>
  <si>
    <t>P25704004</t>
  </si>
  <si>
    <t>MALLIKARJUN</t>
  </si>
  <si>
    <t>BILGUNDI</t>
  </si>
  <si>
    <t>Ashish Mallikarjun Bilgundi</t>
  </si>
  <si>
    <t>aahishbilgundi@gmail.com</t>
  </si>
  <si>
    <t>p25704004@student.nicmar.ac.in</t>
  </si>
  <si>
    <t>English,Kannada,hindi</t>
  </si>
  <si>
    <t>8742 2404 1273</t>
  </si>
  <si>
    <t>RETIRED BANK OFFICER</t>
  </si>
  <si>
    <t>JAYAMALA</t>
  </si>
  <si>
    <t>PLOT NO 30 KOHINOOR BUILDING JEWARGI COLONY BIDDAPUR ROAD_x000D_
Biaadpur Road</t>
  </si>
  <si>
    <t>SHARANABASAVESWAR RES. HIGH SCHOOL</t>
  </si>
  <si>
    <t>KARNATAKA SECONDARY EDUCATION EXAMINATION BOARD , KALABURAGI</t>
  </si>
  <si>
    <t>S BASAVESWAR RESI PU COLLEGE</t>
  </si>
  <si>
    <t>GOVERNMENT OF KARNATAKA DEPARTMENT OF PRE-UNIVERSITY EDUCATION , KALABURAGI</t>
  </si>
  <si>
    <t>2018-Jan</t>
  </si>
  <si>
    <t>POOJYA DODDAPPA APPA COLLEGE OF ENGINEERING , KALABURAGI</t>
  </si>
  <si>
    <t>NATIONAL INSTITUTE OF URBAN AFFAIRS | intern under the UrbanShift Country Project | Delhi | May 2026 | Jul 2026 | 8.5714285714286 Weeks | Campus Internship
KMV PROJECTS LTD. | INTERN | KALABURAGI | Aug 2022 | Oct 2022 | 8.7142857142857 Weeks</t>
  </si>
  <si>
    <t>NPTEL / INTRODUCTION TO URBAN PLANNING 
SIDDHANTA / INDIAN TOWN PLANNING AND ARCHITECTURE
NPTEL / NATURAL HAZARDS</t>
  </si>
  <si>
    <t>P25704005</t>
  </si>
  <si>
    <t>MADHAV</t>
  </si>
  <si>
    <t>SURYAWANSHI</t>
  </si>
  <si>
    <t>Nitin Madhav Suryawanshi</t>
  </si>
  <si>
    <t>nitinms1802@gmail.com</t>
  </si>
  <si>
    <t>p25704005@student.nicmar.ac.in</t>
  </si>
  <si>
    <t>18-Feb-2000</t>
  </si>
  <si>
    <t>7793 9379 7935</t>
  </si>
  <si>
    <t>AAU</t>
  </si>
  <si>
    <t>Plot No 37, P/5 N-8, Cidco, Sambhajinagar</t>
  </si>
  <si>
    <t>SHIVCHHATRAPATI COLLEGE AURANGABAD</t>
  </si>
  <si>
    <t>DR.BABASAHEB AMBEDKAR TECHNOLOGICAL UNIVERSITY</t>
  </si>
  <si>
    <t>Pune municipal corporation  | Intern | Pune | May 2026 | Jul 2026 | 9 Weeks | Campus Internship
CHHATRAPATI SAMBHAJINAGAR MUNICIPAL CORPORATION | TRAINEE | CHH. SAMBHAJINAGAR | Oct 2024 | Jun 2025 | 37.428571428571 Weeks
K P &amp; Associates | Trainee | Chh. Sambhajinagar | Sep 2023 | Sep 2024 | 52.285714285714 Weeks
Sara builders | Intern | Chh. Sambhajinagar | Mar 2022 | Jun 2022 | 15.571428571429 Weeks</t>
  </si>
  <si>
    <t>P25704006</t>
  </si>
  <si>
    <t>GARJE</t>
  </si>
  <si>
    <t>BHAGAWAN</t>
  </si>
  <si>
    <t>Garje Snehal Bhagawan</t>
  </si>
  <si>
    <t>snehalgarje322@gmail.com</t>
  </si>
  <si>
    <t>p25704006@student.nicmar.ac.in</t>
  </si>
  <si>
    <t>9159 5789 5794</t>
  </si>
  <si>
    <t>Sai Niwas, At.post Mohoj Devadhe, Tal.Pathardi, Dist. Ahilyanagar.</t>
  </si>
  <si>
    <t>R.K.M. SECONDARY AND HIGHER SECONDARY SCHOOL, KALWAN, NASHIK.</t>
  </si>
  <si>
    <t>SAVITRIBAI PHULE PUNE UNIVERSITY MAHARASHTRA</t>
  </si>
  <si>
    <t>SHRI PRAMOD PATIL SPPAC JUNIOR COLLEGE</t>
  </si>
  <si>
    <t>SAVITRIBAI PHULE PUNE UNIVERSITY, MAHARASHTRA</t>
  </si>
  <si>
    <t>SINHGAD COLLEGE OF ARCHITECTURE PUNE, MAHARASHTRA</t>
  </si>
  <si>
    <t>AutoCAD,MS Office,Sketchup,Lumion,Photoshop,Powerpoint,ArcGIS</t>
  </si>
  <si>
    <t>Town planning and valuation department  | Intern  | Pune | May 2026 | Jun 2026 | 7.8571428571429 Weeks | Campus Internship
DESIGN CONSORTIUM | INTERN | THANE,MUMBAI. | Jun 2024 | Dec 2024 | 23.714285714286 Weeks</t>
  </si>
  <si>
    <t>P25704007</t>
  </si>
  <si>
    <t>TIWASKAR</t>
  </si>
  <si>
    <t>Siddhi Sham Tiwaskar</t>
  </si>
  <si>
    <t>siddhitiwaskar6128@gmail.com</t>
  </si>
  <si>
    <t>p25704007@student.nicmar.ac.in</t>
  </si>
  <si>
    <t>27-Mar-2002</t>
  </si>
  <si>
    <t>5810 6710 8431</t>
  </si>
  <si>
    <t>SHAM HARIBHAU TIWASKAR</t>
  </si>
  <si>
    <t>ANAGHA SHAM TIWASKAR</t>
  </si>
  <si>
    <t>129, Shubhamkaroti Apartment, Behind Siddha Ganesh Mandir Buty Plots Laxmi Nagar Nagpur</t>
  </si>
  <si>
    <t>SOMALWAR HIGH SCHOOL-NIKALAS BRANCH, NAGPUR</t>
  </si>
  <si>
    <t>SOMALWAR HIGH SCHOOL &amp; JUNIOR COLLEGE, NIKALAS BRANCH.</t>
  </si>
  <si>
    <t>AutoCAD,MS Office,SKETCHUP,PHOTOSHOP,REVIT,PROCREATE,ENSCAPE,LUMION,CANVA,ArcGIS</t>
  </si>
  <si>
    <t>National institute of urban affairs, New Delhi  | Intern  | New Delhi  | May 2026 | Jul 2026 | 0Y 2M</t>
  </si>
  <si>
    <t>Beyond Green - Landscape Architecture and Architecture, Pune | Intern  | Pune  | Jun 2024 | Oct 2024 | 17.428571428571 Weeks</t>
  </si>
  <si>
    <t>NPTL ONLINE CERTIFICATION-URBAN SERVICES PLANNING</t>
  </si>
  <si>
    <t>P25704008</t>
  </si>
  <si>
    <t>Suyash Singh Chauhan</t>
  </si>
  <si>
    <t>suryashchauhan@gmail.com</t>
  </si>
  <si>
    <t>p25704008@student.nicmar.ac.in</t>
  </si>
  <si>
    <t>10-Feb-2002</t>
  </si>
  <si>
    <t>english,hindi&amp;gujrati</t>
  </si>
  <si>
    <t>6612 4677 8241</t>
  </si>
  <si>
    <t>SANJAY SINGH CHAUHAN</t>
  </si>
  <si>
    <t>DR SHIKHA SINGH</t>
  </si>
  <si>
    <t>MIG-27 HOUSING BOARD COLONY BODA BAGH</t>
  </si>
  <si>
    <t>Rewa</t>
  </si>
  <si>
    <t>JYOTI SENIOR SECONDARY SCHOOL</t>
  </si>
  <si>
    <t>CENTRAL BOARD OF SECONDARY EDUCATION MADHYA PRADESH</t>
  </si>
  <si>
    <t>MARUTI HIGHER SECONDARY SCHOOL</t>
  </si>
  <si>
    <t>MADHYA PRADESH BOARD OF SECONDARY EDUCATION MADHYA PRADESH</t>
  </si>
  <si>
    <t>PARUL INSTITUTE OF ENGINEERING AND TECHNOLOGY</t>
  </si>
  <si>
    <t>Tanya Construction  | Planning And Site Execution | Bhopal | May 2026 | Jul 2026 | 9.5714285714286 Weeks | Campus Internship</t>
  </si>
  <si>
    <t>P25704010</t>
  </si>
  <si>
    <t>RAJARAM</t>
  </si>
  <si>
    <t>Rutuja Rajaram Patil</t>
  </si>
  <si>
    <t>patilrutuja348@gmail.com</t>
  </si>
  <si>
    <t>p25704010@student.nicmar.ac.in</t>
  </si>
  <si>
    <t>21-Feb-2001</t>
  </si>
  <si>
    <t>Sketching,Photography,Traveling</t>
  </si>
  <si>
    <t>8387 9183 9381</t>
  </si>
  <si>
    <t>RAJARAM ATMARAM PATIL</t>
  </si>
  <si>
    <t>RAJMATI RAJARAM PATIL</t>
  </si>
  <si>
    <t>16 ,RUTURAJ SHAHID BHAGAT SINGH COLONY , SHASTRINAGAR , MALKAPUR ROAD ,KARD</t>
  </si>
  <si>
    <t>AT P. BAHE TAL.WALWA DIS. SANGLI</t>
  </si>
  <si>
    <t>VITHAMATA VIDYALAYA , KARAD</t>
  </si>
  <si>
    <t>LIGADE PATIL JR COLLEGE OF SCIENCE , KARAD</t>
  </si>
  <si>
    <t>BHARATI VIDYAPEETH DEEMED TO BE UNIVERSITY</t>
  </si>
  <si>
    <t>BHARATI VIDYAPEETH COLLEGE OF ARCHITECTURE , PUNE</t>
  </si>
  <si>
    <t>AutoCAD,MS Office,SKETCHUP,LUMION,EDGE,ARCH GIS,PHOTOSHOP,CANVA</t>
  </si>
  <si>
    <t>Designshal Collabarative  | Intern | Pune | May 2026 | Jul 2026 | 7.7142857142857 Weeks | Campus Internship
Anup Oswal Architects | Intern | Pune | Jan 2024 | May 2024 | 20 Weeks</t>
  </si>
  <si>
    <t>P25704011</t>
  </si>
  <si>
    <t>Yash Avinash More</t>
  </si>
  <si>
    <t>p25704011@student.nicmar.ac.in</t>
  </si>
  <si>
    <t>CHESS,CRICKET</t>
  </si>
  <si>
    <t>3390 7048 3549</t>
  </si>
  <si>
    <t>AVINASH MORE</t>
  </si>
  <si>
    <t>AKSHATA MORE</t>
  </si>
  <si>
    <t>AT POST SHIRGAON, NEAR UMRAJ MEDICAL STORE, PALGHAR</t>
  </si>
  <si>
    <t>TWINKLE STAR ENGLISH HIGH SCHOOL PALGHAR</t>
  </si>
  <si>
    <t>MAHARASHTRA STATE BOARD OF EDUCATION AND HIGHER SECONDARY EDUCATION, PUNE</t>
  </si>
  <si>
    <t>ST JOHN COLLEGE OF ENGINEERING AND MANAGEMENT,PALGHAR</t>
  </si>
  <si>
    <t>ST JOHN COLLEGE OF ENGINEERING AND MANAGEMENT, PALGHAR</t>
  </si>
  <si>
    <t>NEST INFRA | Supervising &amp; Designing | PALGHAR | Jan 2022 | Mar 2022 | 8.7142857142857 Weeks</t>
  </si>
  <si>
    <t>STATE LEVEL TECHNICAL PAPER PRESENTATION
INDIA CHAPTER OF AMERICAN INSTITUTE</t>
  </si>
  <si>
    <t>P25704012</t>
  </si>
  <si>
    <t>NAMITA</t>
  </si>
  <si>
    <t>Namita Kiran Pawar</t>
  </si>
  <si>
    <t>namitapawar1206@gmail.com</t>
  </si>
  <si>
    <t>p25704012@student.nicmar.ac.in</t>
  </si>
  <si>
    <t>English, Hindi, Marathi, French</t>
  </si>
  <si>
    <t>6212 9457 3359</t>
  </si>
  <si>
    <t>Arwana Tower, Flat No. 202, Opposite To Golden Petals, Warje Jakat Naka, Bhalekar Wasti, Karve Nagar</t>
  </si>
  <si>
    <t>MAHARASHTRA EDUCATION SOCIETY HIGHSCHOOL</t>
  </si>
  <si>
    <t>MAHARASHTRA EDUCATION SOCIETY HIGHSCHOOL BARAMATI</t>
  </si>
  <si>
    <t>TULJARAM CHATURCHAND COLLEGE</t>
  </si>
  <si>
    <t>BHANUBEN NANAVATI COLLEGE OF ARCHITECTURE PUNE</t>
  </si>
  <si>
    <t>AutoCAD,MS Office,MS Project,Primavera,Photoshop,Revit,Enscape,Lumion</t>
  </si>
  <si>
    <t>National Institute of Urban Affairs | Intern | Pune | May 2026 | Jul 2026 | 9 Weeks | Campus Internship
BEYOND GREEN | INTERN | PUNE | Jun 2024 | Oct 2024 | 18.142857142857 Weeks</t>
  </si>
  <si>
    <t>P25704014</t>
  </si>
  <si>
    <t>Mayuri Sandeep Yeole</t>
  </si>
  <si>
    <t>mayuriyeole24@gmail.com</t>
  </si>
  <si>
    <t>p25704014@student.nicmar.ac.in</t>
  </si>
  <si>
    <t>9488 3958 0592</t>
  </si>
  <si>
    <t>BHUMICA</t>
  </si>
  <si>
    <t>Yashodeep Plot No. 1103, N-6 Sai Nagar Cidco Chh. Sambhajinagar</t>
  </si>
  <si>
    <t>S.B.O.A PUBLIC SCHOOL</t>
  </si>
  <si>
    <t>VIDYADHAM HIGHER SECONDARY SCHOOL</t>
  </si>
  <si>
    <t>MGM UNIVERSITY</t>
  </si>
  <si>
    <t>JAWAHARLAL NEHRU ENGINEERING COLLEGE, CHH. SAMBHAJINAGAR</t>
  </si>
  <si>
    <t>AutoCAD,MS Office,Photoshop,Sketchup,Enscape,ArcGIS</t>
  </si>
  <si>
    <t>Kushaagra Innovations Foundation | Field internship in Urban Sustainability &amp; Waste Management | Pune | May 2026 | Jul 2026 | 8.7142857142857 Weeks | Campus Internship
IDEAS ARCHITECT | INTERN | JAIPUR | Jun 2024 | Oct 2024 | 18.857142857143 Weeks</t>
  </si>
  <si>
    <t>P25704015</t>
  </si>
  <si>
    <t>GHANSHAM</t>
  </si>
  <si>
    <t>JONDHALE</t>
  </si>
  <si>
    <t>Pavan Ghansham Jondhale</t>
  </si>
  <si>
    <t>pavanjondhale16@gmail.com</t>
  </si>
  <si>
    <t>p25704015@student.nicmar.ac.in</t>
  </si>
  <si>
    <t>3481 5850 5161</t>
  </si>
  <si>
    <t>Jondhale Bunglow, Shikshak Colony, College Road, Saikheda, Nashik, Maharashtra,422210</t>
  </si>
  <si>
    <t>HORIZON ACADEMY</t>
  </si>
  <si>
    <t>NASHIK PRESIDENCY SCHOOL &amp; JUNIOR COLLEGE</t>
  </si>
  <si>
    <t>K.K. WAGH INSTITUTE OF ENGINEERING EDUCATION &amp; RESEARCH, NASHIK</t>
  </si>
  <si>
    <t>AutoCAD,MS Office,ArcGIS,Revit</t>
  </si>
  <si>
    <t>All India Institute of Local Self Government | Intern  | Nashik | May 2026 | Jul 2026 | 9.7142857142857 Weeks | Campus Internship
Mauli builders &amp; developers | Intern  | College Road, Saikheda | Dec 2023 | Jan 2024 | 4.5714285714286 Weeks</t>
  </si>
  <si>
    <t>P25704016</t>
  </si>
  <si>
    <t>MANKAR</t>
  </si>
  <si>
    <t>Rutuja Suresh Mankar</t>
  </si>
  <si>
    <t>rutujamankar0908@gmail.com</t>
  </si>
  <si>
    <t>p25704016@student.nicmar.ac.in</t>
  </si>
  <si>
    <t>09-Aug-2000</t>
  </si>
  <si>
    <t>8254 8960 6677</t>
  </si>
  <si>
    <t>SURESH VITTHALRAO MANKAR</t>
  </si>
  <si>
    <t>SUREKHA SURESH MANKAR</t>
  </si>
  <si>
    <t>SUNRISE PG, LAXMAN NAGAR, BANER, PUNE</t>
  </si>
  <si>
    <t>Sharda Nagar, S.T Colony Near Yashodip Convent, Wardha</t>
  </si>
  <si>
    <t>BHARAT DNYAN MANDIRAM</t>
  </si>
  <si>
    <t>WARDHA, MAHARASHTRA</t>
  </si>
  <si>
    <t>NEW ENGLISH JUNIOR COLLEGE</t>
  </si>
  <si>
    <t>SINHGAD COLLEGE OF ARCHITECTURE, PUNE, MAHARASHTRA</t>
  </si>
  <si>
    <t>AutoCAD,MS Office,Sketchup,Twinmotion,Lumion,Photoshop,ArcGIS</t>
  </si>
  <si>
    <t>MKDM Studio Private Limited | Junior Architect | Pune | Aug 2023 | Aug 2024 | 1Y 0M | 1.92</t>
  </si>
  <si>
    <t>KUSHAAGRA INNOVATIONS FOUNDATION | URBAN PLANNING INTERN | Pune | May 2026 | Jul 2026 | 8.7142857142857 Weeks | Campus Internship
AMRTA TURNKEY PROFESSIONALS | ARCHITECTURAL TRAINEE | NAGPUR | May 2022 | Nov 2022 | 26.285714285714 Weeks</t>
  </si>
  <si>
    <t>The LAP Initiative - PERSONA FEST 2026 
Sustainable Regional Principles, Planning and Transportation
AI &amp; Disaster Management</t>
  </si>
  <si>
    <t>P25704017</t>
  </si>
  <si>
    <t>VENKATA VARUN</t>
  </si>
  <si>
    <t>MULUMUDI</t>
  </si>
  <si>
    <t>Vinayaka Venkata Varun Mulumudi</t>
  </si>
  <si>
    <t>venkatavarun131@gmail.com</t>
  </si>
  <si>
    <t>p25704017@student.nicmar.ac.in</t>
  </si>
  <si>
    <t>Telugu,Hindi,English,</t>
  </si>
  <si>
    <t>5719 4647 4575</t>
  </si>
  <si>
    <t>MULUMUDI NAGARAJU</t>
  </si>
  <si>
    <t>MULUMUDI LALITHAMMA</t>
  </si>
  <si>
    <t>HOUSW WIFE</t>
  </si>
  <si>
    <t>1/44 KOTHUR, NELLORE RURAL A.K NAGAR POST SPSR NELLORE DISTRICT ANDHRA PRADESH 524004</t>
  </si>
  <si>
    <t>KENDRIYA VIDYALAYA NELLORE</t>
  </si>
  <si>
    <t>SRI CHANDRASEKHARENDRA SARASWATHI VISWA MAHAVIDYALAYA (SCSVMV)</t>
  </si>
  <si>
    <t>SRI CHANDRASEKHARENDRA SARASWATHI VISWA MAHAVIDYALAYA (SCSVMV) KANCHIPURAM/TAMIL NADU</t>
  </si>
  <si>
    <t>AutoCAD,3d printing,arcgis,revit</t>
  </si>
  <si>
    <t>NATIONAL INSTITUTE OF URBAN AFFAIRS | PLANNING INTERN | PUNE | May 2026 | Jul 2026 | 8.5714285714286 Weeks | Campus Internship
OFFICE OF EXECUTIVE ENGINEER SSLC&amp; SB | GOVERNMENT | NELLORE | Jun 2024 | Jul 2024 | 4.2857142857143 Weeks</t>
  </si>
  <si>
    <t>workshop on ISRO Earth observation data hub- Bhoonidhi
Remote sensing and gis for rural development
3d printing certification course</t>
  </si>
  <si>
    <t>P25704018</t>
  </si>
  <si>
    <t>NIRANJANA</t>
  </si>
  <si>
    <t>SETHUKUMAR</t>
  </si>
  <si>
    <t>Niranjana Sethukumar Nair</t>
  </si>
  <si>
    <t>niranjanasangeeta@gmail.com</t>
  </si>
  <si>
    <t>p25704018@student.nicmar.ac.in</t>
  </si>
  <si>
    <t>6619 2406 0860</t>
  </si>
  <si>
    <t>STATE GOVERNMENTÂ EMPLOYEE</t>
  </si>
  <si>
    <t>HNo. 37, Neelima, Sivamangalam Lane, Pattom, ThiruvananthapuramÂ -Â 695004.</t>
  </si>
  <si>
    <t>ICSE, KERALA</t>
  </si>
  <si>
    <t>CHRIST NAGAR HIGHER SECONDARYÂ SCHOOL</t>
  </si>
  <si>
    <t>ICSE/ ISC KERALA</t>
  </si>
  <si>
    <t>GOVERNMENT ENGINEERING COLLEGE BARTON HILL</t>
  </si>
  <si>
    <t>ArcGIS Pro, MS Office, AutoCAD</t>
  </si>
  <si>
    <t>Regional Town and Country Planning Office, Kozhikode | Summer Intern | Kozhikode, Kerala | May 2026 | Jul 2026 | 9.5714285714286 Weeks | Campus Internship
JCJR PARTNERSHIP | CIVIL ENGINEERING INTERN | THIRUVANANTHAPURAM | May 2025 | Jun 2025 | 6.2857142857143 Weeks
SI PROPERTY (KERALA) PRIVATE LIMITED | INTERN | THIRUVANANTHAPURAM | Jun 2024 | Aug 2024 | 7.8571428571429 Weeks
KERALA WATER AUTHOURITY (KWA) | INTERN | THIRUVANANTHAPURAM | May 2023 | May 2023 | 0.85714285714286 Weeks</t>
  </si>
  <si>
    <t>P25704019</t>
  </si>
  <si>
    <t>DERE</t>
  </si>
  <si>
    <t>Parth Vijay Dere</t>
  </si>
  <si>
    <t>parthvdere@gmail.com</t>
  </si>
  <si>
    <t>p25704019@student.nicmar.ac.in</t>
  </si>
  <si>
    <t>8949 6450 7380</t>
  </si>
  <si>
    <t>DEEPA</t>
  </si>
  <si>
    <t>Atkare Cr., LMD Chowk, Bavdhan Kh., Pune</t>
  </si>
  <si>
    <t>BHARTIYA VIDYA BHAVAN PARANJAPE VIDYA MANDIR, PUNE</t>
  </si>
  <si>
    <t>MAHARASHTRA BOARD OF SECONDARY AND HIGHER SECONDARY EDUCATION, PUNE</t>
  </si>
  <si>
    <t>MAEER'S MIT JR. COLLEGE, PUNE</t>
  </si>
  <si>
    <t>STES SINHGAD COLLEGE OF ARCHITECTURE, PUNE, MAHARASHTRA</t>
  </si>
  <si>
    <t>AutoCAD,MS Office,MS Project,Sketchup,Lumion,Enscape,Arcgis</t>
  </si>
  <si>
    <t>Town planning and valuation department  | Intern | Pune | May 2026 | Jun 2026 | 7.8571428571429 Weeks | Campus Internship
MG ARCHITECTS | INTERN | ERANDWANE, PUNE | Jul 2024 | Dec 2024 | 24.571428571429 Weeks</t>
  </si>
  <si>
    <t>P25704020</t>
  </si>
  <si>
    <t>VIJAYKUMAR</t>
  </si>
  <si>
    <t>Shreyas Vijaykumar Gaikwad</t>
  </si>
  <si>
    <t>gshreyas3351@gmail.com</t>
  </si>
  <si>
    <t>p25704020@student.nicmar.ac.in</t>
  </si>
  <si>
    <t>02-Dec-2002</t>
  </si>
  <si>
    <t>5217 3060 6622</t>
  </si>
  <si>
    <t>VIJAYKUMAR GAURIHAR GAIKWAD</t>
  </si>
  <si>
    <t>PADMA VIJAYKUMAR GAIKWAD</t>
  </si>
  <si>
    <t>177, Suyrawanshi Lane Guruwar Peth Tasgaon, Dist. Sangli 416312</t>
  </si>
  <si>
    <t>SWAMI RAMANAND BHARTI VIDYAMANDIR AND JUNIOR COLLEGE TASGAON</t>
  </si>
  <si>
    <t>AutoCAD,MS Office,ArcGIS,Google earth engine, ArcGIS Urban</t>
  </si>
  <si>
    <t>Kushaagra innovations foundation | Intern | Pune, Maharashtra | May 2026 | Jul 2026 | 8.7142857142857 Weeks | Campus Internship</t>
  </si>
  <si>
    <t>Civil Engineering Job Simulation â€“ John Holland (Forage)
NPTL Online Certification - Introduction to Urban Planning</t>
  </si>
  <si>
    <t>P25704021</t>
  </si>
  <si>
    <t>BAPARDEKAR</t>
  </si>
  <si>
    <t>Chirag Prakash Bapardekar</t>
  </si>
  <si>
    <t>chiragbapardekar@gmail.com</t>
  </si>
  <si>
    <t>p25704021@student.nicmar.ac.in</t>
  </si>
  <si>
    <t>17-Jan-2003</t>
  </si>
  <si>
    <t>6583 5683 4190</t>
  </si>
  <si>
    <t>PRAKASH KESHAV BAPARDEKAR</t>
  </si>
  <si>
    <t>JYOTI PRAKASH BAPARDEKAR</t>
  </si>
  <si>
    <t>Shivsankalp Hsg. Soc. RH-134, Flat No.: 05, G Block , Near D.Y. Patil School, Shahunagar Chinchwad, Pune-411019.</t>
  </si>
  <si>
    <t>VIDYA NIKETAN ENG. MED. SCHOOL, PIMPRI, PUNE-411018</t>
  </si>
  <si>
    <t>ABHISHEK VIDYALAYAM'S SCIENCE JUNIOR COLLEGE, PUNE-411019</t>
  </si>
  <si>
    <t>SAVITRIBAI PHULE PUNE UNIVERSITY, GANESHKHIND, PUNE-411007</t>
  </si>
  <si>
    <t>MARATHWADA MITRA MANDAL'S COLLEGE OF ARCHITECTURE, PUNE-411004</t>
  </si>
  <si>
    <t>AutoCAD, ArcGIS Pro, Sketchup, Revit, Arhicad, Lumion, Photoshop, MS Office</t>
  </si>
  <si>
    <t>Pune Municipal Corporation (Transportation Department) | Intern | Pune | May 2026 | Jul 2026 | 9 Weeks | Campus Internship
L.J. Purani &amp; Associates | Architectural design, structural engineering, project management, interior design, urban planning | Navrangapura, Ahmedabad - 380009, Gujarat. | Jun 2024 | Oct 2024 | 17.428571428571 Weeks</t>
  </si>
  <si>
    <t>Certificate in Vastu Shastra
Autodesk Revit &amp; Lumion</t>
  </si>
  <si>
    <t>P25704022</t>
  </si>
  <si>
    <t>SUBHAM</t>
  </si>
  <si>
    <t>NATH</t>
  </si>
  <si>
    <t>Subham Nath</t>
  </si>
  <si>
    <t>subhamnath890@gmail.com</t>
  </si>
  <si>
    <t>p25704022@student.nicmar.ac.in</t>
  </si>
  <si>
    <t>20-Jun-1997</t>
  </si>
  <si>
    <t>3198 0463 4116</t>
  </si>
  <si>
    <t>NARAYAN NATH</t>
  </si>
  <si>
    <t>MANJU LATA NATH</t>
  </si>
  <si>
    <t>QR NO: RD D2, HATISALPADA</t>
  </si>
  <si>
    <t>Balangir</t>
  </si>
  <si>
    <t>House No: 90, Gobardhanpur</t>
  </si>
  <si>
    <t>Balasore</t>
  </si>
  <si>
    <t>SARASWATI VIDYA MANDIR, SECTOR-6</t>
  </si>
  <si>
    <t>CHAITANYA COLLEGE OF EDUCATION</t>
  </si>
  <si>
    <t>COUNSIL OF HIGHER SECONDARY EDUCATION, ODISHA</t>
  </si>
  <si>
    <t>BIJU PATTANAYAK UNIVERSITY</t>
  </si>
  <si>
    <t>ORISSA ENGINEERING COLLEGE, BHUBANESWAR</t>
  </si>
  <si>
    <t>Gayatri Projects Limited | Junior Engineer Executive | Sambalpur, Odisha | Oct 2018 | Jun 2019 | 0Y 8M | 2.4
B.K CONSTRUCTION CO. | SITE ENGINEER | Balangir, Odisha | Jul 2019 | Feb 2025 | 5Y 7M | 4.8</t>
  </si>
  <si>
    <t>6 Years 3 Months</t>
  </si>
  <si>
    <t>Pune Municipal Corporation | Intern | pune | May 2026 | Jul 2026 | 9 Weeks | Campus Internship</t>
  </si>
  <si>
    <t>P25704023</t>
  </si>
  <si>
    <t>SONAL</t>
  </si>
  <si>
    <t>SARSANDE</t>
  </si>
  <si>
    <t>Sonal Ajay Sarsande</t>
  </si>
  <si>
    <t>sonalsarsande1184@gmail.com</t>
  </si>
  <si>
    <t>p25704023@student.nicmar.ac.in</t>
  </si>
  <si>
    <t>8525 1428 3768</t>
  </si>
  <si>
    <t>AJAY MAGAN SARSANDE</t>
  </si>
  <si>
    <t>PHOTOGRAPHER</t>
  </si>
  <si>
    <t>MANDA AJAY SARSANDE</t>
  </si>
  <si>
    <t>FLAT NO. 201, PAN CARD CLUB RD, BANER HILLS, BANER, PUNE, MAHARASHTRA</t>
  </si>
  <si>
    <t>Garkheda Parisar Road_x000D_
Plot No 5</t>
  </si>
  <si>
    <t>ST FRANCES DE SALES HIGH SCHOOL</t>
  </si>
  <si>
    <t>JIJAMATA ARTS &amp; SCIENCE JR.COLLEGE</t>
  </si>
  <si>
    <t>AURANGABAD</t>
  </si>
  <si>
    <t>D. BATU UNIVERSITY</t>
  </si>
  <si>
    <t>JAWAHARLAL NEHRU ENGINEERING COLLEGE</t>
  </si>
  <si>
    <t>AutoCAD,MS Office,MS Project,Sketch Up,Lumion,ArcGIS,Photoshop,Rivet,3DS Max,Vray</t>
  </si>
  <si>
    <t>Reflex Architects | Jr. Architect | Baner, Pune | Jan 2025 | Jul 2025 | 0Y 6M | 1.5</t>
  </si>
  <si>
    <t>DP Design Associates | Urban Planner and Architect | Shreyanagar, Aurangabad | May 2026 | Jul 2026 | 8.7142857142857 Weeks | Campus Internship
Tanishqa architects and planning | Architect | Baner, Pune | Jan 2023 | May 2023 | 19.285714285714 Weeks</t>
  </si>
  <si>
    <t>3DS Max
Holi Polloi Workshop</t>
  </si>
  <si>
    <t>P25704024</t>
  </si>
  <si>
    <t>Riya Mukesh Jain</t>
  </si>
  <si>
    <t>riiyajain000@gmail.com</t>
  </si>
  <si>
    <t>p25704024@student.nicmar.ac.in</t>
  </si>
  <si>
    <t>HINDI</t>
  </si>
  <si>
    <t>6558 2567 0073</t>
  </si>
  <si>
    <t>H.n. 833, Mahsurkar Marg, Behind Anup Steel And Beside Kumar Transport, Queta Colony, Nagpur - 440008</t>
  </si>
  <si>
    <t>CENTRAL INDIA PUBLIC SCHOOL, NAGPUR</t>
  </si>
  <si>
    <t>LATE. NIRDHAN PATIL WAGHAYE ART'S &amp; SCIENCE JR. COLLEGE, LAKHNI</t>
  </si>
  <si>
    <t>INSTITUTE OF DESIGN EDUCTAION AND ARCHITECTURAL STUDIES, NAGPUR, MAHARASHTRA</t>
  </si>
  <si>
    <t>AutoCAD,sketchup,power point,photoshop,enscape,ArcGIS,Lumion,Excel,Canva,D5,Revit,AutoCAD,Procreate</t>
  </si>
  <si>
    <t>Nagpur Metropolitan Region Development Authority | Urban Planning Intern | Nagpur | May 2026 | Jun 2026 | 8 Weeks | Campus Internship
Akruti Concept Studio | Architectural Intern | Pune | Jan 2024 | May 2024 | 19.571428571429 Weeks</t>
  </si>
  <si>
    <t>AI &amp; Disaster Management
Introduction to Urban Planning
IKS Siddhanta: Indian Town Planning &amp; Architecture</t>
  </si>
  <si>
    <t>P25704025</t>
  </si>
  <si>
    <t>SHIVANI</t>
  </si>
  <si>
    <t>MEHARE</t>
  </si>
  <si>
    <t>Shivani Deepak Mehare</t>
  </si>
  <si>
    <t>shivanimehare102@gmail.com</t>
  </si>
  <si>
    <t>p25704025@student.nicmar.ac.in</t>
  </si>
  <si>
    <t>24-Jan-2002</t>
  </si>
  <si>
    <t>5295 6022 0180</t>
  </si>
  <si>
    <t>DEEPAK MEHARE</t>
  </si>
  <si>
    <t>USHA DEEPAK MEHARE</t>
  </si>
  <si>
    <t>RAVI NAGAR, RING ROAD, KAULKHED, AKOLA.</t>
  </si>
  <si>
    <t>THE NOEL ENGLISH SCHOOL, AKOLA</t>
  </si>
  <si>
    <t>AMRAVATI DIVISIONAL BOARD</t>
  </si>
  <si>
    <t>SUDHARKARRAO NAIK ARTS, SCIENCE &amp; UMASHANKAR KHETAN COMMERCE JR. COLLEGE AKOLA</t>
  </si>
  <si>
    <t>AutoCAD,MS Office,Sketchup,photoshop,Revit</t>
  </si>
  <si>
    <t>DESIGNSHALA COLLBORATIVE | URBAN PLANNING INTERN | Pune | May 2026 | Jul 2026 | 8.7142857142857 Weeks | Campus Internship
ANDSPACES CONSULTANTS PVT. LTD. | ARCHITECTURAL INTERN | PUNE | Jun 2024 | Nov 2024 | 24 Weeks</t>
  </si>
  <si>
    <t>P25704026</t>
  </si>
  <si>
    <t>VASUDHA</t>
  </si>
  <si>
    <t>Vasudha Gajanan Thakur</t>
  </si>
  <si>
    <t>vasudhathakur03@gmail.com</t>
  </si>
  <si>
    <t>p25704026@student.nicmar.ac.in</t>
  </si>
  <si>
    <t>30-Nov-2001</t>
  </si>
  <si>
    <t>6744 6536 7254</t>
  </si>
  <si>
    <t>GAJANAN JANARDAN THAKUR</t>
  </si>
  <si>
    <t>SUNITA GAJANAN THAKUR</t>
  </si>
  <si>
    <t>H.No.936, Kegaon - Aweda, PO.- Uran, Dist.-Raigad, Maharashtra, 400702</t>
  </si>
  <si>
    <t>URAN EDUCATION SOCIETY'S ENGLISH MEDIUM SCHOOL</t>
  </si>
  <si>
    <t>URAN EDUCATION SOCIETY'S ENGLISH MEDIUM SCHOOL AND JR. COLLEGE</t>
  </si>
  <si>
    <t>BHARATI VIDYAPEETH COLLEGE OF ARCHITECTURE, NAVI MUMBAI</t>
  </si>
  <si>
    <t>AutoCAD,MS Office,GIS,SketchUp,VRay,Photoshop,Enscape,Lumion</t>
  </si>
  <si>
    <t>CIDCO | Intern | Navi Mumbai | May 2026 | Jul 2026 | 8.5714285714286 Weeks | Campus Internship
ASC ARCHITECTS AND INTERIOR DESIGNERS | INTERN | NAVI MUMBAI | Nov 2022 | Mar 2023 | 18.571428571429 Weeks</t>
  </si>
  <si>
    <t>P25704027</t>
  </si>
  <si>
    <t>KUMAWAT</t>
  </si>
  <si>
    <t>Pranjal Vishnu Kumawat</t>
  </si>
  <si>
    <t>pranjalvkumawat2003@gmail.com</t>
  </si>
  <si>
    <t>p25704027@student.nicmar.ac.in</t>
  </si>
  <si>
    <t>9404 1240 3958</t>
  </si>
  <si>
    <t>VISHNU SHANTARAM KUMAWAT</t>
  </si>
  <si>
    <t>NIRMALA VISHNU KUMAWAT</t>
  </si>
  <si>
    <t>Plot No 47 , Agarkar Mala , Arban Bank Colony , Station Road , Ahmednagar , Maharashtra</t>
  </si>
  <si>
    <t>BHAUSAHEB FIRODIYA HIGH SCHOOL AHMEDNAGAR</t>
  </si>
  <si>
    <t>BHAUSAHEB FIRODIYA JUNIOR COLLEGE , AHMEDNAGAR</t>
  </si>
  <si>
    <t>SAVITRIBAI PHULE UNIVERSITY , PUNE</t>
  </si>
  <si>
    <t>DR. BHANUBEN NANAVATI COLLEGE OF ARCHITECTURE FOR WOMEN , PUNE</t>
  </si>
  <si>
    <t>PTV Visum,PTV Vissim,ArcGIS Pro,AutoCAD,MS Office,Revit,Sketchup,Photoshop</t>
  </si>
  <si>
    <t>Pune Municipal Corporation | Intern | Pune | May 2026 | Jul 2026 | 9 Weeks | Campus Internship
AR AND ASSOCIATES | ARCHITECTURAL INTERN | PANJIM,GOA | Jun 2024 | Nov 2024 | 24 Weeks</t>
  </si>
  <si>
    <t>P25704028</t>
  </si>
  <si>
    <t>DIVESH</t>
  </si>
  <si>
    <t>BHONDAVE</t>
  </si>
  <si>
    <t>Divesh Prakash Bhondave</t>
  </si>
  <si>
    <t>diveshbhondave06@gmail.com</t>
  </si>
  <si>
    <t>p25704028@student.nicmar.ac.in</t>
  </si>
  <si>
    <t>9023 7029 9223</t>
  </si>
  <si>
    <t>PRADNYA BHONDAVE</t>
  </si>
  <si>
    <t>At Post- Abitghar,Tal-Wada,Dist-Palghar</t>
  </si>
  <si>
    <t>A. L. C. JUNIOR COLLEGE</t>
  </si>
  <si>
    <t>SECONDARY AND HIGHER SECONDARY EDUCATION,PUNE,MAHARASHTRA</t>
  </si>
  <si>
    <t>DATTA MEGHE COLLEGE OF ENGINEERING, MUMBAI, MAHARASHTRA</t>
  </si>
  <si>
    <t>Maharashtra State Road Development Corporation Limited (SPA) | INTERN | Belapur, Navi Mumbai  | May 2026 | Jul 2026 | 8.8571428571429 Weeks | Campus Internship
Richa Building Material Supplier &amp; Developer | Intern | WADA | Jun 2024 | Jul 2024 | 4.2857142857143 Weeks</t>
  </si>
  <si>
    <t>National Programme on Technology Enhanced Learning
Indian Town Planning and Architecture</t>
  </si>
  <si>
    <t>P25704029</t>
  </si>
  <si>
    <t>Sahil Vilas Ingale</t>
  </si>
  <si>
    <t>ingalesahi007@gmail.com</t>
  </si>
  <si>
    <t>p25704029@student.nicmar.ac.in</t>
  </si>
  <si>
    <t>6147 4616 9132</t>
  </si>
  <si>
    <t>FLAT NO 404,G-BUILDING,WHISPERING WINDS PHASE 2,BANER PASHAN LINK ROAD,PASHAN 411021</t>
  </si>
  <si>
    <t>A/P RAJURI, KRUSHNKUNJ HOUSE NEAR RAJLAKSHMI BAZAR,KURAVALIPATI CHOWK RAJURI ,PUNE-PANDHARPUR ROAD,TAL-PHALTAN DIS-SATARA</t>
  </si>
  <si>
    <t>SHANTINIKETAN SEC. AND HIGH SEC. VIDYMANDIR SANGLI</t>
  </si>
  <si>
    <t>DR.CHANDRABHANU SONAVANE JUNIOR COLLEGE,UKKADGOAN,SOLAPUR</t>
  </si>
  <si>
    <t>SINHGAD COLLEGE OF ARCHITECTURE,VADGOAN</t>
  </si>
  <si>
    <t>AutoCAD,MS Office,MS Project,REVIT,SKETCHUP,LUMION,ENSCAPE,ArcGIS,CANVA</t>
  </si>
  <si>
    <t>BHANSALI &amp; ASSOCIATES | JUNIOR ARCHITECT | PUNE | Aug 2024 | Aug 2025 | 1Y 0M | 2.16</t>
  </si>
  <si>
    <t>All India Institute of Local Self-Government  | INTERN  | Pune | May 2026 | Jul 2026 | 9.7142857142857 Weeks | Campus Internship
UNITECTURE DESIGN SOLUTIONS | INTERN ARCHITECT | Pune | Jun 2023 | Nov 2023 | 24 Weeks</t>
  </si>
  <si>
    <t>AI and Disaster Management
Foundations of Project Management
The LAP Initiative</t>
  </si>
  <si>
    <t>P25704030</t>
  </si>
  <si>
    <t>NUPUR</t>
  </si>
  <si>
    <t>DETHE</t>
  </si>
  <si>
    <t>Nupur Rahul Dethe</t>
  </si>
  <si>
    <t>nupurdethe@gmail.com</t>
  </si>
  <si>
    <t>p25704030@student.nicmar.ac.in</t>
  </si>
  <si>
    <t>7447 7000 2048</t>
  </si>
  <si>
    <t>RAHUL ATMARAM DETHE</t>
  </si>
  <si>
    <t>EMPLOYEEAT WESTERN COAL MINES</t>
  </si>
  <si>
    <t>VAISHALI RAHUL DETHE</t>
  </si>
  <si>
    <t>Choriya Layout Behind Kalpana Marbles_x000D_
Rahul Dethe House</t>
  </si>
  <si>
    <t>MACAROON STUDENTS ACADEMY WADAGAON YAVATMAL</t>
  </si>
  <si>
    <t>SINHGAD COLLEGE OF ARCHITECTURE VADGAON PUNE</t>
  </si>
  <si>
    <t>National Institute of Urban Affairs  | Urban Planning Intern | Delhi | May 2026 | Jul 2026 | 8.7142857142857 Weeks | Campus Internship
Group Consultants | Intern Architect | Pune | Jul 2024 | Oct 2024 | 17.428571428571 Weeks</t>
  </si>
  <si>
    <t>P25704032</t>
  </si>
  <si>
    <t>APURV</t>
  </si>
  <si>
    <t>Apurv Rajesh Thakur</t>
  </si>
  <si>
    <t>apurv1603@gmail.com</t>
  </si>
  <si>
    <t>p25704032@student.nicmar.ac.in</t>
  </si>
  <si>
    <t>6599 0336 1008</t>
  </si>
  <si>
    <t>HOUSE NO.358, NEAR GANRAJ APPT, MAHATAVLI,NAGAON RD URAN, NEAR ONGC MAIN GATE, URAN, NAVI MUMBAI, 400702</t>
  </si>
  <si>
    <t>Near Vitthal Mandir, Bhendkhal At Post JNPT Uran Navi Mumbai</t>
  </si>
  <si>
    <t>URAN EDUCATION SOCIETY ENGLISH MEDIUM SCHOOL,URAN</t>
  </si>
  <si>
    <t>MAHARASHTRA STATE BOARD OF SECONDARY AND HIGHER SECONDARY EDUCATION MAHARASHTRA</t>
  </si>
  <si>
    <t>URAN EDUCATION SOCIETY ENGLISH MEDIUM SCHOOL &amp; JR. COLLEGE URAN</t>
  </si>
  <si>
    <t>ANJUMAN-I-ISLAM KALSEKAR TECHNICAL CAMPUS PANVEL, MAHARASHTRA</t>
  </si>
  <si>
    <t>AutoCAD,MS Office,GIS,Sktech up,Enscape,Photoshop</t>
  </si>
  <si>
    <t>Maharashtra State Road Development Corporation Limited  (MSRDC) | INTERN | Belapur,Navi Mumbai | May 2026 | Jul 2026 | 8.8571428571429 Weeks | Campus Internship
CITY AND INDUSTRIAL DEVELOPMENT CORPORATION (CIDCO) | ARCHITECTURAL INTERN | BELAPUR- NAVI MUMBAI | Dec 2022 | Apr 2023 | 18.571428571429 Weeks</t>
  </si>
  <si>
    <t>STRATEGIC MANAGEMENT OF PORT, SHIPPING, AND LOGISTICS ECOSYSTEMS</t>
  </si>
  <si>
    <t>P25704033</t>
  </si>
  <si>
    <t>WANKHADE</t>
  </si>
  <si>
    <t>Disha Atul Wankhade</t>
  </si>
  <si>
    <t>dishaawankhade3@gmail.com</t>
  </si>
  <si>
    <t>p25704033@student.nicmar.ac.in</t>
  </si>
  <si>
    <t>4347 1724 0559</t>
  </si>
  <si>
    <t>Niwara Construction, Vardhaman Nagar, Drawha- 445202, Dist.- Yavatmal</t>
  </si>
  <si>
    <t>JIJAMATA GIRLS HIGHSCHOOL, DARWHA- 445202, DIST.- YAVATMAL</t>
  </si>
  <si>
    <t>AMRAVATI BOARD, MAHARASHTRA</t>
  </si>
  <si>
    <t>SHRI. SHIVAJI JUNIOR COLLEGE, DARWHA- 445202, DIST.- YAVATMAL</t>
  </si>
  <si>
    <t>SINHGAD COLLEGE OF ARCHITECTURE, PUNE</t>
  </si>
  <si>
    <t>AutoCAD,MS Office,ArcGIS,Photoshop,Indesign</t>
  </si>
  <si>
    <t>Designshala Collaborative | Urban Planning Intern | Pune | May 2026 | Jun 2026 | 7.7142857142857 Weeks | Campus Internship
Ignitus Architectural Studio | Architectural Intern | Ahmedabad | Jul 2024 | Nov 2024 | 21.714285714286 Weeks</t>
  </si>
  <si>
    <t>P25704034</t>
  </si>
  <si>
    <t>AAYUSHI</t>
  </si>
  <si>
    <t>ANANTA</t>
  </si>
  <si>
    <t>NANDANWAR</t>
  </si>
  <si>
    <t>Aayushi Ananta Nandanwar</t>
  </si>
  <si>
    <t>aayu262001@gmail.com</t>
  </si>
  <si>
    <t>p25704034@student.nicmar.ac.in</t>
  </si>
  <si>
    <t>26-Oct-2001</t>
  </si>
  <si>
    <t>4898 2527 3992</t>
  </si>
  <si>
    <t>ANANTA NANDANWAR</t>
  </si>
  <si>
    <t>RETIRED CLERK</t>
  </si>
  <si>
    <t>ANITA NANDANWAR</t>
  </si>
  <si>
    <t>Plot No.01, Mahavir Colony, Tirora Road, Kudwa, Gondia-441614</t>
  </si>
  <si>
    <t>GUJARATI NATIONAL HIGH SCHOOL, GONDIA</t>
  </si>
  <si>
    <t>S.M. PATEL JUNIOR COLLEGE, GONDIA</t>
  </si>
  <si>
    <t>DR. D.Y. PATIL COLLEGE OF ARCHITECTURE, AKURDI, PUNE</t>
  </si>
  <si>
    <t>AutoCAD,MS Office,MS Project,SketchUp,Lumion,Procreate,Photoshop,Enscape,Revit,ArcGIS</t>
  </si>
  <si>
    <t>TOWN PLANNING AND VALUATION DEPARTMENT, PUNE | Urban Planning Intern | Pune | May 2026 | Jun 2026 | 8 Weeks | Campus Internship
ORIGIN ASSOCIATES | Architecture Firm | BALEWADI, PUNE | Jun 2024 | Nov 2024 | 21.857142857143 Weeks</t>
  </si>
  <si>
    <t>Software Courses
UX/UI Design Course</t>
  </si>
  <si>
    <t>P25704035</t>
  </si>
  <si>
    <t>BURUNGALE</t>
  </si>
  <si>
    <t>Rushikesh Vinod Burungale</t>
  </si>
  <si>
    <t>rushikeshburungale9913@gmail.com</t>
  </si>
  <si>
    <t>p25704035@student.nicmar.ac.in</t>
  </si>
  <si>
    <t>2028 6131 7665</t>
  </si>
  <si>
    <t>VINOD BURUNGALE</t>
  </si>
  <si>
    <t>RATNAPRABHA BURUNGALE</t>
  </si>
  <si>
    <t>Shivnagar, Malegaon Bk, Baramati, Pune</t>
  </si>
  <si>
    <t>SHARDABAI PAWAR VIDYALAYA, SHIV NAGAR, MALEGAON BK, BARAMATI, PUNE</t>
  </si>
  <si>
    <t>MAHARASHTRA STATE BOARD FOR SECONDARY AND HIGHER SECONDARY EDUCATION, PUNE</t>
  </si>
  <si>
    <t>VIDYA PRATISHTHAN'S ART, SCIENCE, COMMERCE COLLEGE, BARAMATI</t>
  </si>
  <si>
    <t>AutoCAD,MS Office,MS Project,Sketchup,Lumion,Photoshop,Revit,VRay,Enscape,ArcGIS</t>
  </si>
  <si>
    <t>Mahesh Jarad Associates | Junior Draftsman | Baramati | Jul 2018 | Jun 2019 | 0Y 11M | 1.2
Awishkar Architects | Assistant Architect | Baramati | Jun 2024 | Jun 2025 | 1Y 0M | 3</t>
  </si>
  <si>
    <t>TOWN PLANNING AND VALUATION DEPARTMENT, PUNE | Urban Planning Intern | Pune | May 2026 | Jun 2026 | 8 Weeks | Campus Internship
AJ Architects and Interior Designers Private Limited | Architectural Firm | Erandawane, Pune | Jun 2023 | Oct 2023 | 19 Weeks</t>
  </si>
  <si>
    <t>NPTEL- Introduction to Urban Planning
Software Courses
Computer-aided Design Course</t>
  </si>
  <si>
    <t>P25704036</t>
  </si>
  <si>
    <t>MAHENDRAKUMAR</t>
  </si>
  <si>
    <t>AYYER</t>
  </si>
  <si>
    <t>Divya Mahendrakumar Ayyer</t>
  </si>
  <si>
    <t>ayyerdivi15@gmail.com</t>
  </si>
  <si>
    <t>p25704036@student.nicmar.ac.in</t>
  </si>
  <si>
    <t>28-May-2002</t>
  </si>
  <si>
    <t>2093 5777 8103</t>
  </si>
  <si>
    <t>MAHENDRA KUMAR AYYER</t>
  </si>
  <si>
    <t>JYOTI M. AYYER</t>
  </si>
  <si>
    <t>C/o Grishma Yadav, Hingna Road ,opp. Balode Layout, Akola</t>
  </si>
  <si>
    <t>CENTRAL BOARD OF SECONDARY EDUCATION , AKOLA, MAHARASTRA</t>
  </si>
  <si>
    <t>MOUNT CARMEL HIGHER SECONDARY SCHOOL</t>
  </si>
  <si>
    <t>BHANUBEN NANAVATI COLLEGE COLLEGE OF ARCHITECTURE</t>
  </si>
  <si>
    <t>AutoCAD,MS Office,Sketchup,photoshop,revit</t>
  </si>
  <si>
    <t>Designshala Collaborative | Urban Planning Intern  | Pune | May 2026 | Jul 2026 | 8.7142857142857 Weeks | Campus Internship
N H ARCHITECTS | ARCHITECTURAL INTERN | AHMEDABAD | Jun 2024 | Dec 2024 | 28 Weeks</t>
  </si>
  <si>
    <t>P25704038</t>
  </si>
  <si>
    <t>Abhishek Arun Patil</t>
  </si>
  <si>
    <t>patilabhishekarun@gmail.com</t>
  </si>
  <si>
    <t>p25704038@student.nicmar.ac.in</t>
  </si>
  <si>
    <t>5228 7523 2164</t>
  </si>
  <si>
    <t>ARUN SHANKAR PATIL</t>
  </si>
  <si>
    <t>MEGHA ARUN PATIL</t>
  </si>
  <si>
    <t>Kegaon Bazarpur Uran 400702</t>
  </si>
  <si>
    <t>URAN EDUCATION SOCIETY ENGLISH MEDIUM SCHOOL</t>
  </si>
  <si>
    <t>URAN EDUCATION SOCIETY ENGLISH MEDIUM SCHOOL &amp; JUNIOR COLLEGE</t>
  </si>
  <si>
    <t>VISHWANIKETAN COLLEGE OF ARCHITECTURE</t>
  </si>
  <si>
    <t>AutoCAD,MS Office,SKETCHUP,REVIT,GIS,ENSCAPE,VRAY,LUMION</t>
  </si>
  <si>
    <t>CITY AND INDUSTRIAL DEVELOPMENT CORPORATION OF MAHARASHTRA LIMITED  | Intern | Belapur, Navi Mumbai | May 2026 | Jul 2026 | 8.5714285714286 Weeks | Campus Internship
CITY  AND INSUSTRIAL DEVELOPMENT CORPORATION (CIDCO) | ARCHITECTURAL INTERN  | BELAPUR  | Nov 2023 | Feb 2024 | 15.714285714286 Weeks</t>
  </si>
  <si>
    <t>P25704003</t>
  </si>
  <si>
    <t>P25704003@student.nicmar.ac.in</t>
  </si>
  <si>
    <t>P26704001</t>
  </si>
  <si>
    <t>P26704001@student.nicmar.ac.in</t>
  </si>
  <si>
    <t>P26704002</t>
  </si>
  <si>
    <t>P26704002@student.nicmar.ac.in</t>
  </si>
  <si>
    <t>P26704003</t>
  </si>
  <si>
    <t>P26704003@student.nicmar.ac.in</t>
  </si>
  <si>
    <t>P26704004</t>
  </si>
  <si>
    <t>P26704004@student.nicmar.ac.in</t>
  </si>
  <si>
    <t>P26704005</t>
  </si>
  <si>
    <t>P26704005@student.nicmar.ac.in</t>
  </si>
  <si>
    <t>P26704006</t>
  </si>
  <si>
    <t>P26704006@student.nicmar.ac.in</t>
  </si>
  <si>
    <t>P26704007</t>
  </si>
  <si>
    <t>P26704007@student.nicmar.ac.in</t>
  </si>
  <si>
    <t>P26704008</t>
  </si>
  <si>
    <t>P26704008@student.nicmar.ac.in</t>
  </si>
  <si>
    <t>P26704009</t>
  </si>
  <si>
    <t>P26704009@student.nicmar.ac.in</t>
  </si>
  <si>
    <t>P26704010</t>
  </si>
  <si>
    <t>P26704010@student.nicmar.ac.in</t>
  </si>
  <si>
    <t>P26704011</t>
  </si>
  <si>
    <t>P26704011@student.nicmar.ac.in</t>
  </si>
  <si>
    <t>P26704012</t>
  </si>
  <si>
    <t>P26704012@student.nicmar.ac.in</t>
  </si>
  <si>
    <t>P26704013</t>
  </si>
  <si>
    <t>P26704013@student.nicmar.ac.in</t>
  </si>
  <si>
    <t>P26704014</t>
  </si>
  <si>
    <t>P26704014@student.nicmar.ac.in</t>
  </si>
  <si>
    <t>P26704015</t>
  </si>
  <si>
    <t>P26704015@student.nicmar.ac.in</t>
  </si>
  <si>
    <t>P26704016</t>
  </si>
  <si>
    <t>P26704016@student.nicmar.ac.in</t>
  </si>
  <si>
    <t>P26704017</t>
  </si>
  <si>
    <t>P26704017@student.nicmar.ac.in</t>
  </si>
  <si>
    <t>P26704018</t>
  </si>
  <si>
    <t>P26704018@student.nicmar.ac.in</t>
  </si>
  <si>
    <t>P26704019</t>
  </si>
  <si>
    <t>P26704019@student.nicmar.ac.in</t>
  </si>
  <si>
    <t>P26704020</t>
  </si>
  <si>
    <t>P26704020@student.nicmar.ac.in</t>
  </si>
  <si>
    <t>P26704021</t>
  </si>
  <si>
    <t>P26704021@student.nicmar.ac.in</t>
  </si>
  <si>
    <t>P26704022</t>
  </si>
  <si>
    <t>P26704022@student.nicmar.ac.in</t>
  </si>
  <si>
    <t>P26704023</t>
  </si>
  <si>
    <t>P26704023@student.nicmar.ac.in</t>
  </si>
  <si>
    <t>P26704024</t>
  </si>
  <si>
    <t>P26704024@student.nicmar.ac.in</t>
  </si>
  <si>
    <t>P26704025</t>
  </si>
  <si>
    <t>P26704025@student.nicmar.ac.in</t>
  </si>
  <si>
    <t>P26704026</t>
  </si>
  <si>
    <t>P26704026@student.nicmar.ac.in</t>
  </si>
  <si>
    <t>P26704027</t>
  </si>
  <si>
    <t>P26704027@student.nicmar.ac.in</t>
  </si>
  <si>
    <t>P26704028</t>
  </si>
  <si>
    <t>P26704028@student.nicmar.ac.in</t>
  </si>
  <si>
    <t>P26704029</t>
  </si>
  <si>
    <t>P26704029@student.nicmar.ac.in</t>
  </si>
  <si>
    <t>P26704030</t>
  </si>
  <si>
    <t>P26704030@student.nicmar.ac.in</t>
  </si>
  <si>
    <t>P26704031</t>
  </si>
  <si>
    <t>P26704031@student.nicmar.ac.in</t>
  </si>
  <si>
    <t>P26704032</t>
  </si>
  <si>
    <t>P26704032@student.nicmar.ac.in</t>
  </si>
  <si>
    <t>P26704033</t>
  </si>
  <si>
    <t>P26704033@student.nicmar.ac.in</t>
  </si>
  <si>
    <t>P26704035</t>
  </si>
  <si>
    <t>P26704035@student.nicmar.ac.in</t>
  </si>
  <si>
    <t>P26704036</t>
  </si>
  <si>
    <t>P26704036@student.nicmar.ac.in</t>
  </si>
  <si>
    <t>P2373007</t>
  </si>
  <si>
    <t>p2373007@student.nicmar.ac.in</t>
  </si>
  <si>
    <t>P26703001</t>
  </si>
  <si>
    <t>P26703001@student.nicmar.ac.in</t>
  </si>
  <si>
    <t>P26703002</t>
  </si>
  <si>
    <t>P26703002@student.nicmar.ac.in</t>
  </si>
  <si>
    <t>P26703003</t>
  </si>
  <si>
    <t>P26703003@student.nicmar.ac.in</t>
  </si>
  <si>
    <t>P26703004</t>
  </si>
  <si>
    <t>P26703004@student.nicmar.ac.in</t>
  </si>
  <si>
    <t>P26703005</t>
  </si>
  <si>
    <t>P26703005@student.nicmar.ac.in</t>
  </si>
  <si>
    <t>P26703006</t>
  </si>
  <si>
    <t>P26703006@student.nicmar.ac.in</t>
  </si>
  <si>
    <t>P26703007</t>
  </si>
  <si>
    <t>P26703007@student.nicmar.ac.in</t>
  </si>
  <si>
    <t>P26703009</t>
  </si>
  <si>
    <t>P26703009@student.nicmar.ac.in</t>
  </si>
  <si>
    <t>P26703010</t>
  </si>
  <si>
    <t>P26703010@student.nicmar.ac.in</t>
  </si>
  <si>
    <t>P26703011</t>
  </si>
  <si>
    <t>P26703011@student.nicmar.ac.in</t>
  </si>
  <si>
    <t>P26703012</t>
  </si>
  <si>
    <t>P26703012@student.nicmar.ac.in</t>
  </si>
  <si>
    <t>P26703013</t>
  </si>
  <si>
    <t>P26703013@student.nicmar.ac.in</t>
  </si>
  <si>
    <t>P26703014</t>
  </si>
  <si>
    <t>P26703014@student.nicmar.ac.in</t>
  </si>
  <si>
    <t>P26703015</t>
  </si>
  <si>
    <t>P26703015@student.nicmar.ac.in</t>
  </si>
  <si>
    <t>P26703016</t>
  </si>
  <si>
    <t>P26703016@student.nicmar.ac.in</t>
  </si>
  <si>
    <t>P26703017</t>
  </si>
  <si>
    <t>P26703017@student.nicmar.ac.in</t>
  </si>
  <si>
    <t>P26703019</t>
  </si>
  <si>
    <t>P26703019@student.nicmar.ac.in</t>
  </si>
  <si>
    <t>P26703020</t>
  </si>
  <si>
    <t>P26703020@student.nicmar.ac.in</t>
  </si>
  <si>
    <t>P26703021</t>
  </si>
  <si>
    <t>P26703021@student.nicmar.ac.in</t>
  </si>
  <si>
    <t>P26703022</t>
  </si>
  <si>
    <t>P26703022@student.nicmar.ac.in</t>
  </si>
  <si>
    <t>P26703023</t>
  </si>
  <si>
    <t>P26703023@student.nicmar.ac.in</t>
  </si>
  <si>
    <t>P26703024</t>
  </si>
  <si>
    <t>P26703024@student.nicmar.ac.in</t>
  </si>
  <si>
    <t>P26703025</t>
  </si>
  <si>
    <t>P26703025@student.nicmar.ac.in</t>
  </si>
  <si>
    <t>P26703026</t>
  </si>
  <si>
    <t>P26703026@student.nicmar.ac.in</t>
  </si>
  <si>
    <t>P26703027</t>
  </si>
  <si>
    <t>P26703027@student.nicmar.ac.in</t>
  </si>
  <si>
    <t>P26703028</t>
  </si>
  <si>
    <t>P26703028@student.nicmar.ac.in</t>
  </si>
  <si>
    <t>P26703031</t>
  </si>
  <si>
    <t>P26703031@student.nicmar.ac.in</t>
  </si>
  <si>
    <t>P26703032</t>
  </si>
  <si>
    <t>P26703032@student.nicmar.ac.in</t>
  </si>
  <si>
    <t>P26703033</t>
  </si>
  <si>
    <t>P26703033@student.nicmar.ac.in</t>
  </si>
  <si>
    <t>P26703034</t>
  </si>
  <si>
    <t>P26703034@student.nicmar.ac.in</t>
  </si>
  <si>
    <t>P26703035</t>
  </si>
  <si>
    <t>P26703035@student.nicmar.ac.in</t>
  </si>
  <si>
    <t>P26703036</t>
  </si>
  <si>
    <t>P26703036@student.nicmar.ac.in</t>
  </si>
  <si>
    <t>P26703037</t>
  </si>
  <si>
    <t>P26703037@student.nicmar.ac.in</t>
  </si>
  <si>
    <t>P26703038</t>
  </si>
  <si>
    <t>P26703038@student.nicmar.ac.in</t>
  </si>
  <si>
    <t>P26703040</t>
  </si>
  <si>
    <t>P26703040@student.nicmar.ac.in</t>
  </si>
  <si>
    <t>P26703041</t>
  </si>
  <si>
    <t>P26703041@student.nicmar.ac.in</t>
  </si>
  <si>
    <t>P26703042</t>
  </si>
  <si>
    <t>P26703042@student.nicmar.ac.in</t>
  </si>
  <si>
    <t>P26703043</t>
  </si>
  <si>
    <t>P26703043@student.nicmar.ac.in</t>
  </si>
  <si>
    <t>P26703044</t>
  </si>
  <si>
    <t>P26703044@student.nicmar.ac.in</t>
  </si>
  <si>
    <t>P26703045</t>
  </si>
  <si>
    <t>P26703045@student.nicmar.ac.in</t>
  </si>
  <si>
    <t>P26703046</t>
  </si>
  <si>
    <t>P26703046@student.nicmar.ac.in</t>
  </si>
  <si>
    <t>P26703047</t>
  </si>
  <si>
    <t>P26703047@student.nicmar.ac.in</t>
  </si>
  <si>
    <t>P26703048</t>
  </si>
  <si>
    <t>P26703048@student.nicmar.ac.in</t>
  </si>
  <si>
    <t>P26703049</t>
  </si>
  <si>
    <t>P26703049@student.nicmar.ac.in</t>
  </si>
  <si>
    <t>P26703050</t>
  </si>
  <si>
    <t>P26703050@student.nicmar.ac.in</t>
  </si>
  <si>
    <t>P26703051</t>
  </si>
  <si>
    <t>P26703051@student.nicmar.ac.in</t>
  </si>
  <si>
    <t>P26703052</t>
  </si>
  <si>
    <t>P26703052@student.nicmar.ac.in</t>
  </si>
  <si>
    <t>P26703054</t>
  </si>
  <si>
    <t>P26703054@student.nicmar.ac.in</t>
  </si>
  <si>
    <t>P26703055</t>
  </si>
  <si>
    <t>P26703055@student.nicmar.ac.in</t>
  </si>
  <si>
    <t>P26703056</t>
  </si>
  <si>
    <t>P26703056@student.nicmar.ac.in</t>
  </si>
  <si>
    <t>P26703057</t>
  </si>
  <si>
    <t>P26703057@student.nicmar.ac.in</t>
  </si>
  <si>
    <t>P26703058</t>
  </si>
  <si>
    <t>P26703058@student.nicmar.ac.in</t>
  </si>
  <si>
    <t>P26703059</t>
  </si>
  <si>
    <t>P26703059@student.nicmar.ac.in</t>
  </si>
  <si>
    <t>P26703060</t>
  </si>
  <si>
    <t>Shaikh</t>
  </si>
  <si>
    <t>MohammedAdil</t>
  </si>
  <si>
    <t>MohammedAiyub</t>
  </si>
  <si>
    <t>Shaikh Mohammedadil Mohammedaiyub</t>
  </si>
  <si>
    <t>P26703060@student.nicmar.ac.in</t>
  </si>
  <si>
    <t>09-Jun-2006</t>
  </si>
  <si>
    <t>Hindi, English, Gujarati</t>
  </si>
  <si>
    <t>Exploring new things to learn</t>
  </si>
  <si>
    <t>Aiyub shaikh</t>
  </si>
  <si>
    <t>Contractor</t>
  </si>
  <si>
    <t>Najma Shaikh</t>
  </si>
  <si>
    <t>42/A, Chirag park, bombay hotel, danilimda road</t>
  </si>
  <si>
    <t>Markaz Public School</t>
  </si>
  <si>
    <t>NCERT</t>
  </si>
  <si>
    <t>Nelson's High School</t>
  </si>
  <si>
    <t>JG University</t>
  </si>
  <si>
    <t>JG University Ahmedabad</t>
  </si>
  <si>
    <t>2026-Jun</t>
  </si>
  <si>
    <t>no</t>
  </si>
  <si>
    <t>21 Days PPT With AI Micro Course
Excel</t>
  </si>
  <si>
    <t>P26703061</t>
  </si>
  <si>
    <t>P26703061@student.nicmar.ac.in</t>
  </si>
  <si>
    <t>P26703062</t>
  </si>
  <si>
    <t>P26703062@student.nicmar.ac.in</t>
  </si>
  <si>
    <t>P26703063</t>
  </si>
  <si>
    <t>P26703063@student.nicmar.ac.in</t>
  </si>
  <si>
    <t>P26703064</t>
  </si>
  <si>
    <t>P26703064@student.nicmar.ac.in</t>
  </si>
  <si>
    <t>P26703065</t>
  </si>
  <si>
    <t>P26703065@student.nicmar.ac.in</t>
  </si>
  <si>
    <t>P26703066</t>
  </si>
  <si>
    <t>P26703066@student.nicmar.ac.in</t>
  </si>
  <si>
    <t>P26703067</t>
  </si>
  <si>
    <t>P26703067@student.nicmar.ac.in</t>
  </si>
  <si>
    <t>P26703068</t>
  </si>
  <si>
    <t>P26703068@student.nicmar.ac.in</t>
  </si>
  <si>
    <t>P26703069</t>
  </si>
  <si>
    <t>P26703069@student.nicmar.ac.in</t>
  </si>
  <si>
    <t>P26703070</t>
  </si>
  <si>
    <t>P26703070@student.nicmar.ac.in</t>
  </si>
  <si>
    <t>P26703071</t>
  </si>
  <si>
    <t>P26703071@student.nicmar.ac.in</t>
  </si>
  <si>
    <t>P26703072</t>
  </si>
  <si>
    <t>P26703072@student.nicmar.ac.in</t>
  </si>
  <si>
    <t>P26706001</t>
  </si>
  <si>
    <t>P26706001@student.nicmar.ac.in</t>
  </si>
  <si>
    <t>P26706002</t>
  </si>
  <si>
    <t xml:space="preserve">Mohd </t>
  </si>
  <si>
    <t xml:space="preserve">Ozair </t>
  </si>
  <si>
    <t>Khan</t>
  </si>
  <si>
    <t>Mohd  Ozair  Khan</t>
  </si>
  <si>
    <t>P26706002@student.nicmar.ac.in</t>
  </si>
  <si>
    <t>27-Jul-2003</t>
  </si>
  <si>
    <t>Cycling,Swimming,Reading of Holy books</t>
  </si>
  <si>
    <t xml:space="preserve">Museeb Husain Khan </t>
  </si>
  <si>
    <t xml:space="preserve">Service </t>
  </si>
  <si>
    <t>Mehraj Khan</t>
  </si>
  <si>
    <t xml:space="preserve">201,Mina Cntr Bldg,Ahmad zakaria nagar A.K.Marg Bandra East Mumbai-51 </t>
  </si>
  <si>
    <t>P26706003</t>
  </si>
  <si>
    <t>P26706003@student.nicmar.ac.in</t>
  </si>
  <si>
    <t>P26706004</t>
  </si>
  <si>
    <t>P26706004@student.nicmar.ac.in</t>
  </si>
  <si>
    <t>P26706005</t>
  </si>
  <si>
    <t>P26706005@student.nicmar.ac.in</t>
  </si>
  <si>
    <t>P26706006</t>
  </si>
  <si>
    <t>P26706006@student.nicmar.ac.in</t>
  </si>
  <si>
    <t>P26706007</t>
  </si>
  <si>
    <t>P26706007@student.nicmar.ac.in</t>
  </si>
  <si>
    <t>P26706008</t>
  </si>
  <si>
    <t>P26706008@student.nicmar.ac.in</t>
  </si>
  <si>
    <t>P26706009</t>
  </si>
  <si>
    <t>P26706009@student.nicmar.ac.in</t>
  </si>
  <si>
    <t>P26706010</t>
  </si>
  <si>
    <t>P26706010@student.nicmar.ac.in</t>
  </si>
  <si>
    <t>P26706011</t>
  </si>
  <si>
    <t>P26706011@student.nicmar.ac.in</t>
  </si>
  <si>
    <t>P26706012</t>
  </si>
  <si>
    <t>P26706012@student.nicmar.ac.in</t>
  </si>
  <si>
    <t>P26706013</t>
  </si>
  <si>
    <t>P26706013@student.nicmar.ac.in</t>
  </si>
  <si>
    <t>P26706014</t>
  </si>
  <si>
    <t>P26706014@student.nicmar.ac.in</t>
  </si>
  <si>
    <t>P26706015</t>
  </si>
  <si>
    <t>P26706015@student.nicmar.ac.in</t>
  </si>
  <si>
    <t>P26706016</t>
  </si>
  <si>
    <t>P26706016@student.nicmar.ac.in</t>
  </si>
  <si>
    <t>P26706017</t>
  </si>
  <si>
    <t>P26706017@student.nicmar.ac.in</t>
  </si>
  <si>
    <t>P26706018</t>
  </si>
  <si>
    <t>P26706018@student.nicmar.ac.in</t>
  </si>
  <si>
    <t>P26702001</t>
  </si>
  <si>
    <t>P26702001@student.nicmar.ac.in</t>
  </si>
  <si>
    <t>P26702002</t>
  </si>
  <si>
    <t>P26702002@student.nicmar.ac.in</t>
  </si>
  <si>
    <t>P26702003</t>
  </si>
  <si>
    <t>P26702003@student.nicmar.ac.in</t>
  </si>
  <si>
    <t>P26702004</t>
  </si>
  <si>
    <t>P26702004@student.nicmar.ac.in</t>
  </si>
  <si>
    <t>P26702005</t>
  </si>
  <si>
    <t>P26702005@student.nicmar.ac.in</t>
  </si>
  <si>
    <t>P26702006</t>
  </si>
  <si>
    <t>P26702006@student.nicmar.ac.in</t>
  </si>
  <si>
    <t>P26702007</t>
  </si>
  <si>
    <t>P26702007@student.nicmar.ac.in</t>
  </si>
  <si>
    <t>P26702008</t>
  </si>
  <si>
    <t>P26702008@student.nicmar.ac.in</t>
  </si>
  <si>
    <t>P26702009</t>
  </si>
  <si>
    <t>P26702009@student.nicmar.ac.in</t>
  </si>
  <si>
    <t>P26702010</t>
  </si>
  <si>
    <t>P26702010@student.nicmar.ac.in</t>
  </si>
  <si>
    <t>P26702011</t>
  </si>
  <si>
    <t>P26702011@student.nicmar.ac.in</t>
  </si>
  <si>
    <t>P26702012</t>
  </si>
  <si>
    <t>P26702012@student.nicmar.ac.in</t>
  </si>
  <si>
    <t>P26702013</t>
  </si>
  <si>
    <t>P26702013@student.nicmar.ac.in</t>
  </si>
  <si>
    <t>P26702014</t>
  </si>
  <si>
    <t>P26702014@student.nicmar.ac.in</t>
  </si>
  <si>
    <t>P26702015</t>
  </si>
  <si>
    <t>P26702015@student.nicmar.ac.in</t>
  </si>
  <si>
    <t>P26702016</t>
  </si>
  <si>
    <t>P26702016@student.nicmar.ac.in</t>
  </si>
  <si>
    <t>P26702017</t>
  </si>
  <si>
    <t>P26702017@student.nicmar.ac.in</t>
  </si>
  <si>
    <t>P26702018</t>
  </si>
  <si>
    <t>P26702018@student.nicmar.ac.in</t>
  </si>
  <si>
    <t>P26702019</t>
  </si>
  <si>
    <t>P26702019@student.nicmar.ac.in</t>
  </si>
  <si>
    <t>P26702020</t>
  </si>
  <si>
    <t>P26702020@student.nicmar.ac.in</t>
  </si>
  <si>
    <t>P26702021</t>
  </si>
  <si>
    <t>P26702021@student.nicmar.ac.in</t>
  </si>
  <si>
    <t>P26702022</t>
  </si>
  <si>
    <t>P26702022@student.nicmar.ac.in</t>
  </si>
  <si>
    <t>P26702023</t>
  </si>
  <si>
    <t>P26702023@student.nicmar.ac.in</t>
  </si>
  <si>
    <t>P26702024</t>
  </si>
  <si>
    <t>P26702024@student.nicmar.ac.in</t>
  </si>
  <si>
    <t>P26702025</t>
  </si>
  <si>
    <t>P26702025@student.nicmar.ac.in</t>
  </si>
  <si>
    <t>P26702026</t>
  </si>
  <si>
    <t>P26702026@student.nicmar.ac.in</t>
  </si>
  <si>
    <t>P26702027</t>
  </si>
  <si>
    <t>P26702027@student.nicmar.ac.in</t>
  </si>
  <si>
    <t>P26702028</t>
  </si>
  <si>
    <t>P26702028@student.nicmar.ac.in</t>
  </si>
  <si>
    <t>P26702029</t>
  </si>
  <si>
    <t>P26702029@student.nicmar.ac.in</t>
  </si>
  <si>
    <t>P26702030</t>
  </si>
  <si>
    <t>P26702030@student.nicmar.ac.in</t>
  </si>
  <si>
    <t>P26702031</t>
  </si>
  <si>
    <t>P26702031@student.nicmar.ac.in</t>
  </si>
  <si>
    <t>P26702032</t>
  </si>
  <si>
    <t>P26702032@student.nicmar.ac.in</t>
  </si>
  <si>
    <t>P26702033</t>
  </si>
  <si>
    <t>P26702033@student.nicmar.ac.in</t>
  </si>
  <si>
    <t>P26702034</t>
  </si>
  <si>
    <t>P26702034@student.nicmar.ac.in</t>
  </si>
  <si>
    <t>P26702035</t>
  </si>
  <si>
    <t>P26702035@student.nicmar.ac.in</t>
  </si>
  <si>
    <t>P26702036</t>
  </si>
  <si>
    <t>P26702036@student.nicmar.ac.in</t>
  </si>
  <si>
    <t>P26702037</t>
  </si>
  <si>
    <t>P26702037@student.nicmar.ac.in</t>
  </si>
  <si>
    <t>P26702038</t>
  </si>
  <si>
    <t>P26702038@student.nicmar.ac.in</t>
  </si>
  <si>
    <t>P26702039</t>
  </si>
  <si>
    <t>P26702039@student.nicmar.ac.in</t>
  </si>
  <si>
    <t>P26702040</t>
  </si>
  <si>
    <t>P26702040@student.nicmar.ac.in</t>
  </si>
  <si>
    <t>P26702041</t>
  </si>
  <si>
    <t>P26702041@student.nicmar.ac.in</t>
  </si>
  <si>
    <t>P26702042</t>
  </si>
  <si>
    <t>P26702042@student.nicmar.ac.in</t>
  </si>
  <si>
    <t>P26702043</t>
  </si>
  <si>
    <t>P26702043@student.nicmar.ac.in</t>
  </si>
  <si>
    <t>P26702044</t>
  </si>
  <si>
    <t>P26702044@student.nicmar.ac.in</t>
  </si>
  <si>
    <t>P26702045</t>
  </si>
  <si>
    <t>P26702045@student.nicmar.ac.in</t>
  </si>
  <si>
    <t>P26702046</t>
  </si>
  <si>
    <t>P26702046@student.nicmar.ac.in</t>
  </si>
  <si>
    <t>P26702047</t>
  </si>
  <si>
    <t>P26702047@student.nicmar.ac.in</t>
  </si>
  <si>
    <t>P26702048</t>
  </si>
  <si>
    <t>P26702048@student.nicmar.ac.in</t>
  </si>
  <si>
    <t>P26702049</t>
  </si>
  <si>
    <t>P26702049@student.nicmar.ac.in</t>
  </si>
  <si>
    <t>P26702050</t>
  </si>
  <si>
    <t>P26702050@student.nicmar.ac.in</t>
  </si>
  <si>
    <t>P26702051</t>
  </si>
  <si>
    <t>P26702051@student.nicmar.ac.in</t>
  </si>
  <si>
    <t>P26702052</t>
  </si>
  <si>
    <t>P26702052@student.nicmar.ac.in</t>
  </si>
  <si>
    <t>P26702053</t>
  </si>
  <si>
    <t>P26702053@student.nicmar.ac.in</t>
  </si>
  <si>
    <t>P26702054</t>
  </si>
  <si>
    <t>P26702054@student.nicmar.ac.in</t>
  </si>
  <si>
    <t>P26702055</t>
  </si>
  <si>
    <t>P26702055@student.nicmar.ac.in</t>
  </si>
  <si>
    <t>P26702056</t>
  </si>
  <si>
    <t>P26702056@student.nicmar.ac.in</t>
  </si>
  <si>
    <t>P26702057</t>
  </si>
  <si>
    <t>P26702057@student.nicmar.ac.in</t>
  </si>
  <si>
    <t>P26702058</t>
  </si>
  <si>
    <t>P26702058@student.nicmar.ac.in</t>
  </si>
  <si>
    <t>P26702059</t>
  </si>
  <si>
    <t>P26702059@student.nicmar.ac.in</t>
  </si>
  <si>
    <t>P26702060</t>
  </si>
  <si>
    <t>P26702060@student.nicmar.ac.in</t>
  </si>
  <si>
    <t>P26702061</t>
  </si>
  <si>
    <t>P26702061@student.nicmar.ac.in</t>
  </si>
  <si>
    <t>P26702063</t>
  </si>
  <si>
    <t>P26702063@student.nicmar.ac.in</t>
  </si>
  <si>
    <t>P26702064</t>
  </si>
  <si>
    <t>P26702064@student.nicmar.ac.in</t>
  </si>
  <si>
    <t>P26702065</t>
  </si>
  <si>
    <t>P26702065@student.nicmar.ac.in</t>
  </si>
  <si>
    <t>P26702066</t>
  </si>
  <si>
    <t>P26702066@student.nicmar.ac.in</t>
  </si>
  <si>
    <t>P26702067</t>
  </si>
  <si>
    <t>P26702067@student.nicmar.ac.in</t>
  </si>
  <si>
    <t>P26702068</t>
  </si>
  <si>
    <t>P26702068@student.nicmar.ac.in</t>
  </si>
  <si>
    <t>P26702069</t>
  </si>
  <si>
    <t>P26702069@student.nicmar.ac.in</t>
  </si>
  <si>
    <t>P26702071</t>
  </si>
  <si>
    <t>P26702071@student.nicmar.ac.in</t>
  </si>
  <si>
    <t>P26702072</t>
  </si>
  <si>
    <t>P26702072@student.nicmar.ac.in</t>
  </si>
  <si>
    <t>P26702073</t>
  </si>
  <si>
    <t>P26702073@student.nicmar.ac.in</t>
  </si>
  <si>
    <t>P26702074</t>
  </si>
  <si>
    <t>P26702074@student.nicmar.ac.in</t>
  </si>
  <si>
    <t>P26702075</t>
  </si>
  <si>
    <t>P26702075@student.nicmar.ac.in</t>
  </si>
  <si>
    <t>P26702076</t>
  </si>
  <si>
    <t>P26702076@student.nicmar.ac.in</t>
  </si>
  <si>
    <t>P26702077</t>
  </si>
  <si>
    <t>P26702077@student.nicmar.ac.in</t>
  </si>
  <si>
    <t>P26702078</t>
  </si>
  <si>
    <t>P26702078@student.nicmar.ac.in</t>
  </si>
  <si>
    <t>P26702079</t>
  </si>
  <si>
    <t>P26702079@student.nicmar.ac.in</t>
  </si>
  <si>
    <t>P26702080</t>
  </si>
  <si>
    <t>P26702080@student.nicmar.ac.in</t>
  </si>
  <si>
    <t>P26702081</t>
  </si>
  <si>
    <t>P26702081@student.nicmar.ac.in</t>
  </si>
  <si>
    <t>P26702082</t>
  </si>
  <si>
    <t>P26702082@student.nicmar.ac.in</t>
  </si>
  <si>
    <t>P26702084</t>
  </si>
  <si>
    <t>P26702084@student.nicmar.ac.in</t>
  </si>
  <si>
    <t>P26702085</t>
  </si>
  <si>
    <t>P26702085@student.nicmar.ac.in</t>
  </si>
  <si>
    <t>P26702086</t>
  </si>
  <si>
    <t>P26702086@student.nicmar.ac.in</t>
  </si>
  <si>
    <t>P26702087</t>
  </si>
  <si>
    <t>P26702087@student.nicmar.ac.in</t>
  </si>
  <si>
    <t>P26702088</t>
  </si>
  <si>
    <t>P26702088@student.nicmar.ac.in</t>
  </si>
  <si>
    <t>P26702089</t>
  </si>
  <si>
    <t>P26702089@student.nicmar.ac.in</t>
  </si>
  <si>
    <t>P26702090</t>
  </si>
  <si>
    <t>P26702090@student.nicmar.ac.in</t>
  </si>
  <si>
    <t>P26702091</t>
  </si>
  <si>
    <t>P26702091@student.nicmar.ac.in</t>
  </si>
  <si>
    <t>P26702092</t>
  </si>
  <si>
    <t>P26702092@student.nicmar.ac.in</t>
  </si>
  <si>
    <t>P26702093</t>
  </si>
  <si>
    <t>P26702093@student.nicmar.ac.in</t>
  </si>
  <si>
    <t>P26702094</t>
  </si>
  <si>
    <t>P26702094@student.nicmar.ac.in</t>
  </si>
  <si>
    <t>P26702095</t>
  </si>
  <si>
    <t>P26702095@student.nicmar.ac.in</t>
  </si>
  <si>
    <t>P26702096</t>
  </si>
  <si>
    <t>P26702096@student.nicmar.ac.in</t>
  </si>
  <si>
    <t>P26702097</t>
  </si>
  <si>
    <t>P26702097@student.nicmar.ac.in</t>
  </si>
  <si>
    <t>P26702098</t>
  </si>
  <si>
    <t>P26702098@student.nicmar.ac.in</t>
  </si>
  <si>
    <t>P26702099</t>
  </si>
  <si>
    <t>P26702099@student.nicmar.ac.in</t>
  </si>
  <si>
    <t>P26702100</t>
  </si>
  <si>
    <t>P26702100@student.nicmar.ac.in</t>
  </si>
  <si>
    <t>P26702101</t>
  </si>
  <si>
    <t>P26702101@student.nicmar.ac.in</t>
  </si>
  <si>
    <t>P26702102</t>
  </si>
  <si>
    <t>P26702102@student.nicmar.ac.in</t>
  </si>
  <si>
    <t>P26702103</t>
  </si>
  <si>
    <t>P26702103@student.nicmar.ac.in</t>
  </si>
  <si>
    <t>P26702104</t>
  </si>
  <si>
    <t>P26702104@student.nicmar.ac.in</t>
  </si>
  <si>
    <t>P26702105</t>
  </si>
  <si>
    <t>P26702105@student.nicmar.ac.in</t>
  </si>
  <si>
    <t>P26702106</t>
  </si>
  <si>
    <t>P26702106@student.nicmar.ac.in</t>
  </si>
  <si>
    <t>P26702107</t>
  </si>
  <si>
    <t>P26702107@student.nicmar.ac.in</t>
  </si>
  <si>
    <t>P26702109</t>
  </si>
  <si>
    <t>P26702109@student.nicmar.ac.in</t>
  </si>
  <si>
    <t>P26702110</t>
  </si>
  <si>
    <t>P26702110@student.nicmar.ac.in</t>
  </si>
  <si>
    <t>P26702111</t>
  </si>
  <si>
    <t>P26702111@student.nicmar.ac.in</t>
  </si>
  <si>
    <t>P26702112</t>
  </si>
  <si>
    <t>P26702112@student.nicmar.ac.in</t>
  </si>
  <si>
    <t>P26702113</t>
  </si>
  <si>
    <t>P26702113@student.nicmar.ac.in</t>
  </si>
  <si>
    <t>P26702114</t>
  </si>
  <si>
    <t>P26702114@student.nicmar.ac.in</t>
  </si>
  <si>
    <t>P26702116</t>
  </si>
  <si>
    <t>P26702116@student.nicmar.ac.in</t>
  </si>
  <si>
    <t>P26702117</t>
  </si>
  <si>
    <t>P26702117@student.nicmar.ac.in</t>
  </si>
  <si>
    <t>P26702118</t>
  </si>
  <si>
    <t>P26702118@student.nicmar.ac.in</t>
  </si>
  <si>
    <t>P26702119</t>
  </si>
  <si>
    <t>P26702119@student.nicmar.ac.in</t>
  </si>
  <si>
    <t>P26702120</t>
  </si>
  <si>
    <t>P26702120@student.nicmar.ac.in</t>
  </si>
  <si>
    <t>P26702121</t>
  </si>
  <si>
    <t>P26702121@student.nicmar.ac.in</t>
  </si>
  <si>
    <t>P26702122</t>
  </si>
  <si>
    <t>P26702122@student.nicmar.ac.in</t>
  </si>
  <si>
    <t>P26702123</t>
  </si>
  <si>
    <t>P26702123@student.nicmar.ac.in</t>
  </si>
  <si>
    <t>P26702124</t>
  </si>
  <si>
    <t>P26702124@student.nicmar.ac.in</t>
  </si>
  <si>
    <t>P26702125</t>
  </si>
  <si>
    <t>P26702125@student.nicmar.ac.in</t>
  </si>
  <si>
    <t>P26702126</t>
  </si>
  <si>
    <t>P26702126@student.nicmar.ac.in</t>
  </si>
  <si>
    <t>P26702127</t>
  </si>
  <si>
    <t>P26702127@student.nicmar.ac.in</t>
  </si>
  <si>
    <t>P26702128</t>
  </si>
  <si>
    <t>P26702128@student.nicmar.ac.in</t>
  </si>
  <si>
    <t>P26702130</t>
  </si>
  <si>
    <t>P26702130@student.nicmar.ac.in</t>
  </si>
  <si>
    <t>P26702131</t>
  </si>
  <si>
    <t>P26702131@student.nicmar.ac.in</t>
  </si>
  <si>
    <t>P26702132</t>
  </si>
  <si>
    <t>P26702132@student.nicmar.ac.in</t>
  </si>
  <si>
    <t>P26702133</t>
  </si>
  <si>
    <t>P26702133@student.nicmar.ac.in</t>
  </si>
  <si>
    <t>P26702134</t>
  </si>
  <si>
    <t>P26702134@student.nicmar.ac.in</t>
  </si>
  <si>
    <t>P26702135</t>
  </si>
  <si>
    <t>P26702135@student.nicmar.ac.in</t>
  </si>
  <si>
    <t>P26702136</t>
  </si>
  <si>
    <t>P26702136@student.nicmar.ac.in</t>
  </si>
  <si>
    <t>P26702137</t>
  </si>
  <si>
    <t>P26702137@student.nicmar.ac.in</t>
  </si>
  <si>
    <t>P26702138</t>
  </si>
  <si>
    <t>P26702138@student.nicmar.ac.in</t>
  </si>
  <si>
    <t>P26702139</t>
  </si>
  <si>
    <t>P26702139@student.nicmar.ac.in</t>
  </si>
  <si>
    <t>P26702140</t>
  </si>
  <si>
    <t>P26702140@student.nicmar.ac.in</t>
  </si>
  <si>
    <t>P26702141</t>
  </si>
  <si>
    <t>P26702141@student.nicmar.ac.in</t>
  </si>
  <si>
    <t>P26702142</t>
  </si>
  <si>
    <t>P26702142@student.nicmar.ac.in</t>
  </si>
  <si>
    <t>P26702143</t>
  </si>
  <si>
    <t>P26702143@student.nicmar.ac.in</t>
  </si>
  <si>
    <t>P26702144</t>
  </si>
  <si>
    <t>P26702144@student.nicmar.ac.in</t>
  </si>
  <si>
    <t>PGD-QSCM</t>
  </si>
  <si>
    <t>2025-2026</t>
  </si>
  <si>
    <t>P25600022</t>
  </si>
  <si>
    <t>GAURAV</t>
  </si>
  <si>
    <t>Gaurav Sharma</t>
  </si>
  <si>
    <t>p25600022@student.nicmar.ac.in</t>
  </si>
  <si>
    <t>10-Dec-1995</t>
  </si>
  <si>
    <t>4282 7251 5035</t>
  </si>
  <si>
    <t xml:space="preserve">SUDHIR SHARMA </t>
  </si>
  <si>
    <t xml:space="preserve">DOCTOR </t>
  </si>
  <si>
    <t>SUSHMA SHARMA</t>
  </si>
  <si>
    <t xml:space="preserve">TEACHER </t>
  </si>
  <si>
    <t>Rajmahal Colony Kawardha Ward No 09</t>
  </si>
  <si>
    <t>Kabirdham</t>
  </si>
  <si>
    <t xml:space="preserve">THE HOLY KINGDOM </t>
  </si>
  <si>
    <t>CHHATTISGARH</t>
  </si>
  <si>
    <t>THE HOLY KINGDOM</t>
  </si>
  <si>
    <t>RUNGTA ENGINEERING COLLEGE</t>
  </si>
  <si>
    <t>AutoCAD,Ms Office</t>
  </si>
  <si>
    <t>P25600086</t>
  </si>
  <si>
    <t>HARAN</t>
  </si>
  <si>
    <t>Haran Surya S</t>
  </si>
  <si>
    <t>P25600086@student.nicmar.ac.in</t>
  </si>
  <si>
    <t>09-May-1999</t>
  </si>
  <si>
    <t>Tamil,MALAYALAM</t>
  </si>
  <si>
    <t>5894 5536 3088</t>
  </si>
  <si>
    <t>SHAJIMON B</t>
  </si>
  <si>
    <t>SUSAN</t>
  </si>
  <si>
    <t>NURSING ASSISTANT</t>
  </si>
  <si>
    <t>HARANS,MANNANCHERRY, PO ALAPPUZHA</t>
  </si>
  <si>
    <t>ST.JOSEPH' HIGHER SECONDARY SCHOOL PULINKUNNU</t>
  </si>
  <si>
    <t>BOARD OF PUBLIC EXAMINATIONS,KERALA</t>
  </si>
  <si>
    <t>LAJANATHUL MUHAMMADIYA HIGHER SECONDARY SCHOOL ALAPPUZHA</t>
  </si>
  <si>
    <t xml:space="preserve">BOARD OF PUBLIC EXAMINATIONS,KERALA </t>
  </si>
  <si>
    <t xml:space="preserve"> COCHIN UNIVERSITY OF SCIENCE AND TECHNOLOGY</t>
  </si>
  <si>
    <t>COCHIN UNIVERSITY COLLEGE OF ENGINEERING KUTTANADU,ALAPPUZHA</t>
  </si>
  <si>
    <t>AutoCAD,MS Office,MS Project,Advanced Excel,Calquan</t>
  </si>
  <si>
    <t xml:space="preserve">	IREL(INDIA)LIMITED | Engineer Intern | KOLLAM,KERALA | Sep 2021 | Sep 2021 | 2.2857142857143 Weeks</t>
  </si>
  <si>
    <t>MBA-APM</t>
  </si>
  <si>
    <t>P25701019</t>
  </si>
  <si>
    <t>BONTA</t>
  </si>
  <si>
    <t>Bonta Sanjay</t>
  </si>
  <si>
    <t>sanjay.bonta@gmail.com</t>
  </si>
  <si>
    <t>p25701019@student.nicmar.ac.in</t>
  </si>
  <si>
    <t>01-Aug-2003</t>
  </si>
  <si>
    <t>Music Production,Photography,Traveling,Educational Videos</t>
  </si>
  <si>
    <t>7639 1896 3363</t>
  </si>
  <si>
    <t>BONTA JAYAKAR</t>
  </si>
  <si>
    <t>CONSULTANCY ENGINEER</t>
  </si>
  <si>
    <t>BONTA SHANTHI PRIYA</t>
  </si>
  <si>
    <t>No.201, Vasishta Enclave, Thota Vari_x000D_
Veedhi 7th Lane, Ajith Singh Nagar, Vijayawada</t>
  </si>
  <si>
    <t>AIR FORCE SCHOOL JORHAT</t>
  </si>
  <si>
    <t>CENTRAL BOARD OF SECONDARY EDUCATION ASSAM</t>
  </si>
  <si>
    <t>DELHI PUBLIC SCHOOL VIJAYAWADA</t>
  </si>
  <si>
    <t>CENTRAL BOARD OF SECONDARY EDUCATION VIJAYAWADA</t>
  </si>
  <si>
    <t xml:space="preserve">AutoCAD, MS Excel, MS Project, PoweBI, Revit, MS Powerpoint, Canva Designing, </t>
  </si>
  <si>
    <t>SPRNG ENERGY PVT. LTD. | PROJECT MANAGEMENT INTERN | Pune, Maharashtra | May 2026 | Jul 2026 | 8.7142857142857 Weeks | Campus Internship
APCO INFRATECH PVT. LTD. (APCO) | TRAINEE ENGINEER  | FARIDABAD, HARYANA | Aug 2023 | Sep 2023 | 4.5714285714286 Weeks</t>
  </si>
  <si>
    <t>Forests and their Management
Entrepreneurship
Transportation, Sustainable Buildings, Green Construction
Product Development using AutoCAD
Construction Project Management</t>
  </si>
  <si>
    <t>P25701079</t>
  </si>
  <si>
    <t>MUHAMMAD ZAIN</t>
  </si>
  <si>
    <t>HASAN</t>
  </si>
  <si>
    <t>V Y</t>
  </si>
  <si>
    <t>Muhammad Zain Hasan V Y</t>
  </si>
  <si>
    <t>hasanzain201@gmail.com</t>
  </si>
  <si>
    <t>p25701079@student.nicmar.ac.in</t>
  </si>
  <si>
    <t>27-Dec-2001</t>
  </si>
  <si>
    <t>ENGLISH,MALAYALAM,KANNADA,HINDI,URDU,TAMIL,TELUGU,ARABIC</t>
  </si>
  <si>
    <t>Cooking,Teaching,Public Speaking</t>
  </si>
  <si>
    <t>4069 8621 5354</t>
  </si>
  <si>
    <t>MOHAMED YUNUS S H</t>
  </si>
  <si>
    <t>FAHMIDA YUNUS</t>
  </si>
  <si>
    <t>69, 4th Cross Telecom Layout Pipeline Road K.P Agrahara,Vijayanagar,Bengaluru</t>
  </si>
  <si>
    <t>THE NEW CAMBRIDGE ENGLISH SCHOOL</t>
  </si>
  <si>
    <t>COUNCIL FOR THE INDIAN SCHOOL CERTIFICATE EXAMINATIONS,BENGALURU,KARNATAKA.</t>
  </si>
  <si>
    <t>HUDA NATIONAL PU COLLEGE</t>
  </si>
  <si>
    <t>DEPARTMENT OF PRE UNIVERSITY EDUCATION, GOVERNMENT OF KARNATAKA, BENGALURU,KARNATAKA.</t>
  </si>
  <si>
    <t>BMS COLLEGE OF ENGINEERING,BENGALURU,KARNATAKA.</t>
  </si>
  <si>
    <t>AutoCAD,MS Office,MS Project,Primavera,MS Excel</t>
  </si>
  <si>
    <t>Ozen Consultancy | Operations Manager | Bengaluru | Mar 2024 | Jun 2025 | 1Y 3M | 2.4</t>
  </si>
  <si>
    <t>Sobha Limited  | Planning Intern | BENGALURU | May 2026 | Jul 2026 | 9 Weeks | Campus Internship
Enlightening Trust | Tutor  | Bengaluru | Jun 2020 | Jul 2024 | 213 Weeks
LA FOUNDATION  DASSAULT SYSTEMES | Project Intern | BENGALURU | Jun 2022 | May 2024 | 102.28571428571 Weeks
Build A Home | Site Engineer | Bengaluru | Sep 2023 | Nov 2023 | 8.8571428571429 Weeks</t>
  </si>
  <si>
    <t>Effective Interpersonal Communication for Business
Corporate Finance Essentials
Introduction to Gen-AI in Human Resources
Microeconomics Principles
Project Management - Initiation and Planning by L&amp;T Edutech
Ouantitative Methods
Six Sigma Tools for Define and Measure</t>
  </si>
  <si>
    <t>P25701096</t>
  </si>
  <si>
    <t>MAGADUM</t>
  </si>
  <si>
    <t>Akshata Bhanudas Magadum</t>
  </si>
  <si>
    <t>ar.akshatamagadum@gmail.com</t>
  </si>
  <si>
    <t>p25701096@student.nicmar.ac.in</t>
  </si>
  <si>
    <t>Reading,Dancing,Cooking,Badminton</t>
  </si>
  <si>
    <t>3868 7095 4202</t>
  </si>
  <si>
    <t>2201, Aishwarya Heights, Mithagar Road, Mulund East</t>
  </si>
  <si>
    <t>HOLY CROSS CONVENT SCHOOL</t>
  </si>
  <si>
    <t>HOLY CROSS CONVENT SCHOOL AND JUNIOR COLLEGE</t>
  </si>
  <si>
    <t>DR. BALIRAM HIRAY COLLEGE OF ARCHITECTURE, BANDRA, MUMBAI</t>
  </si>
  <si>
    <t>AutoCAD,MS Office,MS Project,Primavera,Revit,Photoshop,SPSS,@Risk</t>
  </si>
  <si>
    <t>Suresh Babu and Partners | Architect | Thane | Jul 2023 | May 2025 | 1Y 10M | 2.16</t>
  </si>
  <si>
    <t>Roshni Udyavar and Associates | Architectural Intern | Mumbai | Nov 2021 | Mar 2022 | 21.428571428571 Weeks</t>
  </si>
  <si>
    <t>P25701146</t>
  </si>
  <si>
    <t>UTTARWAR</t>
  </si>
  <si>
    <t>Jayant Uttarwar</t>
  </si>
  <si>
    <t>jayantuttarwar8@gmail.com</t>
  </si>
  <si>
    <t>p25701146@student.nicmar.ac.in</t>
  </si>
  <si>
    <t>05-Feb-2000</t>
  </si>
  <si>
    <t>5112 2622 8444</t>
  </si>
  <si>
    <t>MEGHA</t>
  </si>
  <si>
    <t>MOSHI PUNE</t>
  </si>
  <si>
    <t>20/29 Muktai Nagar , Jalgaon , 425001</t>
  </si>
  <si>
    <t>UTTARWAR JAYANT MOHAN</t>
  </si>
  <si>
    <t>GOVERNMENT COLLEGE OF ENGINEERING, JALGAON</t>
  </si>
  <si>
    <t>AutoCAD,MS Office,MS Project,Primavera,SQL,JAVA</t>
  </si>
  <si>
    <t>ER.SUNIL S. BANG REGISTER VALUER, CHARTER ENGINEER | ENGINEER TRAINEE | Jalgaon | Feb 2024 | Dec 2024 | 0Y 10M | 2.5</t>
  </si>
  <si>
    <t>Systra India | Project Management Office - Intern | Ahmedabad  | May 2026 | Jul 2026 | 8.5714285714286 Weeks | Campus Internship
ATHARVA D. JAKATDAR | CIVIL ENGINEER  | Jalgaon  | Jul 2022 | Mar 2023 | 39 Weeks</t>
  </si>
  <si>
    <t>AutoCAD
Geographic Information System (GIS)
Badminton Coordinator
Construction Skill Development Quantity Surveying, Billing &amp; AutoCAD
Placement Coordinator
C programming language
Post Graduate Diploma in Advanced Computing</t>
  </si>
  <si>
    <t>P25707011</t>
  </si>
  <si>
    <t>AVANTHIKA</t>
  </si>
  <si>
    <t>SRIRAM</t>
  </si>
  <si>
    <t>Avanthika Sriram</t>
  </si>
  <si>
    <t>avanthika.3762@gmail.com</t>
  </si>
  <si>
    <t>p25707011@student.nicmar.ac.in</t>
  </si>
  <si>
    <t>24-Dec-2002</t>
  </si>
  <si>
    <t>English, Hindi, Tamil, German</t>
  </si>
  <si>
    <t>3923 3963 4786</t>
  </si>
  <si>
    <t>S N SRIRAM</t>
  </si>
  <si>
    <t>REGIONAL MANAGER</t>
  </si>
  <si>
    <t>SRIRANJANI SRIRAM</t>
  </si>
  <si>
    <t>78-79,5th Cross Street
Heritage Jayendra Nagar Sembakkam</t>
  </si>
  <si>
    <t>SRI KANCHI MAHASWAMI VIDYA MANDIR</t>
  </si>
  <si>
    <t>CBSE,CHENNAI, TAMIL NADU</t>
  </si>
  <si>
    <t>UNIVERSITY OF MADRAS</t>
  </si>
  <si>
    <t>M.O.P VAISHNAV COLLEGE FOR WOMEN(AUTONOMOUS)</t>
  </si>
  <si>
    <t>MS Office,Python Pandas,PowerBI,Data Analysis</t>
  </si>
  <si>
    <t>Bhoomi Network | Nature Educator, Teach for Nature Fellowship | Bangalore | May 2024 | Mar 2025 | 0Y 10M | 2.4</t>
  </si>
  <si>
    <t>Superform, UPL | Sustainability Intern | Turbhe, Navi Mumbai | May 2026 | Jul 2026 | 8.7142857142857 Weeks | Campus Internship</t>
  </si>
  <si>
    <t>Foundation Level in Programming and Data Science
Diploma in Data Science
Municipal Solid Waste Management</t>
  </si>
  <si>
    <t>P25707012</t>
  </si>
  <si>
    <t>PRIYANKA</t>
  </si>
  <si>
    <t>PANDUCHE</t>
  </si>
  <si>
    <t>Priyanka Subhash Panduche</t>
  </si>
  <si>
    <t>priyankapanduche@gmail.com</t>
  </si>
  <si>
    <t>p25707012@student.nicmar.ac.in</t>
  </si>
  <si>
    <t>24-Jul-2004</t>
  </si>
  <si>
    <t>4583 7880 1469</t>
  </si>
  <si>
    <t>SUBHASH PUNDLIK PANDUCHE</t>
  </si>
  <si>
    <t>SUJATA SUBHASH PANDUCHE</t>
  </si>
  <si>
    <t>Choudhary Wasti Shanti Nagar Kharadi</t>
  </si>
  <si>
    <t>ALL INDIA SHRI SHIVAJI MEMORIAL SOCIETY COLLEGE OF POLYTECHNIC - PUNE</t>
  </si>
  <si>
    <t>D.Y PATIL SCHOOL OF ENGINEERING AND TECHNOLOGY</t>
  </si>
  <si>
    <t>Swiss NeWater  | Sustainability intern | Pune | May 2026 | Jul 2026 | 8.7142857142857 Weeks | Campus Internship
Pune Municipal Corporation | Junior Engineer  | Shivajinagar | Oct 2024 | Mar 2025 | 25.857142857143 Weeks
Sai Construction | Intern-Junior Site engineer  | Charholi, Lohegaon  | Jan 2024 | Jan 2024 | 4.2857142857143 Weeks</t>
  </si>
  <si>
    <t>Waster and Wastewater Management
GHG accounting and Carbon Accounting</t>
  </si>
  <si>
    <t>P25707013</t>
  </si>
  <si>
    <t>SONAR</t>
  </si>
  <si>
    <t>Shravani Sonar</t>
  </si>
  <si>
    <t>shrovsonar2@gmail.com</t>
  </si>
  <si>
    <t>p25707013@student.nicmar.ac.in</t>
  </si>
  <si>
    <t>11-Jul-2000</t>
  </si>
  <si>
    <t>3227 9594 2431</t>
  </si>
  <si>
    <t>SANJAY KUMAR SONAR</t>
  </si>
  <si>
    <t>PRIVATE JOB SERVICE</t>
  </si>
  <si>
    <t>SUMA SONAR</t>
  </si>
  <si>
    <t>C2/78-C, LAWRENCE ROAD, KESHAV PURAM</t>
  </si>
  <si>
    <t>264/1A, Gali No. 12, Than Singh Nagar, Anand Parvat</t>
  </si>
  <si>
    <t>RAMJAS SCHOOL, ANAND PRAVAT</t>
  </si>
  <si>
    <t>RAMJAS SCHOOL, ANAND PARVAT</t>
  </si>
  <si>
    <t>AMITY SCHOOL OF ARCHITECTURE AND PLANNING</t>
  </si>
  <si>
    <t>MS Office,ArcGIS</t>
  </si>
  <si>
    <t>ClimatEnlighten LLP | Research Intern | wfh | May 2026 | Jul 2026 | 9.7142857142857 Weeks | Campus Internship
Confederation of Indian Industry | Intern | NEW DELHI | Aug 2024 | Oct 2024 | 13 Weeks
Confederation of Indian Industry | Intern | NEW DELHI | Oct 2023 | Mar 2024 | 21.714285714286 Weeks
Jana Urban Services for Transformation | Intern | NEW DELHI | Jun 2022 | Aug 2022 | 13 Weeks</t>
  </si>
  <si>
    <t>P25707014</t>
  </si>
  <si>
    <t>SUDARSHAN</t>
  </si>
  <si>
    <t>SUKHALAL</t>
  </si>
  <si>
    <t>Sudarshan Sukhalal Desai</t>
  </si>
  <si>
    <t>sudarshandessai1@gmail.com</t>
  </si>
  <si>
    <t>p25707014@student.nicmar.ac.in</t>
  </si>
  <si>
    <t>English, Hindi, Marathi, Konkani</t>
  </si>
  <si>
    <t>6160 9904 6330</t>
  </si>
  <si>
    <t>SUKHALAL DESAI</t>
  </si>
  <si>
    <t>SHRIMANTINI DESAI</t>
  </si>
  <si>
    <t>House No. 172, Betki Borim Ponda Goa</t>
  </si>
  <si>
    <t>GVM'S PRAGATI VIDYALAYA BORIM</t>
  </si>
  <si>
    <t>GVM'S SHRIMATI NELLY JOILDO AGUIAR HIGHER SECONDARY SCHOOL</t>
  </si>
  <si>
    <t>NATIONAL INSTITUTE OF TECHNOLOGY, GOA</t>
  </si>
  <si>
    <t>Oracle Primavera P6, openLCA, One Click LCA, SimaPro, AutoCAD, MS Office, MS Project, ArcGIS, ETABS, C, C++</t>
  </si>
  <si>
    <t>HyOn Energy | Sustainability Intern | Remote | May 2026 | Jul 2026 | 8.7142857142857 Weeks | Campus Internship
Aarvee Constructions | Site Engineer Intern | Margao Goa | Jun 2023 | Jul 2023 | 7 Weeks</t>
  </si>
  <si>
    <t>Environmental Impact Assessment
Sustainable Engineering Concepts and Life Cycle Analysis
Municipal Solid Waste Management</t>
  </si>
  <si>
    <t>P25707015</t>
  </si>
  <si>
    <t>Tanishq Rawal</t>
  </si>
  <si>
    <t>tanishqrawal1996@gmail.com</t>
  </si>
  <si>
    <t>p25707015@student.nicmar.ac.in</t>
  </si>
  <si>
    <t>11-Oct-1996</t>
  </si>
  <si>
    <t>8632 1442 5209</t>
  </si>
  <si>
    <t>SANJAY KUMAR SINGH</t>
  </si>
  <si>
    <t>PHYSICS PROFESSOR</t>
  </si>
  <si>
    <t>ARCHANA SINGH</t>
  </si>
  <si>
    <t>531/9, Jagriti Vihar , Meerut</t>
  </si>
  <si>
    <t>Meerut</t>
  </si>
  <si>
    <t>ST MARY'S CONVENT SCHOOL, GAJRAULA , JP NAGAR, UP</t>
  </si>
  <si>
    <t>CBSE , GAJRAULA (JP NAGAR) , UTTAR PRADESH</t>
  </si>
  <si>
    <t>CBSE , GREATER NOIDA GB NAGAR ,UTTAR PRADESH</t>
  </si>
  <si>
    <t>SHIV NADAR UNIVERSITY</t>
  </si>
  <si>
    <t>SHIV NADAR UNIVERSITY , NH-91 , TEHSIL DADRI ,GB NAGAR , UTTAR PRADESH , 201314</t>
  </si>
  <si>
    <t>AutoCAD,MS Office,REVIT 3D,MS EXCEL,MS POWERPOINT</t>
  </si>
  <si>
    <t>Jai Jagannath infratech india private limited | Assistant Engineer  | Bhopal | Jun 2019 | Apr 2020 | 0Y 10M | 2.64
R. Krishnamurthy and Corporations Engineering Contractors | Site Engineer  | Chennai | Mar 2023 | Feb 2024 | 0Y 11M | 3.6
Cube highways technologies private limited | Engineer - Technical Due deligence and project management  | Jaipur  | Sep 2024 | Feb 2025 | 0Y 4M | 5.8</t>
  </si>
  <si>
    <t>Thermax Limited | Supply chain management intern | Pune | May 2026 | Jul 2026 | 8.5714285714286 Weeks | Campus Internship
Cube highways technologies private limited company | Engineer -technical due diligence and project management  | Jaipur | Mar 2024 | Sep 2024 | 27.571428571429 Weeks</t>
  </si>
  <si>
    <t>P25707016</t>
  </si>
  <si>
    <t>SHRUTHIKA</t>
  </si>
  <si>
    <t>AJITH</t>
  </si>
  <si>
    <t>Shruthika Ajith</t>
  </si>
  <si>
    <t>shruthikaajith2003@gmail.com</t>
  </si>
  <si>
    <t>p25707016@student.nicmar.ac.in</t>
  </si>
  <si>
    <t>English, Hindi, Malayalam, Tamil, Korean (Basics), Spanish (Basics)</t>
  </si>
  <si>
    <t>2505 3811 2535</t>
  </si>
  <si>
    <t>AJITH M</t>
  </si>
  <si>
    <t>JOINT CONTROLLER OF PATENTS AND DESIGNS</t>
  </si>
  <si>
    <t>RAGEELA AJITH</t>
  </si>
  <si>
    <t>E54, TVS EMERALD PENINSULA, SN0.3 CAUVERY STREET, MANAPAKKAM, CHENNAI-600125</t>
  </si>
  <si>
    <t>KENDRIYA VIDYALAYA MINAMBAKKAM</t>
  </si>
  <si>
    <t>CBSE, CHENNAI, TAMILNADU</t>
  </si>
  <si>
    <t>NARAYANA E-TECHNO SCHOOL, POONAMALEE</t>
  </si>
  <si>
    <t>SRM EASWARI ENGINEERING COLLEGE, CHENNAI</t>
  </si>
  <si>
    <t>AutoCAD,MS Office,REVIT,TEKLA,ETABS,SAFE,CET EXTENSION,OpenLCA,OneClick LCA,Simapro</t>
  </si>
  <si>
    <t>RIVERSTONE TECH | DESIGN ENGINEER | CHENNAI | May 2024 | Jul 2025 | 1Y 2M | 3.5</t>
  </si>
  <si>
    <t>NATIONAL INSTITUTE OF TECHNOLOGY, CALICUT | RESEARCH INTERN | CALICUT | Jun 2023 | Jul 2023 | 4.1428571428571 Weeks
Indian Patent Office (CGPDTM) | Intern | online | Nov 2025 | Dec 2025 | 4.8571428571429 Weeks
AUGER ENGINEERS | SUSTAINABILITY INTERN | CHENNAI | Feb 2024 | Apr 2024 | 8.5714285714286 Weeks
Larsen and Toubro | Environmental Intern | Manapakkam, Chennai | May 2026 | Jul 2026 | 9.1428571428571 Weeks</t>
  </si>
  <si>
    <t>Research methodology
Human Resource Management
ESG and sustainable business
Generative AI and ESG
Environmental Protection and sustainability
Economic Environment and business strategy</t>
  </si>
  <si>
    <t>P25707017</t>
  </si>
  <si>
    <t>R S</t>
  </si>
  <si>
    <t>Karthik R S</t>
  </si>
  <si>
    <t>karthikrs071198@gmail.com</t>
  </si>
  <si>
    <t>p25707017@student.nicmar.ac.in</t>
  </si>
  <si>
    <t>07-Nov-1998</t>
  </si>
  <si>
    <t>6862 5927 2191</t>
  </si>
  <si>
    <t>SHIVAKUMAR R C</t>
  </si>
  <si>
    <t>JAYASHREE G</t>
  </si>
  <si>
    <t>Rajaghatta , Doddaballapur Taluk.</t>
  </si>
  <si>
    <t>CARMEL JYOTHI ENGLISH HIGH SCHOOL</t>
  </si>
  <si>
    <t>VIJAYA BIFR PU COLLEGE</t>
  </si>
  <si>
    <t>DEPARTMENT OF PRE - UNIVERSITY EDUCATION , KARNATAKA</t>
  </si>
  <si>
    <t>R.V. COLLEGE OF ENGINEERING , KARNATAKA</t>
  </si>
  <si>
    <t>MS Office,Advance Excel,Power BI,Python</t>
  </si>
  <si>
    <t>Greenifit | ESG Intern | Mumbai | May 2026 | Jun 2026 | 8.1428571428571 Weeks | Campus Internship
Sambodhi Research and Communications Private Limited | Research Associate | Bengaluru | Nov 2023 | Mar 2024 | 17.285714285714 Weeks
Rajneethi Management Consultancy | Consultant | Bengaluru | Apr 2024 | Jan 2025 | 41.857142857143 Weeks</t>
  </si>
  <si>
    <t>Carbon Accounting and Sustainable Designs in Product Lifecycle Management(NPTEL)
Sustainable Engineering Concepts and  Life Cycle Analysis</t>
  </si>
  <si>
    <t>P25707018</t>
  </si>
  <si>
    <t>SANIKA</t>
  </si>
  <si>
    <t>BIDKAR</t>
  </si>
  <si>
    <t>Sanika Bharat Bidkar</t>
  </si>
  <si>
    <t>sanikabbidkar@gmail.com</t>
  </si>
  <si>
    <t>p25707018@student.nicmar.ac.in</t>
  </si>
  <si>
    <t>Dance,Debating,Traveling,Photography,Team sports,Drawing and Sketching</t>
  </si>
  <si>
    <t>8588 9689 6951</t>
  </si>
  <si>
    <t>C203, Karveer Nagar CHS, S.N.Dubey Road, Rawalpada, Dahisar East, Mumbai-400068</t>
  </si>
  <si>
    <t>ST. THOMAS HIGH SCHOOL, MUMBAI, MAHARASHTRA</t>
  </si>
  <si>
    <t>MAHARASHTRA STATE BOARD OF SECONDARY AND HIGHER SECONDARY EDUCATION, PUNE, MAHARSHTRA</t>
  </si>
  <si>
    <t>BHAVANS COLLEGE, ANDHERI, MUMBAI, MAHARASHTRA</t>
  </si>
  <si>
    <t>SARDAR PATEL COLLEGE OF ENGINEERING, ANDHERI, MUMBAI, MAHARASHTRA</t>
  </si>
  <si>
    <t>AutoCAD,MS Office,SimaPro,OpenLca,OneClickLca</t>
  </si>
  <si>
    <t>Ascendas Firstspace | ESGQ Intern | BKC-Mumbai | May 2026 | Jun 2026 | 8.1428571428571 Weeks | Campus Internship</t>
  </si>
  <si>
    <t>P25707021</t>
  </si>
  <si>
    <t>GULAVANI</t>
  </si>
  <si>
    <t>Ruturaj Manish Gulavani</t>
  </si>
  <si>
    <t>ruturajgulvani99@gmail.com</t>
  </si>
  <si>
    <t>p25707021@student.nicmar.ac.in</t>
  </si>
  <si>
    <t>01-Jul-2002</t>
  </si>
  <si>
    <t>7004 9204 4051</t>
  </si>
  <si>
    <t>MANISH GOPAL GULAVANI</t>
  </si>
  <si>
    <t>SWATI MANISH GULAVANI</t>
  </si>
  <si>
    <t>A/p Majre Karve Tal-chandgad Dist-kolhapur</t>
  </si>
  <si>
    <t>MAHATMA FULE VIDYALAYA KARVE , TAL-CHANDGAD</t>
  </si>
  <si>
    <t>SECONDARY SCHOOL EDUCATION PUNE, MAHARASHTRA</t>
  </si>
  <si>
    <t>GU. M. B. TUPRE JR. COLLEGE KARVE TAL-CHANDGAD</t>
  </si>
  <si>
    <t>HIGHER SECONDARY EDUCATION PUNE, MAHARASHTRA</t>
  </si>
  <si>
    <t>KOLHAPUR INSTITUTE OF TECHNOLOGY ECHNOLOGY KOLHAPUR, MAHARASHTRA</t>
  </si>
  <si>
    <t>MS Office, SimaPro,OneClick, Open LCA</t>
  </si>
  <si>
    <t>Greenex Environmental Private limited | ESG &amp; Sustainable Intern | Pune | May 2026 | Jul 2026 | 8.5714285714286 Weeks | Campus Internship
ANTHEM BIOSCIENCES LIMITED, BANGLORE | INTERN IN ETP | BANGLORE  | Jan 2025 | Mar 2025 | 8.2857142857143 Weeks</t>
  </si>
  <si>
    <t>P25707022</t>
  </si>
  <si>
    <t>ANAKHA</t>
  </si>
  <si>
    <t>Anakha P</t>
  </si>
  <si>
    <t>anakhap2002@gmail.com</t>
  </si>
  <si>
    <t>p25707022@student.nicmar.ac.in</t>
  </si>
  <si>
    <t>26-Nov-2002</t>
  </si>
  <si>
    <t>4608 6754 1715</t>
  </si>
  <si>
    <t>RAJESH P</t>
  </si>
  <si>
    <t>SENIOR VETERINARY SURGEON</t>
  </si>
  <si>
    <t>SUNANDA A</t>
  </si>
  <si>
    <t>Pournami, Sundara Iyer Road, Ottapalam, Palakkad, Kerala 679101</t>
  </si>
  <si>
    <t>NSS COLLEGE OF ENGINEERING, PALAKKAD, KERALA</t>
  </si>
  <si>
    <t>AutoCAD,MS Office,MS Project,SimaPro,QGIS,Staad-Pro,MS Excel</t>
  </si>
  <si>
    <t>HyOn Energy  | Sustainability Intern  | Work from home | May 2026 | Jul 2026 | 8.7142857142857 Weeks | Campus Internship
CENTRE OF SUSTAINABLE TECHNOLOGIES, INDIAN INSTITUTE OF SCIENCE | RESEARCH INTERN | BANGALORE | May 2025 | Jul 2025 | 9.5714285714286 Weeks
SOUTHERN RAILWAYS - PALAKKAD SUB DIVISION | STUDENT INTERN | KERALA | Jun 2024 | Jun 2024 | 0.57142857142857 Weeks
KERALA IRRIGATION DEPARTMENT | STUDENT INTERN | KERALA | May 2023 | May 2023 | 1 Weeks</t>
  </si>
  <si>
    <t>LCA Beginner - Ecochain
Introduction to ESG - Project Management Institute
Sustainability and Corporate ESG â€“ Reliance Foundation Skilling Academy, Skill India Digital Hub
Project Management Fundamentals - IBM
Expertise Design Thinking Practitioner - IBM
ESG and Climate Change - Coursera
Sustainable Transportation Systems- NPTEL, IIT ROORKEE</t>
  </si>
  <si>
    <t>P25707023</t>
  </si>
  <si>
    <t>Tejas Ganesh Sonawane</t>
  </si>
  <si>
    <t>t.sonawane2703@gmail.com</t>
  </si>
  <si>
    <t>p25707023@student.nicmar.ac.in</t>
  </si>
  <si>
    <t>7313 7963 6306</t>
  </si>
  <si>
    <t>GANESH MADHUKAR SONAWANE</t>
  </si>
  <si>
    <t>BHAWANA GANESH SONAWANE</t>
  </si>
  <si>
    <t>SAISIDH HOUSING SOCIETY NEAR MINI MARKET M.PHULE NAGAR CHINCHWAD PUNE</t>
  </si>
  <si>
    <t>49A, Sant Sena Nagar Deopur Dhule Mahashtra</t>
  </si>
  <si>
    <t>SHRI EKVIRA DEVI HIGHSCHOOL DEOPUR DHULE</t>
  </si>
  <si>
    <t>SSVPS BSD POLYTECHNIC DHULE</t>
  </si>
  <si>
    <t>DR. D.Y. PATIL INSTITUTE OF ENGINEERING, MANAGEMENT AND RESEARCH AKURDI PUNE</t>
  </si>
  <si>
    <t>AutoCAD, MS Office, LCA, Primavera</t>
  </si>
  <si>
    <t>BEE Inc. | Jr. Project Engineer | Pimpri, Pune | Jul 2023 | Jul 2025 | 2Y 0M | 4.7</t>
  </si>
  <si>
    <t>Grattitude Synergy, LLP | Management Intern | Pune | May 2026 | Jul 2026 | 8.7142857142857 Weeks | Campus Internship
HIMALAYA SPARKLE | INTERN | DHULE | May 2019 | Jul 2019 | 8.7142857142857 Weeks
NAOMI MANUFACTURING INDIA PVT. LTD. | INTERN | BHOSARI, PUNE | Dec 2021 | Jan 2022 | 4.4285714285714 Weeks</t>
  </si>
  <si>
    <t>LEED Green Associate</t>
  </si>
  <si>
    <t>P25707024</t>
  </si>
  <si>
    <t>SANKHE</t>
  </si>
  <si>
    <t>Om Roshan Sankhe</t>
  </si>
  <si>
    <t>omsankhe7@gmail.com</t>
  </si>
  <si>
    <t>p25707024@student.nicmar.ac.in</t>
  </si>
  <si>
    <t>23-Jul-2003</t>
  </si>
  <si>
    <t>4972 3638 1799</t>
  </si>
  <si>
    <t>ROSHAN PRABHAKAR SANKHE</t>
  </si>
  <si>
    <t>RICHA ROSHAN SANKHE</t>
  </si>
  <si>
    <t>LAKSHMI GANAPATI BOYS PG, PATIL WASTI, PATIL NAGAR, BALEWADI, PUNE, MAHARASHTRA 411045</t>
  </si>
  <si>
    <t>At Post - Dapoli (Aambedkar Nagar) Taluka - District - Palghar, 401404</t>
  </si>
  <si>
    <t>MAHARASHTRA STATE BOARD OF SECONDARY AND HIGHER SECONDARY EDUCATION, PALGHAR, MAHARASHTRA</t>
  </si>
  <si>
    <t>ST. JOHN COLLEGE OF TECHNOLOGY AND POLYTECHNIC</t>
  </si>
  <si>
    <t>MS Office,Life Cycle Assessment</t>
  </si>
  <si>
    <t>Listenlights Pvt. Ltd. | ESG Intern | Mumbai | May 2026 | Jul 2026 | 8.7142857142857 Weeks | Campus Internship</t>
  </si>
  <si>
    <t>P25707025</t>
  </si>
  <si>
    <t>SESETTI</t>
  </si>
  <si>
    <t>Teja Sesetti</t>
  </si>
  <si>
    <t>tejasesetti123@gmail.com</t>
  </si>
  <si>
    <t>p25707025@student.nicmar.ac.in</t>
  </si>
  <si>
    <t>22-Mar-2003</t>
  </si>
  <si>
    <t>8425 0279 7211</t>
  </si>
  <si>
    <t>SESETTI SRINIVASA RAO</t>
  </si>
  <si>
    <t>METER READER</t>
  </si>
  <si>
    <t>SESETTI ADILAKSHMI</t>
  </si>
  <si>
    <t>9-9-107/19
MANGAPURAM COLONY ,MADDILIPALEM,</t>
  </si>
  <si>
    <t>RANI MEMORIAL E.M. H.S</t>
  </si>
  <si>
    <t>GOVT.POLYTECHNIC-VISHAKHAPATNAM</t>
  </si>
  <si>
    <t>JAWAHARLAL NEHRU TECHNOLOGICAL UNIVERSITY GURAJADA VIZIANAGARAM</t>
  </si>
  <si>
    <t>RAGHU ENGINEERING COLLEGE VISHAKHAPATNAM</t>
  </si>
  <si>
    <t>AutoCAD,REVIT</t>
  </si>
  <si>
    <t>National council for cement and building materials | ESG intern | Haryana | May 2026 | Jul 2026 | 8.7142857142857 Weeks | Campus Internship
SDVVL SURVEY AND CONSTRUCTION PVT.LTD | Intern â€“ Advanced AutoCAD 2D &amp; 3D, Revit, and Surveying (Total Station) | Kakinada, Andhra Pradesh | Jun 2023 | Aug 2023 | 6.2857142857143 Weeks</t>
  </si>
  <si>
    <t>Workshop on GHG Accounting &amp; Carbon Accounting - NICMAR University
SURVEYING
CIVIL  AutoCAD &amp; Revit</t>
  </si>
  <si>
    <t>P25707026</t>
  </si>
  <si>
    <t>Nupur Dubey</t>
  </si>
  <si>
    <t>dubeynupur839@gmail.com</t>
  </si>
  <si>
    <t>P24700543@student.nicmar.ac.in</t>
  </si>
  <si>
    <t>swimming</t>
  </si>
  <si>
    <t>6008 9511 4527</t>
  </si>
  <si>
    <t>ANAND DUBEY</t>
  </si>
  <si>
    <t>SHEETAL DUBEY</t>
  </si>
  <si>
    <t xml:space="preserve">614, Sai Kripa Colony, MR-10 </t>
  </si>
  <si>
    <t>NUPUR DUBEY</t>
  </si>
  <si>
    <t>CBSE BOARD, MADHYA PRADESH</t>
  </si>
  <si>
    <t>MP BOARD, MADHYA PRADESH</t>
  </si>
  <si>
    <t>DEVI AHILYA VISHWAVIDYALAYA , INDORE</t>
  </si>
  <si>
    <t>RENAISSANCE COLLEGE OF COMMERCE AND MANAGEMENT,INDORE,MADHYA PRADESH</t>
  </si>
  <si>
    <t>MS Office, Primavera P6 – Project Planning &amp; Scheduling, @RISK – Risk Analysis &amp; Simulation Modeling, GIS (Google Earth Pro) – Spatial Analysis &amp; Mapping, CRM Tools – Proposal Workflow Management, Power BI (Data Visualization &amp; Dashboarding), Sima Pro</t>
  </si>
  <si>
    <t>Grattitude Synergy LLP | Management Intern | Pune | May 2026 | Jul 2026 | 8.7142857142857 Weeks | Campus Internship
JOSHI MAHAJAN &amp; CO  | Finance Intern | Indore | Nov 2023 | Dec 2023 | 8.5714285714286 Weeks
JOSHI MAHAJAN &amp; CO  | Legal &amp; Compliance Intern | Indore | Nov 2024 | Dec 2024 | 8.1428571428571 Weeks</t>
  </si>
  <si>
    <t>Company Secretary (CS Foundation)
Sustainable Engineering Concepts and  Life Cycle Analysis
Waste to Energy Conversion
Municipal Solid Waste Management
ESG Essentials for Sustainable Business
Environmental Protection and Sustainability
Generative AI and ESG
Understanding Research Methods
Introduction to Generative AI in Human Resources
BRSR Series
Systems Change &amp; Behavioural Science for Climate Action – UNSSC (United Nations)</t>
  </si>
  <si>
    <t>P25707027</t>
  </si>
  <si>
    <t>Kushagra Chauhan</t>
  </si>
  <si>
    <t>kushagrachauhan123@gmail.com</t>
  </si>
  <si>
    <t>p25707027@student.nicmar.ac.in</t>
  </si>
  <si>
    <t>Sustainability Magazines, Chess, Badminton</t>
  </si>
  <si>
    <t>7138 7332 0377</t>
  </si>
  <si>
    <t>RAJEEV CHAUHAN</t>
  </si>
  <si>
    <t>URMILA CHAUHAN</t>
  </si>
  <si>
    <t>102/D12, Parivar Apartment,Govindvihar, Govindpuram</t>
  </si>
  <si>
    <t>G K WELHAMS COLLEGE</t>
  </si>
  <si>
    <t>ICSE, MORADABAD, UTTAR PRADESH</t>
  </si>
  <si>
    <t>SHIVOY SCHOOL</t>
  </si>
  <si>
    <t>CBSE, GHAZIABAD, UTTAR PRADESH</t>
  </si>
  <si>
    <t>VIVEKANANDA GLOBAL UNIVERSITY</t>
  </si>
  <si>
    <t>NAEMD, JAIPUR, RAJASTHAN</t>
  </si>
  <si>
    <t>MS Office,SimaPro,OpenLCA,OneClickLCA</t>
  </si>
  <si>
    <t>Fusionpact Inc. | Sustainability and Climate Technology Intern | Remote | May 2026 | Sep 2026 | 17.571428571429 Weeks | Campus Internship</t>
  </si>
  <si>
    <t>P25707028</t>
  </si>
  <si>
    <t>Akhilesh Manoj Ingale</t>
  </si>
  <si>
    <t>akhileshingale8@gmail.com</t>
  </si>
  <si>
    <t>p25707028@student.nicmar.ac.in</t>
  </si>
  <si>
    <t>6351 9196 1490</t>
  </si>
  <si>
    <t>MANOJ INGALE</t>
  </si>
  <si>
    <t>ANJALI INGALE</t>
  </si>
  <si>
    <t>104 Kanchanganga Apt. Ingale Colony, Shivane, Pune, 411023</t>
  </si>
  <si>
    <t>BALSHIKSHAN MANDIR</t>
  </si>
  <si>
    <t>FERGUSSON COLLEGE PUNE, MAHARASHTRA</t>
  </si>
  <si>
    <t xml:space="preserve">MS Office, MS Excel, SimaPro, ArcGIS </t>
  </si>
  <si>
    <t>Greenex Environmental | LCA and Sustainable Intern | Pune | May 2026 | Jul 2026 | 8.5714285714286 Weeks | Campus Internship</t>
  </si>
  <si>
    <t>Silhouettes Waterpolo Tournament (08/05/2025) - AFMC 1st runner-up at Waterpolo tournament in Pune. Level - District.
SPPU, Intercollegiate Sports Tournament (11/10/2024) - Secured 1st place in Waterpolo amongst colleges all over Pune Level: District.
Laksh 3.0 (16/02/2025) - IIT Indore 1st rank at Waterpolo tournament amongst other IITs and Institutes. Level - National</t>
  </si>
  <si>
    <t>P25707029</t>
  </si>
  <si>
    <t>ONKAR</t>
  </si>
  <si>
    <t>LAHAMAGE</t>
  </si>
  <si>
    <t>Onkar Dipak Lahamage</t>
  </si>
  <si>
    <t>onkarlahamage@gmail.com</t>
  </si>
  <si>
    <t>p25707029@student.nicmar.ac.in</t>
  </si>
  <si>
    <t>20-Jan-2003</t>
  </si>
  <si>
    <t>7866 0591 5750</t>
  </si>
  <si>
    <t>At Post Adgaon Bk, Tel.: Rahata, Dist.: Ahmednagar</t>
  </si>
  <si>
    <t>DNYANMATA VIDYALAYA , SANGAMNER</t>
  </si>
  <si>
    <t>MAHARASHTRA STATE BOARD OF SECONDARY AND HIGHER SECONDORY EDUCATION , PUNE</t>
  </si>
  <si>
    <t>PADMASHRI VIKHE PATIL JUNIOR COLLEGE, PRAVARANAGAR</t>
  </si>
  <si>
    <t>MAHATMA PHU LE KRISHI VIDYAPEETH, RAHURI</t>
  </si>
  <si>
    <t>COLLEGE OF AGRICULTURAL ENGINEERING AND TECHNOLOGY,MALDAD</t>
  </si>
  <si>
    <t>Swiss NeWater  | Sustainability Intern | pune  | May 2026 | Jul 2026 | 8.7142857142857 Weeks | Campus Internship
Trenex Energy Pvt. Ltd. | Project Executive Trainee | Nashik | Aug 2024 | Apr 2025 | 38.857142857143 Weeks
ALBEDO FOUNDATION | Trainee | NASHIK | Oct 2023 | Feb 2024 | 19.285714285714 Weeks
NORTHEN REGION FARM MACHINERY TRAINING &amp; TESTING INSTITUTE | Trainee | HISAR, HARYANA  | Sep 2023 | Sep 2023 | 4.1428571428571 Weeks</t>
  </si>
  <si>
    <t>Sustainability and Corporate ESG</t>
  </si>
  <si>
    <t>P25707030</t>
  </si>
  <si>
    <t>ANSHU</t>
  </si>
  <si>
    <t>Anshu Raj</t>
  </si>
  <si>
    <t>anshuraj375@gmail.com</t>
  </si>
  <si>
    <t>p25707030@student.nicmar.ac.in</t>
  </si>
  <si>
    <t>22-Dec-2000</t>
  </si>
  <si>
    <t>8113 5832 5225</t>
  </si>
  <si>
    <t>RAJENDRA PRASAD DAS</t>
  </si>
  <si>
    <t>BIMLA RANI</t>
  </si>
  <si>
    <t>Flat No. A102/B4, Type-B
Mahalaxmi City, Vihighar</t>
  </si>
  <si>
    <t>RYAN INTERNATIONAL SCHOOL SANPADA</t>
  </si>
  <si>
    <t>SADHU VASWANI JUNIOR COLLEGE</t>
  </si>
  <si>
    <t>JHARKHAND UNIVERSITY OF TECHNOLOGY, RANCHI</t>
  </si>
  <si>
    <t>B.I.T SINDRI, DHANBAD</t>
  </si>
  <si>
    <t>CDP(Carbon disclosure Project), Simapro, OneclickLCA, OpenLCA, MS Office, MS Project and Excel</t>
  </si>
  <si>
    <t>Reliance Industries Limited | Construction Manager | Dahej Manufacturing Plant, Bharuch, Gujarat | Aug 2022 | Dec 2023 | 1Y 4M | 8.88</t>
  </si>
  <si>
    <t>Reliance Jio Infocomm Limited | CDP and Sustainability Audit Intern | Ghansoli, Navi Mumbai | May 2026 | Jul 2026 | 9.5714285714286 Weeks | Campus Internship
AIESEC | GLOBAL VOLUNTEER  | KANDY, SRI LANKA | Jun 2019 | Jul 2019 | 6 Weeks</t>
  </si>
  <si>
    <t>Climate &amp; ESG Reporting, Financial Risk, and Scenario Analysis (TCFD/CDP/CDSB)
Life Cycle Assessment
Carbon Accounting and Sustainable Designs in  Product Lifecycle Management
Sustainable Corporate Finance
Sustainable Engineering Concepts and  Life Cycle Analysis</t>
  </si>
  <si>
    <t>P25707031</t>
  </si>
  <si>
    <t>Chaitanya Santosh Wagh</t>
  </si>
  <si>
    <t>cwagh718@gmail.com</t>
  </si>
  <si>
    <t>p25707031@student.nicmar.ac.in</t>
  </si>
  <si>
    <t>20-Apr-2004</t>
  </si>
  <si>
    <t>9443 7232 3941</t>
  </si>
  <si>
    <t>SANTOSH CHUNILAL WAGH</t>
  </si>
  <si>
    <t>BHARATI SANTOSH WAGH</t>
  </si>
  <si>
    <t>SERVIE</t>
  </si>
  <si>
    <t>E-8/306, Shree Omkar CHS, Sec 9,
Gharonda, Ghansoli, Navi Mumbai 400701</t>
  </si>
  <si>
    <t>FR. AGNEL'S POLYTECHNIC, VASHI, NAVI MUMBAI</t>
  </si>
  <si>
    <t>SARASWATI COLLEGE OF ENGINEERING, KHARGHAR, RAIGAD</t>
  </si>
  <si>
    <t>Kushaagra Innovations Foundation  | Waste Management Interm | Pune | May 2026 | Jul 2026 | 8.7142857142857 Weeks | Campus Internship
B.G. SHIRKE CONSTRUCTION TECHNOLOGY PVT. LTD. | Intern | Taloja, Navi Mumbai | Aug 2021 | Sep 2021 | 4.5714285714286 Weeks</t>
  </si>
  <si>
    <t>AUTO-CAD
Municipal Solid Waste Management</t>
  </si>
  <si>
    <t>P25707033</t>
  </si>
  <si>
    <t>ADHISHREE</t>
  </si>
  <si>
    <t>GUNDI</t>
  </si>
  <si>
    <t>Adhishree Gundi</t>
  </si>
  <si>
    <t>adhishreegundi0352@gmail.com</t>
  </si>
  <si>
    <t>p25707033@student.nicmar.ac.in</t>
  </si>
  <si>
    <t>22-Jul-2004</t>
  </si>
  <si>
    <t>3572 9321 1503</t>
  </si>
  <si>
    <t>LATE SATISH GUNDI</t>
  </si>
  <si>
    <t>SHALAKA GUNDI</t>
  </si>
  <si>
    <t>FREELANCE HR CONSULTANT AND FACILITATOR</t>
  </si>
  <si>
    <t>FLAT NO 4, 1ST FLOOR, BUILDING A-4, ISHAN NAGARI, WARJE
WARJE</t>
  </si>
  <si>
    <t>A-3, Satin Hills, PVPIT, Bavdhan(Kh), Paud Rd, Pune</t>
  </si>
  <si>
    <t>CBSE, PUNE, MAHARASHTRA</t>
  </si>
  <si>
    <t>MILLENNIUM NATIONAL SCHOOL</t>
  </si>
  <si>
    <t>ST JOSEPH'S UNIVERSITY</t>
  </si>
  <si>
    <t>ST JOSEPH'S UNIVERSITY, BENGALURU, KARNATAKA</t>
  </si>
  <si>
    <t>Multiomics Technologies- Big Data for Biological Sciences</t>
  </si>
  <si>
    <t>P25707034</t>
  </si>
  <si>
    <t>SARAL</t>
  </si>
  <si>
    <t>Saral Chauhan</t>
  </si>
  <si>
    <t>saral27chauhan@gmail.com</t>
  </si>
  <si>
    <t>p25707034@student.nicmar.ac.in</t>
  </si>
  <si>
    <t>27-Jul-2000</t>
  </si>
  <si>
    <t>4232 7786 2894</t>
  </si>
  <si>
    <t>MANOJ KUMAR CHAUHAN</t>
  </si>
  <si>
    <t>LATA CHAUHAN</t>
  </si>
  <si>
    <t>B 22 Ram Ashram Colony Near Taj Banquet Chandra Nagar</t>
  </si>
  <si>
    <t>Moradabad</t>
  </si>
  <si>
    <t>ST. PAUL’S COLLEGE</t>
  </si>
  <si>
    <t>ICSE MORADABAD, UTTARPRADESH</t>
  </si>
  <si>
    <t>ISC MORADABAD, UTTARPRADESH</t>
  </si>
  <si>
    <t>MAHATMA JYOTI’S PHULE ROHILKHAND UNIVERSITY</t>
  </si>
  <si>
    <t>LAKSHYA COLLEGE OF MANAGEMENT AND TECHNOLOGY, BAGWARA, SEHORA, UTTARPRADESH</t>
  </si>
  <si>
    <t>2023-Feb</t>
  </si>
  <si>
    <t>Earth5R | Market Research Intern  | Remote | Jun 2026 | Sep 2026 | 13.285714285714 Weeks | Campus Internship</t>
  </si>
  <si>
    <t>NIELIT CCC</t>
  </si>
  <si>
    <t>P25707035</t>
  </si>
  <si>
    <t>Pranjali Pradeep Chavan</t>
  </si>
  <si>
    <t>pranj.li1102@gmail.com</t>
  </si>
  <si>
    <t>p25707035@student.nicmar.ac.in</t>
  </si>
  <si>
    <t>ENGLISH, HINDI, MARATHI AND GERMAN (BASIC)</t>
  </si>
  <si>
    <t>Reading,Working out,Badminton,travelling</t>
  </si>
  <si>
    <t>8550 7886 5875</t>
  </si>
  <si>
    <t>REAL-ESTATE AGENT</t>
  </si>
  <si>
    <t>HOUSEWIFE/PRIVATE HOME TUTOR</t>
  </si>
  <si>
    <t>BANER MHALUNGE ROAD NEAR AMRITA HOTEL, GANRAJ CHOWK, ZUDIO, PUNE - 411045</t>
  </si>
  <si>
    <t>At Post Donje, Taluka Haveli District Pune - 24 Near Krushnai Water Park Singhad Road</t>
  </si>
  <si>
    <t>VENKATESHWARA SCHOOL</t>
  </si>
  <si>
    <t>HUZURPAGA GIRLS HIGHSCHOOL AND JUNIOR COLLEGE</t>
  </si>
  <si>
    <t>SHRI SHIVAJI MAHARASHTRA SOCIETY'S COLLEGE OF ARCHITECTURE PUNE/MAHARASHTRA</t>
  </si>
  <si>
    <t>2018-Oct</t>
  </si>
  <si>
    <t>AutoCAD,MS Office,MS Project,Primavera,Lumion,Sketchup,Photoshop,Canva</t>
  </si>
  <si>
    <t>GNA Architects | Jr. Architect | Bhandarkar Road Shivaji Nagar Pune-411004 | Feb 2024 | May 2025 | 1Y 3M | 2.16</t>
  </si>
  <si>
    <t>Shapoorji Pallonji Real Estate  | Sustainability Intern | Pune, bavdhan, India  | May 2026 | Jul 2026 | 8.4285714285714 Weeks | Campus Internship
Nikhil Kanthe design studio | Interior designer  | Pune  | Oct 2022 | Oct 2022 | -1.1428571428571 Weeks
Nikhil Kanthe design studio | Jr. architect/interior designer  | Pune  | Jul 2023 | Dec 2023 | 26 Weeks</t>
  </si>
  <si>
    <t>P25707036</t>
  </si>
  <si>
    <t>MUSALE</t>
  </si>
  <si>
    <t>Ninad Naresh Musale</t>
  </si>
  <si>
    <t>ninadmusale@gmail.com</t>
  </si>
  <si>
    <t>p25707036@student.nicmar.ac.in</t>
  </si>
  <si>
    <t>03-Sep-2003</t>
  </si>
  <si>
    <t>2958 7582 8824</t>
  </si>
  <si>
    <t>NARESH DATTATRAY MUSALE</t>
  </si>
  <si>
    <t>PREETI NARESH MUSALE</t>
  </si>
  <si>
    <t>B-2/12, Ashoka Gardens CHS, Tilak Road, Near Savarkar Chowk, Panvel</t>
  </si>
  <si>
    <t>MAHATMA SCHOOL OF ACADEMICS AND SPORTS, PANVEL</t>
  </si>
  <si>
    <t>MAHARASHTRA STATE BOARD OF SECONDARY AND HIGHER SECONDARY EDUCATION, PUNE/ MAHARASHTRA</t>
  </si>
  <si>
    <t>MAHATMA SCHOOL OF ACADEMICS AND SPORTS AND JUNIOR COLLEGE OF ARTS, COMMERCE AND SCIENCE, PANVEL</t>
  </si>
  <si>
    <t>DATTA MEGHE COLLEGE OF ENGINEERING, AIROLI, NAVI MUMBAI/ MAHARASHTRA</t>
  </si>
  <si>
    <t>AutoCAD,MS Office,Arc GIS,QGIS,STADD Pro,Building Information Modelling(BIM)</t>
  </si>
  <si>
    <t>House of Hiranandani | Intern | Thane | Jun 2024 | Jul 2024 | 4.2857142857143 Weeks
MAN Technologies | Intern | Panvel | Dec 2022 | Jan 2023 | 4.4285714285714 Weeks</t>
  </si>
  <si>
    <t>ESG and Sustainability Literacy
Fundamentals of ESG and Sustainability
Constitution of India and Environmental Governance: Administrative and Adjudicatory Process</t>
  </si>
  <si>
    <t>P25707037</t>
  </si>
  <si>
    <t>Varun Hemant Desai</t>
  </si>
  <si>
    <t>varundesaiv439@gmail.com</t>
  </si>
  <si>
    <t>p25707037@student.nicmar.ac.in</t>
  </si>
  <si>
    <t>English,Germany(Basic), Hindi and Marathi</t>
  </si>
  <si>
    <t>6658 5958 3384</t>
  </si>
  <si>
    <t>HEMANT MANOHAR DESAI</t>
  </si>
  <si>
    <t>ANJALI HEMANT DESAI</t>
  </si>
  <si>
    <t>2784, B Ward, Manglwar Peth, Kolhapur</t>
  </si>
  <si>
    <t>ICSE, DELHI BOARD</t>
  </si>
  <si>
    <t>VIVEKANANDA JR. COLLEGE</t>
  </si>
  <si>
    <t>KOLHAPUR INSTITUTE OF TECHNOLOGY, COLLEGE OF ENGINEERING, KOLHAPUR</t>
  </si>
  <si>
    <t xml:space="preserve">AutoCAD, MS Office, SimaPro, Oneclick, Open LCA </t>
  </si>
  <si>
    <t>Ecoboard Industries  | Summer Intern  | Pune  | May 2026 | Jun 2026 | 8 Weeks | Campus Internship
Shree Datta Shetkari S. S. K. Ltd | Intern under Environment Office  | Kolhapur  | Jan 2024 | Apr 2024 | 14.714285714286 Weeks</t>
  </si>
  <si>
    <t>Introduction to Sustainability
Introduction to Faecal Sludge Mangement</t>
  </si>
  <si>
    <t>P25707038</t>
  </si>
  <si>
    <t>URMI</t>
  </si>
  <si>
    <t>SINGHA ROY</t>
  </si>
  <si>
    <t>Urmi Singha Roy</t>
  </si>
  <si>
    <t>urmisingharoy06@gmail.com</t>
  </si>
  <si>
    <t>p25707038@student.nicmar.ac.in</t>
  </si>
  <si>
    <t>4859 0421 9521</t>
  </si>
  <si>
    <t>NABENDU SINGHA ROY</t>
  </si>
  <si>
    <t>EX ARMED FORCES</t>
  </si>
  <si>
    <t>BARNALI SINGHA ROY</t>
  </si>
  <si>
    <t>BC126,VAISHNODEVI ABASAN,SAMARPALLI, KESTOPUR</t>
  </si>
  <si>
    <t>KENDRIYA VIDYALA NO.2</t>
  </si>
  <si>
    <t>KOLKATA, WEST BENGAL</t>
  </si>
  <si>
    <t>LMET INTL SCHOOL</t>
  </si>
  <si>
    <t>SOUTH BALARAMPUR MURSHIDABAD</t>
  </si>
  <si>
    <t>ASUTOSH COLLEGE  KOLKATA WB</t>
  </si>
  <si>
    <t>MS Office,LCA,Carbon Accounting &amp;GHG Emissions,ESG Metrics &amp; Sustainable Reporting,Circular Economy Principles</t>
  </si>
  <si>
    <t>GREENEX ENVIRONMENTAL PRIVATE LIMITED | ESG &amp; Sustainability Intern  | Shivajinagar, Pune | May 2026 | Jul 2026 | 8.5714285714286 Weeks | Campus Internship</t>
  </si>
  <si>
    <t>P25707039</t>
  </si>
  <si>
    <t>POORVI</t>
  </si>
  <si>
    <t>SETH</t>
  </si>
  <si>
    <t>Poorvi Seth</t>
  </si>
  <si>
    <t>purvi160423@gmail.com</t>
  </si>
  <si>
    <t>H2370060@student.nicmar.ac.in</t>
  </si>
  <si>
    <t>16-Apr-2003</t>
  </si>
  <si>
    <t>English, Hindi, German</t>
  </si>
  <si>
    <t>3988 9363 8985</t>
  </si>
  <si>
    <t>ASHWANI KUMAR SETH</t>
  </si>
  <si>
    <t>DOCTOR CONSULTANT</t>
  </si>
  <si>
    <t>GAURI SETH</t>
  </si>
  <si>
    <t>37/2 West Patel Nagar Ground Floor RHS</t>
  </si>
  <si>
    <t>AHLCON INTERNATIONAL SCHOOL</t>
  </si>
  <si>
    <t>CENTRAL BOARD OF SECONDARY EDUCATION CBSE NEW DELHI</t>
  </si>
  <si>
    <t>SHRI MATA VAISHNO DEVI UNIVERSITY</t>
  </si>
  <si>
    <t>SHRI MATA VAISHNO DEVI UNIVERSITY KATRA JAMMU AND KASHMIR</t>
  </si>
  <si>
    <t>MS Office,MS Project,lean management,six sigma,G suite,mendeley,Trello,KANBAN,CMIE,ProwessIQ,CANVA,LCA assessment,MINITAB</t>
  </si>
  <si>
    <t>National Skill Deveopment Corporation NSDC | Research and Development Intern  | New Delhi | May 2026 | Jul 2026 | 8.7142857142857 Weeks | Campus Internship
IMPRI (IMPACT AND POLICY RESEARCH INSTITUTE CAPITAL) | RESEARCH FELLOW | NEW DELHI | Jan 2025 | Apr 2025 | 12.857142857143 Weeks
RELIANCE JIO | HUMAN RESOURCE INTERN  | NEW DELHI | May 2023 | Jul 2023 | 8.7142857142857 Weeks</t>
  </si>
  <si>
    <t>Foundations of Project Management by Google
Generative AI &amp; ESG
Fundamentals of Data Analysis in Excel
ESG AND CLIMATE RELATED REPORTING FOR ACCOUNTANTS</t>
  </si>
  <si>
    <t>P25701001</t>
  </si>
  <si>
    <t>RACHANA</t>
  </si>
  <si>
    <t>SREEKUMAR</t>
  </si>
  <si>
    <t>Rachana Sreekumar</t>
  </si>
  <si>
    <t>rachanascivil@gmail.com</t>
  </si>
  <si>
    <t>p25701001@student.nicmar.ac.in</t>
  </si>
  <si>
    <t>22-May-2003</t>
  </si>
  <si>
    <t>English, Tamil, Malayalam, Hindi</t>
  </si>
  <si>
    <t>8498 1502 2705</t>
  </si>
  <si>
    <t>B SREEKUMAR</t>
  </si>
  <si>
    <t>K P JAYA</t>
  </si>
  <si>
    <t>No.3 Anjana 4th Main Road Vijaya Nagar Velachery Chennai - 600042</t>
  </si>
  <si>
    <t>DAV SCHOOL ADAMBAKKAM</t>
  </si>
  <si>
    <t>CENTRAL BOARD OF SECONDARY EDUCATION (CHENNAI /TAMILNADU)</t>
  </si>
  <si>
    <t>CHETTINAD VIDYASHRAM</t>
  </si>
  <si>
    <t>ANNA UNIVERSITY (CEG CAMPUS)</t>
  </si>
  <si>
    <t>COLLEGE OF ENGINEERING GUINDY, CHENNAI. TAMILNADU</t>
  </si>
  <si>
    <t>KPMG India | Intern - Major Project Advisory (MPA) team | Bangalore | May 2026 | Jun 2026 | 7.5714285714286 Weeks | Campus Internship
BAASHYAAM CONSTRUCTIONS | SITE WORK | Chennai | May 2024 | Jun 2024 | 4.2857142857143 Weeks
INDIAN INSTITUTE OF TECHNOLOGY, MADRAS (IIT-M) | Lab work assistance | Chennai | Jun 2023 | Jul 2023 | 4.2857142857143 Weeks</t>
  </si>
  <si>
    <t>Certificate of Completion (Udemy) - The Project Management Course - Beginner to PROject Manager
Certificate of Completion (Udemy )- Managerial Economics - Effective Business Decisionmaking
Certificate of Achievement - Udbhav 2025 - Transmission_404
Certificate of Achievement - Udbhav 2025 - Riot Pulse
National Sports Organization (NSO) Certification
NPTEL Certification - Strategic Communication for Sustainable Development
Letter of Appointment - Pixels, The Photography and Videography club of CEG - Head of Contents
Letter of Appointment - CEG Tech Forum - Organizer in Marketing domain
Indian Concrete Institute (ICI) Student Member certificate
Certificate of Completion - Employability Skills Development Training Programme
Certificate of Merit - Thiru C.R Ramamoorthy Memorial Endowment award for highest mark in Irrigation Engineering
Certificate of Attendance - World Conference on Earthquake Engineering (WCEE) 2024 at Milan, Italy
Certificate of Participation -  International Conference on Construction Materials and Structures (ICCMS) 2025 conducted by IIT Tirupati
Certificate of Participation - National Essay Writing Competition 2024 on the occasion of Audit Diwas.
Certificate of Participation - Construction Technologies for Sustainable Infrastructure (CTSI) Workshop conducted by IIT Madras
Certificate of Appreciation - The Literary Club of Anna University - Member of Social Media and Contents Domain
Certificate of Appreciation - The Guindy Times - Member
Certificate of Appreciation - Society of Civil Engineers (SCE) Executive Member
Certificate of Appreciation - Volunteer in ICCRIP 2025 as Master of Ceremonies (MC) for Inaugural ceremony
Certificate of Merit - Best Project VII Semester (B.E Civil Engineering) - Krishnaswamy Mohan Memorial Endowment Award
Certificate of Completion - Lean Six sigma Green Belt (LSSGB) Certification Programme offered by KPMG
Certificate of Participation - International Conference on Construction, Real Estate, Infrastructure and Project Management (ICCRIP) 2025 conducted by NICMAR University, Pune</t>
  </si>
  <si>
    <t>P25701002</t>
  </si>
  <si>
    <t>KOTKAR</t>
  </si>
  <si>
    <t>Aniruddha Rajendra Kotkar</t>
  </si>
  <si>
    <t>kotkaraniruddha@gmail.com</t>
  </si>
  <si>
    <t>p25701002@student.nicmar.ac.in</t>
  </si>
  <si>
    <t>14-Jul-2001</t>
  </si>
  <si>
    <t>9307 6764 0442</t>
  </si>
  <si>
    <t>FIRE OFFICER</t>
  </si>
  <si>
    <t>PARNIKA</t>
  </si>
  <si>
    <t>16/B, Damayanti Niwas, Behind Vitthal Mandir, Vitawa Koliwada, Belapur Road, Thane, Post-Kalwa.</t>
  </si>
  <si>
    <t>SHIV SAMARTH VIDYALAYA, THANE.</t>
  </si>
  <si>
    <t>MAHARASHTRA STATE BOARD OF SECONDARY AND HIGHER SECONDARY EDUCATION, PUNE WITH THANE.</t>
  </si>
  <si>
    <t>V.G. VAZE COLLEGE OF ARTS, SCIENCE AND COMMERCE, MULUND EAST, MUMBAI.</t>
  </si>
  <si>
    <t>MAHATMA GANDHI MISSION'S COLLEGE OF ENGINEERING &amp; TECHNOLOGY, KAMOTHE, NAVI MUMBAI.</t>
  </si>
  <si>
    <t>AutoCAD,MS Office,MS Project,STAAD.Pro,ERP,Revit</t>
  </si>
  <si>
    <t>Unique Concrete Technologies Pvt. Ltd. | Site Engineer | Koparkhairane, Navi Mumbai | Jun 2023 | Jan 2025 | 1Y 7M | 3</t>
  </si>
  <si>
    <t>PSP Projects Limited | Civil Intern | International Airport Terminal 1, Vile Parle Mumbai 400099 | May 2026 | Jul 2026 | 8.7142857142857 Weeks | Campus Internship
G.R. Engineering Pvt. Ltd. | Junior Site Engineer | Piramal Revanta, Mulund, Mumbai | Sep 2022 | May 2023 | 38.857142857143 Weeks</t>
  </si>
  <si>
    <t>AutoCAD
Maharastra State Certificate in Information Technology (MS-CIT)
Microsoft Project Cource 2016, 2019, 2021 6 PDUs
Coursera- Managing Project Risks and Changes
Coursera- Project Management- The Basics for Sucess
Coursera - Introduction to Corporate Finance</t>
  </si>
  <si>
    <t>P25701003</t>
  </si>
  <si>
    <t>SANDIP</t>
  </si>
  <si>
    <t>THORAT</t>
  </si>
  <si>
    <t>Shreyas Sandip Thorat</t>
  </si>
  <si>
    <t>shreyas.291203@gmail.com</t>
  </si>
  <si>
    <t>p25701003@student.nicmar.ac.in</t>
  </si>
  <si>
    <t>29-Dec-2003</t>
  </si>
  <si>
    <t>Singing,Guitar,Basketball</t>
  </si>
  <si>
    <t>8584 6479 7004</t>
  </si>
  <si>
    <t>SANDEEP THORAT</t>
  </si>
  <si>
    <t>SANDHYA THORAT</t>
  </si>
  <si>
    <t>B-14, Emirates Hills, Somatne Phata, Talegaon Dabhade, Maval, Pune - 410506</t>
  </si>
  <si>
    <t>INDIRA NATIONAL SCHOOL, TATHAWADE, PUNE</t>
  </si>
  <si>
    <t>CENTRAL BOARD OF SECONDARY EDUCATION, PUNE, MAHARASHTRA</t>
  </si>
  <si>
    <t>MODERN COLLEGE OF ARTS, SCIENCE AND COMMERCE, SHIVAJINAGAR, PUNE</t>
  </si>
  <si>
    <t>PIMPRI CHINCHWAD COLLEGE OF ENGINEERING &amp; RESEARCH, PUNE</t>
  </si>
  <si>
    <t>AutoCAD, MS Office, MS Project, Primavera, Power BI, Matlab Simulink</t>
  </si>
  <si>
    <t>NBCC (India) Limited | Project Management Intern | Centurian Park Phase-III, Greater Noida, Uttar Pradesh | May 2026 | Jul 2026 | 9.7142857142857 Weeks | Campus Internship
ASCENT SURVEY | SURVEY INTERN | KHOPOLI, MAHARASHTRA | Jun 2024 | Jul 2024 | 4.1428571428571 Weeks
Know How Institute | Trainee | Akurdi, Pune | Dec 2023 | Jan 2024 | 3.7142857142857 Weeks</t>
  </si>
  <si>
    <t>HIT-OFFICE CERTIFICATION
Certificate of Completion - Hydraulic and Mathematical Modeling of Spillway and Hydraulic Structures organized by Central Water and Power Research Station (CWPRS), Pune
Certificate of Participation - AI Innovations and MATLAB Solutions (International FDP) conducted by Pimpri Chinchwad College of Engineering &amp; Research, Ravet
Certificate of Completion - Overview of Space Science and Technology organized by ISRO
Certificate of Participation - Geospatial Technology for Climate-Smart Agriculture organized by ISRO
Certificate of Completion (Coursera) - Microeconomics Principles authorized by University of Illinois Urbana-Champaign
Certificate of Completion (Coursera) - Introduction to Corporate Finance authorized by University of Pennsylvania
Certificate of Completion (Coursera) - Project Management: The Basics for Success authorized by University of California, Irvine
Certificate of Completion - Business Analytics Program conducted by Finlatics</t>
  </si>
  <si>
    <t>P25701004</t>
  </si>
  <si>
    <t>ZAYEEM</t>
  </si>
  <si>
    <t>SHARIEF</t>
  </si>
  <si>
    <t>Zayeem Sharief</t>
  </si>
  <si>
    <t>zayeemsharief@gmail.com</t>
  </si>
  <si>
    <t>p25701004@student.nicmar.ac.in</t>
  </si>
  <si>
    <t>24-May-2002</t>
  </si>
  <si>
    <t>4841 4471 0513</t>
  </si>
  <si>
    <t>MASTAN SHARIEF</t>
  </si>
  <si>
    <t>BUSINESSMAN, LANDLORD AND AGRICULTURIST</t>
  </si>
  <si>
    <t>SYEDA THASNIM BANU</t>
  </si>
  <si>
    <t>Block - A1, Flat No - 1201, Mahaveer Riviera Apartment, 24th Main Road,  J.P Nagar 5th Phase, Bengaluru-560078</t>
  </si>
  <si>
    <t>BISHOP COTTON BOYS' SCHOOL</t>
  </si>
  <si>
    <t>INDIAN CERTIFICATE OF SECONDARY EDUCATION, NEW DELHI</t>
  </si>
  <si>
    <t>DAYANANDA SAGAR ACADEMY OF TECHNOLOGY AND MANAGEMENT, BENGALURU, KARNATAKA</t>
  </si>
  <si>
    <t>AutoCAD,MS Office,MS Project,Primavera,POWER BI,CANDY,IBM SPSS Statistcs,@RISK</t>
  </si>
  <si>
    <t>Reddy Structures Pvt. Ltd. | Project Development Intern | Bengaluru | May 2026 | Jul 2026 | 8.7142857142857 Weeks | Campus Internship
CUSHMAN AND WAKEFIELD | PROJECT INTERN, SITE ENGINEER | BIRLA ALOKYA, WHITEFILED | Sep 2024 | Nov 2024 | 8.7142857142857 Weeks</t>
  </si>
  <si>
    <t>P25701005</t>
  </si>
  <si>
    <t>KAAVYA</t>
  </si>
  <si>
    <t>MAANSI</t>
  </si>
  <si>
    <t>Kaavya Maansi</t>
  </si>
  <si>
    <t>thisismaansikam20@gmail.com</t>
  </si>
  <si>
    <t>p25701005@student.nicmar.ac.in</t>
  </si>
  <si>
    <t>20-Jul-2001</t>
  </si>
  <si>
    <t>ENGLISH, TAMIL, HINDI</t>
  </si>
  <si>
    <t>2871 5103 1520</t>
  </si>
  <si>
    <t>C MADHAN KUMAR</t>
  </si>
  <si>
    <t>PASSED AWAY</t>
  </si>
  <si>
    <t>RADHIKA S</t>
  </si>
  <si>
    <t>32 A, Bryant Nagar, 4th Street Middle, Thoothukkudi</t>
  </si>
  <si>
    <t>Thoothukudi</t>
  </si>
  <si>
    <t>THE VIKASA SCHOOL, THOOTHUKKUDI</t>
  </si>
  <si>
    <t>COUNCIL FOR INDIAN CERTIFICATE EXAMINATIONS, NEW DELHI</t>
  </si>
  <si>
    <t>INDIAN SCHOOL CERTIFICATE EXAMINATION, NEW DELHI</t>
  </si>
  <si>
    <t>ANNA UNIVERSITY, CHENNAI</t>
  </si>
  <si>
    <t>MOHAMED SATHAK A.J. ACADEMY OF ARCHITECTURE, CHENNAI, TAMIL NADU</t>
  </si>
  <si>
    <t>Primavera P6 | Microsoft Project | Microsoft Office | Power BI | AutoCAD | Autodesk Revit | SketchUp | Navisworks Manage | Candy (CCS Candy) | Lumion | Twinmotion | Enscape | Adobe Photoshop | AI Tools</t>
  </si>
  <si>
    <t>ECONSTRUCT DESIGN &amp; BUILD PVT. LTD. | PROJECT MANAGEMENT INTERN &amp; BUSINESS ANALYST | BANGALORE | May 2026 | Jun 2026 | 8.1428571428571 Weeks | Campus Internship
LARSEN AND TOUBRO LIMITED | ARCHITECT | MANAPAKKAM, CHENNAI | Jul 2023 | Nov 2023 | 17.571428571429 Weeks</t>
  </si>
  <si>
    <t>Be 10X WORKSHOP
TASA - CERTIFIED COURSE (SKETCH UP)
COA - CERTIFICATE OF REGISTRATION
AUTODESK CERTIFICATION - NAVISWORKS MANAGE
AUTODESK CERTIFICATION - REVIT
COURSERA - PROJECT MANAGEMENT: THE BASICS FOR SUCCESS
COURSERA - INTRODUCTION TO CORPORATE FINANCE
NPTEL - MODERN INDIAN ARCHITECTURE
NOVATR - BIM PROFESSIONAL COURSE FOR ARCHITECTS
NSDC Certificate
ANNA UNIVERSITY RANK HOLDER
ALUMINI CERTIFICATE OF ACHIEVEMENT 
CHAT GPT @ COURSIV
CLAUDE AI @ COURSIV
JASPER AI @ COURSIV</t>
  </si>
  <si>
    <t>P25701007</t>
  </si>
  <si>
    <t>Yash Pravin Sonar</t>
  </si>
  <si>
    <t>yashsonar0101@gmail.com</t>
  </si>
  <si>
    <t>p25701007@student.nicmar.ac.in</t>
  </si>
  <si>
    <t>01-Sep-2001</t>
  </si>
  <si>
    <t>3254 5005 3230</t>
  </si>
  <si>
    <t>Flat No. 301, Plot No. 382, Datta Prasanna Apartment Near Datta Mandir, Sai Section,_x000D_
Ambarnath City</t>
  </si>
  <si>
    <t>SMT SUHASINI PRABHAKAR ADHIKARI MADHYAMIK VIDHYALAY</t>
  </si>
  <si>
    <t>MAHARASTRA STATE BOARD OF SECONDARY AND HIGHER SECONDARY EDUCATION, AMBERNATH/MAHARASTRA</t>
  </si>
  <si>
    <t>NEW ENGLISH HIGH SCHOOL AND JUNIOR COLLEGE</t>
  </si>
  <si>
    <t>MAHARASTRA STATE BOARD OF SECONDARY AND HIGHER SECONDARY EDUCATION, ULHASNAGAR/MAHARASTRA</t>
  </si>
  <si>
    <t>S.H. JONDHALE POLYTECHNIC, DOMBIVLI/MAHARASTRA</t>
  </si>
  <si>
    <t>MAHARASTRA INSTITUTE OF TECHNOLOGY WORLD PEACE UNIVERSITY, PUNE/MAHARASTRA</t>
  </si>
  <si>
    <t>Primavera P6, MS Project, Microsoft Excel, SAP, MS Office, AutoCAD</t>
  </si>
  <si>
    <t>SHAPOORJI PALLONJI AND COMPANY PRIVATE LIMITED | Graduate Engineer Trainee (Civil) | Kandivali, Mumbai  | Aug 2024 | Dec 2024 | 0Y 4M | 3.75</t>
  </si>
  <si>
    <t>NEW CONSOLIDATED CONSTRUCTION CO. LTD. | Civil Engineer Intern  | Seawoods, Navi Mumbai  | May 2026 | Jul 2026 | 8.7142857142857 Weeks | Campus Internship
PARANJAPE SCHEMES (CONSTRUCTION) LIMITED | Civil Engineer Intern  | Wakad, Pune  | Feb 2024 | May 2024 | 14.857142857143 Weeks</t>
  </si>
  <si>
    <t xml:space="preserve">Oracle Primavera P6 
Microsoft Project 
Autodesk AutoCAD </t>
  </si>
  <si>
    <t>P25701008</t>
  </si>
  <si>
    <t>AHAN</t>
  </si>
  <si>
    <t>Ahan Ketan Vaidya</t>
  </si>
  <si>
    <t>architectahanvaidya@gmail.com</t>
  </si>
  <si>
    <t>p25701008@student.nicmar.ac.in</t>
  </si>
  <si>
    <t>4921 3416 8548</t>
  </si>
  <si>
    <t>KETAN PRABHAKAR VAIDYA</t>
  </si>
  <si>
    <t>JAYALI KETAN VAIDYA</t>
  </si>
  <si>
    <t>DENTAL SURGEON</t>
  </si>
  <si>
    <t>B-2001,IMPERIAL HEIGHTS,NEAR BEST COLONY,GOREGAON (WEST),MUMBAI-400104</t>
  </si>
  <si>
    <t>JANKIDEVI PUBLIC SCHOOL</t>
  </si>
  <si>
    <t>SVKM'S MITHIBAI COLLEGE OF ARTS, CHAUHAN INSTITUTE OF SCIENCE AND AMRUTBEN JIVANLAL COLLEGE OF COMMERCE AND ECONOMICS</t>
  </si>
  <si>
    <t>THAKUR SCHOOL OF ARCHITECTURE AND PLANNING, MUMBAI</t>
  </si>
  <si>
    <t>AutoCAD,MS Office,MS Project,Sketchup,Photoshop,Archicad,Lumion</t>
  </si>
  <si>
    <t>Ketan Vaidya Associates |  Architect-Project Planning &amp; Liasoning | MUMBAI | Jun 2023 | May 2025 | 1Y 11M | 3.84</t>
  </si>
  <si>
    <t>Colliers  | Technical Advisory-Intern | MUMBAI | May 2026 | Jul 2026 | 8.5714285714286 Weeks | Campus Internship
Ingrain | Architectural intern | MUMBAI | Nov 2021 | Apr 2022 | 20.285714285714 Weeks</t>
  </si>
  <si>
    <t>Real Estate Development and Management</t>
  </si>
  <si>
    <t>P25701009</t>
  </si>
  <si>
    <t>MUKUNDRAJ</t>
  </si>
  <si>
    <t>ANVIKAR</t>
  </si>
  <si>
    <t>Varun Mukundraj Anvikar</t>
  </si>
  <si>
    <t>varun.m.anvikar@gmail.com</t>
  </si>
  <si>
    <t>p25701009@student.nicmar.ac.in</t>
  </si>
  <si>
    <t>27-Oct-1999</t>
  </si>
  <si>
    <t>9150 0745 8762</t>
  </si>
  <si>
    <t>MUKUNDRAJ CHANDRAKANT ANVIKAR</t>
  </si>
  <si>
    <t>MADHURA MUKUNDRAJ ANVIKAR</t>
  </si>
  <si>
    <t>CLINICAL PSYCHOLOGIST</t>
  </si>
  <si>
    <t>401, Sakhamai Sadan, Plot No.51, Behind Green Olive Hotel, Bhagyanagar, Chhatrapati Sambhajinagar</t>
  </si>
  <si>
    <t>NATH VALLEY SCHOOL</t>
  </si>
  <si>
    <t>CBSE - AURANGABAD/MAHARASHTRA</t>
  </si>
  <si>
    <t>SMEF'S BRICK SCHOOL OF ARCHITECTURE, PUNE/MAHARASHTRA</t>
  </si>
  <si>
    <t>AutoCAD,SketchUp,Photoshop,Rhino,Enscape,Lumion,InDesign,Revit,Primavera,coral,MS Project,Excel,MS Office</t>
  </si>
  <si>
    <t>Kasturi Kulkarni and Associates | Junior Architect | Aurangabad | Apr 2024 | Jun 2025 | 1Y 2M | 2.52</t>
  </si>
  <si>
    <t>Pidilite Industries Limited | Summer Intern at Pidilite Professional Solutions Division | Pune | May 2026 | Jun 2026 | 7.5714285714286 Weeks | Campus Internship
DAISARIA ASSOCIATES | INTERN ARCHITECT | MUMBAI | Jun 2021 | Nov 2021 | 25.285714285714 Weeks</t>
  </si>
  <si>
    <t>P25701010</t>
  </si>
  <si>
    <t>Arnav Soni</t>
  </si>
  <si>
    <t>soni.arnav@gmail.com</t>
  </si>
  <si>
    <t>p25701010@student.nicmar.ac.in</t>
  </si>
  <si>
    <t>English, Hindi, German (CEFR A1)</t>
  </si>
  <si>
    <t>7216 3978 6333</t>
  </si>
  <si>
    <t>VISHAL SONI</t>
  </si>
  <si>
    <t>EXECUTIVE ENGINEER</t>
  </si>
  <si>
    <t>PRABHA SONI</t>
  </si>
  <si>
    <t>36 Pula, Vrij Vihar, Near RK Circle, Udaipur</t>
  </si>
  <si>
    <t>Udaipur</t>
  </si>
  <si>
    <t>MAHARAHA MEWAR PUBLIC SCHOOL</t>
  </si>
  <si>
    <t>CENTRAL BOARD OF SECONDARY EDUCATION, UDAIPUR, RAJASTHAN</t>
  </si>
  <si>
    <t>MAHARANA MEWAR PUBLIC SCHOOL</t>
  </si>
  <si>
    <t>MUGNEERAM BANGUR MEMORIAL UNIVERSITY</t>
  </si>
  <si>
    <t>MUGNEERAM BANGUR MEMORIAL COLLEGE, JODHPUR, RAJASTHAN</t>
  </si>
  <si>
    <t>AutoCAD,MS Office,MS Project,Primavera,Revit,Rhino,Airtable,Navisworks,Recap Pro,SAP</t>
  </si>
  <si>
    <t>Shantanu Sharma and Associates | Junior Architect | Udaipur | Apr 2023 | Apr 2024 | 1Y 0M | 1.44
Techture Structures Pvt. Ltd. | Junior BIM Architect | Indore | May 2024 | Mar 2025 | 0Y 10M | 3.33</t>
  </si>
  <si>
    <t>Ahluwalia Contracts (India) Limited | Project Management Intern | Gurugram | May 2026 | Jun 2026 | 8.1428571428571 Weeks | Campus Internship
Venugopal and Associates | Architectural Intern | Udaipur | Oct 2021 | Mar 2022 | 25 Weeks</t>
  </si>
  <si>
    <t>Indian Green Building Council - Accredited Professional
Building Information Modelling - Structure and Architecture
Lean Six Sigma - Green Belt [KPMG]
Applied Statistics and Data Analysis</t>
  </si>
  <si>
    <t>P25701011</t>
  </si>
  <si>
    <t>MEET</t>
  </si>
  <si>
    <t>Meet Sanjay Patel</t>
  </si>
  <si>
    <t>meetpatel5811@gmail.com</t>
  </si>
  <si>
    <t>p25701011@student.nicmar.ac.in</t>
  </si>
  <si>
    <t>06-Jul-2000</t>
  </si>
  <si>
    <t>ENGLISH, HINDI, MARATHI GUJARATI</t>
  </si>
  <si>
    <t>4698 2626 8026</t>
  </si>
  <si>
    <t>SANJAY PATEL</t>
  </si>
  <si>
    <t>MANISHA PATEL</t>
  </si>
  <si>
    <t>F-2, Silver Leaf Appartment, Tirthrup Nagar, Chawhan Colony, Near W.C.L. Quarter, CHANDRAPUR</t>
  </si>
  <si>
    <t>ST. MICHAELâ€™S SCHOOL, CHANDRAPUR</t>
  </si>
  <si>
    <t>BAJAJ CHANDRAPUR POLYTECHNIC, CHANDRAPUR</t>
  </si>
  <si>
    <t>SINHGAD INSTITUTE OF TECHNOLOGY, LONAVALA</t>
  </si>
  <si>
    <t>Majestic Realties | HR Operations &amp; Project Coordination Intern | pune | May 2026 | Jun 2026 | 7.7142857142857 Weeks | Campus Internship
Hani Enterprises | Operation and Maintenance Executive | Chandrapur | Jul 2022 | Jun 2025 | 154.42857142857 Weeks</t>
  </si>
  <si>
    <t>Project Management: The Basics for Success
Introduction to Corporate Finance</t>
  </si>
  <si>
    <t>P25701013</t>
  </si>
  <si>
    <t>AKANKSHA</t>
  </si>
  <si>
    <t>Akanksha Avinash Patil</t>
  </si>
  <si>
    <t>akankshapatil1449@gmail.com</t>
  </si>
  <si>
    <t>p25701013@student.nicmar.ac.in</t>
  </si>
  <si>
    <t>14-Apr-1999</t>
  </si>
  <si>
    <t>English,Hindi,Marathi, Kannada</t>
  </si>
  <si>
    <t>Reading,Traveling</t>
  </si>
  <si>
    <t>5699 3975 1939</t>
  </si>
  <si>
    <t>AVINASH PATIL</t>
  </si>
  <si>
    <t>PADMA A. PATIL</t>
  </si>
  <si>
    <t>103, 18 LATTITUDE PHASE 2 GAIKWAD NAGAR PUNAWALE_x000D_</t>
  </si>
  <si>
    <t>5th Floor Iris Apartment Karandemala Kolhapur</t>
  </si>
  <si>
    <t>NEW MODEL ENGLISH SCHOOL</t>
  </si>
  <si>
    <t>MAHAVEER COLLEGE, KOLHAPUR</t>
  </si>
  <si>
    <t>D.Y. PATIL SCHOOL OF ARCHITECTURE, KOLHAPUR.</t>
  </si>
  <si>
    <t>AutoCAD,MS Office,MS Project,Primavera,Sketchup,Lumion,Twinmotion,3Ds Max,Photoshop,Revit,Naviswork</t>
  </si>
  <si>
    <t>Meinhardt EPCM | Junior Manager Architect | Bengaluru | Aug 2022 | Nov 2024 | 2Y 3M | 3.5</t>
  </si>
  <si>
    <t>Architecture Rushikesh H. | Project management intern | Pune | May 2026 | Jul 2026 | 9.5714285714286 Weeks | Campus Internship
PRASHANT S HADKAR CONSULTING ENGINEER | ARCHITECT | KOLHAPUR | Apr 2025 | May 2025 | 8.5714285714286 Weeks
SACHIN GAIKWAD ARCHITECT, INTERIOR DESIGNER AND LANDSCAPE CONSULTANT | TRAINEE | KOLHAPUR | Sep 2021 | Jan 2022 | 18 Weeks</t>
  </si>
  <si>
    <t>Introduction to Corporate Finance
Project Management: The Basics for Success</t>
  </si>
  <si>
    <t>P25701014</t>
  </si>
  <si>
    <t>AGAM</t>
  </si>
  <si>
    <t>WADHWA</t>
  </si>
  <si>
    <t>Agam Wadhwa</t>
  </si>
  <si>
    <t>agamwadhwa8@gmail.com</t>
  </si>
  <si>
    <t>p25701014@student.nicmar.ac.in</t>
  </si>
  <si>
    <t>26-May-2002</t>
  </si>
  <si>
    <t>PUNJABI, HINDI, MARATHI, ENGLISH</t>
  </si>
  <si>
    <t>9389 1168 1928</t>
  </si>
  <si>
    <t>NEERAJ</t>
  </si>
  <si>
    <t>BPH 205, PREM NAGAR APARTMENT_x000D_
NEAR JAIN TEMPLE, MALEGAON ROAD, TARODA KH. NANDED</t>
  </si>
  <si>
    <t>Jasmine 131, L&amp;T Serene County, Telecom Nagar, Gachibowli, Hyderabad</t>
  </si>
  <si>
    <t>GYAN MATA VIDYA VIHAR</t>
  </si>
  <si>
    <t>CENTRAL BOARD OF SECONDARY EDUCATION (NANDED)</t>
  </si>
  <si>
    <t>KIDS' KINGDOM PUBLIC SCHOOL</t>
  </si>
  <si>
    <t>PRESIDENCY UNIVERSITY</t>
  </si>
  <si>
    <t>PRESIDENCY UNIVERSITY BENGALURU</t>
  </si>
  <si>
    <t>MS Office,MS Project,Primavera,Power BI,Tableau,SAP</t>
  </si>
  <si>
    <t>Titus Harris Construction | Project Operations Associate  | Udupi, Karnataka | May 2024 | Jun 2025 | 1Y 1M | 2.4</t>
  </si>
  <si>
    <t>ONESUBSEA | PMO INTERN | PUNE, MAHARASHTRA | May 2026 | Jul 2026 | 8.5714285714286 Weeks | Campus Internship
Huanar | Marketing Head Intern | Bengaluru | Mar 2023 | Jun 2023 | 13.142857142857 Weeks</t>
  </si>
  <si>
    <t>P25701015</t>
  </si>
  <si>
    <t>ASHOOTOSH</t>
  </si>
  <si>
    <t>Ashootosh Sanjay Patil</t>
  </si>
  <si>
    <t>ashootoshpatil@gmail.com</t>
  </si>
  <si>
    <t>p25701015@student.nicmar.ac.in</t>
  </si>
  <si>
    <t>05-Oct-2001</t>
  </si>
  <si>
    <t>5524 4223 3623</t>
  </si>
  <si>
    <t>SANJAY PATIL</t>
  </si>
  <si>
    <t>CHARULATA</t>
  </si>
  <si>
    <t>405 Venkatesh Park C Wing,_x000D_
Near Shree Complex, Adharwadi, Kalyan West</t>
  </si>
  <si>
    <t>SACRED HEART SCHOOL, KALYAN</t>
  </si>
  <si>
    <t>SHRI NARAYANDAS TEJKARAN MUNDADA SECONDARY &amp; HIGHER SECONDARY SCHOOL AMALNER</t>
  </si>
  <si>
    <t>LOKMANYA TILAK INSTITUTE OF ARCHITECTURE AND DESIGN STUDIES</t>
  </si>
  <si>
    <t>AutoCAD,MS Office,MS Project,Primavera,Revit,D5,Twinmotion,Lumion,Photoshop,Sketchup</t>
  </si>
  <si>
    <t>Nudes Architecture | Intern | Lower Parel, Mumbai | May 2026 | Jul 2026 | 9.7142857142857 Weeks | Campus Internship
ARCHITECT HAFEEZ CONTRACTOR | INTERN ARCHITECT | MUMBAI | Nov 2023 | Mar 2024 | 16.571428571429 Weeks</t>
  </si>
  <si>
    <t>BIM, PHOTOSHOP, SKETCHUP, LUMION, REVIT, AUTOCAD 2D &amp; 3D</t>
  </si>
  <si>
    <t>P25701016</t>
  </si>
  <si>
    <t>SURABHI</t>
  </si>
  <si>
    <t>Surabhi Singh</t>
  </si>
  <si>
    <t>surabhi.ils13@gmail.com</t>
  </si>
  <si>
    <t>p25701016@student.nicmar.ac.in</t>
  </si>
  <si>
    <t>6507 6908 8264</t>
  </si>
  <si>
    <t>JAI PRAKASH SINGH</t>
  </si>
  <si>
    <t>GUNJAN SINGH</t>
  </si>
  <si>
    <t>C136, San Tropez, Madrid County, Bhayli, Vasna, Vadodara, Gujarat</t>
  </si>
  <si>
    <t>NAVRACHANA INTERNATIONAL SCHOOL BHAYALI VADODARA</t>
  </si>
  <si>
    <t>INDIAN LANGUAGE SCHOOL LAGOS NIGERIA</t>
  </si>
  <si>
    <t>MANIPAL SCHOOL OF ARCHITECTURE AND PLANNING MANIPAL, KARNATAKA</t>
  </si>
  <si>
    <t>AutoCAD, MS Project, MS PowerPoint, Canva, Revit, Twinmotion, MS Exel, PowerBI, Primavera, Candy</t>
  </si>
  <si>
    <t>Table space constructions Pvt. Ltd. | Project intern  | Bangalore  | May 2026 | Jul 2026 | 8.5714285714286 Weeks | Campus Internship
Geo Designs And Research PVT. LTD | Professional Trainee | Vadodara, Gujarat | Dec 2023 | May 2024 | 25.857142857143 Weeks</t>
  </si>
  <si>
    <t>Project Management: The Basics for Success
Introduction to Corporate Finance
Six Sigma Tools for Define and Measure
Quantitative Methods
Project Management - Initiation and Planning
Oracle Primavera P6 – Project Setup and Basic Management
Operations Management
Introduction to Generative AI in Human Resources
Effective Interpersonal Communication for Business
Microeconomics Principles
Corporate Finance Essentials</t>
  </si>
  <si>
    <t>P25701017</t>
  </si>
  <si>
    <t>Rishika Sharma</t>
  </si>
  <si>
    <t>rishika.seju@gmail.com</t>
  </si>
  <si>
    <t>p25701017@student.nicmar.ac.in</t>
  </si>
  <si>
    <t>25-Mar-2000</t>
  </si>
  <si>
    <t>2052 7646 3202</t>
  </si>
  <si>
    <t>SUSHMESH SHARMA</t>
  </si>
  <si>
    <t>POONAM SHARMA</t>
  </si>
  <si>
    <t>A3-103, NYATI ESTEBAN, UNDRI MARG, UNDRI.</t>
  </si>
  <si>
    <t>A5-21, Solace Park, BT Kawade Road</t>
  </si>
  <si>
    <t>THE BISHOP'S CO-ED SCHOOL, UNDRI</t>
  </si>
  <si>
    <t>THE BISHOP'S SCHOOL, CAMP</t>
  </si>
  <si>
    <t>MIT SCHOOL OF MANAGEMENT</t>
  </si>
  <si>
    <t>MS Office,MS Project,Primavera,MS EXCEL,SPSS,MS POWERPOINT,CANDY</t>
  </si>
  <si>
    <t>Scalene Works | Consultant - Capgemini | Pune | Apr 2021 | Feb 2022 | 0Y 10M | 3
Capgemini | Business Unit Staffing Partner | Pune | Feb 2022 | Oct 2022 | 0Y 8M | 3.75
Accenture | Talent Fulfillment Associate | Pune | Oct 2022 | Sep 2023 | 0Y 10M | 6.4
Erecon Spaces | Assistant Manager-Process Integration | Pune | Feb 2024 | Jun 2025 | 1Y 3M | 7.2</t>
  </si>
  <si>
    <t>Savills India | Project Management Intern | Pune | May 2026 | Jul 2026 | 8.7142857142857 Weeks | Campus Internship</t>
  </si>
  <si>
    <t>P25701018</t>
  </si>
  <si>
    <t>Vedant Anil Mahajan</t>
  </si>
  <si>
    <t>vedant6492@gmail.com</t>
  </si>
  <si>
    <t>p25701018@student.nicmar.ac.in</t>
  </si>
  <si>
    <t>6539 5034 5886</t>
  </si>
  <si>
    <t>NICMAR UNIVERSITY, ULTIMA HOSTEL, N.I.A, BALEWADI RD, RAM NAGAR, BANER, PUNE</t>
  </si>
  <si>
    <t>Dena Nagar Pushpa Appartment Plot No 8 Beside Arihant Appartment Back Side Of Bhole Petrol Pump, Bhusawal.</t>
  </si>
  <si>
    <t>MAHARANA PRATAP VIDYALAYA, BHUSAWAL.</t>
  </si>
  <si>
    <t>MAHARASTRA STATE BOARD OF SECOUNDARY AND HIGHER SECOUNDARY  EDUCATION, PUNE</t>
  </si>
  <si>
    <t>DADASAHEB DEVIDAS NAMDEO BHOLE COLLEGE, BHUSAWAL.</t>
  </si>
  <si>
    <t>MAHARASTRA STATE BOARD OF SECOUNDARY AND HIGHER SECOUNDARY EDUCATION, PUNE</t>
  </si>
  <si>
    <t>SINHGAD COLLEGE OF ENGINEERING, PUNE.</t>
  </si>
  <si>
    <t>AutoCAD,MS Office,MS Project,3d Civil,MS Excel,Revit,Work Breakdown Structure (WBS),Project Scheduling &amp; Tracking,Gantt Charts | Progress Measurement,Risk and Issue Tracking</t>
  </si>
  <si>
    <t>Nyati Group | Project management intern | Pune | May 2026 | Jul 2026 | 8.7142857142857 Weeks | Campus Internship
EVEREST  Constructions &amp; Developers | Intern Site Engineer | Bhusawal | Jul 2024 | Jan 2025 | 30.571428571429 Weeks
M/S VINODKUMAR MOHANLAL JADAWANI (RAILWAY CONTRACTOR) | Intern  | Bhusawal  | Jan 2023 | Feb 2023 | 3.8571428571429 Weeks</t>
  </si>
  <si>
    <t>P25701020</t>
  </si>
  <si>
    <t>NIMISHA</t>
  </si>
  <si>
    <t>POWALE</t>
  </si>
  <si>
    <t>Nimisha Shailesh Powale</t>
  </si>
  <si>
    <t>powalenimisha@gmail.com</t>
  </si>
  <si>
    <t>p25701020@student.nicmar.ac.in</t>
  </si>
  <si>
    <t>Theatre and drama performances,Painting and sketching,Networking and interacting with new people,Exploring art and design and market trends,Travel and cultural exploration,Indian history and heritage</t>
  </si>
  <si>
    <t>6760 0170 4045</t>
  </si>
  <si>
    <t>SHAILESH MANOHAR POWALE</t>
  </si>
  <si>
    <t>BHAGYASHREE SHAILESH POWALE</t>
  </si>
  <si>
    <t>PATHOLOGIST</t>
  </si>
  <si>
    <t>B-25/26, Parijat Chs, Gunsagar Nagar Near Station Road, Kalwa West, Thane. 400605</t>
  </si>
  <si>
    <t>JNAN VIKAS MANDAL'S NEW ENGLISH SCHOOL, KALWA, THANE</t>
  </si>
  <si>
    <t>MAHARASHTRA STATE BOARD OF SECONDARY AND HIGHER SECONDARY EDUCATION, PUNE. THANE, MAHARASHTRA</t>
  </si>
  <si>
    <t>SHETH N.K.T.T. COLLEGE OF COMMERCE AND SHETH J.T.T. COLLEGE OF ARTS THANE</t>
  </si>
  <si>
    <t>UNIVERSITY  OF MUMBAI</t>
  </si>
  <si>
    <t>LOKMANYA TILAK INSTITUTE OF ARCHITECTURE AND DESIGN STUDIES, KOPARKHAIRANE, NAVI MUMBAI, MAHARASHTRA.</t>
  </si>
  <si>
    <t>AutoCAD,MS Office,MS Project,Primavera,Candy,@RISK</t>
  </si>
  <si>
    <t>THE ROOM OF ELEMENTS | JUNIOR ARCHITECT | DOMBIVALI, MUMBAI, MAHARASHTRA  | Jul 2024 | Jul 2025 | 1Y 0M | 1.8</t>
  </si>
  <si>
    <t>Architect Rushikesh. H | Project Management Intern | Pune  | May 2026 | Jul 2026 | 9.5714285714286 Weeks | Campus Internship
ADYTUM DESIGNS PRIVATE LIMITED | ARCHITECTURAL INTERN  | GHATKOPAR, MUMBAI, MAHARASHTRA | Dec 2022 | Apr 2023 | 20.857142857143 Weeks</t>
  </si>
  <si>
    <t>Project Management:The basics for Success</t>
  </si>
  <si>
    <t>P25701021</t>
  </si>
  <si>
    <t>SUSHIR</t>
  </si>
  <si>
    <t>Prajakta Sanjay Sushir</t>
  </si>
  <si>
    <t>prajaktasushir15@gmail.com</t>
  </si>
  <si>
    <t>p25701021@student.nicmar.ac.in</t>
  </si>
  <si>
    <t>15-Mar-2003</t>
  </si>
  <si>
    <t>4388 9186 2796</t>
  </si>
  <si>
    <t>SUDHA</t>
  </si>
  <si>
    <t>127, Dattatraya Nagar, Behind NIT Garden, Nagpur, 440024</t>
  </si>
  <si>
    <t>PRAJAKTA SANJAY SUSHIR</t>
  </si>
  <si>
    <t>SMT. JANKIDEVI JAISWAL HIGH SCHOOL &amp; JUNIOR COLLEGE</t>
  </si>
  <si>
    <t>SWARGIYA JAGANNATH JATTEWAR SHIKSHAN SANSTHA'S INSTITUTE OF DESIGN EDUCATION &amp; ARCHITECTURAL STUDIES, NAGPUR</t>
  </si>
  <si>
    <t>AutoCAD,MS Office,MS Project,Primavera,Sketchup,Rhino,Photoshop,Enscape,Vray,Candy</t>
  </si>
  <si>
    <t>Anarock Property Consultancy | Sourcing and Closing Intern | Dombivli West, Mumbai | May 2026 | Jul 2026 | 9.5714285714286 Weeks | Campus Internship
GRAYSTONE PALETTE ARCHITECTS | INTERN | PUNE | Jan 2024 | May 2024 | 17.428571428571 Weeks</t>
  </si>
  <si>
    <t>Initiating and Planning Projects
Project Management: The Basics for Success</t>
  </si>
  <si>
    <t>P25701022</t>
  </si>
  <si>
    <t>SAMIKSHA</t>
  </si>
  <si>
    <t>POTDUKHE</t>
  </si>
  <si>
    <t>Samiksha Sunil Potdukhe</t>
  </si>
  <si>
    <t>samiksha96potdukhe@gmail.com</t>
  </si>
  <si>
    <t>p25701022@student.nicmar.ac.in</t>
  </si>
  <si>
    <t>Sustainable Infrastructure,Sketching,Concept visualisation,Problem-solving through creative design</t>
  </si>
  <si>
    <t>3604 4434 9445</t>
  </si>
  <si>
    <t>36, shubhangi gruh nirman society, behind Balaji mandir, besa road, besa, nagpur- 440034</t>
  </si>
  <si>
    <t xml:space="preserve">4D-602 Kul ecoloch, opp. VTP Leonara, mahalunge </t>
  </si>
  <si>
    <t>PODAR INTERNATIONAL SCHOOL, NAGPUR</t>
  </si>
  <si>
    <t>G.H.RAISONI JUNIOR COLLEGE NAGPUR, MAHARASHTRA</t>
  </si>
  <si>
    <t>MAHARASHTRA STATE BOARD OF SECONDARY AND HIGHER SECONDARY EDUCATION, NAGPUR/MAHARASHTRA</t>
  </si>
  <si>
    <t>MKSSS, DR. BHANUBEN NANAVAVATI COLLEGE OF ARCHITECTURE FOR WOMEN, PUNE</t>
  </si>
  <si>
    <t>AutoCAD,MS Office,MS Project,Primavera,phtoshop,sketechup,revit,enscape,lumion,QGIS,procreate,Advanced excel,SPSS, Candy, @Risk</t>
  </si>
  <si>
    <t>GODREJ PROPERTIES LIMITED | Operations- (Planning) Intern | Mumbai | May 2026 | Jul 2026 | 8.7142857142857 Weeks | Campus Internship
Architect Rushikesh H. | intern | mumbai | Jun 2023 | Dec 2023 | 24.571428571429 Weeks</t>
  </si>
  <si>
    <t>Capturing spatial data by photogrammetry for scanning and documenting Architectural Heritage</t>
  </si>
  <si>
    <t>P25701024</t>
  </si>
  <si>
    <t>KANDUR</t>
  </si>
  <si>
    <t>SRINATH</t>
  </si>
  <si>
    <t>Neha Kandur Srinath</t>
  </si>
  <si>
    <t>neha.kandur@gmail.com</t>
  </si>
  <si>
    <t>p25701024@student.nicmar.ac.in</t>
  </si>
  <si>
    <t>29-Jun-2000</t>
  </si>
  <si>
    <t>2146 7866 6398</t>
  </si>
  <si>
    <t>SRINATH KANDUR</t>
  </si>
  <si>
    <t>LAKSHMI KANDUR</t>
  </si>
  <si>
    <t>4046, 23rd Main, Banashankari 2nd Stage, Bangalore- 560070</t>
  </si>
  <si>
    <t>SRI KUMARAN CHILDREN'S HOME, BANGALORE</t>
  </si>
  <si>
    <t>BMS COLLEGE OF ARCHITECTURE, BANGALORE</t>
  </si>
  <si>
    <t>AutoCAD,MS Office,MS Project,Primavera,Adobe Illustrator,Adobe Photoshop,SketchUp,Revit,Lumion,Enscape</t>
  </si>
  <si>
    <t>Pragrup: Architecture and Urbanism | Architect | Bangalore | Sep 2023 | Jun 2025 | 1Y 8M | 3.36</t>
  </si>
  <si>
    <t>KPMG India | Major Project Advisory (MPA) Intern | Mumbai | May 2026 | Jun 2026 | 7.5714285714286 Weeks | Campus Internship
Mistry Architects | Architectural Intern | Bangalore | Aug 2022 | Dec 2022 | 17.571428571429 Weeks</t>
  </si>
  <si>
    <t>P25701025</t>
  </si>
  <si>
    <t>PRADYUMNA</t>
  </si>
  <si>
    <t>Deshmukh Pradyumna Nilesh</t>
  </si>
  <si>
    <t>pradyumnadeshmukh1997@gmail.com</t>
  </si>
  <si>
    <t>p25701025@student.nicmar.ac.in</t>
  </si>
  <si>
    <t>8124 2443 9968</t>
  </si>
  <si>
    <t>NILESH DESHMUKH</t>
  </si>
  <si>
    <t>POOJA DESHMUKH</t>
  </si>
  <si>
    <t>F1002, 7 AVENUE, PATIL NAGAR, BALEWADI</t>
  </si>
  <si>
    <t>8, Parag Township, Malu Layout, Ram Nagar, Amravati</t>
  </si>
  <si>
    <t>DNYANMATA HIGH SCHOOL, AMRAVATI</t>
  </si>
  <si>
    <t>PROF. RAM MEGHE INSTITUTE OF TECCHNOLOGY &amp; RESEARCH, BADNERA, MAHARASHTRA</t>
  </si>
  <si>
    <t xml:space="preserve"> Majestic Realties | Project Management Intern | Kothrud, Pune | May 2026 | Jun 2026 | 7.7142857142857 Weeks | Campus Internship</t>
  </si>
  <si>
    <t>P25701026</t>
  </si>
  <si>
    <t>HARSHITH</t>
  </si>
  <si>
    <t>S N</t>
  </si>
  <si>
    <t>Harshith S N</t>
  </si>
  <si>
    <t>harshithsn2001@gmail.com</t>
  </si>
  <si>
    <t>p25701026@student.nicmar.ac.in</t>
  </si>
  <si>
    <t>28-Apr-2001</t>
  </si>
  <si>
    <t>4972 9597 6681</t>
  </si>
  <si>
    <t>NATARAJ S R</t>
  </si>
  <si>
    <t>RETRED TEACHER</t>
  </si>
  <si>
    <t>SARVAMANGALA S</t>
  </si>
  <si>
    <t>HARSHITH SN S/O NATARAJ SR ,SURENAHALLI ,THOVINAKERE POST CN DURGA HOBLI ,KORATAGERE TALLUK ,TUMKUR (D)</t>
  </si>
  <si>
    <t>J K MEMORIAL CENTRAL SCHOOL TUMKUR KARNATAKA</t>
  </si>
  <si>
    <t>MAHESH PU COLLEGE,KUNIGAL ROAD MARALURU,TUMKUR</t>
  </si>
  <si>
    <t>BANGALURU/KARNATAKA</t>
  </si>
  <si>
    <t>CICON ENGINEERS PVT.LTD | SITE ENGINEER - QC | BANAGLURU | Mar 2024 | Jun 2025 | 1Y 3M | 2.6</t>
  </si>
  <si>
    <t>Econstruct Design &amp; Build Pvt.ltd | Project Managament Intern | BANGALURU | May 2026 | Jun 2026 | 8.1428571428571 Weeks | Campus Internship
NEW CONSOLIDATED CONSTRUCTION CO.LTD | QC TRAINEE | BANGALURU | Jul 2022 | Aug 2022 | 4.4285714285714 Weeks</t>
  </si>
  <si>
    <t>P25701027</t>
  </si>
  <si>
    <t>Shreya Gupta</t>
  </si>
  <si>
    <t>11shreyainform@gmail.com</t>
  </si>
  <si>
    <t>p25701027@student.nicmar.ac.in</t>
  </si>
  <si>
    <t>ENGLISH, HINDI, BENGALI AND ODIA</t>
  </si>
  <si>
    <t>Travelling,Social Communication,Event Management,Photography,Management,Problem Solving,Decision Making,Designing,Volunteering &amp; Mentorship</t>
  </si>
  <si>
    <t>2758 6559 5379</t>
  </si>
  <si>
    <t>VIKRAM GUPTA</t>
  </si>
  <si>
    <t>DEEPMALA GUPTA</t>
  </si>
  <si>
    <t>15/29 Bose Pukur Road Opposite Bediadanga Post  Office</t>
  </si>
  <si>
    <t>DELHI PUBLIC SCHOOL RUBY PARK KOLKATA</t>
  </si>
  <si>
    <t>BIJU PATNAIK UNIVERSITY OF TECHNOLOGY, ODISHA ROURKELA</t>
  </si>
  <si>
    <t>PILOO MODY COLLEGE OF ARCHITECTURE, ABIT, CUTTACK</t>
  </si>
  <si>
    <t>AutoCAD, MS Office, MS Project,Primavera,Sketchup,D5,Power BI, Business Central, Lumion, Excel, Canva, Teams, Photoshop, SPSS</t>
  </si>
  <si>
    <t>Ahluwalia Contracts (India) Limited  | Project Planning  | Kolkata  | May 2026 | Jul 2026 | 8.7142857142857 Weeks | Campus Internship
Studio Raw Design | Architectural Intern  | Gurugram  | Jun 2024 | Oct 2024 | 21.714285714286 Weeks</t>
  </si>
  <si>
    <t>Project Management: The Basics for Success
Project Management - Initiation and Planning
Six Sigma Tools for Define and Measure
Operations Management
Effective Interpersonal Communication for Business
Microeconomics Principles
Introduction to Generative AI in Human Resources
Corporate Finance Essentials
Laurie Baker Centre For Habitat Studies</t>
  </si>
  <si>
    <t>P25701028</t>
  </si>
  <si>
    <t>MADHURA</t>
  </si>
  <si>
    <t>Madhura Dinesh Bagwe</t>
  </si>
  <si>
    <t>armadhurabagwe@gmail.com</t>
  </si>
  <si>
    <t>p25701028@student.nicmar.ac.in</t>
  </si>
  <si>
    <t>12-Oct-1999</t>
  </si>
  <si>
    <t>9013 4818 5019</t>
  </si>
  <si>
    <t>LOCO-PILOT IN INDIAN RAILWAYS</t>
  </si>
  <si>
    <t>1802,AISHWARYA HEIGHTS,OPP LIC COLONY_x000D_
MITHAGAR ROAD, Mulund East.</t>
  </si>
  <si>
    <t>JAI HIND COLLEGE</t>
  </si>
  <si>
    <t>AutoCAD,MS Office,MS Project,sketchup,lumion,enscape,photoshop</t>
  </si>
  <si>
    <t>Godrej &amp; Boyce Manufacturing Company Limited | Assistant Manager- studio design for Interio Division | Vikhroli, Mumbai | Sep 2022 | Dec 2024 | 2Y 2M | 8.45</t>
  </si>
  <si>
    <t>Pidilite Industries Limited  | Intern | Mumbai | May 2026 | Jun 2026 | 7.5714285714286 Weeks | Campus Internship
Daisaria Associates | Intern | Vidyavihar, Mumbai | Jan 2021 | Jun 2021 | 19.285714285714 Weeks</t>
  </si>
  <si>
    <t>P25701029</t>
  </si>
  <si>
    <t>GANDHARV</t>
  </si>
  <si>
    <t>TUKARAM</t>
  </si>
  <si>
    <t>TIKAM</t>
  </si>
  <si>
    <t>Gandharv Tukaram Tikam</t>
  </si>
  <si>
    <t>gandharv268@gmail.com</t>
  </si>
  <si>
    <t>p25701029@student.nicmar.ac.in</t>
  </si>
  <si>
    <t>06-Sep-2001</t>
  </si>
  <si>
    <t>DRAWING,SINGING,PLAYING CRICKET,Watching construction podcasts,Reading books</t>
  </si>
  <si>
    <t>4755 5309 8342</t>
  </si>
  <si>
    <t>TUKARAM DHONDU TIKAM</t>
  </si>
  <si>
    <t>TRUSHALI TUKARAM TIKAM</t>
  </si>
  <si>
    <t>B/23 VIHANG DARSHAN PROF N.S PHADKE ROAD SAIWADI ANDHERI_x000D_
(EAST)</t>
  </si>
  <si>
    <t>SHRI MADHAVRAO BHAGWAT HIGH SCHOOL</t>
  </si>
  <si>
    <t>MUMBAI SUBURBAN , MAHARASTRA</t>
  </si>
  <si>
    <t>SATHAYE COLLEGE</t>
  </si>
  <si>
    <t>M.H SABOO SIDDIK COLLEGE OF ENGINEERING, MUMBAI CITY</t>
  </si>
  <si>
    <t>AutoCAD,MS Office,MS Project,Primavera,STAAD PRO,Candy</t>
  </si>
  <si>
    <t>DEEP CONSTRUCTIONS | Site Engineer  | Mumbai  | May 2024 | Jun 2025 | 1Y 0M | 2.16</t>
  </si>
  <si>
    <t>New Conssolidated Construction Company | Intern-Contracts and Commercials  | Mumbai  | May 2026 | Jul 2026 | 8.7142857142857 Weeks | Campus Internship</t>
  </si>
  <si>
    <t>Advanced Excel
TCS ioN Young Professional Certificate Course
STAAD PRO
AUTOCCAD</t>
  </si>
  <si>
    <t>P25701030</t>
  </si>
  <si>
    <t>GARGI</t>
  </si>
  <si>
    <t>SUCHINT</t>
  </si>
  <si>
    <t>RAJHANSA</t>
  </si>
  <si>
    <t>Gargi Suchint Rajhansa</t>
  </si>
  <si>
    <t>gargi2001rajhansa@gmail.com</t>
  </si>
  <si>
    <t>p25701030@student.nicmar.ac.in</t>
  </si>
  <si>
    <t>Singing,travelling,Cooking</t>
  </si>
  <si>
    <t>4176 7355 8629</t>
  </si>
  <si>
    <t>SUCHINT VISHNUPANT RAJHANSA</t>
  </si>
  <si>
    <t>SERVICE (BESIX CONSTRUCT LLC, DUBAI)</t>
  </si>
  <si>
    <t>SWATI SUCHINT RAJHANSA</t>
  </si>
  <si>
    <t>SERVICE (DISTRICT AND SESSION'S COURT, NAGPUR)</t>
  </si>
  <si>
    <t>'Parijaat' Plot 28, Narkesari Layout, Near Jaitala Post Office, Jaitala, Nagpur</t>
  </si>
  <si>
    <t>Micasa Co-Living, 
6/1, Lane No. 5A, Laxman Nagar, Baner, Pune, Maharashtra 411045</t>
  </si>
  <si>
    <t>CENTRE POINT SCHOOL, DABHA, NAGPUR</t>
  </si>
  <si>
    <t>G.H. RAISONI VIDYA NIKETAN, NAGPUR</t>
  </si>
  <si>
    <t>DR. BHANUBEN NANAVATI COLLEGE OF ARCHITECTURE, PUNE, MAHARASHTRA</t>
  </si>
  <si>
    <t>AutoCAD,MS Office,MS Project,Revit,Photoshop,Sketchup,Lumion,Enscape,Illustrator,Canva</t>
  </si>
  <si>
    <t>a'XYKno Capital Services Pvt. Ltd. | Contracts and Transaction Advisory Intern | Nagpur, Maharashtra | May 2026 | Jul 2026 | 8.7142857142857 Weeks | Campus Internship
Shrutika Raut Design Studio | Architecture and Interiors | Prabhat Road, Pune | Jun 2024 | Nov 2024 | 25.571428571429 Weeks</t>
  </si>
  <si>
    <t>P25701031</t>
  </si>
  <si>
    <t>Akshita Anand Chandak</t>
  </si>
  <si>
    <t>akshitachandak25@gmail.com</t>
  </si>
  <si>
    <t>p25701031@student.nicmar.ac.in</t>
  </si>
  <si>
    <t>09-Nov-2000</t>
  </si>
  <si>
    <t>4476 7855 3727</t>
  </si>
  <si>
    <t>A1-1003, MANTRA MONARCH, PATIL NAGAR, BALEWADI, PUNE</t>
  </si>
  <si>
    <t>19, Zade Layout, Bharat Nagar, Amravati Road, Nagpur</t>
  </si>
  <si>
    <t>BHAVAN'S BHAGWANDAS PUROHIT VIDYA MANDIR, CIVIL LINES, NAGPUR</t>
  </si>
  <si>
    <t>SHRI SHIVAJI SCIENCE COLLEGE, NAGPUR</t>
  </si>
  <si>
    <t>L.S. RAHEJA SCHOOL OF ARCHITECTURE, BANDRA EAST, MUMBAI, MAHARASHTRA</t>
  </si>
  <si>
    <t>AutoCAD,MS Office,MS Project,AutoDesk Revit,Adobe Photoshop</t>
  </si>
  <si>
    <t>HSA-Hiten Sethi and Associates | Junior Architect | Bandra, Mumbai | Aug 2024 | Apr 2025 | 0Y 8M | 2.4</t>
  </si>
  <si>
    <t>KPMG Global Services | Deal Advisory and Strategy Intern | Mumbai | May 2026 | Jul 2026 | 9.5714285714286 Weeks | Campus Internship
Studio Humane | Intern | Pune | Nov 2022 | Apr 2023 | 19.571428571429 Weeks
Ideas1 | Intern | Thane, Mumbai | May 2022 | Jun 2022 | 8.5714285714286 Weeks
Rethinking the Future | Editorial Writer- Trainee | Remote | Dec 2024 | Mar 2025 | 15.857142857143 Weeks</t>
  </si>
  <si>
    <t>Intensive Program on Advance Design Tools
Rethinking the Future- Architectural Writing Training Programme
Project Management Assessment
Post Graduate Certification Programme in Project Management
Certified ScrumMaster
PRINCE2: 7th Edition Foundation and Practitioner Master Class
Primavera P6 Fundamentals
Project Management: The Basics for Success</t>
  </si>
  <si>
    <t>P25701032</t>
  </si>
  <si>
    <t>PANCHAMI</t>
  </si>
  <si>
    <t>GUNDA</t>
  </si>
  <si>
    <t>Panchami Milind Gunda</t>
  </si>
  <si>
    <t>panchamigundastudies@gmail.com</t>
  </si>
  <si>
    <t>p25701032@student.nicmar.ac.in</t>
  </si>
  <si>
    <t>6346 4142 9699</t>
  </si>
  <si>
    <t>MILIND GUNDA</t>
  </si>
  <si>
    <t>PANKAJA GUNDA</t>
  </si>
  <si>
    <t>201, B Wing, Indrapuri Apartment, Opp SBI, Karvenagar, Pune 411052</t>
  </si>
  <si>
    <t>MAHARASHTRA EDUCATION SOCIETY'S ABASAHEB GARWARE COLLEGE</t>
  </si>
  <si>
    <t>AutoCAD,MS Office,MS Project,Primavera,Sketch Up,Rhinoceros 3D,Lumion,Enscape,Power Director</t>
  </si>
  <si>
    <t>Sikachi Incorporation | Junior Architect | Pune, Maharashtra | Dec 2023 | Jun 2025 | 1Y 6M | 3</t>
  </si>
  <si>
    <t>Godrej Properties Limited | Summer Intern | Pune | May 2026 | Jul 2026 | 8.5714285714286 Weeks | Campus Internship
Indian National Trust for Art and Cultural Heritage | Architectural Intern | Hampi, Karnataka | Jun 2022 | Oct 2022 | 19.428571428571 Weeks</t>
  </si>
  <si>
    <t>Introduction to Corporate Finance by Coursera
Project Management: The basics for success by Coursera</t>
  </si>
  <si>
    <t>P25701033</t>
  </si>
  <si>
    <t>SANSKAR</t>
  </si>
  <si>
    <t>Sanskar Santosh Mishra</t>
  </si>
  <si>
    <t>mishrasanskar219@gmail.com</t>
  </si>
  <si>
    <t>p25701033@student.nicmar.ac.in</t>
  </si>
  <si>
    <t>Volunteering for Social Causes,Keen interest in global affairs and geopolitics</t>
  </si>
  <si>
    <t>9004 3682 1050</t>
  </si>
  <si>
    <t>NANDITA</t>
  </si>
  <si>
    <t>Ghanshyam Nagar Badnera Road Saturna Amravati</t>
  </si>
  <si>
    <t>TAKHATMAL ENGLISH HIGH SCHOOL</t>
  </si>
  <si>
    <t>MAHARASHTRA STATE BOARD OF SECONDARY AND HIGHER SECONDARY EDUCATION, AMRAVATI</t>
  </si>
  <si>
    <t>BRIJLAL BIYANI SCIENCE COLLEGE</t>
  </si>
  <si>
    <t>BRIJLAL BIYANI SCIENCE COLLEGE, AMRAVATI</t>
  </si>
  <si>
    <t>MS Office,MS Project,Primavera,SPSS</t>
  </si>
  <si>
    <t>Majestic Realties | Digital Marketing Intern | NIBM, PUNE | May 2026 | Jun 2026 | 7.7142857142857 Weeks | Campus Internship</t>
  </si>
  <si>
    <t>Introduction to corporate finance
Project Management: Basics for success</t>
  </si>
  <si>
    <t>P25701034</t>
  </si>
  <si>
    <t>HARIKRISHNA</t>
  </si>
  <si>
    <t>S Harikrishna</t>
  </si>
  <si>
    <t>sh.ug16.ar@nitp.ac.in</t>
  </si>
  <si>
    <t>p25701034@student.nicmar.ac.in</t>
  </si>
  <si>
    <t>25-Jun-1998</t>
  </si>
  <si>
    <t>4307 7590 9558</t>
  </si>
  <si>
    <t>S APPALASWAMY</t>
  </si>
  <si>
    <t>RETIRED EMPLOYEE</t>
  </si>
  <si>
    <t>S BABY</t>
  </si>
  <si>
    <t>No. 42, F3 Nithyam Homes, Valmiki Street, East Tambaram</t>
  </si>
  <si>
    <t>CENTRAL BOARD OF SECONDARY EDUCATION AND CHENNAI</t>
  </si>
  <si>
    <t>NATIONAL INSTITUTE OF TECHNOLOGY</t>
  </si>
  <si>
    <t>NATIONAL INSTITUTE OF TECHNOLOGY, PATNA</t>
  </si>
  <si>
    <t>AutoCAD,MS Office,Revit,Sketchup,Lumion,Photoshop,Enscape</t>
  </si>
  <si>
    <t>Design  Square | Junior Architect | Chennai | Sep 2021 | Mar 2022 | 0Y 6M | 1.56
Bhartiya Urban Private Limited | Trainee Architect | Bengaluru | Mar 2022 | Aug 2022 | 0Y 4M | 3.75
FreshBus Private Limited | Junior Architect, Product Specialist | Hyderabad | Dec 2022 | Jun 2025 | 2Y 6M | 4.5</t>
  </si>
  <si>
    <t>TruBoard Partners | Asset Management Intern | Gurgaon | May 2026 | Jun 2026 | 8.1428571428571 Weeks | Campus Internship
BARA ARCHITECT | Architectural Intern | Chennai | Jul 2020 | Nov 2020 | 18 Weeks</t>
  </si>
  <si>
    <t>P25701035</t>
  </si>
  <si>
    <t>LATA</t>
  </si>
  <si>
    <t>Lata Anil Gupta</t>
  </si>
  <si>
    <t>latagupta1301@gmail.com</t>
  </si>
  <si>
    <t>p25701035@student.nicmar.ac.in</t>
  </si>
  <si>
    <t>13-Jul-2001</t>
  </si>
  <si>
    <t>6493 2819 0431</t>
  </si>
  <si>
    <t>A-202, HILL VIEW CHS, JP ROAD, NEAR NAVRANG CINEMAS, ANDHERI WEST MUMBAI 400058</t>
  </si>
  <si>
    <t>513, Juhu Azad Nagar CHS LTD, CD Barfiwala Road, Andheri West Mumbai-400058</t>
  </si>
  <si>
    <t>SMT. R.S.B. ARYA VIDYA MANDIR, MUMBAI</t>
  </si>
  <si>
    <t>LATE BHAUSAHEB HIRAY S.S. TRUST'S DR. BALIRAM HIRAY COLLEGE OF ARCHITECTURE, MUMBAI</t>
  </si>
  <si>
    <t>AutoCAD,MS Office,MS Project,Primavera,Adobe Photoshop</t>
  </si>
  <si>
    <t>ARCHITECT RUSHIKESH H. | JUNIOR ARCHITECT | MUMBAI | Oct 2024 | Jun 2025 | 0Y 8M | 3.09</t>
  </si>
  <si>
    <t>KALPATARU LIMITED | PROJECT INTERN | Santacruz, Mumbai | May 2026 | Jul 2026 | 9.5714285714286 Weeks | Campus Internship
ARCHITECT RUSHIKESH H. | ARCHITECTURAL INTERN | MUMBAI | Dec 2022 | Apr 2023 | 20.571428571429 Weeks</t>
  </si>
  <si>
    <t>P25701036</t>
  </si>
  <si>
    <t>CHINTALAPATI</t>
  </si>
  <si>
    <t>Archana Chintalapati</t>
  </si>
  <si>
    <t>archi14902@gmail.com</t>
  </si>
  <si>
    <t>p25701036@student.nicmar.ac.in</t>
  </si>
  <si>
    <t>14-Sep-2002</t>
  </si>
  <si>
    <t>English, Hindi And Telugu</t>
  </si>
  <si>
    <t>Carnatic Music,Crochet,Paper Quilling,Custom Rakhi&amp;#39;s,Rangoli,Cooking,Organising,Doodling,Zentangle,Sketching,Water color Painting,Reading Books,Calligraphy,Travelling,Art of Living,Yoga,Dance</t>
  </si>
  <si>
    <t>2638 6342 9076</t>
  </si>
  <si>
    <t>DATTATREYA CHINTALAPATI</t>
  </si>
  <si>
    <t>LAKSHMI SUNEETHA CHINTALAPATI</t>
  </si>
  <si>
    <t>11-39-18, KATURIVARI STREET,_x000D_
ONE TOWN</t>
  </si>
  <si>
    <t>40012 - N ST MATHEW'S PUBLIC SCHOOL, VIJAYAWADA, AP</t>
  </si>
  <si>
    <t>BOARD OF INTERMEDIATE EDUCATION A.P., VIJAYAWADA</t>
  </si>
  <si>
    <t>KONERU LAKSHMAIAH EDUCATION FOUNDATION</t>
  </si>
  <si>
    <t>KONERU LAKSHMAIAH EDUCATION FOUNDATION , VADDESWARAM, GUNTUR</t>
  </si>
  <si>
    <t>AutoCAD,MS Office,MS Project,Autodesk Revit,SketchUp,Lumion,Enscape,Twinmotion,Navisworks,D5,Photoshop,Illustrator,QGIS,Canva,ZWCAD,Forma,Formit,Rhino,Dynamo,Fusion 360,Point Cloud Modelling,DiRoots,BIM Collaborative</t>
  </si>
  <si>
    <t>KPMG | Transformation - Major Project Advisory  | Gurugram | May 2026 | Jun 2026 | 7.5714285714286 Weeks | Campus Internship
INGENIO STUDIO | INTERN | BANGALORE | Jun 2024 | Nov 2024 | 24.714285714286 Weeks
Hidden Dimension | Summer Intern | Vijayawada | Jun 2023 | Jul 2023 | 3.2857142857143 Weeks</t>
  </si>
  <si>
    <t>Professional REVIT &amp; BIM Certification Program</t>
  </si>
  <si>
    <t>P25701037</t>
  </si>
  <si>
    <t>VARSHA H</t>
  </si>
  <si>
    <t>NAYAR</t>
  </si>
  <si>
    <t>Varsha H Nayar</t>
  </si>
  <si>
    <t>varshahnayar.2001@gmail.com</t>
  </si>
  <si>
    <t>p25701037@student.nicmar.ac.in</t>
  </si>
  <si>
    <t>English,Hindi,Malayalm,Tamil</t>
  </si>
  <si>
    <t>9768 9148 1044</t>
  </si>
  <si>
    <t>HARI P NAIR</t>
  </si>
  <si>
    <t>ADDITIONAL GOVT.SECRETARY RTD</t>
  </si>
  <si>
    <t>ANITHA DEVI S</t>
  </si>
  <si>
    <t>ASST.HR MANAGER AIRPORT AUTHORITY OF INDIA</t>
  </si>
  <si>
    <t>TC 9/2900 Sannidhi _x000D_
Mnaluvilakom House,Kariyvattom _x000D_
Trivandrum Kerala _x000D_</t>
  </si>
  <si>
    <t>MARION VILLA CONVENT ICSE SCHOOL</t>
  </si>
  <si>
    <t>ICSE KERALA</t>
  </si>
  <si>
    <t>MAR GREGROS MEMORIAL CENTRAL PUBLIC SCHOOL</t>
  </si>
  <si>
    <t>CBSE KERALA</t>
  </si>
  <si>
    <t>MAR BASELIOS COLLAGE OF ENGINEERING AND TECHNOLOGY</t>
  </si>
  <si>
    <t>AutoCAD,MS Project,Primavera,REVIT,STAAD Pro,ERP,BIM</t>
  </si>
  <si>
    <t>Godrej Properties  | QA/QC | Banglore | May 2026 | Jul 2026 | 8.7142857142857 Weeks | Campus Internship
Heather constructions | Assistant Project Engineer (Civil Execution)  | Trivandrum  | Apr 2024 | Nov 2024 | 33.428571428571 Weeks</t>
  </si>
  <si>
    <t>Diploma in BIM and QUANTITY SURVEY</t>
  </si>
  <si>
    <t>P25701038</t>
  </si>
  <si>
    <t>LALIT</t>
  </si>
  <si>
    <t>Lalit Rajput</t>
  </si>
  <si>
    <t>lalitrajput.1112@outlook.com</t>
  </si>
  <si>
    <t>p25701038@student.nicmar.ac.in</t>
  </si>
  <si>
    <t>11-Dec-1997</t>
  </si>
  <si>
    <t>5197 9192 5528</t>
  </si>
  <si>
    <t>POORAN SINGH</t>
  </si>
  <si>
    <t>MEENA SINGH</t>
  </si>
  <si>
    <t>A-202, EURO APPT, SEC-5, RAJENDRA NAGAR, SAHIBABAD, GHAZIABAD</t>
  </si>
  <si>
    <t>DAV PUBLIC SCHOOL</t>
  </si>
  <si>
    <t>CENTRAL BOARD OF SECONDARY EDUCATION, GHAZIABAD</t>
  </si>
  <si>
    <t>DIWAKAR MODEL SCHOOL</t>
  </si>
  <si>
    <t>UNIVERSITY OF PETROLIUM AND ENERGY STUDIES</t>
  </si>
  <si>
    <t>UPES, DEHRADUN</t>
  </si>
  <si>
    <t>Geo Designs and Research (P) Ltd. | Land Aquisition Assistant | Gujarat | Jan 2022 | Jan 2025 | 3Y 0M | 2.52</t>
  </si>
  <si>
    <t>Asian Paints | Sales Engineer | Lucknow | May 2026 | Jul 2026 | 8.7142857142857 Weeks | Campus Internship
Intercontinental Consultants and Technologies Pvt. Ltd. | Internship Trainee | Gujarat | Jul 2018 | Jul 2018 | 3.7142857142857 Weeks</t>
  </si>
  <si>
    <t>Project Management Essentials
Leadership Skills
Supply Chain Digitization: Strategy and Design
Comprehensive Relative Valuation Training
Introduction to Corporate Finance</t>
  </si>
  <si>
    <t>P25701040</t>
  </si>
  <si>
    <t>JAPNEET</t>
  </si>
  <si>
    <t>Japneet Singh</t>
  </si>
  <si>
    <t>japneetsingh141@gmail.com</t>
  </si>
  <si>
    <t>p25701040@student.nicmar.ac.in</t>
  </si>
  <si>
    <t>26-Oct-1997</t>
  </si>
  <si>
    <t>English, Hindi &amp; Punjabi</t>
  </si>
  <si>
    <t>2384 7205 6729</t>
  </si>
  <si>
    <t>GURVINDER SINGH</t>
  </si>
  <si>
    <t>NAVNEET KAUR</t>
  </si>
  <si>
    <t>N-60 Sham Nagar</t>
  </si>
  <si>
    <t>West Delhi</t>
  </si>
  <si>
    <t>SARDAR JASSA SINGH RAMGARHIA PUBLIC SCHOOL</t>
  </si>
  <si>
    <t>CBSE FROM DELHI</t>
  </si>
  <si>
    <t>SALWAN BOYS SENIOR SECONDARY SCHOOL</t>
  </si>
  <si>
    <t>DEENBANDU CHHOTU RAM UNIVERSITY OF SCIENCE &amp; TECHNOLOGY, MURTHAL (SONEPAT)</t>
  </si>
  <si>
    <t>HINDU SCHOOL OF ARCHITECTURE, SONEPAT, HARYANA</t>
  </si>
  <si>
    <t>AutoCAD, MS Office, MS Project, Primavera P6, Revit, Sketchup, Vray, Photoshop, Lumion</t>
  </si>
  <si>
    <t>Confluence | Architect | Delhi | Feb 2025 | Jun 2025 | 0Y 4M | 7.5
DDF Consultants | Architect | Delhi | Jul 2022 | Jan 2025 | 2Y 6M | 6</t>
  </si>
  <si>
    <t>Asian Paints | Intern | Panchkula | May 2026 | Jul 2026 | 8.7142857142857 Weeks | Campus Internship
Distrct Town Planner, Gurugram (Planning) | Intern | Gurugram  | Sep 2021 | Oct 2021 | 5.2857142857143 Weeks</t>
  </si>
  <si>
    <t>P25701041</t>
  </si>
  <si>
    <t>Nishant Nandan T</t>
  </si>
  <si>
    <t>nishantnandan3526@gmail.com</t>
  </si>
  <si>
    <t>p25701041@student.nicmar.ac.in</t>
  </si>
  <si>
    <t>26-Feb-2000</t>
  </si>
  <si>
    <t>ENGLISH,TELUGU,HINDI,ODIA</t>
  </si>
  <si>
    <t>7299 1790 5877</t>
  </si>
  <si>
    <t>T KALI PRASAD</t>
  </si>
  <si>
    <t>T RAJESWARI</t>
  </si>
  <si>
    <t>MAHARANI PETA, JEYPORE, ODISHA</t>
  </si>
  <si>
    <t>Koraput</t>
  </si>
  <si>
    <t>New Street 1st Lane, Jeypore ,koraput , Odisha</t>
  </si>
  <si>
    <t>SRI PRAKASH VIDYANIKETAN</t>
  </si>
  <si>
    <t>ASCENT JUNIOR COLLEGE</t>
  </si>
  <si>
    <t>BIEAP</t>
  </si>
  <si>
    <t>GITAM DEEMED TO BE UNIVERSITY</t>
  </si>
  <si>
    <t>GITAM VISAKHAPATNAM</t>
  </si>
  <si>
    <t>MS Office,MS Project,Primavera,candy</t>
  </si>
  <si>
    <t>SAROJ CONSTRUCTION | project-in-charge(Engineer) | kakinada  | Jan 2022 | May 2024 | 2Y 4M | 3.6
BYJU'S | Business Development Trainee | Bhubaneshwar | Nov 2021 | Dec 2021 | 0Y 1M | 3</t>
  </si>
  <si>
    <t>Zyeta pvt. Ltd. | Project Management  | Bengaluru  | May 2026 | Jul 2026 | 8.5714285714286 Weeks | Campus Internship</t>
  </si>
  <si>
    <t>Engineering Project Management: Initiating and Planning
Renewable Energy and Green Building Entrepreneurship
Municipal Solid Waste Management in Developing Countries
Ethics, Technology and Engineering</t>
  </si>
  <si>
    <t>P25701042</t>
  </si>
  <si>
    <t>SHETTIGAR</t>
  </si>
  <si>
    <t>Shettigar Yash Harish</t>
  </si>
  <si>
    <t>yashshetty44@gmail.com</t>
  </si>
  <si>
    <t>p25701042@student.nicmar.ac.in</t>
  </si>
  <si>
    <t>28-May-1996</t>
  </si>
  <si>
    <t>9077 9783 1968</t>
  </si>
  <si>
    <t>8A-404, Akashdeep CHS, Damodar Park, LBS Marg, Ghatkopar (W), Mumbai - 400 086</t>
  </si>
  <si>
    <t>BOMBAY CAMBRIDGE SCHOOL</t>
  </si>
  <si>
    <t>S.S. &amp; L.S. PATKAR COLLEGE OF ARTS &amp; SCIENCE AND V.P. VARDE COLLEGE OF COMMERCE &amp; ECONOMICS</t>
  </si>
  <si>
    <t>ASMITA COLLEGE OF ARCHITECTURE, THANE, MAHARASHTRA</t>
  </si>
  <si>
    <t>BGM Interior | Project Manager | Bengaluru | Dec 2022 | Jun 2025 | 2Y 6M | 8.4
Talati &amp; Panthaky Associated Designers LLP / ZRC Associates | Architect | Mumbai | Jan 2020 | Nov 2022 | 2Y 9M | 3.24</t>
  </si>
  <si>
    <t>5 Years 4 Months</t>
  </si>
  <si>
    <t>Cushman &amp; Wakefield | Project management Intern | Mumbai | May 2026 | Jul 2026 | 8.7142857142857 Weeks | Campus Internship</t>
  </si>
  <si>
    <t>P25701043</t>
  </si>
  <si>
    <t>VIGHNESH</t>
  </si>
  <si>
    <t>BHADSAVLE</t>
  </si>
  <si>
    <t>Vighnesh Vinod Bhadsavle</t>
  </si>
  <si>
    <t>vighneshbhadsavle@gmail.com</t>
  </si>
  <si>
    <t>p25701043@student.nicmar.ac.in</t>
  </si>
  <si>
    <t>02-Oct-1999</t>
  </si>
  <si>
    <t>3556 4402 7575</t>
  </si>
  <si>
    <t>4/113, Khatav Building, Dr. S. S. Rao Road, Lalbaug, Mumbai - 400012</t>
  </si>
  <si>
    <t>ST. PAUL HIGH SCHOOL</t>
  </si>
  <si>
    <t>WILSON COLLEGE</t>
  </si>
  <si>
    <t>SARDAR VALLABHBHAI PATEL POLYTECHNIC, MUMBAI</t>
  </si>
  <si>
    <t>B. R. HARNE COLLEGE OF ENGINEERING AND TECHNOLOGY, MAHARASHTRA</t>
  </si>
  <si>
    <t>A. R. W Infra Projects Pvt. Ltd. | Project Engineer | Mumbai | Jun 2022 | Jan 2023 | 0Y 7M | 2.88
Xylem Water Solutions India Pvt. Ltd. | Project Engineer | Mumbai | Feb 2023 | Jul 2025 | 2Y 4M | 6.9</t>
  </si>
  <si>
    <t>Ahluwalia Contracts India Ltd. | Project Management Intern | Mumbai | May 2026 | Jun 2026 | 8.1428571428571 Weeks | Campus Internship
Central Railway | Mechanical Engineering Intern | Mumbai | Jan 2022 | Jan 2022 | 3 Weeks
Sai Service India | Internship Trainee | Mumbai | Dec 2021 | Jan 2022 | 1.7142857142857 Weeks
Pantechelearning | Mechanical Engineering Intern | Online | Aug 2021 | Sep 2021 | 4.1428571428571 Weeks</t>
  </si>
  <si>
    <t>AutoCAD Essential
Post Graduate Diploma in Piping Design Engineering</t>
  </si>
  <si>
    <t>P25701044</t>
  </si>
  <si>
    <t>Kushagra Gupta</t>
  </si>
  <si>
    <t>kushagragupta668@gmail.com</t>
  </si>
  <si>
    <t>p25701044@student.nicmar.ac.in</t>
  </si>
  <si>
    <t>05-Mar-1999</t>
  </si>
  <si>
    <t>6328 9736 9583</t>
  </si>
  <si>
    <t>LAKSHMAN GUPTA</t>
  </si>
  <si>
    <t>IT SERVICE</t>
  </si>
  <si>
    <t>PRITI GUPTA</t>
  </si>
  <si>
    <t>R-203, Roseland Residency, Gate-4, Pimple Saudagar, Pune</t>
  </si>
  <si>
    <t>CENTRAL BOARD OF SECONDARY EDUCATION, PUNE/MAHARASHTRA</t>
  </si>
  <si>
    <t>THAPAR INSTITUTE OF ENGINEERING AND TECHNOLOGY, PATIALA/PUNJAB</t>
  </si>
  <si>
    <t>AutoCAD,MS Office,MS Project,Autodesk Revit,Bentley Staad pro,Autodesk Quantity Takeoff</t>
  </si>
  <si>
    <t>L&amp;T Construction | Senior Engineer | Mumbai, Kundankulam | Jul 2022 | Oct 2024 | 2Y 3M | 6
Parthsarthy Infrastructures Pvt Ltd | Manager (Civil &amp; Structural) | Jhansi | Dec 2024 | Jun 2025 | 0Y 6M | 12</t>
  </si>
  <si>
    <t>KPMG India | MPA Transformation Intern | Mumbai | May 2026 | Jun 2026 | 7.5714285714286 Weeks | Campus Internship
Parag Deshpande Consulting Engineers Pvt Ltd | Design Intern | Pune | Aug 2022 | Dec 2022 | 21.571428571429 Weeks</t>
  </si>
  <si>
    <t>P25701045</t>
  </si>
  <si>
    <t>DIPESH</t>
  </si>
  <si>
    <t>PRASANNAKUMAR</t>
  </si>
  <si>
    <t>Dipesh Prasannakumar Mahajan</t>
  </si>
  <si>
    <t>dipesh.mahajan4@gmail.com</t>
  </si>
  <si>
    <t>p25701045@student.nicmar.ac.in</t>
  </si>
  <si>
    <t>27-Apr-2003</t>
  </si>
  <si>
    <t>3850 9482 4933</t>
  </si>
  <si>
    <t>PRASANNAKUMAR MAHAJAN</t>
  </si>
  <si>
    <t>CONTRACTOR/ BUILDER</t>
  </si>
  <si>
    <t>SUVARNA MAHAJAN</t>
  </si>
  <si>
    <t>FL. 10, GOVIND GAURAV APP, RIGHT BHUSARI COLONY, PAUD ROAD, KOTHARUD, PUNE- 411038</t>
  </si>
  <si>
    <t>FL.603, B WING, PRIDE PRISTINE, VASUNDHARA LAYOUT,_x000D_
ELECTRONIC CITY, BANGALURU-560100</t>
  </si>
  <si>
    <t>SHREE SANT DNYANESHWAR MADHYAMIK VIDYALAYA</t>
  </si>
  <si>
    <t>SHRI JAYANTRAO WANJARI JUNIOR COLLEGE</t>
  </si>
  <si>
    <t>AMC ENGINEERING COLLEGE, BENGALURU</t>
  </si>
  <si>
    <t>AutoCAD, PRIMAVERA, MS PROJECT</t>
  </si>
  <si>
    <t>VENKATESH BUILCON  | Intern | PUNE | May 2026 | Jul 2026 | 8.7142857142857 Weeks | Campus Internship
SATYAM BUILDERS AND DEVELOPERS | JUNIOR SITE ENGINEER | BENGALURU | Feb 2025 | May 2025 | 12.714285714286 Weeks
SATYAM BUILDERS AND DEVELOPERS | JUNIOR SITE ENGINEER | BENGALURU | Mar 2024 | Apr 2024 | 6.4285714285714 Weeks</t>
  </si>
  <si>
    <t>P25701047</t>
  </si>
  <si>
    <t>MELVIN</t>
  </si>
  <si>
    <t>Melvin Mathew</t>
  </si>
  <si>
    <t>mathewmelvin2000@gmail.com</t>
  </si>
  <si>
    <t>p25701047@student.nicmar.ac.in</t>
  </si>
  <si>
    <t>English, Malayalam and Hindi</t>
  </si>
  <si>
    <t>7517 0124 0166</t>
  </si>
  <si>
    <t>T J MATHEW</t>
  </si>
  <si>
    <t>MARY N JOHN</t>
  </si>
  <si>
    <t>KELAMPARAMBIL HOUSE ,UDAYAMPEROOR P O, _x000D_
ERNAKULAM.</t>
  </si>
  <si>
    <t>CHINMAYA VIDYALAYA KANNANKULANGARA</t>
  </si>
  <si>
    <t>CENTRAL BOARD OF SECONDARY EDUCATION, ERNAKULAM</t>
  </si>
  <si>
    <t>MUTHOOT INSTITUE OF TECHNOLOGY AND SCIENCE, ERNAKULAM.</t>
  </si>
  <si>
    <t>AutoCAD,MS Office,MS Project,3DS MAX,REVIT ARCHITECTURE,BIM</t>
  </si>
  <si>
    <t>KERALA INDUSTRIAL &amp; TECHNICAL CONSULTANCY ORGANISATION Ltd | GRADUATE APPRENTICE | CHENGANNUR, ALAPPUZHA. | Sep 2023 | Sep 2024 | 0Y 11M | 2.07</t>
  </si>
  <si>
    <t>Sobha Limited | Project Management Intern | GIFT City, Gujarat. | May 2026 | Jul 2026 | 9 Weeks | Campus Internship</t>
  </si>
  <si>
    <t>NPTEL Online Certification
Master in Building Design</t>
  </si>
  <si>
    <t>P25701048</t>
  </si>
  <si>
    <t>BANDARU</t>
  </si>
  <si>
    <t>VANITHA DEVI</t>
  </si>
  <si>
    <t>Bandaru Vanitha Devi</t>
  </si>
  <si>
    <t>vanithadevi20@gmail.com</t>
  </si>
  <si>
    <t>p25701048@student.nicmar.ac.in</t>
  </si>
  <si>
    <t>Hindi,English,Telugu</t>
  </si>
  <si>
    <t>2487 0243 1017</t>
  </si>
  <si>
    <t>BANDARU RAMESH</t>
  </si>
  <si>
    <t>BANDARU RADHA</t>
  </si>
  <si>
    <t>Devangula Veedhi, Alamanda, Jami Mandal, Vizinagaram District</t>
  </si>
  <si>
    <t>Vizianagaram</t>
  </si>
  <si>
    <t>KENDRIYA VIDYALAYA NO1,NAUSENABAUGH VISHAKAPATANAM</t>
  </si>
  <si>
    <t>CENTRAL BOARD OF SECONDARY EDUCATION VISHAKHAPATNAM</t>
  </si>
  <si>
    <t>KENDRIYA VIDYALAYA NO1 , NAUSENABAUGH VISHAKAPATANAM</t>
  </si>
  <si>
    <t>CENTRAL BOARD OF SECONDARY EDUCATION, VISHAKAPATANAM</t>
  </si>
  <si>
    <t>JNTU(GV) VIZIANAGARAM ANDHRA PRADESH</t>
  </si>
  <si>
    <t>MVGR COLLEGE OF ENGINEERING ,VIZIANAGARAM</t>
  </si>
  <si>
    <t>AutoCAD,MS Office,MS Project,Primavera P6,QGIS,ARCGIS,Stakeholder Management</t>
  </si>
  <si>
    <t>Asian Paints | Sales Engineer | Hyderabad | May 2026 | Jul 2026 | 8.7142857142857 Weeks | Campus Internship
NATIONAL INSTITUTE OF CONSTRUCTION MANAGEMENT AND RESEARCH | SUMMER INTERN | HYDERBAD | Jun 2024 | Jun 2024 | 2.4285714285714 Weeks</t>
  </si>
  <si>
    <t>Autonomus Drone Development Challenge (ADDC)2024
Autodesk Certified Professional: AutoCAD for Design and Drafting Exam Prep
Oracle Primavera P6 – Project Setup and Basic Management
Project Management: The Basics for Success
NPTEL  Integrated Waste Management for a Smart City
Six Sigma Tools for Define and Measure
Microeconomics Principles
Public Goods, Common Resources, and Externalities
Business Communication Essentials
Operations Management</t>
  </si>
  <si>
    <t>P25701049</t>
  </si>
  <si>
    <t>SACHAN</t>
  </si>
  <si>
    <t>Rajat Sachan</t>
  </si>
  <si>
    <t>rajatsachan123@gmail.com</t>
  </si>
  <si>
    <t>p25701049@student.nicmar.ac.in</t>
  </si>
  <si>
    <t>09-Jan-2002</t>
  </si>
  <si>
    <t>6303 2253 0094</t>
  </si>
  <si>
    <t>ARVIND SACHAN</t>
  </si>
  <si>
    <t>NEETU SACHAN</t>
  </si>
  <si>
    <t>113 SANJAY GANDHI NAGAR NAUBASTA, KANPUR</t>
  </si>
  <si>
    <t>BNSD SHIKSHA NIKETAN INTER COLLEGE</t>
  </si>
  <si>
    <t>BOARD OF HIGHSCHOOL AND INTERMEDIATE EDUCATION UP, KANPUR NAGAR</t>
  </si>
  <si>
    <t>SYMBIOSIS INSTITUTE OF TECHNOLOGY, PUNE, MAHARASTRA</t>
  </si>
  <si>
    <t>MS Office,MS Project,Primavera, Gov E-file, MS Dynamics 365</t>
  </si>
  <si>
    <t>KPMG Assurance and Consulting Services LLP | INTERN MPA | Transport Bhawan, New Delhi | May 2026 | Jun 2026 | 7.5714285714286 Weeks | Campus Internship
Kanpur Development Authority | Summer Intern | Kanpur  | Jul 2021 | Aug 2021 | 4.4285714285714 Weeks
GODREJ PROPERTIES LTD | OPERATIONS | MUMBAI | Jan 2023 | Jun 2023 | 24.571428571429 Weeks</t>
  </si>
  <si>
    <t>"Water Quality studies using Hyperspectral Remote Sensing for the Indian Coastal and Inland Waters" by ISRO
â€œGeospatial Modeling Driven Urban Hazard and Risk Analysis" by ISRO
PG Certification Program in Financial Managment</t>
  </si>
  <si>
    <t>P25701050</t>
  </si>
  <si>
    <t>RINKE</t>
  </si>
  <si>
    <t>Abhinav Pramod Rinke</t>
  </si>
  <si>
    <t>abhinav7169@gmail.com</t>
  </si>
  <si>
    <t>p25701050@student.nicmar.ac.in</t>
  </si>
  <si>
    <t>2055 1793 2321</t>
  </si>
  <si>
    <t>PRAMOD RINKE</t>
  </si>
  <si>
    <t>ARCHANA RINKE</t>
  </si>
  <si>
    <t>MORYA PARK LANE NO. 4, PIMPLE GURAV, PUNE</t>
  </si>
  <si>
    <t>Waman Nagar, Khamgaon</t>
  </si>
  <si>
    <t>SARASWATI VIDHYA MANDIR, KHAMGAON</t>
  </si>
  <si>
    <t>NATIONAL SCIENCE JR. COLLEGE, AKOLA, MAHARASHTRA</t>
  </si>
  <si>
    <t>SANT GADGE BABA AMRAVATI UNIVERSITY, AMRAVATI, MAHARASHTRA</t>
  </si>
  <si>
    <t>MAULI COLLEGE OF ENGINEERING AND TECHNOLOGY, SHEGAON, MAHARASHTRA</t>
  </si>
  <si>
    <t>AutoCAD,MS Office,MS Project,Tekla Software,Revit</t>
  </si>
  <si>
    <t>Quadratic Consultants | Precast Modeler | Baner, Pune | Jun 2023 | Jul 2025 | 2Y 1M | 3.49</t>
  </si>
  <si>
    <t>Jyoti Structures Ltd | Management Intern | Pune | May 2026 | Jul 2026 | 8.7142857142857 Weeks | Campus Internship
Thinktech Engineers | Trainee Engineer | Deccan,Pune | Jan 2023 | Jun 2023 | 25.571428571429 Weeks</t>
  </si>
  <si>
    <t>Tekla Structures Steel Basic Training
Tekla Structures Concrete Basic Training</t>
  </si>
  <si>
    <t>P25701051</t>
  </si>
  <si>
    <t>DEORE</t>
  </si>
  <si>
    <t>Om Ravindra Deore</t>
  </si>
  <si>
    <t>deoreom11@gmail.com</t>
  </si>
  <si>
    <t>p25701051@student.nicmar.ac.in</t>
  </si>
  <si>
    <t>5618 7307 3541</t>
  </si>
  <si>
    <t>RAVINDRA DEORE</t>
  </si>
  <si>
    <t>KAVITA DEORE</t>
  </si>
  <si>
    <t>HOUSE WIFE561873073541</t>
  </si>
  <si>
    <t>Bapusadan, Kalanagar, Near Krishna Row House, Dindori Road, Nashik.</t>
  </si>
  <si>
    <t>DON BOSCO SCHOOL AND JUNIOR COLLEGE</t>
  </si>
  <si>
    <t>MAHARASHTRA STATE BOARD OF SECONDARY AND HIGHER SECONDARY EDUCATION.</t>
  </si>
  <si>
    <t>KRANTIVEER VANSANTRAO NAI SHIKSHAN PRASARAKH</t>
  </si>
  <si>
    <t>SAVITRIBAI PHULE PUNE UNIVERSITY.</t>
  </si>
  <si>
    <t>SMEF'S BRICK SCHOOL OF ARCHITECTURE.</t>
  </si>
  <si>
    <t>AutoCAD,MS Office,MS Project,Primavera,3d Sketchup,lumion,Photoshop.,InDesign,Twinmotion.,CANDY(CCS)</t>
  </si>
  <si>
    <t>Fortress Infracon limited | Project Advisory | Thane | May 2026 | Jul 2026 | 8.7142857142857 Weeks | Campus Internship
Raagin Karman Architects | Intern Architect | Ahemdabad | Jun 2024 | Oct 2024 | 21 Weeks</t>
  </si>
  <si>
    <t>Geometric and Traffic Aspects of Highway
Introduction to Corporate Finance
Project Planning and Execution Management
Project Management: The Basics for Success</t>
  </si>
  <si>
    <t>P25701052</t>
  </si>
  <si>
    <t>PRAGVANSH</t>
  </si>
  <si>
    <t>PALDEWAR</t>
  </si>
  <si>
    <t>Pragvansh Praveen Paldewar</t>
  </si>
  <si>
    <t>pppragu@gmail.com</t>
  </si>
  <si>
    <t>p25701052@student.nicmar.ac.in</t>
  </si>
  <si>
    <t>ENGLISH, MARATHI  AND HINDI</t>
  </si>
  <si>
    <t>3747 4129 6983</t>
  </si>
  <si>
    <t>FLAT NO-203 SHROFF SOLENO, RH21, NANDE - BALEWADI RD, MAHALUNGE, PUNE, MAHARASHTRA 411045</t>
  </si>
  <si>
    <t>Plot No -111/112 Vasant Nagar Near Airport Road ,Nanded</t>
  </si>
  <si>
    <t>CENTRAL BOARD OF SECONDARY EDUCATION , NANDED, MAHARASHTRA</t>
  </si>
  <si>
    <t>CAMBRIDGE JUNIOR COLLEGE ,NANDED</t>
  </si>
  <si>
    <t>VELLORE INSTITUTE OF TECHNOLOGY (VIT), VELLORE</t>
  </si>
  <si>
    <t>VELLORE INSTITUTE OF TECHNOLOGY ,  VELLORE, TAMIL NADU</t>
  </si>
  <si>
    <t>AutoCAD,MS Office,MS Project,Primavera,STAAD PRO,CSI ETABS</t>
  </si>
  <si>
    <t>Asian Paints Ltd | Sales Engineering Intern – Industrial Flooring (Project Sales) | Pune | May 2026 | Jul 2026 | 8.7142857142857 Weeks | Campus Internship
Kolte-Patil Integrated Townships ( Pune ) Ltd | Civil Engineering Intern | Pune | Sep 2023 | Dec 2023 | 13.142857142857 Weeks</t>
  </si>
  <si>
    <t xml:space="preserve">Stakeholder Management
Project Scheduling: Estimate Activity Durations
Introduction to Corporate Finance
Project Management: The Basics for Success
KPMG Lean Six Sigma Green Belt </t>
  </si>
  <si>
    <t>P25701053</t>
  </si>
  <si>
    <t>KEERTI</t>
  </si>
  <si>
    <t>POLICEPATIL</t>
  </si>
  <si>
    <t>Keerti G Policepatil</t>
  </si>
  <si>
    <t>keertipolicepatil04@gmail.com</t>
  </si>
  <si>
    <t>p25701053@student.nicmar.ac.in</t>
  </si>
  <si>
    <t>7781 3871 3529</t>
  </si>
  <si>
    <t>GURURAJ POLICEPATIL</t>
  </si>
  <si>
    <t>SARASWATI G POLICEPATIL</t>
  </si>
  <si>
    <t>#25/27,LINGARAJ NAGAR(SOUTH) ,VIDYANAGAR,HUBLI</t>
  </si>
  <si>
    <t>CHINMAYA  ENGLISH PRIMARY SCHOOL</t>
  </si>
  <si>
    <t>CHETAN  PU SCIENCE COLLEGE</t>
  </si>
  <si>
    <t>KLE TECHNOLOGICAL UNIVERSITY HUBBALLI ,KARNATAKA</t>
  </si>
  <si>
    <t>MS Office,MS Project,Primavera,Microsoft Excel,Sap</t>
  </si>
  <si>
    <t>Ahluwalia Contracts(India)Limited | INTERN-Project Coordinator  | BENGALURU,KARNATAKA | May 2026 | Jul 2026 | 8.5714285714286 Weeks | Campus Internship
Brigade Group | Intern In PMG and QMS  Department  | Bengaluru | Jan 2025 | Mar 2025 | 8.2857142857143 Weeks</t>
  </si>
  <si>
    <t>P25701054</t>
  </si>
  <si>
    <t>SAMRUDDHI</t>
  </si>
  <si>
    <t>JADHAO</t>
  </si>
  <si>
    <t>Samruddhi Surendra Jadhao</t>
  </si>
  <si>
    <t>samruddhisjadhao@gmail.com</t>
  </si>
  <si>
    <t>p25701054@student.nicmar.ac.in</t>
  </si>
  <si>
    <t>7078 6197 8189</t>
  </si>
  <si>
    <t>SURENDRA JADHAO</t>
  </si>
  <si>
    <t>VAISHALI JADHAO</t>
  </si>
  <si>
    <t>15, Sitaram Baba Colony_x000D_
Behind Satysai Center_x000D_
Near Farshi Stop</t>
  </si>
  <si>
    <t>ST. FRANCIS HIGH SCHOOL, AMRAVATI</t>
  </si>
  <si>
    <t>ARTS, COMMERCE, SCIENCE COLLAGE, KIRAN NAGAR, AMRAVATI</t>
  </si>
  <si>
    <t>VISHWAKARMA INSTITUTE OF INFORMATION AND TECHNOLOGY, PUNE</t>
  </si>
  <si>
    <t>AutoCAD,MS Office,MS Project,Project Planning &amp; Scheduling,Cost Estimation &amp; Quantity Surveying,Billing &amp; BOQ Preparation,Urban Infrastructure Fundamentals,Project Controls &amp; Reporting,Earned Value Management (EVM),Risk Management</t>
  </si>
  <si>
    <t>Edsom Fintech Pvt. Ltd. | Project Manager Intern | Pune | May 2026 | Jun 2026 | 7.7142857142857 Weeks | Campus Internship
VISION CIVIL ENGINEER CONTRACTOR &amp; VALUER | Property Valuation Intern | PUNE | Jan 2025 | May 2025 | 19.285714285714 Weeks</t>
  </si>
  <si>
    <t>P25701055</t>
  </si>
  <si>
    <t>CHANDRAHAS</t>
  </si>
  <si>
    <t>Omkar Chandrahas Shinde</t>
  </si>
  <si>
    <t>ocshinde43@gmail.com</t>
  </si>
  <si>
    <t>p25701055@student.nicmar.ac.in</t>
  </si>
  <si>
    <t>Passionate about trekking and outdoor exploration,cricket</t>
  </si>
  <si>
    <t>5544 8966 5131</t>
  </si>
  <si>
    <t>CHANDRAHAS SHINDE</t>
  </si>
  <si>
    <t>GOVT RETIRED</t>
  </si>
  <si>
    <t>502, A -WING RUNWAL GARDEN_x000D_
NEAR RAUNAK PARK ,POKHARAN RD 2</t>
  </si>
  <si>
    <t>LITTLE FLOWER HIGH SCHOOL</t>
  </si>
  <si>
    <t>MAHARSHTA STATE BOARD OF SECONDARY AND HIGHER SECONDARY EDUCATION, PUNE</t>
  </si>
  <si>
    <t>MUCHHALA POLYTECHNIC THANE</t>
  </si>
  <si>
    <t>NEW HORIZON INSTITUTE OF TECHNOLOGY AND MANAGEMENT</t>
  </si>
  <si>
    <t>AutoCAD,MS Office,Revit Structure</t>
  </si>
  <si>
    <t>SHREE SAIBABA GRIHANIRMITI PVT. LTD. | Fitout Engineer | Thane | Jun 2023 | Jul 2024 | 1Y 0M | 2.17</t>
  </si>
  <si>
    <t>PLANHIGH ARCHITECTS AND PROJECT MANAGEMENT CONSULTANTS  | PROJECT MANAGEMENT/COORDINATION  | Thane | May 2026 | Jul 2026 | 8.5714285714286 Weeks | Campus Internship</t>
  </si>
  <si>
    <t>Programme in Autocad</t>
  </si>
  <si>
    <t>P25701056</t>
  </si>
  <si>
    <t>SAWANT</t>
  </si>
  <si>
    <t>Neha Rajesh Sawant</t>
  </si>
  <si>
    <t>nehasawant1904@gmail.com</t>
  </si>
  <si>
    <t>p25701056@student.nicmar.ac.in</t>
  </si>
  <si>
    <t>19-Apr-1999</t>
  </si>
  <si>
    <t>7082 2232 2612</t>
  </si>
  <si>
    <t>DEPUTY ENGINEER</t>
  </si>
  <si>
    <t>SWAPNA</t>
  </si>
  <si>
    <t>BANK OFFICER</t>
  </si>
  <si>
    <t>702, Parth CHS, L.T. Nagar, M.G. Road, Goregaon-west, Mumbai- 400104</t>
  </si>
  <si>
    <t>VIVEK VIDYALAYA &amp; JUNIOR COLLEGE   (MUMBAI)</t>
  </si>
  <si>
    <t>M.L. DAHANUKAR COLLEGE OF COMMERCE   (MUMBAI)</t>
  </si>
  <si>
    <t>SIR J. J. COLLEGE OF ARCHITECTURE   (MUMBAI)</t>
  </si>
  <si>
    <t>AutoCAD,MS Office,MS Project,3D Sketchup,3D Rhino,Adobe Photoshop,Adobe Indesign,Canva design,Lumion</t>
  </si>
  <si>
    <t>Samira Rathod Design Atelier | Junior Architect | Prabhadevi, Mumbai | Oct 2021 | Nov 2023 | 2Y 1M | 3
Serie Architects | Junior Architect | Lower Parel, Mumbai | Feb 2024 | Jun 2025 | 1Y 3M | 5.4</t>
  </si>
  <si>
    <t>ManAssure - Advisory and Consultancy | Business Development Intern | Remote | May 2026 | Jul 2026 | 8.5714285714286 Weeks | Campus Internship
SAS ARCHITECTS | Intern Architect (Site Coordinator) | MULUND, MUMBAI | Jun 2021 | Oct 2021 | 17.428571428571 Weeks
ARCHITECT LOKHADWALLA F.T. | Intern | MUMBAI CENTRAL, MUMBAI | Nov 2019 | Mar 2020 | 17.142857142857 Weeks</t>
  </si>
  <si>
    <t>P25701057</t>
  </si>
  <si>
    <t>PRITHVIRAJ</t>
  </si>
  <si>
    <t>GOSWAMI</t>
  </si>
  <si>
    <t>Prithviraj Goswami</t>
  </si>
  <si>
    <t>prithvirajgoswamilogan@gmail.com</t>
  </si>
  <si>
    <t>p25701057@student.nicmar.ac.in</t>
  </si>
  <si>
    <t>08-Oct-1999</t>
  </si>
  <si>
    <t>8868 4819 2974</t>
  </si>
  <si>
    <t>ALOK RANJAN GOSWAMI</t>
  </si>
  <si>
    <t>PRATIBHA SHARMA GOSWAMI</t>
  </si>
  <si>
    <t>Flat 1B,Ujan Abhoynagar, Agartala, West Tripura,Tripura-799005</t>
  </si>
  <si>
    <t>West Tripura</t>
  </si>
  <si>
    <t>Tripura</t>
  </si>
  <si>
    <t>SRI KRISHNA MISSION SCHOOL</t>
  </si>
  <si>
    <t>CENTRAL BOARD OF SECONDARY EDUCATION(TRIPURA)</t>
  </si>
  <si>
    <t>HINDI HIGHER SECONDARY SCHOOL</t>
  </si>
  <si>
    <t>NATIONAL INSTITUTE OF TECHNOLOGY AGARTALA</t>
  </si>
  <si>
    <t>KEC International Ltd | Engineer-Projects | Bhopal | Jul 2022 | Jun 2024 | 1Y 10M | 6.25</t>
  </si>
  <si>
    <t>Aditya Planing And CAD Solutions | Project Planning And Coordination Intern | Agartala | May 2026 | Jul 2026 | 8.5714285714286 Weeks | Campus Internship</t>
  </si>
  <si>
    <t>P25701058</t>
  </si>
  <si>
    <t>ANIRUDH</t>
  </si>
  <si>
    <t>MANGLIA</t>
  </si>
  <si>
    <t>Anirudh Singh Manglia</t>
  </si>
  <si>
    <t>manglia.anirudh27@gmail.com</t>
  </si>
  <si>
    <t>p25701058@student.nicmar.ac.in</t>
  </si>
  <si>
    <t>27-Jun-2000</t>
  </si>
  <si>
    <t>Theatre,Watching Movies,Geography,Playing Cricket and Basketball,Travelling</t>
  </si>
  <si>
    <t>6045 1604 0860</t>
  </si>
  <si>
    <t>JUGAL KISHORE</t>
  </si>
  <si>
    <t>RETIRED UDC</t>
  </si>
  <si>
    <t>PRAVEENA MANGLIA</t>
  </si>
  <si>
    <t>C-225/A, SARASWATI NAGAR, BASNI-Ist PHASE, JODHPUR</t>
  </si>
  <si>
    <t>Jodhpur</t>
  </si>
  <si>
    <t>ST. ANNE'S SR. SEC. SCHOOL</t>
  </si>
  <si>
    <t>MBM UNIVERSITY</t>
  </si>
  <si>
    <t>MBM ENGINEERING COLLEGE JODHPUR</t>
  </si>
  <si>
    <t>AutoCAD,MS Office,MS Project,Primavera,REVIT,EXCEL</t>
  </si>
  <si>
    <t>HGIEL | GET | PAN INDIA | Oct 2023 | Jan 2024 | 0Y 3M | 3</t>
  </si>
  <si>
    <t>Asian Paints Ltd | Executive I/II Sales Engineering-WP | BHIWADI- RAJASTHAN | May 2026 | Jul 2026 | 8.7142857142857 Weeks | Campus Internship
CPWD | Assistant Engineer | Udaipur, Rajasthan | Jun 2022 | Jul 2022 | 6.2857142857143 Weeks</t>
  </si>
  <si>
    <t>AUTODESK REVIT
Microeconomics Principles
Introduction to Generative AI in Human Resources
Project Management:The basics for Success
Introduction to Corporate Finance</t>
  </si>
  <si>
    <t>P25701059</t>
  </si>
  <si>
    <t>Priyanka S</t>
  </si>
  <si>
    <t>priyankashiremath878@gmail.com</t>
  </si>
  <si>
    <t>p25701059@student.nicmar.ac.in</t>
  </si>
  <si>
    <t>English,Hindi and Kannada</t>
  </si>
  <si>
    <t>9356 7359 6680</t>
  </si>
  <si>
    <t>SATHAYYA B</t>
  </si>
  <si>
    <t>NAGAMMA</t>
  </si>
  <si>
    <t>968 VEERABHADRESHWARA NILAYA , BANASHANKARI 6TH STAGE ,2ND BLOCK KARIYANPALYA</t>
  </si>
  <si>
    <t>#13 20th Main Road  , JC Nagar Kurubarahalli Bangalore 560086</t>
  </si>
  <si>
    <t>PRIYANKA S</t>
  </si>
  <si>
    <t>RNS PRE UNIVERSITY COLLAGE</t>
  </si>
  <si>
    <t>JSS ACADEMY OF TECHNICAL EDUCATION</t>
  </si>
  <si>
    <t>AutoCAD,MS Office,MS Project,Primavera,Revit,Stadd pro</t>
  </si>
  <si>
    <t>Systra India | Regional Technical Centre (CTR) | SYSTRA MVA Consulting (India) Pvt. Ltd. Prestige Towers, 8th Floor, Residency Road, Shanthala Nagar, Ashok  Nagar, Bengaluru, Karnataka- 560027 | May 2026 | Jul 2026 | 8.5714285714286 Weeks | Campus Internship
CHETAN INFRATECH CONSULTANTS PVT.LTD | Intern | Banshankari 1st stage, Srinagar | Feb 2025 | Apr 2025 | 11.857142857143 Weeks
Nagarjuna Construction Company | Intern | HBR layout | Oct 2024 | Jan 2025 | 9.4285714285714 Weeks
RITES | SITE INTERN | CHALLAGHATA, BANGALORE | Nov 2023 | Dec 2023 | 4.2857142857143 Weeks</t>
  </si>
  <si>
    <t>P25701060</t>
  </si>
  <si>
    <t>SANGAM</t>
  </si>
  <si>
    <t>Singh Sangam Shashikant</t>
  </si>
  <si>
    <t>sangamsingh492000@gmail.com</t>
  </si>
  <si>
    <t>p25701060@student.nicmar.ac.in</t>
  </si>
  <si>
    <t>3172 2660 5130</t>
  </si>
  <si>
    <t>SHASHIKANT RAMSURAT SINGH</t>
  </si>
  <si>
    <t>PRIVATE SECTOR JOB</t>
  </si>
  <si>
    <t>SARITA SHASHIKANT SINGH</t>
  </si>
  <si>
    <t>Flat 002, Guruprabha Sankul, Near Mangalvaar Bazaar, Water Supply Road, Kongaon, Kalyan West</t>
  </si>
  <si>
    <t>OXFORD PUBLIC SCHOOL</t>
  </si>
  <si>
    <t>MAHARASHTRA STATE BOARD OF SECONDARY AND HIGHER SECONDARY EDUCATION / MUMBAI</t>
  </si>
  <si>
    <t>THAKUR POLYTECHNIC / MUMBAI</t>
  </si>
  <si>
    <t>UNIVERSAL COLLEGE OF ENGINEERING / MUMBAI</t>
  </si>
  <si>
    <t>DNEG India Media Services Limited | Show Production Coordinator | Mumbai | Sep 2022 | Sep 2024 | 2Y 0M | 2.4
Freyssinet Menard India Private Limited | Graduate Engineer Trainee | New Delhi, Gurugram, Noida, Mumbai | Oct 2024 | Apr 2025 | 0Y 6M | 3.25</t>
  </si>
  <si>
    <t>Pidilite Industries Limited | Business Development &amp; Market Intelligence Intern | Mumbai | May 2026 | Jun 2026 | 7.5714285714286 Weeks | Campus Internship
SHRREEYA DEVELOPERS | Junior Engineer | Mumbai | Nov 2019 | Jan 2020 | 6.1428571428571 Weeks
KOSMOS DEVELOPERS | JUNIOR ENGINEER | MUMBAI | Nov 2020 | Feb 2021 | 16.428571428571 Weeks
VASUDEV C. WADHWA CONSTRUCTION | JUNIOR ENGINEER | MUMBAI | Mar 2021 | Dec 2021 | 42.571428571429 Weeks</t>
  </si>
  <si>
    <t>P25701061</t>
  </si>
  <si>
    <t>DIPANJAN</t>
  </si>
  <si>
    <t>Dipanjan Ghosh</t>
  </si>
  <si>
    <t>ghoshdipanjan03@gmail.com</t>
  </si>
  <si>
    <t>p25701061@student.nicmar.ac.in</t>
  </si>
  <si>
    <t>3122 3447 7841</t>
  </si>
  <si>
    <t>JOYDIP GHOSH</t>
  </si>
  <si>
    <t>ANJANA GHOSH</t>
  </si>
  <si>
    <t>NICMAR UNIVERSITY, PUNE,25 / 1, BALEWADI, N.I.A. POST OFFICE, PUNE - 411045, MAHARASHTRA</t>
  </si>
  <si>
    <t>Village - Joychandipur_x000D_
P.O. - Bakhrahat_x000D_
District - 24 Pgs (S)_x000D_
Pin - 743377</t>
  </si>
  <si>
    <t>S.L. BAJORIA FOUNDATION HIGH SCHOOL</t>
  </si>
  <si>
    <t>K.E. CARMEL SCHOOL, AMTALA</t>
  </si>
  <si>
    <t>INDIAN SCHOOL CERTIFICATE, NEW DELHI</t>
  </si>
  <si>
    <t>JADAVPUR UNIVERSITY</t>
  </si>
  <si>
    <t>JADAVPUR UNIVERSITY, WEST BENGAL</t>
  </si>
  <si>
    <t>Aditya Birla Group | Assistant Manager, Civil &amp; Construction | Singrauli, Madhya Pradesh | Aug 2023 | Jun 2025 | 1Y 10M | 8</t>
  </si>
  <si>
    <t>Grant Thornton Bharat LLP | Client study, research | Work from home | May 2026 | Jul 2026 | 9.7142857142857 Weeks | Campus Internship</t>
  </si>
  <si>
    <t>P25701062</t>
  </si>
  <si>
    <t>CHINCHAWADE</t>
  </si>
  <si>
    <t>Nikhil Anil Chinchawade</t>
  </si>
  <si>
    <t>nikhilanilchin@gmail.com</t>
  </si>
  <si>
    <t>p25701062@student.nicmar.ac.in</t>
  </si>
  <si>
    <t>Traveling,Theatre,Sports,Watching Movies/Shows</t>
  </si>
  <si>
    <t>3178 4471 9185</t>
  </si>
  <si>
    <t>ANIL CHINCHAWADE</t>
  </si>
  <si>
    <t>SR. DGM</t>
  </si>
  <si>
    <t>NANDINI CHINCHAWADE</t>
  </si>
  <si>
    <t>Kurtarkar Nagri, Bld No. 3A, Flat No. S5, Near Forest Office</t>
  </si>
  <si>
    <t>A. J. DE ALMEIDA HIGH SCHOOL</t>
  </si>
  <si>
    <t>S. S. SAMITI'S HIGHER SECONDARY SCHOOL</t>
  </si>
  <si>
    <t>DON BOSCO COLLEGE OF ENGINEERING, FATORDA MARGAO-GOA</t>
  </si>
  <si>
    <t>AutoCAD,MS Office,MS Project,Primavera,MidasGen</t>
  </si>
  <si>
    <t>Prakash S.P. Lawande Consulting Engineer | Civil Engineer | Ponda Goa | Sep 2023 | Sep 2024 | 1Y 0M | 2.4
Suraksha Constructions | Civil Engineer | Kundaim-Goa | Feb 2023 | Aug 2023 | 0Y 6M | 1.8</t>
  </si>
  <si>
    <t>New Consolidated Construction Co. Ltd. (NCCCL) | Project Planning and Execution | Alibag, Maharashtra | May 2026 | Jul 2026 | 8.7142857142857 Weeks | Campus Internship
Techno Art Builder | Civil Engineer | Ponda | Oct 2024 | Apr 2025 | 28.428571428571 Weeks</t>
  </si>
  <si>
    <t>Financial Literacy  by IITBombayX
English for Oral Communication by  IITBombayX
Diploma in Autocad
Introduction to Generative AI in Human Resources
Introduction to Marketing
Six Sigma Principles
Foundations of Project Management
Microeconomics Principles
Project Management: The Basics for Success
Introduction to Corporate Finance</t>
  </si>
  <si>
    <t>P25701063</t>
  </si>
  <si>
    <t>Sandeep Sahu</t>
  </si>
  <si>
    <t>sahusandeep387@gmail.com</t>
  </si>
  <si>
    <t>p25701063@student.nicmar.ac.in</t>
  </si>
  <si>
    <t>6192 7253 7149</t>
  </si>
  <si>
    <t>SUDHIR KUMAR SAHU</t>
  </si>
  <si>
    <t>DIPMALA SAHU</t>
  </si>
  <si>
    <t>House No - 21, Balaji City, Bargarh, Odisha, 768028</t>
  </si>
  <si>
    <t>VIKASH RESIDENTIAL SCHOOL VIKASENCLAVE BARHAGUDA, BARGARH, ODISHA</t>
  </si>
  <si>
    <t>CENTRAL BOARD OF SECONDAY EDUCATION, BARGARH,ODISHA</t>
  </si>
  <si>
    <t>VIKASH RESIDENTIAL SCHOOL BBSR KHURDA ODISHA</t>
  </si>
  <si>
    <t>CENTRAL BOARD OF SECONDAY EDUCATION, BBSR, ODISHA</t>
  </si>
  <si>
    <t>AutoCAD,MS Office,MS Project,Primavera,Sketchup,lumion,Revit,Navisworks</t>
  </si>
  <si>
    <t>Arconaid Consultants Private Limited | Architecture, Interior Design | Pune | Sep 2024 | Jun 2025 | 0Y 8M | 1.8</t>
  </si>
  <si>
    <t>ARCHITECT RISHIKESH H. | Project Managemrnt Intern | Pune | May 2026 | Jul 2026 | 9.5714285714286 Weeks | Campus Internship
Kalamiti Design Studio | Architecture, Interior Design | Pune | May 2022 | Jul 2022 | 8.5714285714286 Weeks
Verizon Architects | Architecture, Interior, Landscape, Urban Planning and Design | Ahmedabad | Jun 2023 | Nov 2023 | 23.142857142857 Weeks</t>
  </si>
  <si>
    <t>P25701064</t>
  </si>
  <si>
    <t>RIJUTA</t>
  </si>
  <si>
    <t>PULLIWAR</t>
  </si>
  <si>
    <t>Rijuta Prasad Pulliwar</t>
  </si>
  <si>
    <t>rijuta.pulliwar20@gmail.com</t>
  </si>
  <si>
    <t>p25701064@student.nicmar.ac.in</t>
  </si>
  <si>
    <t>20-Sep-2001</t>
  </si>
  <si>
    <t>ENGLISH, HINDI, MARATHI, GERMAN</t>
  </si>
  <si>
    <t>8201 2116 2108</t>
  </si>
  <si>
    <t>PRASAD PULLIWAR</t>
  </si>
  <si>
    <t>POOJA PULLIWAR</t>
  </si>
  <si>
    <t>FLAT 1003, A1 WING, MANTRA MONARCH, PATIL NAGAR, BALEWADI, PUNE.</t>
  </si>
  <si>
    <t>Plot 42, Navnirman Colony, Pratap Nagar, Nagpur.</t>
  </si>
  <si>
    <t>SOMALWAR HIGH SCHOOL &amp; JUNIOR COLLEGE, NIKALAS BRANCH, NAGPUR - 440022</t>
  </si>
  <si>
    <t>M K H SANCHETI PUBLIC SCHOOL &amp; JUNIOR COLLEGE, NAGPUR</t>
  </si>
  <si>
    <t>DR. BHANUBEN NANAVATI COLLEGE OF ARCHITECTURE, PUNE.</t>
  </si>
  <si>
    <t>AutoCAD,MS Office,MS Project,Autodesk Revit,Primavera P6,MS Excel,@Risk</t>
  </si>
  <si>
    <t>Studio Adroit Architects | Junior Architect | Nagpur | Nov 2024 | May 2025 | 0Y 6M | 1.8
PEB Utkarsha Projects Pvt. Ltd. | Junior Architect | Nagpur | May 2024 | Nov 2024 | 0Y 6M | 1.8</t>
  </si>
  <si>
    <t>KPMG Global Services | DA&amp;S Intern  | Mumbai | May 2026 | Jul 2026 | 9.5714285714286 Weeks | Campus Internship
URBAN TREE ARCHITECTURE | Architectural Intern | PUNE, MAHARASHTRA. | Jun 2023 | Nov 2023 | 24.428571428571 Weeks
AIESEC IN PUNE | Senior Business Development Manager  | PUNE, MAHARASHTRA. | Aug 2020 | Jul 2021 | 52 Weeks</t>
  </si>
  <si>
    <t>Google Agile Essentials
Project Management - The Basics For Success
Certificate for Energy Literacy
Construction Management Foundations
Rhinoceros 3D and Grasshopper
Certified Associate in Project Management (CAPM)Â®
IIM Nagpur - Post Graduation Certificate Programme in Project Management
CSM - Certified Scrum Master
German Language: A2 Level (Goethe-Institute Certified)
Project Optimization in Primavera P6
Introduction to Corporate Finance</t>
  </si>
  <si>
    <t>P25701065</t>
  </si>
  <si>
    <t>CHANDRA</t>
  </si>
  <si>
    <t>K J</t>
  </si>
  <si>
    <t>Surabhi Chandra K J</t>
  </si>
  <si>
    <t>surabhichandra2003@gmail.com</t>
  </si>
  <si>
    <t>p25701065@student.nicmar.ac.in</t>
  </si>
  <si>
    <t>29-Jan-2003</t>
  </si>
  <si>
    <t>8416 6006 8802</t>
  </si>
  <si>
    <t>JAYACHANDRAN C K</t>
  </si>
  <si>
    <t>SENIOR DESIGNER</t>
  </si>
  <si>
    <t>DEEPA JAYACHANDRAN</t>
  </si>
  <si>
    <t>TC 10/2018 (4), VILLA A1, BEACON COLORS, PALATHARA, POWDIKONAM, THIRUVANANTHAPURAM, KERALA</t>
  </si>
  <si>
    <t>COTTAKKATTU HOUSE, NARIYAPURAM, VALLICODE, PATHANAMTHITTA, KERALA</t>
  </si>
  <si>
    <t>Pathanamthitta</t>
  </si>
  <si>
    <t>NAVAJEEVAN BETHANY VIDYALAYA NALANCHIRA</t>
  </si>
  <si>
    <t>SARVODAYA CENTRAL VIDYALAYA NALANCHIRA</t>
  </si>
  <si>
    <t>GOVERNMENT ENGINEERING COLLEGE BARTON HILL, THIRUVANANTHAPURAM</t>
  </si>
  <si>
    <t>AutoCAD,MS Office,MS Project,SPSS</t>
  </si>
  <si>
    <t>Deloitte Touche Tohmatsu India LLP | Intern | Mumbai | May 2026 | Jul 2026 | 8.5714285714286 Weeks | Campus Internship
KERALA RAIL DEVELOPMENT CORPORATION LIMITED | INTERN | THIRUVANANTHAPURAM, KERALA | May 2025 | Jun 2025 | 5.5714285714286 Weeks
SI PROPERTY (KERALA) PRIVATE LIMITED | INTERN | THIRUVANANTHAPURAM, KERALA | Jun 2024 | Jul 2024 | 3.4285714285714 Weeks
KERALA WATER AUTHORITY | INTERN | ARUVIKKARA, THIRUVANANTHAPURAM, KERALA | May 2023 | May 2023 | 0.85714285714286 Weeks</t>
  </si>
  <si>
    <t>P25701066</t>
  </si>
  <si>
    <t>Srushti Shah</t>
  </si>
  <si>
    <t>srushti.urmish.shah@gmail.com</t>
  </si>
  <si>
    <t>p25701066@student.nicmar.ac.in</t>
  </si>
  <si>
    <t>4098 2115 6950</t>
  </si>
  <si>
    <t>URMISH SHAH</t>
  </si>
  <si>
    <t>JAYSHRI SHAH</t>
  </si>
  <si>
    <t>702, Bella Wing, Crystal Palace, Sec- 20, S.G. Belapur, SG Patil Marg, CBD Belapur, Navi Mumbai</t>
  </si>
  <si>
    <t>JAIPURIAR SCHOOL NAVI MUMBAI THANE MAHARASHTRA</t>
  </si>
  <si>
    <t>MAHATMA EDUCATION SOCIETY'S PILLAI COLLEGE OF ARCHITECTURE, NEW PANVEL</t>
  </si>
  <si>
    <t>AutoCAD,MS Office,MS Project,Adobe Photoshop,Adobe Illustrator,SketchUp,Lumion</t>
  </si>
  <si>
    <t>Designworks | Junior architect  | Sanpada Navi Mumbai  | Aug 2024 | Jun 2025 | 0Y 10M | 3</t>
  </si>
  <si>
    <t>Medigence Solutions Pvt Ltd | Project Management Intern  | Ahmedabad | May 2026 | Jul 2026 | 8.7142857142857 Weeks | Campus Internship
Compartment S4 | Intern  | Ahmedabad | Nov 2022 | Apr 2023 | 25.714285714286 Weeks</t>
  </si>
  <si>
    <t>SMEF's BRICK School of Architecture, Pune - The Pandemic Memorial competition</t>
  </si>
  <si>
    <t>P25701067</t>
  </si>
  <si>
    <t>SHIRBHATE</t>
  </si>
  <si>
    <t>Akshata Anup Shirbhate</t>
  </si>
  <si>
    <t>akshatashirbhate9@gmail.com</t>
  </si>
  <si>
    <t>p25701067@student.nicmar.ac.in</t>
  </si>
  <si>
    <t>4067 6622 3648</t>
  </si>
  <si>
    <t>Anup Shirbhate, Opposite Monalisha Apartment Shrikrushna Peth Near Daffrin Hospital Amravati</t>
  </si>
  <si>
    <t>HOLY CROSS CONVENT ENGLISH HIGH AMRAVTI</t>
  </si>
  <si>
    <t>SSC ,PUNE</t>
  </si>
  <si>
    <t>INDEPENDENT JUNIOR COLLEGE RURAL INSTITUTE, AMRAVATI</t>
  </si>
  <si>
    <t>HSC , PUNE</t>
  </si>
  <si>
    <t>AutoCAD,MS Office,MS Project,Primavera,Illustrator,Indesign,Photoshop,Sketchup</t>
  </si>
  <si>
    <t>Godrej Properties  | Project Planning Intern | Mumbai | May 2026 | Jul 2026 | 8.7142857142857 Weeks | Campus Internship
Jawaharlal Nehru Port Authority | Architectural Intern | Navi Mumbai | Nov 2023 | Mar 2024 | 17.142857142857 Weeks</t>
  </si>
  <si>
    <t>Project Management Foundations  Project Management Foundation
Strategic Project Risk Management
Business Development Foundation
Lean Six Sigma Foundations
Six Sigma - Green Belt</t>
  </si>
  <si>
    <t>P25701068</t>
  </si>
  <si>
    <t>Prathamesh Santosh Kadam</t>
  </si>
  <si>
    <t>prathmeshkadam259@gmail.com</t>
  </si>
  <si>
    <t>p25701068@student.nicmar.ac.in</t>
  </si>
  <si>
    <t>Trekking,swimming,Acting,Fashion,Photography</t>
  </si>
  <si>
    <t>6574 9105 3938</t>
  </si>
  <si>
    <t>SANTOSH KONDIRAM KADAM</t>
  </si>
  <si>
    <t>OFFICE SUPERINTENDENT</t>
  </si>
  <si>
    <t>HEMLATA SANTOSH KADAM</t>
  </si>
  <si>
    <t>MAHALUNGE</t>
  </si>
  <si>
    <t>Deur, Koregaon, Satara</t>
  </si>
  <si>
    <t>ST. ANN'S ENGLISH MEDIUM SCHOOL &amp; JR.COLLAGE</t>
  </si>
  <si>
    <t>MAHARASHTRA STATE BOARD OF SECONDARY AND HIGHER SECONDARY EDUCATION, KOLHAPUR DIVISIONAL BOARD.</t>
  </si>
  <si>
    <t>PRAGNYA JUNIOR COLLEGE OF ARTS, COMMERCE AND SCIENCE</t>
  </si>
  <si>
    <t>MAHARASHTRA STATE BOARD OF SECONDARY AND HIGHER SECONDARY EDUCATION, PUNE DIVISIONAL BOARD.</t>
  </si>
  <si>
    <t>AISSMS COLLAGE OF ENGINEERING, PUNE, MAHARASHTRA</t>
  </si>
  <si>
    <t>Ecoboard industries Ltd | Project management intern | Pune | May 2026 | Jun 2026 | 8 Weeks | Campus Internship
Jain Engineering Pvt. Ltd. | Site execution  | Dombivli east | Dec 2023 | Jan 2024 | 5.8571428571429 Weeks</t>
  </si>
  <si>
    <t>Autocad
Collaborate effectively for professional success
Introduction to Corporate Finance
Project Management: The Basics for Success</t>
  </si>
  <si>
    <t>P25701070</t>
  </si>
  <si>
    <t>TAPASWIN</t>
  </si>
  <si>
    <t>Tapaswin Mishra</t>
  </si>
  <si>
    <t>mishratapaswin@gmail.com</t>
  </si>
  <si>
    <t>p25701070@student.nicmar.ac.in</t>
  </si>
  <si>
    <t>20-Oct-2002</t>
  </si>
  <si>
    <t>English Odia Hindi</t>
  </si>
  <si>
    <t>5481 6714 3768</t>
  </si>
  <si>
    <t>RABINARAYAN MISHRA</t>
  </si>
  <si>
    <t>SNEHALATA MISHRA</t>
  </si>
  <si>
    <t>Mohaveer Nagar ,  Jaipurkilla , Pipili</t>
  </si>
  <si>
    <t>Puri</t>
  </si>
  <si>
    <t>SRASWATI SISHU VIDYA MANDIR, JAYAPURKILLA, PIPILI</t>
  </si>
  <si>
    <t>JUPITER WOMEN'S SCIENCE HIGHER SECONDARY SCHOOL</t>
  </si>
  <si>
    <t>COUNCIL OF HIGHER SECONDARY  EDUCATION , ODISHA</t>
  </si>
  <si>
    <t>ODISHA UNIVERSITY OF TECHNOLOGY AND RESEARCH, ODISHA</t>
  </si>
  <si>
    <t>MS Office,MS Project,Primavera,SPSS,GIS</t>
  </si>
  <si>
    <t>Odisha Power Transmission Corporation Limited  | Project Finance  | Bhubneswar  | May 2026 | Jul 2026 | 9.8571428571429 Weeks | Campus Internship
MINISTRY OF HOUSING AND URBAN AFFAIRS, INDIA | INTERN | BHUBANESWAR | Jul 2022 | Aug 2022 | 5 Weeks</t>
  </si>
  <si>
    <t>Introduction to Corporate Finance
Project Management : The Basic For Success</t>
  </si>
  <si>
    <t>P25701071</t>
  </si>
  <si>
    <t>SADAVARTE</t>
  </si>
  <si>
    <t>Sakshi Avinash Sadavarte</t>
  </si>
  <si>
    <t>sakshi61002@gmail.com</t>
  </si>
  <si>
    <t>p25701071@student.nicmar.ac.in</t>
  </si>
  <si>
    <t>5976 4376 8257</t>
  </si>
  <si>
    <t>303, BARKHA BAHAR, MG ROAD, BESIDE THE FOOD TOWN HOTEL, NAUPADA, THANE WEST</t>
  </si>
  <si>
    <t>B/2 Shri Krishna Govind Prasad, Bhaskar Colony, Naupada, Thane West.</t>
  </si>
  <si>
    <t>SARASWATI VIDYALAYA HIGH SCHOOL &amp; JR. COLLEGE OF SCIENCE, THANE WEST</t>
  </si>
  <si>
    <t>MAHARASHTRA STATE BOARD OF SECONDARY AND HIGHER SECONDARY EDUCATION - MUMBAI</t>
  </si>
  <si>
    <t>AutoCAD,MS Office,MS Project,Primavera,Revit,Sketchup,Lumion</t>
  </si>
  <si>
    <t>Kalpataru Limited  | Sales - Product Development Intern | Mumbai | May 2026 | Jul 2026 | 9.5714285714286 Weeks | Campus Internship
JDesigns | Architectural Intern | Dadar, Mumbai | Nov 2023 | Apr 2024 | 20.714285714286 Weeks</t>
  </si>
  <si>
    <t>Sales Representative Certification Program by Reliance Foundation Skilling Academy
Coursera - Project Management- The Basics for success
Coursera- Introduction to Corporate Finance
Coursera - Six Sigma Tools for Define &amp; Success
Coursera - Oracle Primavera P6</t>
  </si>
  <si>
    <t>P25701073</t>
  </si>
  <si>
    <t>ANISH</t>
  </si>
  <si>
    <t>Anish K J</t>
  </si>
  <si>
    <t>kj.anish31@gmail.com</t>
  </si>
  <si>
    <t>p25701073@student.nicmar.ac.in</t>
  </si>
  <si>
    <t>31-Dec-2001</t>
  </si>
  <si>
    <t>ENGLISH, HINDI, KANNADA, KONKONI</t>
  </si>
  <si>
    <t>8126 1232 4008</t>
  </si>
  <si>
    <t>JOSEPH KV</t>
  </si>
  <si>
    <t>ANITHA JENNIFER</t>
  </si>
  <si>
    <t>#176, Munnekolal, Marathalli</t>
  </si>
  <si>
    <t>AIR FORCE SCHOOL MURGESHPALYA CAMP</t>
  </si>
  <si>
    <t>CENTRAL BOARD OF SECONDARY EDUCATION, BENGALURU/ KARNATAKA</t>
  </si>
  <si>
    <t>GOVERNMENT POLYTECHNIC IMMADIHALLI, BANGALORE/KARNATAKA</t>
  </si>
  <si>
    <t>CMR INSTITUTE OF TECHNOLOGY, BANGALORE/KARNATAKA</t>
  </si>
  <si>
    <t>AutoCAD,MS Office,MS Project,Primavera,@Risk,Candy</t>
  </si>
  <si>
    <t>Sowparnika Homes Pvt. Ltd. | Jr. Engineer | Bangalore | Jul 2024 | Jun 2025 | 0Y 11M | 3.25</t>
  </si>
  <si>
    <t>UNISPACE | Project Management Intern | Bengaluru | May 2026 | Jul 2026 | 8.7142857142857 Weeks | Campus Internship
SALARPURIA SATTVA | CONSTRUCTION MANAGEMENT AND QA/QC | BENGALURU | Aug 2023 | Sep 2023 | 4.4285714285714 Weeks
GOVERNMENT OF KARNATAKA PUBLIC WORKS DEPARTMENT | PROJECT MANAGEMENT | BANGERPET, KARNATAKA | Sep 2021 | Sep 2021 | 2 Weeks</t>
  </si>
  <si>
    <t>P25701074</t>
  </si>
  <si>
    <t>Jaswant Singh R</t>
  </si>
  <si>
    <t>jasusingh001@gmail.com</t>
  </si>
  <si>
    <t>p25701074@student.nicmar.ac.in</t>
  </si>
  <si>
    <t>08-Nov-2000</t>
  </si>
  <si>
    <t>English,Hindi,Kannada,Tamil,Telugu</t>
  </si>
  <si>
    <t>6256 4386 3517</t>
  </si>
  <si>
    <t>RAVINDRANATH SINGH R</t>
  </si>
  <si>
    <t>RATHNA SINGH R</t>
  </si>
  <si>
    <t>9/1, 1st Main Road, New Guddadahalli, Bangalore, Karnataka 560026</t>
  </si>
  <si>
    <t>BANGALORE HIGH SCHOOL</t>
  </si>
  <si>
    <t>KARNATAKA SECONDARY EDUCATION EXAMINATION BOARD, BENGALURU</t>
  </si>
  <si>
    <t>AUTOMOBILE ENGINEERING</t>
  </si>
  <si>
    <t>PVP POLYTECHNIC, BANGALURU</t>
  </si>
  <si>
    <t>2017-Nov</t>
  </si>
  <si>
    <t>ACHARYA INSTITUTE OF TECHNOLOGY</t>
  </si>
  <si>
    <t>AutoCAD,MS Office,MS Project,Primavera,Matlab,Adobe suite,Solid works,HSE documentation</t>
  </si>
  <si>
    <t>Practice Buzz | Marketing Executive | India | Sep 2023 | Jul 2025 | 1Y 10M | 3.96
JBM Ogihara Automotive India Limited | Production Engineer | Bangalore | May 2023 | Apr 2024 | 0Y 11M | 3</t>
  </si>
  <si>
    <t>King's Developers &amp; Infrastructure | Management Trainee  | Bangalore | May 2026 | Jul 2026 | 8.7142857142857 Weeks | Campus Internship
Acharya Institute Of Technology | Digital Marketing Team | Baangalore | Nov 2021 | Oct 2022 | 47.571428571429 Weeks</t>
  </si>
  <si>
    <t>Electrical Vehicles</t>
  </si>
  <si>
    <t>P25701075</t>
  </si>
  <si>
    <t>BHANUSHALI</t>
  </si>
  <si>
    <t>Varun Amar Bhanushali</t>
  </si>
  <si>
    <t>varunbhanu3@gmail.com</t>
  </si>
  <si>
    <t>p25701075@student.nicmar.ac.in</t>
  </si>
  <si>
    <t>ENGLISH, HINDI, MARATHI, GUJRATI</t>
  </si>
  <si>
    <t>Drama &amp; Playwriting,Running marathons,playing a musical instrument,Listening to podcasts</t>
  </si>
  <si>
    <t>7659 7642 5921</t>
  </si>
  <si>
    <t>Gurukul Nagar,yukta Apartment,flat No 2/3, Kinhavali</t>
  </si>
  <si>
    <t>WISDOM ENGLISH SCHOOL</t>
  </si>
  <si>
    <t>MAHARASHTRA STATE BOARD/MURBAD</t>
  </si>
  <si>
    <t>PACE JUNIOR SCIENCE COLLEGE</t>
  </si>
  <si>
    <t>MAHARASHTRA STATE OF HIGHER AND SECONDARY EDUCATION/THANE</t>
  </si>
  <si>
    <t>SHIVAJIRAO S JONDHLE COLLEGE OF ENGINEERING/MAHARASHTRA</t>
  </si>
  <si>
    <t>AutoCAD,MS Office,MS Project,Primavera,Asana</t>
  </si>
  <si>
    <t>Pidilite Industries | Business Development &amp; Market Research | Mumbai | May 2026 | Jul 2026 | 11.857142857143 Weeks | Campus Internship
Manish Construction | Junior Engineer  | Pimpri-Chinchwad  | Jul 2024 | Feb 2025 | 27.714285714286 Weeks</t>
  </si>
  <si>
    <t>AUTOCAD CIVIL
Equity Market Analyst
Corporate Finance</t>
  </si>
  <si>
    <t>P25701076</t>
  </si>
  <si>
    <t>RUDRA</t>
  </si>
  <si>
    <t>DATTATRAYA</t>
  </si>
  <si>
    <t>PHADTARE</t>
  </si>
  <si>
    <t>Rudra Dattatraya Phadtare</t>
  </si>
  <si>
    <t>rudraphadtare2709@gmail.com</t>
  </si>
  <si>
    <t>p25701076@student.nicmar.ac.in</t>
  </si>
  <si>
    <t>Fitness and Gym,Volunteering for Social Causes,Gathering Information about different Countries,Playing cricket &amp; volleyball</t>
  </si>
  <si>
    <t>4085 8597 7971</t>
  </si>
  <si>
    <t>DATTATRAYA PHADTARE</t>
  </si>
  <si>
    <t>RETIRED MECHANICAL ENGINEER</t>
  </si>
  <si>
    <t>RESHMA PHADTARE</t>
  </si>
  <si>
    <t>JOURNALIST</t>
  </si>
  <si>
    <t>Chaitrabun Bungalow Pl, No 84 , Vanashree Nagar ,Talegaon Dabhade ,</t>
  </si>
  <si>
    <t>DR.A.C HIGH SCHOOL</t>
  </si>
  <si>
    <t>ASM JR . COLLEGE</t>
  </si>
  <si>
    <t>DY PATIL COLLEGE OF ENGINEERING , AKURDI , PUNE.</t>
  </si>
  <si>
    <t>AutoCAD,MS Office,MS Project,Advanced Excel,STAAD.PRO,Revit</t>
  </si>
  <si>
    <t>HILTI INDIA  | ACCOUNT MANAGER INTERN  | Pune | May 2026 | Jul 2026 | 8.5714285714286 Weeks | Campus Internship
VEDAS AND POLARIS INTERNATIONAL INDUSTRIES DUBAI , UAE . | OPERATIONS INTERN | DUBAI , UAE | Dec 2023 | Jan 2024 | 6.7142857142857 Weeks</t>
  </si>
  <si>
    <t>Project Management : The Basics for Success
Diploma in Building Design
Introduction to corporate finance</t>
  </si>
  <si>
    <t>P25701077</t>
  </si>
  <si>
    <t>SHOURYA</t>
  </si>
  <si>
    <t>Shourya Singh</t>
  </si>
  <si>
    <t>shourya.031.singh@gmail.com</t>
  </si>
  <si>
    <t>p25701077@student.nicmar.ac.in</t>
  </si>
  <si>
    <t>31-Oct-2001</t>
  </si>
  <si>
    <t>5989 6114 9482</t>
  </si>
  <si>
    <t>SAURABH KUMAR</t>
  </si>
  <si>
    <t>PRIYA SINGH</t>
  </si>
  <si>
    <t>Rzf-1 Street 1, Mahavir Enclave Palam, Sec - 1, Dwarka, Delhi - 110045</t>
  </si>
  <si>
    <t>VANADANA INTERNATIONAL SR SEC SCHOOL</t>
  </si>
  <si>
    <t>VANDANA INTERNATIONAL SR SEC SCHOOL</t>
  </si>
  <si>
    <t>Janaadhar Ind Pvt Ltd | Assistant Planning Engineer  | Bangalore | Aug 2022 | Apr 2025 | 2Y 8M | 6.5</t>
  </si>
  <si>
    <t>Mace Project &amp; Cost Management Pvt. Ltd | Project Management Intern | Noida, Delhi NCR | May 2026 | Jul 2026 | 8.1428571428571 Weeks | Campus Internship
SHANGHAI TUNNEL ENGINEERING COMPANY LTD. | INTERN  | DELHI  | Sep 2021 | Oct 2021 | 6 Weeks</t>
  </si>
  <si>
    <t>P25701078</t>
  </si>
  <si>
    <t>SARAVANAN</t>
  </si>
  <si>
    <t>Avinash Saravanan</t>
  </si>
  <si>
    <t>avinashsaravanan.2000@gmail.com</t>
  </si>
  <si>
    <t>p25701078@student.nicmar.ac.in</t>
  </si>
  <si>
    <t>27-Aug-2000</t>
  </si>
  <si>
    <t>6765 0235 9747</t>
  </si>
  <si>
    <t>ARTHI</t>
  </si>
  <si>
    <t>3,pilliyar Koil Street, Pulliyambedu_x000D_</t>
  </si>
  <si>
    <t>SWAMYS MATRIC HIGHER SECONDARY SCHOOL</t>
  </si>
  <si>
    <t>STATE BOARD OF EXAMINATIONS, TAMILNADU</t>
  </si>
  <si>
    <t>CRESCENT SCHOOL OF ARCHITECTURE, CHENNAI</t>
  </si>
  <si>
    <t>MS Office,MS Project,Primavera P6, Revit, AutoCAD, Rhino, D5 Render, Photoshop</t>
  </si>
  <si>
    <t>Creative Lab Interiors and Contracting | Interior Architect | Dubai | Sep 2023 | May 2025 | 1Y 8M | 12.88</t>
  </si>
  <si>
    <t>Ashoka Builders India Private Limited (ASBL Private Limited) | Design Research and Coordination Intern | Hyderabad | May 2026 | Jul 2026 | 8.7142857142857 Weeks | Campus Internship
Shilpa Architects | Intern Architect | Chennai | Jan 2022 | Jun 2022 | 24.428571428571 Weeks</t>
  </si>
  <si>
    <t>P25701080</t>
  </si>
  <si>
    <t>Vedant Ganesh Sawant</t>
  </si>
  <si>
    <t>work.ar.vedantsawant@gmail.com</t>
  </si>
  <si>
    <t>p25701080@student.nicmar.ac.in</t>
  </si>
  <si>
    <t>9610 8476 9993</t>
  </si>
  <si>
    <t>GANESH SADASHIV SAWANT</t>
  </si>
  <si>
    <t>RETIRED FROM ONGC</t>
  </si>
  <si>
    <t>MADHAVI GANESH SAWANT</t>
  </si>
  <si>
    <t>1103 Terrain Heights, Aaram Society Road, Vakola, Santacruz East, Mumbai -400055</t>
  </si>
  <si>
    <t>PARLE TILAK VIDYALAYA, VILE PARLE EAST, MUMBAI</t>
  </si>
  <si>
    <t>PACE JUNIOR SCIENCE COLLEGE, DADAR</t>
  </si>
  <si>
    <t>THAKUR SCHOOL OF ARCHITECTURE AND PLANNING , MUMBAI</t>
  </si>
  <si>
    <t>AutoCAD,MS Office,MS Project,Primavera,SKETCHUP,PHOTOSHOP,LUMION,SPSS,CANDY,@RISK</t>
  </si>
  <si>
    <t>URBAN STUDIO, MUMBAI | ARCHITECT | MUMBAI | Jun 2023 | Jun 2025 | 2Y 0M | 6.6</t>
  </si>
  <si>
    <t>Architect Rushikesh. H | Project Management Intern | MUMBAI | May 2026 | Jul 2026 | 9.5714285714286 Weeks | Campus Internship
INGRAIN | ARCHITECTURAL INTERN | MUMBAI | Nov 2021 | Apr 2022 | 20.285714285714 Weeks</t>
  </si>
  <si>
    <t>REAL ESTATE DEVELOPMENT AND MANAGEMENT</t>
  </si>
  <si>
    <t>P25701082</t>
  </si>
  <si>
    <t>KARTIKEYA</t>
  </si>
  <si>
    <t>Kumar Kartikeya</t>
  </si>
  <si>
    <t>kartikeyak2@gmail.com</t>
  </si>
  <si>
    <t>p25701082@student.nicmar.ac.in</t>
  </si>
  <si>
    <t>2047 9541 4130</t>
  </si>
  <si>
    <t>DILIP KUMAR SINGH</t>
  </si>
  <si>
    <t>SARIKA SINGH</t>
  </si>
  <si>
    <t>ROOM NO. - 302, SILVER JUBILEE HOSTEL</t>
  </si>
  <si>
    <t>23/2 Kumar House, Single Mandi_x000D_
Behind Lakshman Vidhyalaya_x000D_
Pathri Bagh</t>
  </si>
  <si>
    <t>Dehradun</t>
  </si>
  <si>
    <t>SCHOLARS HOME SR SEC SCHOOL</t>
  </si>
  <si>
    <t>S.G.R.R. PATEL NAGAR SCHOOL</t>
  </si>
  <si>
    <t>MECHANICAL</t>
  </si>
  <si>
    <t>SHIVALIK COLLEGE OF ENGINEERING, DEHRA DUN, UTTRAKHAND</t>
  </si>
  <si>
    <t>CHANDIGARH UNIVERSITY, CHANDIGARH, PUNJAB</t>
  </si>
  <si>
    <t>Primavera P6, Power BI, ERM, Advanced Excel, AutoCAD, MS Project Engineering, Drawings Interpretation, Cost Control</t>
  </si>
  <si>
    <t>Proactive Engineering Services  | Project Management Intern. | Pune | May 2026 | Jul 2026 | 8.7142857142857 Weeks | Campus Internship
S.S.R Enterprises  | Planning Engineer | Rajasthan | Oct 2024 | Jun 2025 | 34.714285714286 Weeks
Ultra vision engineering | Rajasthan | Mechanical engineer | Rajasthan, Barmer | Jan 2024 | Aug 2024 | 31.285714285714 Weeks
Uttarakhand transport corporation | Mechanical engineer | Dehra dun | Jun 2022 | Jul 2022 | 5.8571428571429 Weeks
Bridge And Roof Corporation LTD. | Assistant Engineer | Bhatinda, Punjab | Jun 2021 | Jul 2021 | 8.5714285714286 Weeks</t>
  </si>
  <si>
    <t>KPMG 6 Sigma Certificate</t>
  </si>
  <si>
    <t>P25701083</t>
  </si>
  <si>
    <t>AADEESH</t>
  </si>
  <si>
    <t>GOBRELE</t>
  </si>
  <si>
    <t>Aadeesh Gobrele</t>
  </si>
  <si>
    <t>aadeesh.gobrele23@gmail.com</t>
  </si>
  <si>
    <t>p25701083@student.nicmar.ac.in</t>
  </si>
  <si>
    <t>2517 0648 3412</t>
  </si>
  <si>
    <t>MANOJ GOBRELE</t>
  </si>
  <si>
    <t>KIRAN GOBRELE</t>
  </si>
  <si>
    <t>A2-102, GULMARG COOPERATIVE HOUSING SOCIETY, GATE NO 2, MOHAN NAGAR</t>
  </si>
  <si>
    <t>House No. 14, Sanjana Park, Bhicholi Mardana</t>
  </si>
  <si>
    <t>ST. ARNOLDâ€™S HIGHER SECONDARY SCHOOL</t>
  </si>
  <si>
    <t>INDORE</t>
  </si>
  <si>
    <t>SCHOOL OF ARCHITECTURE, IPS ACADEMY INFORE</t>
  </si>
  <si>
    <t>AutoCAD,MS Office,MS Project,Primavera,Lightroom,revit</t>
  </si>
  <si>
    <t>Anarock | Closing and sourcing intern | NAVI MUMBAI | May 2026 | Jun 2026 | 8 Weeks | Campus Internship
9 SQUARES ARCHITECTS PVT LTD | INTERN | INDORE | Aug 2023 | Dec 2023 | 18.285714285714 Weeks</t>
  </si>
  <si>
    <t>P25701084</t>
  </si>
  <si>
    <t>Rohit Kumar</t>
  </si>
  <si>
    <t>rohitkumar19d@gmail.com</t>
  </si>
  <si>
    <t>p25701084@student.nicmar.ac.in</t>
  </si>
  <si>
    <t>3160 9676 8577</t>
  </si>
  <si>
    <t>VIBHUTI KUMAR</t>
  </si>
  <si>
    <t>ANITA KUMARI</t>
  </si>
  <si>
    <t>SOUTH COLONY ANDAL, P.O+P.S-ANDAL, DISTRICT- PASCHIM BARDHAMAN, WEST BENGAL-713321</t>
  </si>
  <si>
    <t>VILLAGE- BAKARPUR NIRPURA, P.O-BISHNUPUR SAID, P.S- RAJAPAKAR THANA BLOCK-RAJAPAKAR, SUB-DIVISION- MAHUA, DISTRICT- VAISHALI, BIHAR- 844115</t>
  </si>
  <si>
    <t>Vaishali</t>
  </si>
  <si>
    <t>KENDRIYA VIDYALAYA ANDAL</t>
  </si>
  <si>
    <t>MEGHNAD SAHA INSTITUTE OF TECHNOLOGY-142, KOLKATA</t>
  </si>
  <si>
    <t>Project Planning and Scheduling,MS Excel (Dashboards and Data Analysis),Lean Six Sigma,MS Project,IBM SPSS,Oracle Primavera P6,MINITAB,MS Office,Risk Management and Cost Control,AutoCAD 2D,MS Word &amp; PowerPoint</t>
  </si>
  <si>
    <t>Ahluwalia Contracts (India) Ltd.  | Planning Intern | Kolkata | May 2026 | Jul 2026 | 8.7142857142857 Weeks | Campus Internship
M/S GUPTA ENTERPRISE | SUMMER-INTERNSHIP | BELGACHIA VAGAR, HOWRAH | Jul 2023 | Jul 2023 | 3.7142857142857 Weeks
M/S LAXMAN SHARMA |  INTERN â€“ PLANNING ENGINEER | PHULWARISHARIF,PANTA | Aug 2024 | Jan 2025 | 26.142857142857 Weeks</t>
  </si>
  <si>
    <t>AutoCAD 2D â€“ Drafting and Civil Design
Oracle Primavera P6 â€“ Project Planning, Scheduling &amp; Control
MS Project â€“ Scheduling, Cost Management &amp; Tracking
Create Charts and Dashboards Using Microsoft Excel
Project Management: The Basics for Success
Data Analytics for Lean Six Sigma using Minitab</t>
  </si>
  <si>
    <t>P25701085</t>
  </si>
  <si>
    <t>NIRANJAN</t>
  </si>
  <si>
    <t>Kshitij Niranjan Kanade</t>
  </si>
  <si>
    <t>kanadekshitij151@gmail.com</t>
  </si>
  <si>
    <t>p25701085@student.nicmar.ac.in</t>
  </si>
  <si>
    <t>06-Dec-2002</t>
  </si>
  <si>
    <t>7855 0513 3619</t>
  </si>
  <si>
    <t>Deulwada,near Ballaleshwar Temple,Pali, Tal-Sudhagad, Dist-Raigad</t>
  </si>
  <si>
    <t>PETROCHEMICALS VIDYALAYA</t>
  </si>
  <si>
    <t>CBSE NAGOTHANE MAHARSHTRA</t>
  </si>
  <si>
    <t>Y.B PATIL POLYTECHNIC, AKURDI</t>
  </si>
  <si>
    <t>JSPM NTC, PUNE</t>
  </si>
  <si>
    <t>AutoCAD,MS Office,MS Project,Primavera,Market Research &amp; Site Feasibility Support,Vendor &amp; Channel Coordination,Data Collection &amp; Documentation for Due Diligence,Report Preparation &amp; Site Notes</t>
  </si>
  <si>
    <t>D'quor Spaces | Project-Coordinator | Pune | May 2026 | Jul 2026 | 8.7142857142857 Weeks | Campus Internship
SBP INFRA | Intern  Assistant Engineer  | PALI, SUDHAGAD | Dec 2022 | Jan 2023 | 4.2857142857143 Weeks</t>
  </si>
  <si>
    <t>Auto cad and revit
Lean Six Sigma Green Belt</t>
  </si>
  <si>
    <t>P25701087</t>
  </si>
  <si>
    <t>VINEET</t>
  </si>
  <si>
    <t>Vineet H</t>
  </si>
  <si>
    <t>vineethosmani18@gmail.com</t>
  </si>
  <si>
    <t>p25701087@student.nicmar.ac.in</t>
  </si>
  <si>
    <t>27-Apr-2001</t>
  </si>
  <si>
    <t>English, Hindi &amp; Kannada</t>
  </si>
  <si>
    <t>2478 3863 8999</t>
  </si>
  <si>
    <t>VENKATESH H</t>
  </si>
  <si>
    <t>VINAYA VENKATESH</t>
  </si>
  <si>
    <t>1027/18, Nisargadhama, Chamarajapuram, JLV Road, Mysuru</t>
  </si>
  <si>
    <t>JSS PUBLIC SCHOOL SIDDARTHA NAGAR MYSORE</t>
  </si>
  <si>
    <t>BASE PU COLLEGE</t>
  </si>
  <si>
    <t>DEAPARTMENT OF PRE-UNIVERSITY EDUCATION, GOVERNMENT OF KARNATAKA</t>
  </si>
  <si>
    <t>JSS SCIENCE &amp; TECHNOLOGY UNIVERSITY</t>
  </si>
  <si>
    <t>AutoCAD,MS Office,REVIT,StaadPRO</t>
  </si>
  <si>
    <t>Tata Consulting Engineers Limited | Senior Engineer | Bengaluru | Aug 2023 | Jun 2025 | 1Y 10M | 7.99</t>
  </si>
  <si>
    <t>Deloitte Touche Tohmatsu India LLP | Intern - Audit &amp; Assurance | Bengaluru | May 2026 | Jul 2026 | 8.5714285714286 Weeks | Campus Internship
M/S Foundations, Developers and Promoters, Mysuru | Intern | Mysuru | Aug 2022 | Sep 2022 | 4.4285714285714 Weeks</t>
  </si>
  <si>
    <t>P25701088</t>
  </si>
  <si>
    <t>WADEKAR</t>
  </si>
  <si>
    <t>Sanskar Bhaskar Wadekar</t>
  </si>
  <si>
    <t>wadekarsanskar242@gmail.com</t>
  </si>
  <si>
    <t>p25701088@student.nicmar.ac.in</t>
  </si>
  <si>
    <t>6136 0271 7821</t>
  </si>
  <si>
    <t>Gopalpur, Post Palashi_x000D_
Chhatrapati Sambhajinagar (Aurangabad),431008</t>
  </si>
  <si>
    <t>MUKUL MANDIR</t>
  </si>
  <si>
    <t>SHIV CHHATRAPATI COLLEGE</t>
  </si>
  <si>
    <t>DR. BABASAHEB AMBEDKAR TECHNOLOGICAL UNIVERSITY, LONERE, RAIGAD, MAHARASHTRA</t>
  </si>
  <si>
    <t>AutoCAD,MS Office,MS Project,Primavera,Sketchup,Lumion,Adobe Suites,Adobe Photoshop,After Effects,Vray,Enscape,Figma,Media Encoder,Candy,Snaptrude,AI</t>
  </si>
  <si>
    <t>Econiwaran (Way to Sustainable Development) | Junior Architect | Chhatrapati Sambhajinagar (Aurangabad) | Jun 2023 | Jun 2025 | 2Y 0M | 0.9</t>
  </si>
  <si>
    <t>Veerkar and Associates  | Business Development and Project Coordination Trainee | Aurangabad  | May 2026 | Jul 2026 | 9.5714285714286 Weeks | Campus Internship
SPACE CDA | Junior Architect | Nashik | Jul 2022 | Dec 2022 | 23.714285714286 Weeks</t>
  </si>
  <si>
    <t>UI UX Design
Professional Course in Stereoscopic Film Making</t>
  </si>
  <si>
    <t>P25701089</t>
  </si>
  <si>
    <t>Darshan Sanjay Kamble</t>
  </si>
  <si>
    <t>darshankamble6838@gmail.com</t>
  </si>
  <si>
    <t>p25701089@student.nicmar.ac.in</t>
  </si>
  <si>
    <t>06-Aug-2003</t>
  </si>
  <si>
    <t>English , Hindi, Marathi</t>
  </si>
  <si>
    <t>6758 3447 6554</t>
  </si>
  <si>
    <t>SANJAY SHIVRAM KAMBLE</t>
  </si>
  <si>
    <t>SUJATA SANJAY KAMBLE</t>
  </si>
  <si>
    <t>C-17,Darshan Nagari,Keshavnagar,Chinchwad,Pune-33</t>
  </si>
  <si>
    <t>BLOSSOM PUBLIC SCHOOL,TATHAWADE</t>
  </si>
  <si>
    <t>JSPM RAJARSHI SHAHU COLLEGE OF ENGINEERING , TATHAWADE</t>
  </si>
  <si>
    <t>IMPACT INFRAHEIGHTS PVT LTD | Quantity surveyor &amp; Site Execution | Pune  | May 2026 | Jul 2026 | 8.7142857142857 Weeks | Campus Internship
RAJ PATH INFRACON PVT.LTD | Junior Engineer  | Amar Business Zone Baner Pune411045 | Sep 2024 | May 2025 | 38.714285714286 Weeks</t>
  </si>
  <si>
    <t>P25701090</t>
  </si>
  <si>
    <t>AJU</t>
  </si>
  <si>
    <t>Aju M John</t>
  </si>
  <si>
    <t>ajumjohn1998@gmail.com</t>
  </si>
  <si>
    <t>p25701090@student.nicmar.ac.in</t>
  </si>
  <si>
    <t>21-Mar-1998</t>
  </si>
  <si>
    <t>5238 7915 5559</t>
  </si>
  <si>
    <t>JOHN M VARGHESE</t>
  </si>
  <si>
    <t>ALEYAMMA JOHN</t>
  </si>
  <si>
    <t>MADACKAL HOUSE,PRASHANT NAGAR ,KAVIYOOR P.O, TIRUVALLA</t>
  </si>
  <si>
    <t>IMMANUEL MAR THOMA CENTRAL SCHOOL, THIRUVALLA</t>
  </si>
  <si>
    <t>CENTRAL BOARD OF SECONDARY EDUCATION,  KERALA</t>
  </si>
  <si>
    <t>SACRED HEART HIGHER SECONDARY SCHOOL, CHANGANASSERY</t>
  </si>
  <si>
    <t>KERALA BOARD OF HIGHER SECONDARY EDUCATION, KERALA</t>
  </si>
  <si>
    <t>VINAYAKA MISSION'S RESEARCH FOUNDATION</t>
  </si>
  <si>
    <t>AARUPADAI VEEDU INSTITUTE OF TECHNOLOGY, KANCHEEPURAM /TAMIL NADU</t>
  </si>
  <si>
    <t>AutoCAD,MS Office,MS Project,REVIT ARCHITECTURE</t>
  </si>
  <si>
    <t>NOEL HOMES | JUNIOR  PROJECT ENGINEER | ERNAKULAM, KERALA | Apr 2023 | Jun 2025 | 2Y 2M | 2.4</t>
  </si>
  <si>
    <t>GNY GROUP | Site Engineer | Chhatrapati Sambhajinagar | May 2026 | Jul 2026 | 8.7142857142857 Weeks | Campus Internship
SOLID CAD | CAD ENGINEER | CHANGANASSERY | Jul 2022 | Dec 2022 | 24.428571428571 Weeks</t>
  </si>
  <si>
    <t>Quantity Surveying
Maintenance and Repair of concrete structures (NPTEL)</t>
  </si>
  <si>
    <t>P25701091</t>
  </si>
  <si>
    <t>SAMAPIKA</t>
  </si>
  <si>
    <t>BISWAL</t>
  </si>
  <si>
    <t>Swati Samapika Biswal</t>
  </si>
  <si>
    <t>arswatisamapikabiswal@gmail.com</t>
  </si>
  <si>
    <t>p25701091@student.nicmar.ac.in</t>
  </si>
  <si>
    <t>24-Mar-2000</t>
  </si>
  <si>
    <t>5520 9205 5802</t>
  </si>
  <si>
    <t>GOUTAM BISWAL</t>
  </si>
  <si>
    <t>BAMS</t>
  </si>
  <si>
    <t>HARABATI BISWAL</t>
  </si>
  <si>
    <t>Panesara_x000D_
At/po Loisingha</t>
  </si>
  <si>
    <t>SARASWATI VIDYAMANDIR, MANGAL BAZAR, JHARSUGUDA</t>
  </si>
  <si>
    <t>NEWTON COLLEGE OF +2 SCIENCE, SAMBALPUR</t>
  </si>
  <si>
    <t>AutoCAD,MS Office,MS Project,Primavera,LUMION,SKETCHUP,PHOTOSHOP,VRAY,Candy,@risk</t>
  </si>
  <si>
    <t>BRICK VILLE ARCHITECTS | ARCHITECT | SUNDARGARH, ODISHA | Jun 2023 | Jun 2025 | 2Y 0M | 2.4</t>
  </si>
  <si>
    <t>Architect Rishikesh. H. | Project management Intern  | Mumbai  | May 2026 | Jul 2026 | 9.5714285714286 Weeks | Campus Internship
A + B , INCORPORATION | INTERN | BHUBANESWAR | Aug 2022 | Dec 2022 | 17.571428571429 Weeks</t>
  </si>
  <si>
    <t>P25701092</t>
  </si>
  <si>
    <t>SAVITRI</t>
  </si>
  <si>
    <t>Savitri Singh</t>
  </si>
  <si>
    <t>singhsavitri614@gmail.com</t>
  </si>
  <si>
    <t>p25701092@student.nicmar.ac.in</t>
  </si>
  <si>
    <t>26-Sep-1997</t>
  </si>
  <si>
    <t>7537 5351 9941</t>
  </si>
  <si>
    <t>PINKI</t>
  </si>
  <si>
    <t>E-102, D/D Nagar</t>
  </si>
  <si>
    <t>CENTRAL ACADEMY SCHOOL</t>
  </si>
  <si>
    <t>GURU GOBIND SINGH INDRAPRASTHA UNIVERSITY, NEW DELHI</t>
  </si>
  <si>
    <t>MAHAVIR SWAMI INSTITUTE OF TECHNOLOGY/ SONIPAT/HARYANA</t>
  </si>
  <si>
    <t>AutoCAD,MS Office,MS Project,Primavera,Canva,WORDPRESS,SPSS</t>
  </si>
  <si>
    <t>Driffle | Marketing-Executive | Gurugram | Apr 2021 | Nov 2023 | 2Y 7M | 3.21
91 Squarefeet | Marketing  Executive | Gurugram | Dec 2023 | Oct 2024 | 0Y 10M | 3.6</t>
  </si>
  <si>
    <t>Spaceioplus | Management Trainee | New Delhi | May 2026 | Jul 2026 | 7.8571428571429 Weeks</t>
  </si>
  <si>
    <t>P25701093</t>
  </si>
  <si>
    <t>AQULINE</t>
  </si>
  <si>
    <t>Aquline C R</t>
  </si>
  <si>
    <t>aqulinesalim4111@gmail.com</t>
  </si>
  <si>
    <t>p25701093@student.nicmar.ac.in</t>
  </si>
  <si>
    <t>15-Sep-2000</t>
  </si>
  <si>
    <t>English,Hindi,Malayalam,Tamil</t>
  </si>
  <si>
    <t>9544 7711 0906</t>
  </si>
  <si>
    <t>SALIM C N</t>
  </si>
  <si>
    <t>REHANA SALIM</t>
  </si>
  <si>
    <t>Changethu,Elippakulam P.O Vallikunnam,Mavelikkara,Alappuzha</t>
  </si>
  <si>
    <t>BISHOP MOORE VIDYAPITH</t>
  </si>
  <si>
    <t>ANGELS ARC ENGLISH MEDIUM SCHOOL</t>
  </si>
  <si>
    <t>TKM SCHOOL OF ARCHITECTURE,KOLLAM</t>
  </si>
  <si>
    <t>AutoCAD,MS Office,MS Project,Primavera,@Risk,Candy,SPSS,Revit,Sketchup,Enscape,Lumion,Adobe Illustrator,Adobe Photoshop,Adobe InDesign,Navisworks,BIM 360,3dsmax,Adobe Premiere Pro,Canva</t>
  </si>
  <si>
    <t>CNS Builders and Developers | Project Architect | Kayamkulam,Kerala | Jan 2024 | Jun 2025 | 1Y 5M | 0.23</t>
  </si>
  <si>
    <t>PIDILITE INDUSTRIES LTD. | BUSINESS DEVELOPMENT INTERN | Bengaluru | May 2026 | Jun 2026 | 7.5714285714286 Weeks | Campus Internship
VEDIKA | ARCHITECTURAL TRAINEE | CHENNAI,INDIA | Sep 2023 | Jan 2024 | 16.142857142857 Weeks</t>
  </si>
  <si>
    <t>BIM Certification in Architecture
Certificate of Registration as an Architect</t>
  </si>
  <si>
    <t>P25701094</t>
  </si>
  <si>
    <t>KAWARE</t>
  </si>
  <si>
    <t>Yash Anant Kaware</t>
  </si>
  <si>
    <t>yashkaware13@gmail.com</t>
  </si>
  <si>
    <t>p25701094@student.nicmar.ac.in</t>
  </si>
  <si>
    <t>6679 7639 7770</t>
  </si>
  <si>
    <t>GOVT SERVICES</t>
  </si>
  <si>
    <t>Hari Colony Kthora Naka Amt</t>
  </si>
  <si>
    <t>GOLDEN KIDS MARATHI HIGH SCHOOL</t>
  </si>
  <si>
    <t>VIDHYA BHARTI MAHAVIDHALAYA</t>
  </si>
  <si>
    <t>SANT GADGE BABA UNIVERSITY AMRAVATI</t>
  </si>
  <si>
    <t>AMRAVATI</t>
  </si>
  <si>
    <t>AutoCAD,MS Office,MS Project,Primavera,3 d max</t>
  </si>
  <si>
    <t xml:space="preserve"> J. Kumar Infra Projects Ltd. | Project Management Intern | Thane Maharashtra | May 2026 | Jul 2026 | 9.7142857142857 Weeks | Campus Internship
BALAJI STRUCTURAL CONSULTANCY | INTERN | AMRAVATI | Jan 2020 | Mar 2020 | 6.8571428571429 Weeks
BALAJI STRUCTURAL CONSULTANCY | INTERN | Amravati  | Aug 2021 | Sep 2021 | 4.4285714285714 Weeks</t>
  </si>
  <si>
    <t>Autocad 2019
STAAD. Pro V8i</t>
  </si>
  <si>
    <t>P25701095</t>
  </si>
  <si>
    <t>VIDHU</t>
  </si>
  <si>
    <t>Vidhu Krishna</t>
  </si>
  <si>
    <t>vidhuk342@gmail.com</t>
  </si>
  <si>
    <t>p25701095@student.nicmar.ac.in</t>
  </si>
  <si>
    <t>8460 9580 4401</t>
  </si>
  <si>
    <t>BABU K</t>
  </si>
  <si>
    <t>MANAGER AT PRIVATE CONSTRUCTION COMPANY</t>
  </si>
  <si>
    <t>JAYA C</t>
  </si>
  <si>
    <t>Yadukulam,Adukkath Paramba,Madikai(po),Kasaragod</t>
  </si>
  <si>
    <t>GHSS UPPILIKAI</t>
  </si>
  <si>
    <t>A.P.J. ABDUL KALAM TECHNOLOGICAL UNIVERSITY</t>
  </si>
  <si>
    <t>VIMAL JYOTHI ENGINEERING COLLEGE, CHEMPERI</t>
  </si>
  <si>
    <t>AutoCAD,MS Office,MS Project,REVIT,NAVISWORK,SPSS,Candy,@Risk,Primavera,</t>
  </si>
  <si>
    <t>VSL INDIA PRIVATE LIMITED | Site Execution | Chennai | May 2026 | Jul 2026 | 8.7142857142857 Weeks | Campus Internship
MARY MATHA CONSTRUCTIONS | SITE ENGINEER | KALIKKADAVU,KASARAGOD | Jul 2024 | May 2025 | 47.428571428571 Weeks</t>
  </si>
  <si>
    <t>BIM Certification in Architecture</t>
  </si>
  <si>
    <t>P25701097</t>
  </si>
  <si>
    <t>DIYA</t>
  </si>
  <si>
    <t>KANKAREJ</t>
  </si>
  <si>
    <t>Diya Rajendra Kankarej</t>
  </si>
  <si>
    <t>diyakankarej2003@gmail.com</t>
  </si>
  <si>
    <t>p25701097@student.nicmar.ac.in</t>
  </si>
  <si>
    <t>10-Oct-2003</t>
  </si>
  <si>
    <t>9147 0025 2689</t>
  </si>
  <si>
    <t>RAJENDRA RAMCHANDRA KANKAREJ</t>
  </si>
  <si>
    <t>SEEMA RAJENDRA KANKAREJ</t>
  </si>
  <si>
    <t>67, Ashirwad Konark Nagar -1 , Panchavati Nashik , Maharashtra</t>
  </si>
  <si>
    <t>K.N. KELA HIGH SCHOOL NASHIK MAHARASHTRA</t>
  </si>
  <si>
    <t>MET BHUJBAL KNOWLEDGE CITY NASHIK MAHARASHTRA</t>
  </si>
  <si>
    <t>PIMPRI CHINCHWAD COLLEGE OF ENGINEERING AND RESEARCH CENTRE RAVET PUNE MAHARASHTRA</t>
  </si>
  <si>
    <t>AutoCAD,MS Office,MS Project,Primavera,SPSS,Planning &amp; Scheduling: Primavera P6,MS Project 	â€¢	Design &amp; Drafting: AutoCAD,STAAD.Pro,Fusion 360 	â€¢	Construction ERP: HIT-Office 	â€¢	Data &amp; Reporting: MS Excel,MS Office,SPSS 	â€¢	Core Knowledge: Estimatio</t>
  </si>
  <si>
    <t>Ahluwalia Contracts limited  | Project planning  | Mumbai  | May 2026 | Jun 2026 | 8.1428571428571 Weeks | Campus Internship
KNOW - HOW PRACTICAL EXPOSURE | TRAINEE  | AKURDI , PUNE  | Dec 2023 | Jan 2024 | 3.7142857142857 Weeks</t>
  </si>
  <si>
    <t>P25701098</t>
  </si>
  <si>
    <t>RIDDHI</t>
  </si>
  <si>
    <t>EKAL</t>
  </si>
  <si>
    <t>Riddhi Rajendra Ekal</t>
  </si>
  <si>
    <t>riddhiekal@gmail.com</t>
  </si>
  <si>
    <t>p25701098@student.nicmar.ac.in</t>
  </si>
  <si>
    <t>24-Mar-1998</t>
  </si>
  <si>
    <t>2869 1093 9579</t>
  </si>
  <si>
    <t>SHANTI</t>
  </si>
  <si>
    <t>401 B Wing Sai Prasad Bldg, Near Sagar Sangam Hotel, Mira Bhy Road East.</t>
  </si>
  <si>
    <t>SARDAR VALLABHBHAI PATEL VIDYALAYA</t>
  </si>
  <si>
    <t>ROYAL COLLEGE OF SCIENCE</t>
  </si>
  <si>
    <t>ADITYA COLLEGE OF ARCHITECTURE</t>
  </si>
  <si>
    <t>IBA ARCHITECTS | JUNIOR ARCHITECT | MUMBAI | Oct 2021 | Oct 2022 | 1Y 0M | 1.8
GK Buildcon (SKG Developers) | Junior Project Architect | Mumbai | Feb 2023 | May 2024 | 1Y 3M | 2.76
JP INFRA PVT LTD | Junior Project Architect | Mumbai | Jun 2024 | Jun 2025 | 1Y 0M | 4.8</t>
  </si>
  <si>
    <t>CUSHMAN &amp; WAKEFIELD |  Project Management Intern | Mumbai | May 2026 | Jul 2026 | 8.7142857142857 Weeks | Campus Internship
SUDIN PATIL ARCHITECTS | ARCHITECT | THANE | Nov 2019 | Mar 2020 | 18.714285714286 Weeks</t>
  </si>
  <si>
    <t>IIT Kharaghpur ECell 2k18-19
Kathkuni Architecture by Kaarwan
Earth Construction Training Program Certificate
Course on Autocad For Architects &amp; Civil Engineers
Agile with Atlassian Jira
Introduction to Corporate Finance, University of Pennsylvania
Six Sigma and the Organization Advanced,Kennesaw State University
Asian Paints Smart Idea Competition Winner</t>
  </si>
  <si>
    <t>P25701099</t>
  </si>
  <si>
    <t>Sanket Nagesh Vaidya</t>
  </si>
  <si>
    <t>vaidyasanket005@gmail.com</t>
  </si>
  <si>
    <t>p25701099@student.nicmar.ac.in</t>
  </si>
  <si>
    <t>4037 4029 8460</t>
  </si>
  <si>
    <t>NAGESH VAIDYA</t>
  </si>
  <si>
    <t>SARIKA VAIDYA</t>
  </si>
  <si>
    <t>A-19, RAJYOG COLONY ROAD_x000D_
OPPOSITE RADHE GOVIND APARTMENT NIGDI</t>
  </si>
  <si>
    <t>Rajsarthi Nagar ,svm Colony_x000D_
Tulujai Niwas</t>
  </si>
  <si>
    <t>SVM HIGH SCHOOL KINWAT</t>
  </si>
  <si>
    <t>DEOGIRI COLLEGE OF ENGINEERING</t>
  </si>
  <si>
    <t>DR.D.Y.PATIL COLLEGE OF ENGINEERING AKURDI , PUNE</t>
  </si>
  <si>
    <t>AutoCAD,MS Office,MS Project,Catia,UG NX,Soildworks</t>
  </si>
  <si>
    <t>Moldetk Ltd. | Design Engineer | Pune | Apr 2023 | Apr 2025 | 2Y 0M | 25</t>
  </si>
  <si>
    <t>Ecoboard Industries Ltd. | Project Management Intern | Pune | May 2026 | Jun 2026 | 8 Weeks | Campus Internship</t>
  </si>
  <si>
    <t>Introduction to Mechanical Engineering Design and Manufacturing with Fusion 360
Project Management: The Basics for Success
Initiating and Planning Projects
Introduction to Corporate Finance</t>
  </si>
  <si>
    <t>P25701100</t>
  </si>
  <si>
    <t>MAHARAJ</t>
  </si>
  <si>
    <t>Aakanksha Maharaj</t>
  </si>
  <si>
    <t>aakanksha.khushi@yahoo.in</t>
  </si>
  <si>
    <t>p25701100@student.nicmar.ac.in</t>
  </si>
  <si>
    <t>04-Jan-2001</t>
  </si>
  <si>
    <t>Painting,Playing Badminton,Listening to music,Dancing,Baking</t>
  </si>
  <si>
    <t>9095 3456 4035</t>
  </si>
  <si>
    <t>SANJAY KUMAR MAHARAJ</t>
  </si>
  <si>
    <t>MAMTA MAHARAJ</t>
  </si>
  <si>
    <t>C 403, Ispatika Apartments, Plot Number 29, Sector 4, Dwarka 110078</t>
  </si>
  <si>
    <t>DWARKA INTERNATIONAL SCHOOL</t>
  </si>
  <si>
    <t>AMITY SCHOOL OF ENGINEERING AND TECHNOLOGY, NOIDA, UTTAR PRADESH</t>
  </si>
  <si>
    <t>MS Office, Familiar with following interfaces, AutoCAD, BIM, MS Projects, Candy, Primavera, Revit, Data Scope</t>
  </si>
  <si>
    <t>Adaniconnex | Assistant Manager | Noida | Aug 2022 | Jul 2025 | 2Y 11M | 10.09</t>
  </si>
  <si>
    <t>HILTI PVT LTD | Intern (Sales) | Mumbai | Jun 2026 | Jul 2026 | 4.1428571428571 Weeks | Campus Internship
L&amp;T | INTERN | MANESAR | May 2021 | Jun 2021 | 5.8571428571429 Weeks</t>
  </si>
  <si>
    <t>P25701101</t>
  </si>
  <si>
    <t>CHAUGULE</t>
  </si>
  <si>
    <t>Atharva Mahendra Chaugule</t>
  </si>
  <si>
    <t>atharvachaugule2501@gmail.com</t>
  </si>
  <si>
    <t>p25701101@student.nicmar.ac.in</t>
  </si>
  <si>
    <t>25-Mar-2001</t>
  </si>
  <si>
    <t>3796 2763 6900</t>
  </si>
  <si>
    <t>MAHENDRA MAHADEO CHAUGULE</t>
  </si>
  <si>
    <t>SHILPA MAHENDRA CHAUGULE</t>
  </si>
  <si>
    <t>19/a/a, Aruna Arthi CHS, Opp. Old Post Office , Near Shankar Mandir , Kalwa West , Thane - 400605</t>
  </si>
  <si>
    <t>NEW ENGLISH SCHOOL KALWA</t>
  </si>
  <si>
    <t>AGNEL POLYTECHNIC, VASHI</t>
  </si>
  <si>
    <t>ALAMURI RATNAMALA INSTITUTE OF ENGINEERING AND TECHNOLOGY , SHAHPUR</t>
  </si>
  <si>
    <t>Purva Contractor and Developers | Site Engineer | Kalwa | Feb 2023 | Jun 2025 | 2Y 4M | 4.2</t>
  </si>
  <si>
    <t>Prestige Group | Project Planning | Mulund (Mumbai) | May 2026 | Jul 2026 | 8.5714285714286 Weeks | Campus Internship
PURVA CONTRACTOR AND DEVELOPERS | INTERN ENGINEER  | NAVI MUMBAI | May 2019 | Jun 2019 | 5.8571428571429 Weeks</t>
  </si>
  <si>
    <t>Revit
AutoCAD</t>
  </si>
  <si>
    <t>P25701102</t>
  </si>
  <si>
    <t>GUJARATHI</t>
  </si>
  <si>
    <t>Himanshu Jitendra Gujarathi</t>
  </si>
  <si>
    <t>himanshugujarathi99@gmail.com</t>
  </si>
  <si>
    <t>p25701102@student.nicmar.ac.in</t>
  </si>
  <si>
    <t>08-Aug-2000</t>
  </si>
  <si>
    <t>English ,Hindi,Marathi,Gujarathi</t>
  </si>
  <si>
    <t>Reading Books,Vollyball</t>
  </si>
  <si>
    <t>7052 1180 4573</t>
  </si>
  <si>
    <t>JITENDRA VILAS GUJARATHI</t>
  </si>
  <si>
    <t>SARIKA JITENDRA GUJARATHI</t>
  </si>
  <si>
    <t>Sai Samrajya Residency Bungalow No 2 Om Sai, Ahilyadevi Chawk Khandoba Mal,Rajgurunagar,Khed Dist.Pune Maharashtra 410505</t>
  </si>
  <si>
    <t>KTES ENGLISH MEDIUM SCHOOL ,KHED</t>
  </si>
  <si>
    <t>MAHATMA GANDHI MAHAVIDYALAYA,KHED PUNE</t>
  </si>
  <si>
    <t>D.Y. PATIL SCHOOL OF ARCHITECTURE ,AMBI PUNE, MAHARASHTRA</t>
  </si>
  <si>
    <t>AutoCAD,MS Office,MS Project,Sketchup,photoshop,lumion,Nscape,Powerpoint,EXCEL,ZWCAD,word</t>
  </si>
  <si>
    <t>PRASHANT DESHMUKH AND ASSOCIATES | JR.ARCHITECT | KATRAJ PUNE | Jun 2023 | Mar 2025 | 1Y 8M | 3.36
GLOBAL GROUP | JR.ARCHITECT | YERWADA ,PUNE | Mar 2025 | Jul 2025 | 0Y 3M | 4.75</t>
  </si>
  <si>
    <t>Vidyashree Developers LLP | Trainee Project Manager And Sales Executive | Vadgaon Pune  | May 2026 | Jul 2026 | 8.7142857142857 Weeks | Campus Internship
Vidyashree Developers | Project Manager &amp; Sales Executive  | Vadgaon,Sinhagad road | May 2026 | Jul 2026 | 8.7142857142857 Weeks | Campus Internship
PRASHANT DESHMUKH AND ASSOCIATES | TRAINEE ARCHITECT | KATRAJ ,PUNE | Jun 2022 | Oct 2022 | 21 Weeks</t>
  </si>
  <si>
    <t>P25701106</t>
  </si>
  <si>
    <t>S DEVI</t>
  </si>
  <si>
    <t>S Devi Nanda</t>
  </si>
  <si>
    <t>devinandasmitha@gmail.com</t>
  </si>
  <si>
    <t>p25701106@student.nicmar.ac.in</t>
  </si>
  <si>
    <t>Engish,Malayalam and Hindi</t>
  </si>
  <si>
    <t>7323 9093 3770</t>
  </si>
  <si>
    <t>S HARIKRISHNAN</t>
  </si>
  <si>
    <t>SENIOR SUPERINTENDENT, FOOD SAFETY, GOVT OF KERALA</t>
  </si>
  <si>
    <t>S SMITHA</t>
  </si>
  <si>
    <t>POST MASTER</t>
  </si>
  <si>
    <t>HARINANDANAM ANCHALUMMOODU PERINAD PO KOLLAM</t>
  </si>
  <si>
    <t>LAKE FORD SCHOOL KAVANAD KOLLAM KERALA</t>
  </si>
  <si>
    <t>SREE NARAYANA PUBLIC SCHOOL VADAKKEVILA PO KOLLAM KL</t>
  </si>
  <si>
    <t>GOVT. ENGINEERING COLEGE, BARTON HILL</t>
  </si>
  <si>
    <t>Sobha Limited | Procurement Technical Audit Intern | Bangalore Headquarters | May 2026 | Jul 2026 | 9 Weeks | Campus Internship
KRDCL | INTERN | THIRUVANANTHAPURAM | May 2025 | Jun 2025 | 5.5714285714286 Weeks</t>
  </si>
  <si>
    <t>P25701107</t>
  </si>
  <si>
    <t>GEETHIKA</t>
  </si>
  <si>
    <t>Geethika S S</t>
  </si>
  <si>
    <t>geethikamadothil@gmail.com</t>
  </si>
  <si>
    <t>p25701107@student.nicmar.ac.in</t>
  </si>
  <si>
    <t>29-Sep-2003</t>
  </si>
  <si>
    <t>4548 8938 9312</t>
  </si>
  <si>
    <t>SHAJU S</t>
  </si>
  <si>
    <t>SUB ENGINEER, KERALA STATE ELECTRICITY BOARD</t>
  </si>
  <si>
    <t>SINDHU V R</t>
  </si>
  <si>
    <t>BANK EMPLOYEE, KERALA STATE COOPERATIVE BANK</t>
  </si>
  <si>
    <t>Mampazhakonathu Madothil, Kachani, Karakulam,Thiruvananthapuram</t>
  </si>
  <si>
    <t>SARASWATHI VIDYALAYA</t>
  </si>
  <si>
    <t>GOVERNMENT ENGINEERING COLLEGE, BARTON HILL, THIRUVANATHAPURAM, KERALA</t>
  </si>
  <si>
    <t>AutoCAD,MS Office,MS Project,Primavera,MS Excel, Power point, MS Word</t>
  </si>
  <si>
    <t>Bangalore Metro Rail Corporation Limited (BMRCL) | Site Execution | Bangalore, Karnataka | May 2026 | Jul 2026 | 8.7142857142857 Weeks | Campus Internship
KERALA RAIL DEVELOPMENT COOPERATION | INTERN | THIRUVANANTHAPURAM, KERALA | May 2025 | Jun 2025 | 5.5714285714286 Weeks
Kerala Water Authority | Intern | Thiruvananthapuram, Kerala | May 2023 | May 2023 | 0.85714285714286 Weeks</t>
  </si>
  <si>
    <t>P25701108</t>
  </si>
  <si>
    <t>SANVITTI</t>
  </si>
  <si>
    <t>Sanvitti Shetty</t>
  </si>
  <si>
    <t>sanvittishetty@gmail.com</t>
  </si>
  <si>
    <t>p25701108@student.nicmar.ac.in</t>
  </si>
  <si>
    <t>18-Mar-2001</t>
  </si>
  <si>
    <t>ENGLISH, HINDI, TULU</t>
  </si>
  <si>
    <t>Reading,Dancing,Basketball,Yoga</t>
  </si>
  <si>
    <t>5623 7772 2993</t>
  </si>
  <si>
    <t>SATHEESH KUMAR SHETTY</t>
  </si>
  <si>
    <t>SHAYARI S SHETTY</t>
  </si>
  <si>
    <t>C3101,Indis One City,
Kukatpally</t>
  </si>
  <si>
    <t>DELHI PUBLIC SCHOOL NACHARAM</t>
  </si>
  <si>
    <t>AutoCAD, SketchUP, MS Excel, MS Word, MS PowerPoint, EDGE App</t>
  </si>
  <si>
    <t>Cushman and Wakefield  | Project Management Intern  | Hyderabad  | May 2026 | Jul 2026 | 8.7142857142857 Weeks | Campus Internship
NAVEEN ASSOCIATES, LANDSCAPE ARCHITECTS | INTERN ARCHITECT  | HYDERABAD  | Aug 2024 | May 2025 | 43.285714285714 Weeks
Urban Arts: Architects and Interior Designers | Architectural Intern  | Hyderabad  | May 2023 | Nov 2023 | 26.714285714286 Weeks
India Lost and Found | Cultural Researcher  | Remote  | Apr 2021 | Sep 2021 | 24.142857142857 Weeks</t>
  </si>
  <si>
    <t>Architecture Journalism Course
Editorial Writer</t>
  </si>
  <si>
    <t>P25701109</t>
  </si>
  <si>
    <t>DHAYGUDE</t>
  </si>
  <si>
    <t>Siddhi Sunil Dhaygude</t>
  </si>
  <si>
    <t>dhaygudesiddhi14@gmail.com</t>
  </si>
  <si>
    <t>p25701109@student.nicmar.ac.in</t>
  </si>
  <si>
    <t>5748 7125 0475</t>
  </si>
  <si>
    <t>NUTAN</t>
  </si>
  <si>
    <t>Plot No. 26 City Point Society Magarpatta Hadapsar Pune 411028</t>
  </si>
  <si>
    <t>SSC   MAHARASHTRA</t>
  </si>
  <si>
    <t>PUNE UNIVERSITY</t>
  </si>
  <si>
    <t>VISHWAKARMA INSTITUTE OF INFORMATION TECHNOLOGY PUNE</t>
  </si>
  <si>
    <t>AutoCAD,MS Office,MS Project,Primavera,MS Excel,Candy</t>
  </si>
  <si>
    <t>New Consolidated Construction Co. Ltd | Project planning  | Mumbai | May 2026 | Jul 2026 | 8.7142857142857 Weeks | Campus Internship
Progenius Pavements | research intern | Sinhagad  | Jan 2023 | Apr 2024 | 65 Weeks
ZENITH CONSULTANT | SITE INTERN  | BANER | Aug 2024 | Dec 2024 | 20.571428571429 Weeks</t>
  </si>
  <si>
    <t>P25701110</t>
  </si>
  <si>
    <t>ISHWARSING</t>
  </si>
  <si>
    <t>Gayatri Ishwarsing Rathod</t>
  </si>
  <si>
    <t>gayatri.rathod1283@gmail.com</t>
  </si>
  <si>
    <t>p25701110@student.nicmar.ac.in</t>
  </si>
  <si>
    <t>9308 4455 9534</t>
  </si>
  <si>
    <t>ISHWARSING DAMODAR RATHOD</t>
  </si>
  <si>
    <t>DIPIKA ISHWARSING RATHOD</t>
  </si>
  <si>
    <t>Plot No.709 Shobha Sadan Mahda Colony Pen, Near Red Wood City Plaza, Pen Raigad</t>
  </si>
  <si>
    <t>PEN SHIKSHAN MAHILA SAMITI ENGLISH MEDIUM SCHOOL</t>
  </si>
  <si>
    <t>KHIMJI PALAN CHHEDA JUNIOR COLLEGE OF COMMERCE AND SCIENCE</t>
  </si>
  <si>
    <t>SADAR PATEL COLLEGE OF ENGINEERING, MUMBAI</t>
  </si>
  <si>
    <t>AutoCAD,MS Project,MS Excel,Report Writing</t>
  </si>
  <si>
    <t>Jio Institute  | Planning Intern | Ulwe, Navi Mumbai  | May 2026 | Jul 2026 | 8.5714285714286 Weeks | Campus Internship
JSW STEEL | CIVIL ENGINEERING INTERN | DOLVI VILLAGE, PEN TALUK, RAIGAD DISTRICT, MAHARASHTRA  402107 | Jan 2024 | Jan 2024 | 2.5714285714286 Weeks
TUV SUD SOUTH ASIA PRIVATE LIMITED | CIVIL ENGINEERING INTERN | THANE | Aug 2023 | Aug 2023 | 2.1428571428571 Weeks</t>
  </si>
  <si>
    <t>P25701111</t>
  </si>
  <si>
    <t>ANAGHA</t>
  </si>
  <si>
    <t>Anagha Deepak Patil</t>
  </si>
  <si>
    <t>anaghadeepakpatil@gmail.com</t>
  </si>
  <si>
    <t>p25701111@student.nicmar.ac.in</t>
  </si>
  <si>
    <t>4021 2300 2211</t>
  </si>
  <si>
    <t>DEEPAK PATIL</t>
  </si>
  <si>
    <t>SHUBHANGI PATIL</t>
  </si>
  <si>
    <t>703, B Wing, Jeevanshila CHS, Bandra East, Mumbai - 400051</t>
  </si>
  <si>
    <t>IES MANIK VIDYAMANDIR</t>
  </si>
  <si>
    <t>INDIAN EDUCATION SOCIETY'S JUNIOR COLLEGE</t>
  </si>
  <si>
    <t>NARSEE MONJEE INSTITUTE OF MANAGEMENT STUDIES UNIVERSITY</t>
  </si>
  <si>
    <t>BALWANT SHETH SCHOOL OF ARCHITECTURE, MUMBAI</t>
  </si>
  <si>
    <t>AutoCAD,MS Office,Rhino,Sketchup,Photoshop,Illustrator</t>
  </si>
  <si>
    <t>Shilp Associates Pvt. Ltd. | Junior Architect | Mumbai | Jun 2024 | Dec 2024 | 0Y 6M | 3.6
Somani Developers | Junior Architect | Pune/ Mumbai | Jan 2025 | Jun 2025 | 0Y 5M | 4.8</t>
  </si>
  <si>
    <t>Kalpataru Limited | Business Development Intern | Mumbai | May 2026 | Jul 2026 | 9.5714285714286 Weeks | Campus Internship
Shilp Associates Pvt. Ltd. | Architectural Intern | Mumbai | Mar 2024 | May 2024 | 11.571428571429 Weeks</t>
  </si>
  <si>
    <t>P25701112</t>
  </si>
  <si>
    <t>Sakshi Rakesh Shah</t>
  </si>
  <si>
    <t>shahsakshi220@gmail.com</t>
  </si>
  <si>
    <t>p25701112@student.nicmar.ac.in</t>
  </si>
  <si>
    <t>Photography and video editing,Volunteering and mentoring,Reading books</t>
  </si>
  <si>
    <t>6531 7393 0779</t>
  </si>
  <si>
    <t>YAMINI</t>
  </si>
  <si>
    <t>BUSINESSWOMAN</t>
  </si>
  <si>
    <t>803, Raj Vaibhav Tower, K.T. Soni Marg, Mahavir Nagar, Kandivali-w, Mumbai-67.</t>
  </si>
  <si>
    <t>SWAMI VIVEKANAND INTERNATIONAL SCHOOL</t>
  </si>
  <si>
    <t>SHRI. T. P. BHATIA COLLEGE OF SCIENCE</t>
  </si>
  <si>
    <t>DR. BALIRAM HIRAY COLLEGE OF ARCHITECTURE, MUMBAI</t>
  </si>
  <si>
    <t xml:space="preserve">Autodesk AutoCAD | Power BI | ERP | MS Office | MS Project | Primavera | Autodesk Revit | Sketchup | Enscape | Rhinoceros 3D | Adobe Photoshop | Tally ERP 9 </t>
  </si>
  <si>
    <t>A.S.Designs | Associate Architect | Andheri | Jun 2023 | Jun 2025 | 2Y 0M | 2.52</t>
  </si>
  <si>
    <t>Agami Realty | Business Development Intern | Mumbai | May 2026 | Jul 2026 | 7.8571428571429 Weeks | Campus Internship
S.P. SHEVADE &amp; ASSOCIATES | Architectural Intern | MUMBAI-VILE PARLE | Dec 2021 | May 2022 | 24.142857142857 Weeks
Estilo Designs | Interior Design Intern | Bangalore | Jul 2021 | Aug 2021 | 4.4285714285714 Weeks
TEJAS GURAV ARCHITECTS | Architectural Intern | KOLHAPUR  | Jun 2021 | Sep 2021 | 13.857142857143 Weeks</t>
  </si>
  <si>
    <t>Indian Green Building Council Certification</t>
  </si>
  <si>
    <t>P25701113</t>
  </si>
  <si>
    <t>BABASAHEB</t>
  </si>
  <si>
    <t>MURTADAK</t>
  </si>
  <si>
    <t>Pranjal Babasaheb Murtadak</t>
  </si>
  <si>
    <t>pranjalmurtadak1221@gamil.com</t>
  </si>
  <si>
    <t>p25701113@student.nicmar.ac.in</t>
  </si>
  <si>
    <t>HINDI, ENGLISH AND MARATHI</t>
  </si>
  <si>
    <t>2856 2010 9715</t>
  </si>
  <si>
    <t>YOGIA</t>
  </si>
  <si>
    <t>Samarthroop Apt. Goldencity, Laxminagar, Sangamner-422605</t>
  </si>
  <si>
    <t>B. G. P. SAHYADRI VIDYALAYA, SANGAMNER</t>
  </si>
  <si>
    <t>MAHARASHTRA STATE BOARD, PUNE</t>
  </si>
  <si>
    <t>B. G. P. SAHYADRI JR. COLLEGE, SANGAMNER</t>
  </si>
  <si>
    <t>MAHARASHTRA STATE BORAD, PUNE</t>
  </si>
  <si>
    <t>AMRUTVAHINI COLLEGE OF ENGINEERING, SANGAMNER</t>
  </si>
  <si>
    <t>AutoCAD,MS Office,Primavera,PowerBI,SQL</t>
  </si>
  <si>
    <t>Plansquare Management Consultancy, Nashik | Planning Engineer | Nashik | Aug 2024 | May 2025 | 0Y 9M | 1.8</t>
  </si>
  <si>
    <t>CONVENIENT CONSTRUCTION CONSULTANCY Pvt.Ltd. (CCCPL) | Intern- Project Management/Construction Management | Indore | May 2026 | Jul 2026 | 9.7142857142857 Weeks | Campus Internship
SHREE CONSTRUCTION AND ASSOCIATES, SANGAMNER. | SITE ENGINEER | SANGAMNER | Jan 2023 | Feb 2023 | 4.5714285714286 Weeks</t>
  </si>
  <si>
    <t>Excel Using AI Workshop Certificate
PowerBI Workshop Certification
Primavera P6 Professional Certificate</t>
  </si>
  <si>
    <t>P25701114</t>
  </si>
  <si>
    <t>KHAIRNAR</t>
  </si>
  <si>
    <t>Rohan Rajaram Khairnar</t>
  </si>
  <si>
    <t>rohankhairnar9096@gmail.com</t>
  </si>
  <si>
    <t>p25701114@student.nicmar.ac.in</t>
  </si>
  <si>
    <t>17-Oct-2002</t>
  </si>
  <si>
    <t>6717 0859 7949</t>
  </si>
  <si>
    <t>RAJARAM KHAIRNAR</t>
  </si>
  <si>
    <t>PALLAVI KHAIRNAR</t>
  </si>
  <si>
    <t>50/2 Keshrinandan Housing Society, Bajrang Chowk, N-6 Cidco, Aurangabad</t>
  </si>
  <si>
    <t>STATE BOARD-AURANGABAD,MAHARASHTRA</t>
  </si>
  <si>
    <t>ST.LAWRENCE SUPER THIRTY JR. COLLEGE</t>
  </si>
  <si>
    <t>JAWAHARLAL NEHRU ENGINEERING COLLEGE, AURANGABAD, MAHARASHTRA</t>
  </si>
  <si>
    <t>AutoCAD,MS Office,Resource allocation &amp; planning,Construction materials testing,AutoCAD,MS Project,Reading &amp; interpreting construction drawings,PowerBI,Python,SQL</t>
  </si>
  <si>
    <t>Manik Infra Projects | Site Engineer | Ambad,Jalna Maharashtra | Jul 2024 | Jun 2025 | 0Y 11M | 1.8</t>
  </si>
  <si>
    <t>M/S.Godavari Construction  | Site Administration and Control - Intern | Chhatrapati Sambhajinagar(Aurangabad) | May 2026 | Jul 2026 | 8.7142857142857 Weeks | Campus Internship
Intellipaat Software Solutions Pvt.Ltd. | Data Scientist - Intern | Work From Home | Dec 2023 | May 2024 | 21.714285714286 Weeks</t>
  </si>
  <si>
    <t>Power BI Course
PGP in Data Science And Machine Learning
SQL Course</t>
  </si>
  <si>
    <t>P25701115</t>
  </si>
  <si>
    <t>Anjaly Manoj</t>
  </si>
  <si>
    <t>anjalymanoj.ker@gmail.com</t>
  </si>
  <si>
    <t>p25701115@student.nicmar.ac.in</t>
  </si>
  <si>
    <t>11-Jun-1998</t>
  </si>
  <si>
    <t>English, Hindi, Malayalam, Tamil, Marathi</t>
  </si>
  <si>
    <t>7914 4956 3042</t>
  </si>
  <si>
    <t>MANOJ K.P.</t>
  </si>
  <si>
    <t>SHEEJA P. GEORGE</t>
  </si>
  <si>
    <t>Niketha, TC 69/286, Kamaleswaram, Manacaud P. O.</t>
  </si>
  <si>
    <t>ST. THOMAS RESIDENTIAL SCHOOL, THIRUVANANTHAPURAM</t>
  </si>
  <si>
    <t>COLLEGE OF ENGINEERING TRIVANDRUM, THIRUVANANTHAPURAM, KERALA</t>
  </si>
  <si>
    <t>AutoCAD,MS Office,MS Project,Primavera,Revit,Navisworks,Adobe Photoshop,Power BI,Sketchup Pro,Lumion,Procreate,Autodesk Construction Cloud</t>
  </si>
  <si>
    <t>Inscript Interiors | Junior Architect | Thiruvananthapuram, Kerala | Aug 2021 | Jul 2022 | 0Y 11M | 1.2
Dar-al-Handassah | Interior Architect | Pune, Maharashtra | Nov 2022 | May 2025 | 2Y 5M | 8.41</t>
  </si>
  <si>
    <t>Vishwannath Associates | Student Trainee Architect | Bangalore, Karnataka | Jul 2019 | Dec 2019 | 23.714285714286 Weeks
FEDERAL BANK | Project Management Intern | Kerala | May 2026 | Jul 2026 | 8.7142857142857 Weeks</t>
  </si>
  <si>
    <t>P25701116</t>
  </si>
  <si>
    <t>GOKAK</t>
  </si>
  <si>
    <t>DHANASHREE</t>
  </si>
  <si>
    <t>SHIVANAND</t>
  </si>
  <si>
    <t>Gokak Dhanashree Shivanand</t>
  </si>
  <si>
    <t>dhanashreegokak74665@gmail.com</t>
  </si>
  <si>
    <t>p25701116@student.nicmar.ac.in</t>
  </si>
  <si>
    <t>Marathi, English, Hindi ,Kannad</t>
  </si>
  <si>
    <t>3851 4715 2706</t>
  </si>
  <si>
    <t>SHIVANAND SONBA GOKAK</t>
  </si>
  <si>
    <t>DAKSHAYANI SHIVANAND GOKAK</t>
  </si>
  <si>
    <t>Fl.no.58,Anand Park Soc, Ekta Nagari, Anand Nagar, Sinhagad Road</t>
  </si>
  <si>
    <t>DNYANGANGA ENGLISH MEDIUM SCHOOL</t>
  </si>
  <si>
    <t>PUNE CITY</t>
  </si>
  <si>
    <t>ABASAHEB GARWARE COLLEGE</t>
  </si>
  <si>
    <t>SMT. KASHIBAI NAVALE COLLEGE OF ARCHITECTURE</t>
  </si>
  <si>
    <t>AutoCAD,MS Office,MS Project,Sketchup,lumion,enscape,D5,twin motion</t>
  </si>
  <si>
    <t>Samakalin Design and Infrastructure pvt Ltd | Architectural Intern | Pune  | Jun 2024 | Oct 2024 | 19.428571428571 Weeks</t>
  </si>
  <si>
    <t>P25701117</t>
  </si>
  <si>
    <t>DATTATRAY</t>
  </si>
  <si>
    <t>DAREKAR</t>
  </si>
  <si>
    <t>Sahil Dattatray Darekar</t>
  </si>
  <si>
    <t>sahildarekar7@gmail.com</t>
  </si>
  <si>
    <t>p25701117@student.nicmar.ac.in</t>
  </si>
  <si>
    <t>01-Feb-2002</t>
  </si>
  <si>
    <t>8201 6022 3345</t>
  </si>
  <si>
    <t>JAYASHRI</t>
  </si>
  <si>
    <t>SAMARTH PURAM SOCITY, NARHE_x000D_
NEAR SWAMINARAYAN TEMPLE</t>
  </si>
  <si>
    <t>Sakewadi, Kolgoan</t>
  </si>
  <si>
    <t>RESIDENTIAL HIGHSCHOOL , AHMEDNAGAR</t>
  </si>
  <si>
    <t>DR. N. J. PAULBUDHE INSTITUTE OF TECHNOLOGY , AHMEDNAGAR, MAHARASHTRA</t>
  </si>
  <si>
    <t>TSSM'S BHIVRABAI SAWANT COLLEGE OF ENGINEERING AND RESEARCH , PUNE</t>
  </si>
  <si>
    <t>AutoCAD,REVIT,CSI ETABS,TEKLA STRUCTURE</t>
  </si>
  <si>
    <t>P25701118</t>
  </si>
  <si>
    <t>SUDEEP</t>
  </si>
  <si>
    <t>Sudeep Roy</t>
  </si>
  <si>
    <t>roysudeep8@gmail.com</t>
  </si>
  <si>
    <t>p25701118@student.nicmar.ac.in</t>
  </si>
  <si>
    <t>ENGLISH, BENGALI &amp; HINDI</t>
  </si>
  <si>
    <t>7129 5962 1442</t>
  </si>
  <si>
    <t>SUBRATA KUMAR ROY</t>
  </si>
  <si>
    <t>EX BSF</t>
  </si>
  <si>
    <t>MALABIKA ROY</t>
  </si>
  <si>
    <t>Shyamnagar More, Shyamnagar, Tehatta, Nadia, West Bengal, 741155</t>
  </si>
  <si>
    <t>VIVEKANANDA ACADEMY</t>
  </si>
  <si>
    <t>JNV GOPALPUR BIRBHUM</t>
  </si>
  <si>
    <t>OM DAYAL GROUP OF INSTITUTIONS</t>
  </si>
  <si>
    <t>AutoCAD,MS Office,MS Project,Lumion,Photoshop,Revit,BIM,3d Modeling</t>
  </si>
  <si>
    <t>RADIANT | ARCHITECT | KOLKATA | Jul 2022 | Jul 2024 | 2Y 0M | 4.6
ARCH-HUE Consultants | PROJECT ARCHITECT | KOLKATA | Aug 2024 | Jun 2025 | 0Y 10M | 5.06</t>
  </si>
  <si>
    <t>Kayne Bio Sciences Ltd | Project Execution Intern | HYDERABAD | May 2026 | Jul 2026 | 8.7142857142857 Weeks | Campus Internship
RADIANT | INTERN ARCHITECT | KOLKATA | Jul 2021 | Jan 2022 | 26.285714285714 Weeks</t>
  </si>
  <si>
    <t>Empaneled Architect , New Town Kolkata Development Authority ( NKDA )
Registered Architect, COUNCIL OF ARCHITECTURE
Urban Service Planning , NPTEL ONLINE CERTIFICATION</t>
  </si>
  <si>
    <t>P25701119</t>
  </si>
  <si>
    <t>ABHIJAY</t>
  </si>
  <si>
    <t>GADEKAR</t>
  </si>
  <si>
    <t>Abhijay Ajay Gadekar</t>
  </si>
  <si>
    <t>abhijayagadekar1980@gmail.com</t>
  </si>
  <si>
    <t>p25701119@student.nicmar.ac.in</t>
  </si>
  <si>
    <t>8295 5297 9840</t>
  </si>
  <si>
    <t>AJAY GADEKAR</t>
  </si>
  <si>
    <t>SHUBHANGI GADEKAR</t>
  </si>
  <si>
    <t>Jasmini Bungalow Plot No.12, Civil Lines, NMV Society, Near RTO.</t>
  </si>
  <si>
    <t>CENTRE POINT SCHOOL</t>
  </si>
  <si>
    <t>GURUNANAK PUBLIC SCHOOL</t>
  </si>
  <si>
    <t>RASHTRASANT TUKODOJI MAHARAJ UNIVERSITY, NAGPUR</t>
  </si>
  <si>
    <t>PRIYADARSHANI COLLEGE OF ENGINEERING</t>
  </si>
  <si>
    <t>AutoCAD,MS Office,MS Project,Primavera,SPSS,CANDY,@RISK</t>
  </si>
  <si>
    <t>National Highways Authority of India  | Intern  | Malda, West Bengal. | May 2026 | Jul 2026 | 8.5714285714286 Weeks | Campus Internship
Sky Construction | Intern | Nagpur | May 2024 | Jun 2024 | 5 Weeks
Raghukaul Constructions Private Limited | Intern | Nagpur | Jul 2023 | Jul 2023 | 3 Weeks</t>
  </si>
  <si>
    <t>Course in Universal Health</t>
  </si>
  <si>
    <t>P25701120</t>
  </si>
  <si>
    <t>Praveen . K</t>
  </si>
  <si>
    <t>kp966999@gmail.com</t>
  </si>
  <si>
    <t>p25701120@student.nicmar.ac.in</t>
  </si>
  <si>
    <t>18-Jul-2002</t>
  </si>
  <si>
    <t>TAMIL,ENGLISH,HINDI</t>
  </si>
  <si>
    <t>8729 3896 8010</t>
  </si>
  <si>
    <t>KANNAN.S</t>
  </si>
  <si>
    <t>NIRUBAMA.K</t>
  </si>
  <si>
    <t>175/2 V.O.C Road, NNL Bus Shed Opposite, Karaikudi</t>
  </si>
  <si>
    <t>ALAGAPPA MATRIC HR SEC SCHOOL KARAIKUDI</t>
  </si>
  <si>
    <t>KARAIKUDI MAGARISHI VIDHAYA MANDIR MATRIC HR SEC SCHOOL</t>
  </si>
  <si>
    <t>C.A.R.E SCHOOL OF ARCHITECTURE</t>
  </si>
  <si>
    <t>AutoCAD,MS Office,MS Project,Primavera,Revit (BIM),CANDY,SketchUp</t>
  </si>
  <si>
    <t>EDSOM FINTECT PVT. LTD | Project Management &amp; Business Analytics | Pune | May 2026 | Jun 2026 | 7.7142857142857 Weeks | Campus Internship
Narshimham Associates | Architecture  | Hyderabad | Jun 2023 | Nov 2023 | 20.571428571429 Weeks</t>
  </si>
  <si>
    <t>Project Management the Basics for Success Course Certificate
Introduction to Corporate Finance Course Certificate
BIM Course</t>
  </si>
  <si>
    <t>P25701121</t>
  </si>
  <si>
    <t>KAKADE</t>
  </si>
  <si>
    <t>Sourav Suresh Kakade</t>
  </si>
  <si>
    <t>kakade.sourav@gmail.com</t>
  </si>
  <si>
    <t>p25701121@student.nicmar.ac.in</t>
  </si>
  <si>
    <t>15-Mar-1999</t>
  </si>
  <si>
    <t>7148 7721 9866</t>
  </si>
  <si>
    <t>SURESH KAKADE</t>
  </si>
  <si>
    <t>MRIDULA KAKADE</t>
  </si>
  <si>
    <t>E-001/2, Shireen Complex, Manpada Road, Near Sanghavi Garden, Sagaon, Dombivli East</t>
  </si>
  <si>
    <t>ABHINAV VIDYALAY</t>
  </si>
  <si>
    <t>COUNCIL FOR THE INDIAN SCHOOL CERTIFICATE EXAMINATIONS, DOMBIVLI, INDIA</t>
  </si>
  <si>
    <t>RAMNARAIN RUIA COLLEGE</t>
  </si>
  <si>
    <t>SHRI SHIVAJI MARATHA SOCIETY'S COLLEGE OF ARCHITECTURE, PUNE, MAHARASHTRA</t>
  </si>
  <si>
    <t>AutoCAD,MS Office,MS Project,Revit,Photoshop,Sketchup</t>
  </si>
  <si>
    <t>P. G. Patki Architects | Junior Architect-BIM | 1st Floor, Calcot House, 8, Tamarind Ln, Kala Ghoda, Fort, Mumbai, Maharashtra 400001 | May 2023 | Jul 2025 | 2Y 1M | 3.48</t>
  </si>
  <si>
    <t>ASBL | Design Research &amp; Coordination Intern | Hyderabad | May 2026 | Jul 2026 | 8.7142857142857 Weeks | Campus Internship
Ar. Ninad Vaidya | Intern | Ninad Vaidya Architects, Ground Floor, Rachna Divine, Dombivli, Unit No 1, Tilak Road, Dombivli, Thane, Maharashtra, 421201 | Jul 2021 | Nov 2021 | 18.714285714286 Weeks
Studio Symetree | Jr Architect | Aundh, Pune | Jun 2022 | Oct 2022 | 21.571428571429 Weeks</t>
  </si>
  <si>
    <t>P25701122</t>
  </si>
  <si>
    <t>Tejas N</t>
  </si>
  <si>
    <t>tejas.narayanaswamy33@gmail.com</t>
  </si>
  <si>
    <t>p25701122@student.nicmar.ac.in</t>
  </si>
  <si>
    <t>3915 7864 1990</t>
  </si>
  <si>
    <t>NARAYANASWAMY V</t>
  </si>
  <si>
    <t>LATHA K</t>
  </si>
  <si>
    <t>No. 280, Geetha Bharath Nilaya, 1st Main , 1st Cross ,Vidyaranayapura</t>
  </si>
  <si>
    <t>SRI VIDYA MANDIRA HIGH SCHOOL</t>
  </si>
  <si>
    <t>KARNATAKA SECONDARY EDUCATION EXAMINATION BOARD , BENGALURU , KARNATAKA</t>
  </si>
  <si>
    <t>MES KISHORA KENDRA PU COLLEGE</t>
  </si>
  <si>
    <t>KARNATAKA SECONDARY EDUCATION (PRE-UNIVERSITY) EXAMINATION BOARD , BENGALURU , KARNATAKA</t>
  </si>
  <si>
    <t>BANGALORE INSTITUTE OF TECHNOLOGY , BENGALURU , KARNATAKA</t>
  </si>
  <si>
    <t>Foxconn Hon Hai Technology India Mega Development Private Limited | Supplier Quality Engineer Trainee | Bengaluru | Oct 2024 | May 2025 | 0Y 7M | 2.97</t>
  </si>
  <si>
    <t>Bangalore Metro Rail Corporation Limited | Project Management Trainee | Bengaluru | May 2026 | Jul 2026 | 8.7142857142857 Weeks | Campus Internship
Concord United Products Private Limited | Graduate Apprentice Trainee - Blade Manufacturing | Bengaluru | Jun 2024 | Sep 2024 | 16.714285714286 Weeks
Bharat Electronics Limited | Project Trainee - Strategic Communication &amp; Unmanned Systems | Bengaluru | Aug 2023 | Sep 2023 | 4.8571428571429 Weeks</t>
  </si>
  <si>
    <t>P25701123</t>
  </si>
  <si>
    <t>WAIRAGADE</t>
  </si>
  <si>
    <t>Aditya Ramesh Wairagade</t>
  </si>
  <si>
    <t>vairagadeaditya34@gmail.com</t>
  </si>
  <si>
    <t>p25701123@student.nicmar.ac.in</t>
  </si>
  <si>
    <t>4701 2974 6941</t>
  </si>
  <si>
    <t>RAMESH WAIRAGADE</t>
  </si>
  <si>
    <t>ASHA WAIRAGADE</t>
  </si>
  <si>
    <t>Dashrath Wada, Near Medplus, Jatpura Ward No. 1, Ramnagar Road, Chandrapur.</t>
  </si>
  <si>
    <t>VIDYA NIKETAN HIGH SCHOOL, CHANDRAPUR</t>
  </si>
  <si>
    <t>VIDYA NIKETAN JUNIOR COLLEGE, CHANDRAPUR</t>
  </si>
  <si>
    <t>ST. VINCENT COLLEGE OF ENGINEERING &amp; TECHNOLOGY, NAGPUR</t>
  </si>
  <si>
    <t>MS Office,MS Project,Primavera,Solidworks</t>
  </si>
  <si>
    <t>AK Associates  | Project Coordination  | Chandrapur, Maharashtra  | May 2026 | Jul 2026 | 8.7142857142857 Weeks | Campus Internship
KP Industries | Engineering Trainee | Hingna MIDC, Nagpur | Sep 2021 | Oct 2021 | 2 Weeks
Tristar Cars Private Limited ( Maruti Suzuki) | Engineering Trainee | Chandrapur | Jan 2022 | Jan 2022 | 2 Weeks
CHANDRAPUR FERRO ALLOY PLANT (STEEL AUTHORITY OF INDIA LIMITED) | Engineering Trainee  | CHANDRAPUR | Feb 2022 | Feb 2022 | 3.8571428571429 Weeks</t>
  </si>
  <si>
    <t>Lean Six Sigma Green Belt</t>
  </si>
  <si>
    <t>P25701124</t>
  </si>
  <si>
    <t>SHIBU</t>
  </si>
  <si>
    <t>Aravind Shibu</t>
  </si>
  <si>
    <t>aravindshibu2406@gmail.com</t>
  </si>
  <si>
    <t>P24700293@student.nicmar.ac.in</t>
  </si>
  <si>
    <t>06-Feb-2001</t>
  </si>
  <si>
    <t>Speaking</t>
  </si>
  <si>
    <t>5746 2689 3039</t>
  </si>
  <si>
    <t>SHIBU A</t>
  </si>
  <si>
    <t>SUJATHA G</t>
  </si>
  <si>
    <t>LIC EMPLOYEE</t>
  </si>
  <si>
    <t>Souparnika House, Court Junction 
Ponkunnam P.O Kottayam Kerala</t>
  </si>
  <si>
    <t>Souparnika House, Court Junction
Ponkunnam P.O Kottayam Kerala</t>
  </si>
  <si>
    <t>ST ANTONY'S PUBLIC SCHOOL KANJIRAPALLY KOTTAYAM</t>
  </si>
  <si>
    <t>AMAL JYOTHI COLLEGE OF  ENGINEERING KANJIRAPALLY, KERALA</t>
  </si>
  <si>
    <t>AutoCAD,MS Office,MS Project,Primavera,CANVA</t>
  </si>
  <si>
    <t>GlobalFair Inc | Project Management Intern  | Bengalore  | May 2026 | Jun 2026 | 8.1428571428571 Weeks | Campus Internship
K-DISC | YIP INTERNSHIP | KOTTAYAM | Jan 2024 | Mar 2024 | 8.5714285714286 Weeks
LIVIT  INTERIORS | MANAGEMENT AND CLIENT COORDINATOR | ERNAKULAM | Jul 2024 | Dec 2024 | 21.857142857143 Weeks
Kerala Public Works Department | Intern | Kottayam  | May 2023 | May 2023 | 0.71428571428571 Weeks</t>
  </si>
  <si>
    <t>Volunteer for NASA SPACE APPS CHALLENGE 2024
Course Completion on  STAAD.Pro
Course Completion on  Primavera Project Management
Certificate of Participation in Srishti, 10th National Level Project Exhibition and Competition
Certificate for being Career Ambassador in implementing the connect career to campus.
Course Completion on  AI Applications  for Civil Engineer
Energy Cell Regional Coordinator
Volunteer for NASA SPACE APPS CHALLENGE 2023</t>
  </si>
  <si>
    <t>P25701125</t>
  </si>
  <si>
    <t>AMIN</t>
  </si>
  <si>
    <t>Pooja Pravin Amin</t>
  </si>
  <si>
    <t>poojjaamin@gmail.com</t>
  </si>
  <si>
    <t>p25701125@student.nicmar.ac.in</t>
  </si>
  <si>
    <t>3291 5634 1858</t>
  </si>
  <si>
    <t>PRAVIN S AMIN</t>
  </si>
  <si>
    <t>JAYA PRAVIN AMIN</t>
  </si>
  <si>
    <t>401/B9, Brahmand Complex PHASE 3, Azad Nagar, Opp Orchid International School, Thane (W)</t>
  </si>
  <si>
    <t>SRI MA VIDYALAYA</t>
  </si>
  <si>
    <t>VIDYA NIKETAN JR COLLEGE OF COMMERCE AND SICENCE</t>
  </si>
  <si>
    <t>DR. DY PATIL COLLEGE OF ARCHITECTURE, NAVI MUMBAI</t>
  </si>
  <si>
    <t>AutoCAD,MS Office,MS Project,Primavera,Archicad,Lumion,Revit,Photoshop</t>
  </si>
  <si>
    <t>GA Design | Junior Architect | Lower Parel, Mumbai | Jan 2024 | Jun 2025 | 1Y 4M | 2.52</t>
  </si>
  <si>
    <t>Ascendas Firstspace  | Project Intern  | Mumbai  | May 2026 | Jun 2026 | 8.1428571428571 Weeks | Campus Internship
SAAKAAR ARCHITECTS | Junior Architect | THANE, MAHARASHTRA  | Dec 2021 | Apr 2022 | 16.428571428571 Weeks</t>
  </si>
  <si>
    <t>Business Communication Essential by IIM Bangalore
ISO Certified Software Training Course(S) for Revit, Rhino, Grasshopper, Lumion
Career in Set Design
Architecture Illustration</t>
  </si>
  <si>
    <t>P25701126</t>
  </si>
  <si>
    <t>Priya Krishna Jaiswal</t>
  </si>
  <si>
    <t>jaiswalpriya2903@gmail.com</t>
  </si>
  <si>
    <t>p25701126@student.nicmar.ac.in</t>
  </si>
  <si>
    <t>4645 6127 3961</t>
  </si>
  <si>
    <t>14, 2nd Floor, Krishna Niwas, R. A. Kidwai Road, Wadala (West), Mumbai - 400031</t>
  </si>
  <si>
    <t>SOUTH INDIAN WELFARE SOCIETY SCHOOL</t>
  </si>
  <si>
    <t>SIES COLLEGE OF ARTS, SCIENCE &amp; COMMERCE</t>
  </si>
  <si>
    <t>AutoCAD,MS Office,MS Project,Primavera,Adobe Photoshop,Lumion,SketchUp</t>
  </si>
  <si>
    <t>Ascendas Firstspace  | Project Intern  | BKC, Mumbai | May 2026 | Jun 2026 | 8.1428571428571 Weeks | Campus Internship
S. P. Shevade &amp; Associates | Intern Architect | Vile Parle | Dec 2022 | Apr 2023 | 20.142857142857 Weeks
Talati and Partners LLP | Architect | Worli, Mumbai  | Jul 2024 | Jun 2025 | 49.571428571429 Weeks</t>
  </si>
  <si>
    <t>P25701127</t>
  </si>
  <si>
    <t>PONNAM</t>
  </si>
  <si>
    <t>Ponnam Sai Kiran</t>
  </si>
  <si>
    <t>p.saikiran006@gmail.com</t>
  </si>
  <si>
    <t>p25701127@student.nicmar.ac.in</t>
  </si>
  <si>
    <t>06-May-2003</t>
  </si>
  <si>
    <t>English,Hindi,Telugu,Odia</t>
  </si>
  <si>
    <t>8057 8973 1192</t>
  </si>
  <si>
    <t>P.ARUN CHOWDARY</t>
  </si>
  <si>
    <t>P.LAKSHMI SUREKHA</t>
  </si>
  <si>
    <t>Arun Buildings,Oppposite Paramount Automobiles,Devodola,Rayagada,Odisha</t>
  </si>
  <si>
    <t>Rayagada</t>
  </si>
  <si>
    <t>CBSE VISHAKAPATNAM,ANDHRA PRADESH</t>
  </si>
  <si>
    <t>SOA UNIVERSITY</t>
  </si>
  <si>
    <t>INSTITUTE OF TECHNICAL EDUCATION AND RESEARCH,BHUBANESHWAR,ODISHA</t>
  </si>
  <si>
    <t>MS Office,MS Project,Primavera,Python,Java,Adobe Photoshop,Adobe PreimrePro,Data Science,AI ML,Full Stack,Algorithm Design,@RISK,Candy(Basic),Canva,Digital Logic Design,Computer Networking,DBMS</t>
  </si>
  <si>
    <t>Ambica Construction | Management Trainee | Rayagada,Odisha | May 2026 | Jul 2026 | 10.714285714286 Weeks | Campus Internship</t>
  </si>
  <si>
    <t>P25701128</t>
  </si>
  <si>
    <t>NANDHINI</t>
  </si>
  <si>
    <t>Nandhini N</t>
  </si>
  <si>
    <t>nandhiniar2503@gmail.com</t>
  </si>
  <si>
    <t>p25701128@student.nicmar.ac.in</t>
  </si>
  <si>
    <t>6673 2496 2348</t>
  </si>
  <si>
    <t>NAGARAJAN K</t>
  </si>
  <si>
    <t>LAKSHMI N</t>
  </si>
  <si>
    <t>3/843-A, AMIRTHA NAGAR, ARASANATTI VILLAGE, MOOKANDAPALLI, HOSUR</t>
  </si>
  <si>
    <t>MAHARISHI VIDYA MANDIR</t>
  </si>
  <si>
    <t>CBSE, HOSUR</t>
  </si>
  <si>
    <t>SCHOOL OF ARCHITECTURE &amp; PLANNING,CHENNAI</t>
  </si>
  <si>
    <t>AutoCAD,MS Office,MS Project,Primavera,SKETCHUP,REVIT,LUMION,D5,ENSCAPE</t>
  </si>
  <si>
    <t>A SKETCH ARCHITECTURE + DESIGN | JUNIOR ARCHITECT | bengaluru | Nov 2024 | May 2025 | 0Y 6M | 3.24</t>
  </si>
  <si>
    <t>Titan company limited  | Project execution intern | Bengaluru  | May 2026 | Jul 2026 | 8.5714285714286 Weeks | Campus Internship
UNKNOWN ARCHITECTS | INTERN ARCHITECT | CHENNAI | Mar 2022 | Jun 2022 | 13.714285714286 Weeks
UNKNOWN ARCHITECTS | JUNIOR ARCHITECT | CHENNAI | Jul 2023 | Jul 2024 | 56.285714285714 Weeks</t>
  </si>
  <si>
    <t>P25701129</t>
  </si>
  <si>
    <t>Aditi Jitendra Patil</t>
  </si>
  <si>
    <t>aditi.jpatil28@gmail.com</t>
  </si>
  <si>
    <t>p25701129@student.nicmar.ac.in</t>
  </si>
  <si>
    <t>6390 3912 5999</t>
  </si>
  <si>
    <t>JITENDRA PATIL</t>
  </si>
  <si>
    <t>SHARADA PATIL</t>
  </si>
  <si>
    <t>401,Uttara CHS, Plot No. 11 &amp;12, Sector 50(old), Seawoods, Navi Mumbai- 400706</t>
  </si>
  <si>
    <t>RYAN INTERNATIONAL SCHOOL, GOREGAON(E), MUMBAI</t>
  </si>
  <si>
    <t>ICSE, MUMBAI</t>
  </si>
  <si>
    <t>DNYAN PUSHPA VIDYANIKETAN &amp; JR. COLLEGE , CBD BELAPUR, NAVI MUMBAI</t>
  </si>
  <si>
    <t>HSC,MAHARASHTRA</t>
  </si>
  <si>
    <t>AutoCAD,MS Office,MS Project,Primavera,Adobe Photoshop,Revit,Lumion,Enscape,Sketcheup</t>
  </si>
  <si>
    <t>Praveen Awate Architects Pvt.Ltd | Jr. Architect | Dadar(West), Mumbai | Sep 2023 | Apr 2024 | 0Y 7M | 2.4
Urbann Analysis and Solutions Pvt.Ltd | Jr. Architect | CBD Belapur, Navi Mumbai | May 2024 | Jun 2025 | 1Y 1M | 3</t>
  </si>
  <si>
    <t>Larsen &amp; Toubro Construction | Project Planning Intern | Kharghar, Navi Mumbai | May 2026 | Jul 2026 | 8.5714285714286 Weeks | Campus Internship
Mobius Architects | Intern Architect | Juhinagar, Navi Mumbai | Nov 2021 | May 2022 | 22.571428571429 Weeks</t>
  </si>
  <si>
    <t>P25701130</t>
  </si>
  <si>
    <t>SANDU</t>
  </si>
  <si>
    <t>Sandu Rakesh</t>
  </si>
  <si>
    <t>rakeshsandu2003@gmail.com</t>
  </si>
  <si>
    <t>p25701130@student.nicmar.ac.in</t>
  </si>
  <si>
    <t>25-Sep-2003</t>
  </si>
  <si>
    <t>Sports,Travelling</t>
  </si>
  <si>
    <t>5738 8308 6956</t>
  </si>
  <si>
    <t>SANDU PANDU RANGA RAO</t>
  </si>
  <si>
    <t>COCONUT VENDOR</t>
  </si>
  <si>
    <t>SANDU VENKATARATNAM</t>
  </si>
  <si>
    <t>D/No:65-5-10/2, Darsi Peta-1,Patamata,Vijayawada</t>
  </si>
  <si>
    <t>ACHARYA NAGARJUNA UNIVERSITY, GUNTUR, ANDHRA PRADESH</t>
  </si>
  <si>
    <t>Bangalore Metro Rail Corporation Ltd.  | Project Management Intern | Bengaluru | May 2026 | Jul 2026 | 8.7142857142857 Weeks | Campus Internship
STARC INDIA | SITE ENGINEER INTERN | HYDERABAD | Mar 2025 | Jun 2025 | 13.142857142857 Weeks</t>
  </si>
  <si>
    <t>P25701131</t>
  </si>
  <si>
    <t>RISHIDHAR</t>
  </si>
  <si>
    <t>Rishidhar M S</t>
  </si>
  <si>
    <t>rishizeth5@gmail.com</t>
  </si>
  <si>
    <t>p25701131@student.nicmar.ac.in</t>
  </si>
  <si>
    <t>Gym,Books,F1,Trading</t>
  </si>
  <si>
    <t>4814 5110 3757</t>
  </si>
  <si>
    <t>MEGAN C</t>
  </si>
  <si>
    <t>SUKUMARI C</t>
  </si>
  <si>
    <t>MATH PROFESSOR</t>
  </si>
  <si>
    <t>17,b Kannagi Street,Muthamil Nagar,M.C.Road,Thanjavur.</t>
  </si>
  <si>
    <t>YAGAPPA MATRICULATION HIGHER SECONDARY SCHOOL</t>
  </si>
  <si>
    <t>THANJAVUR</t>
  </si>
  <si>
    <t>SASTRA DEEMED UNIVERSITY</t>
  </si>
  <si>
    <t>MS Office,MS Project,Primavera,MS Excel,Site Execution,Quantity Estimation,Quality Control</t>
  </si>
  <si>
    <t>Sakkthi Construction | Site Engineer | Trichy | Jul 2024 | Jun 2025 | 0Y 11M | 2.4</t>
  </si>
  <si>
    <t>Larsen &amp; Toubro | Project Manager  | Chennai  | May 2026 | Jul 2026 | 8.5714285714286 Weeks | Campus Internship
VME Pre-cast | Production Supervisor | Kanchipuram | Jul 2023 | Jul 2023 | 2 Weeks</t>
  </si>
  <si>
    <t>P25701132</t>
  </si>
  <si>
    <t>PRASANNA</t>
  </si>
  <si>
    <t>THAWARE</t>
  </si>
  <si>
    <t>Prasanna Dhananjay Thaware</t>
  </si>
  <si>
    <t>p.thaware@yahoo.com</t>
  </si>
  <si>
    <t>p25701132@student.nicmar.ac.in</t>
  </si>
  <si>
    <t>09-Jul-2000</t>
  </si>
  <si>
    <t>Travelling,Motorcycling,Swimming</t>
  </si>
  <si>
    <t>3991 9190 1714</t>
  </si>
  <si>
    <t>YOGITA</t>
  </si>
  <si>
    <t>Second Floor, Vedant Apartment, Kohale Layout, Khadgaon Road, Wadi</t>
  </si>
  <si>
    <t>ST. XAVIERS HIGH SCHOOL NAGPUR</t>
  </si>
  <si>
    <t>CENTRAL BOARD OF SECONDARY EDUCATION (CBSE)  NAGPUR MH</t>
  </si>
  <si>
    <t>GOVERNMENT COLLEGE OF ENGINEERING AURANGABAD, CHHATRAPATI SAMBHAJINAGAR, MAHARASHTRA</t>
  </si>
  <si>
    <t>AutoCAD,MS Office,MS Project,Primavera,Solidworks,Ansys,Catia, Power BI, @risk, Candy</t>
  </si>
  <si>
    <t>Adani Solar Adani Infra (India) Ltd | Assistant Manager Project Management | Mundra, Gujarat | Aug 2022 | Feb 2024 | 1Y 6M | 8</t>
  </si>
  <si>
    <t>Saint-Gobain India Pvt. Ltd. | Sales &amp; Marketing Intern | Bengaluru | May 2026 | Jul 2026 | 8.4285714285714 Weeks | Campus Internship</t>
  </si>
  <si>
    <t>Lean Six Sigma Green Belt Certification</t>
  </si>
  <si>
    <t>P25701133</t>
  </si>
  <si>
    <t>Om Rajesh Patil</t>
  </si>
  <si>
    <t>ompatil16122002@gmail.com</t>
  </si>
  <si>
    <t>p25701133@student.nicmar.ac.in</t>
  </si>
  <si>
    <t>16-Dec-2002</t>
  </si>
  <si>
    <t>ENGLISH, HINDI, MARATHI, KANNADA</t>
  </si>
  <si>
    <t>7769 0136 0503</t>
  </si>
  <si>
    <t>RAJESH PATIL</t>
  </si>
  <si>
    <t>GOVERNMENT CONTRACTOR &amp; BUSINESSMAN</t>
  </si>
  <si>
    <t>Rajsheela Building, Ashok Nagar, Nipani, District Belgaum, Karnataka, 591237</t>
  </si>
  <si>
    <t>SANJAY GHODAWAT INTERNATIONAL SCHOOL</t>
  </si>
  <si>
    <t>CAMBRIDGE ASSESSMENT INTERNATIONAL EDUCATION INTERNATIONAL GENERAL CERTIFICATE OF SECONDARY EDUCATION (CAIE IGCSE), KOLHAPUR, MAHARASHTRA</t>
  </si>
  <si>
    <t>INTERNATIONAL BACCALAUREATE DIPLOMA PROGRAM (IBDP), KOLHAPUR, MAHARASHTRA</t>
  </si>
  <si>
    <t>SVKM'S NARSEE MONJEE INSTITUTE OF MANAGEMENT STUDIES (NMIMS UNIVERSITY)</t>
  </si>
  <si>
    <t>PRAVIN DALAL SCHOOL OF ENTREPRENEURSHIP &amp; FAMILY BUSINESS MANAGEMENT</t>
  </si>
  <si>
    <t>MS Office,MS Project,Primavera,Tableau</t>
  </si>
  <si>
    <t>M/s B.R.Patil Engineers &amp; Contractors | Assistant Manager  | Belgaum, karnataka  | Mar 2024 | Jun 2025 | 1Y 3M | 2.09</t>
  </si>
  <si>
    <t>Asian Paints Project Sales | Sales Engineer  | Mangaluru  | May 2026 | Jul 2026 | 8.7142857142857 Weeks | Campus Internship
GEOLIFE AGRITECH PVT LTD | SALES &amp; DISTRIBUTION INTERN  | MUMBAI | Apr 2023 | Jun 2023 | 10.428571428571 Weeks
PIOMA CHEMICALS (MAYPHARM LIFE SCIENCES) | PROCUREMENT &amp; PURCHASING INTERN | MUMBAI | May 2022 | Jun 2022 | 6.7142857142857 Weeks
LEAPUS TECHNOLOGIES PVT LTD (PIXIS AI) | CUSTOMER SUCCESS AND PERFORMANCE MARKETER | BENGALURU  | May 2021 | Jul 2021 | 12.714285714286 Weeks</t>
  </si>
  <si>
    <t>P25701134</t>
  </si>
  <si>
    <t>ASHWINKUMAR</t>
  </si>
  <si>
    <t>VHARAMBALE</t>
  </si>
  <si>
    <t>Priyanka Ashwinkumar Vharambale</t>
  </si>
  <si>
    <t>priyankavharambale91@gmail.com</t>
  </si>
  <si>
    <t>p25701134@student.nicmar.ac.in</t>
  </si>
  <si>
    <t>2427 9649 0093</t>
  </si>
  <si>
    <t>SENIOR PROFESSOR</t>
  </si>
  <si>
    <t>SUCHITRA</t>
  </si>
  <si>
    <t>Plot No. 31,Padma Housing Society,near S.S.C. Board, _x000D_
Rajendra Nagar Ring Road</t>
  </si>
  <si>
    <t>RADHABAI SHINDE ENGLISH MEDIUM SCHOOL</t>
  </si>
  <si>
    <t>MAHARASHTRA STATE BOARD OF SECONDARY AND  HIGHER SECONDARY EDUCATION, PUNE</t>
  </si>
  <si>
    <t>NEW INSTITUTE OF TECHNOLOGY, KOLHAPUR, MAHARASHTRA</t>
  </si>
  <si>
    <t>RAJARAMBAPU INSTITUTE OF TECHNOLOGY, ISLAMPUR, MAHARASHTRA</t>
  </si>
  <si>
    <t>AutoCAD,civil 3d,storm sewer extension and analysis</t>
  </si>
  <si>
    <t>Indovance Pvt. Ltd. | Civil Design Engineer | Pune | Mar 2024 | Jul 2025 | 1Y 3M | 4</t>
  </si>
  <si>
    <t>Fidesto Projects Private Limited | Project Planning &amp; Scheduling Intern | Pune | May 2026 | Jul 2026 | 8.7142857142857 Weeks | Campus Internship
Indovance Pvt. Ltd. | Trainee Design Engineer | Pune | Jan 2024 | Mar 2024 | 9.8571428571429 Weeks
Pooja Associates | Intern | Islampur | Sep 2022 | Sep 2022 | 2.8571428571429 Weeks</t>
  </si>
  <si>
    <t>P25701135</t>
  </si>
  <si>
    <t>PASAD</t>
  </si>
  <si>
    <t>Jay Anil Pasad</t>
  </si>
  <si>
    <t>jay36pasad@gmail.com</t>
  </si>
  <si>
    <t>p25701135@student.nicmar.ac.in</t>
  </si>
  <si>
    <t>28-Dec-2000</t>
  </si>
  <si>
    <t>Hindi,English,Marathi,Gujarati,Kutchi</t>
  </si>
  <si>
    <t>9703 4998 8081</t>
  </si>
  <si>
    <t>ANIL PASAD</t>
  </si>
  <si>
    <t>LEENA PASAD</t>
  </si>
  <si>
    <t>B/203, Malhar Palace No. 2,_x000D_
Manpada Road, Opp Kasturi Plaza</t>
  </si>
  <si>
    <t>2004-Jul</t>
  </si>
  <si>
    <t>K J SOMAIYA COLLEGE OF SCIENCE &amp; COMMERCE</t>
  </si>
  <si>
    <t>DR. D Y PATIL COLLEGE OF ARCHITECTURE</t>
  </si>
  <si>
    <t>AutoCAD,MS Office,MS Project,Primavera,SketchUp,Enscape,Photoshop,Excel</t>
  </si>
  <si>
    <t>Shree Designs | Jr. Architect | Mumbai | Jul 2023 | Jun 2025 | 1Y 11M | 3.6</t>
  </si>
  <si>
    <t>Keystone Realtors (Rustomjee) | Project Management Intern | Mumbai | May 2026 | Jul 2026 | 8.7142857142857 Weeks | Campus Internship
Dilip Deshmukh &amp; Associates | Intern | Dombivali | Dec 2021 | Apr 2022 | 18.428571428571 Weeks</t>
  </si>
  <si>
    <t>P25701136</t>
  </si>
  <si>
    <t>URJA</t>
  </si>
  <si>
    <t>Urja Nitin Chauhan</t>
  </si>
  <si>
    <t>chauhanurja05@gmail.com</t>
  </si>
  <si>
    <t>p25701136@student.nicmar.ac.in</t>
  </si>
  <si>
    <t>English, Marathi, Hindi, Gujarati</t>
  </si>
  <si>
    <t>8746 0737 4195</t>
  </si>
  <si>
    <t>NITIN CHAUHAN</t>
  </si>
  <si>
    <t>SHEETAL CHAUHAN</t>
  </si>
  <si>
    <t>101, Amidhara CHS, Mamlatdarwadi Rd No.4, Near Nandu Medical, Malad West</t>
  </si>
  <si>
    <t>AutoCAD,MS Office,MS Project,Primavera,Photoshop,Sketchup</t>
  </si>
  <si>
    <t>MANISH MEHTA ARCHITECT | ASSISTANT ARCHITECT | MUMBAI | Jun 2023 | Apr 2025 | 1Y 10M | 3.6</t>
  </si>
  <si>
    <t>JONES LANG LASALLE PROPERTY CONSULTANTS (INDIA) PVT LTD | Intern | Mumbai | May 2026 | Jul 2026 | 8.7142857142857 Weeks | Campus Internship
MANISH MEHTA ARCHITECT | ARCHITECTURAL INTERN | SANTACRUZ, MUMBAI | Dec 2021 | Apr 2022 | 18.428571428571 Weeks</t>
  </si>
  <si>
    <t>UN Volunteers
Autocad</t>
  </si>
  <si>
    <t>P25701137</t>
  </si>
  <si>
    <t>SALODKAR</t>
  </si>
  <si>
    <t>Dhanashree Arvind Salodkar</t>
  </si>
  <si>
    <t>dsalodkar7875@gmail.com</t>
  </si>
  <si>
    <t>p25701137@student.nicmar.ac.in</t>
  </si>
  <si>
    <t>Performing Arts (Dance),Creative &amp; Experience Design,Visual Arts (Painting &amp; Sketching),Outdoor Exploration &amp; Riding</t>
  </si>
  <si>
    <t>7568 5206 2037</t>
  </si>
  <si>
    <t>MRUNAL</t>
  </si>
  <si>
    <t>Gandhi Nagar, Dhamangaon Road</t>
  </si>
  <si>
    <t>ST. ALOYSIUS ENGLISH MEDIUM HIGH SCHOOL</t>
  </si>
  <si>
    <t>ADARSH SANSKAR JUNIOR COLLEGE , NAGPUR</t>
  </si>
  <si>
    <t>MAHARASHTRA STATE BOARD OF SECONDARY &amp; HIGHER SECONDARY EDUCATION , PUNE</t>
  </si>
  <si>
    <t>PADMASHREE DR. D Y PATIL COLLEGE OF ARCHITECTURE, AKURDI , PUNE</t>
  </si>
  <si>
    <t>AutoCAD,MS Office,MS Project,Sketchup,Lumion,Power BI</t>
  </si>
  <si>
    <t>Figments Experience Lab | Junior Architect | Pune  | Jul 2024 | Jun 2025 | 0Y 11M | 2.16</t>
  </si>
  <si>
    <t>Rahul S. Sangle  | Project Management Intern  | Yavatmal  | May 2026 | Jul 2026 | 8.7142857142857 Weeks | Campus Internship
Akruti Concept Studio | Intern  | Pune  | Jun 2023 | Oct 2023 | 19.428571428571 Weeks</t>
  </si>
  <si>
    <t>P25701138</t>
  </si>
  <si>
    <t>SANJALI</t>
  </si>
  <si>
    <t>GANORE</t>
  </si>
  <si>
    <t>Sanjali Sachin Ganore</t>
  </si>
  <si>
    <t>sanjaliganore19@gmail.com</t>
  </si>
  <si>
    <t>p25701138@student.nicmar.ac.in</t>
  </si>
  <si>
    <t>9322 3024 5758</t>
  </si>
  <si>
    <t>SUNAYANA</t>
  </si>
  <si>
    <t>493, Nivrutti Cloth Stores, Telikhunt Chowk, Sangamner, Ahmednagar</t>
  </si>
  <si>
    <t>DHRUV ACADEMY</t>
  </si>
  <si>
    <t>SIR JJ COLLEGE OF ARCHITECTURE</t>
  </si>
  <si>
    <t>AutoCAD,MS Office,MS Project,Primavera,Sketchup,Photoshop,Vectorworks</t>
  </si>
  <si>
    <t>ANT Associates | Junior Architect | Nashik | Sep 2024 | Jun 2025 | 0Y 9M | 1.8</t>
  </si>
  <si>
    <t>Kayne Bio Sciences | Project Operations Intern | Hyderabad | May 2026 | Jul 2026 | 8.7142857142857 Weeks | Campus Internship
ABHIKALPAN ARCHITECTS AND PLANNERS | Architectural Intern | MUMBAI | Dec 2022 | Apr 2023 | 20.714285714286 Weeks</t>
  </si>
  <si>
    <t>P25701139</t>
  </si>
  <si>
    <t>AARTHI MAHALAKSHMI</t>
  </si>
  <si>
    <t>SUBRAMANIAN</t>
  </si>
  <si>
    <t>Aarthi Mahalakshmi . Subramanian</t>
  </si>
  <si>
    <t>aarthimahalakshmi8@gmail.com</t>
  </si>
  <si>
    <t>p25701139@student.nicmar.ac.in</t>
  </si>
  <si>
    <t>27-Oct-2000</t>
  </si>
  <si>
    <t>English, Tamil, Hindi, Marathi</t>
  </si>
  <si>
    <t>3994 7981 0560</t>
  </si>
  <si>
    <t>OFFICE EMPLOYEE</t>
  </si>
  <si>
    <t>THANGAM</t>
  </si>
  <si>
    <t>104, B WING, TIRUPATI ICON, SECTOR 20, KAMOTHE, PANVEL, 410209</t>
  </si>
  <si>
    <t>48, Hem Bhuvan, Vatchraj Lane, Matunga Central, 400019</t>
  </si>
  <si>
    <t>SIES HIGH SCHOOL</t>
  </si>
  <si>
    <t>PRAVIN PATIL POLYTECHNIC, THANE</t>
  </si>
  <si>
    <t>UNIVERSAL COLLEGE OF ENGINEERING,VASAI</t>
  </si>
  <si>
    <t>2027-May</t>
  </si>
  <si>
    <t>MS Office,MS Project,Primavera,Power BI,Data Analysis,SQL,@risk,Advanced MS Excel</t>
  </si>
  <si>
    <t>HDB Financial Services | Junior Officer | Kanjurmarg Mumbai | Jan 2023 | Apr 2024 | 1Y 3M | 2.33</t>
  </si>
  <si>
    <t>GUBBI CIVIL ENGINEERS LTD | Project Management Intern | Thane | May 2026 | Jul 2026 | 8.7142857142857 Weeks | Campus Internship</t>
  </si>
  <si>
    <t>Google Business Intelligence
Project Management: The Basics for Success</t>
  </si>
  <si>
    <t>P25701140</t>
  </si>
  <si>
    <t>Rutuja Prashant Patil</t>
  </si>
  <si>
    <t>rutujappatil.05@gmail.com</t>
  </si>
  <si>
    <t>p25701140@student.nicmar.ac.in</t>
  </si>
  <si>
    <t>05-Mar-2002</t>
  </si>
  <si>
    <t>4411 3754 6099</t>
  </si>
  <si>
    <t>RUPALI</t>
  </si>
  <si>
    <t>10, Zunjar Colony Godoli Housing Society, Satara</t>
  </si>
  <si>
    <t>GURUKUL SECONDARY SCHOOL</t>
  </si>
  <si>
    <t>PARENTS ASSOCIATION ENGLISH SCHOOL &amp; JUNIOR COLLEGE SATARA</t>
  </si>
  <si>
    <t>S B PATIL COLLEGE OF ARCHITECTURE AND DESIGN, MAHARASHTRA, PUNE</t>
  </si>
  <si>
    <t>AutoCAD,MS Office,MS Project,sketchup,photoshop,enscape,Draft sight,Ms Excel</t>
  </si>
  <si>
    <t>Shilpkar Construction private limited  | Project management intern | Delhi | May 2026 | Jun 2026 | 8.1428571428571 Weeks | Campus Internship
RHA &amp; Associates | Intern (architect) | Goa | Jun 2024 | Oct 2024 | 16.571428571429 Weeks</t>
  </si>
  <si>
    <t>Business Communication Essentials
Project Management: The Basics for Success
Introduction to Corporate Finance</t>
  </si>
  <si>
    <t>P25701141</t>
  </si>
  <si>
    <t>MAYURESH</t>
  </si>
  <si>
    <t>UKALE</t>
  </si>
  <si>
    <t>Mayuresh Manoj Ukale</t>
  </si>
  <si>
    <t>mayurukale8539@gmail.com</t>
  </si>
  <si>
    <t>p25701141@student.nicmar.ac.in</t>
  </si>
  <si>
    <t>18-Feb-2002</t>
  </si>
  <si>
    <t>2605 5903 9624</t>
  </si>
  <si>
    <t>MANOJ GANPAT UKALE</t>
  </si>
  <si>
    <t>ANJALI MANOJ UKALE</t>
  </si>
  <si>
    <t>Near Old DCC Bank And Market Yard Pandhpur Road Sangola</t>
  </si>
  <si>
    <t>SANGOLA VIDYAMANDIR PRASHALA, SANGOLA</t>
  </si>
  <si>
    <t>SANGMESHWAR COLLEGE, SOLAPUR</t>
  </si>
  <si>
    <t>PIMPARI CHINCHWAD COLLEGE OF ENGINEERING, NIGADI, PUNE</t>
  </si>
  <si>
    <t>AutoCAD,MS Office,MS Project,Solidworks,Inventor,Ansys,Fusion360</t>
  </si>
  <si>
    <t>Helical Auto Technology India Pvt Ltd | Senior Engineer | Pune  | Aug 2023 | Jun 2025 | 1Y 10M | 4.64</t>
  </si>
  <si>
    <t>Asian Paints Limited | Project Sales (Construction Chemicals ) | Pune | May 2026 | Jul 2026 | 8.7142857142857 Weeks | Campus Internship
ENPRO INDUSTRIES PVT LTD | INTERN- R&amp;D | PUNE | Jul 2022 | Jan 2023 | 26.142857142857 Weeks
PIMPARI CHINCHWAD COLLEGE OF ENGINEERIN (AMBUSH AGROTECH) | DIVISION HEAD- HARVESTING MECHANISM | PUNE | Jan 2022 | Mar 2022 | 12.714285714286 Weeks</t>
  </si>
  <si>
    <t>P25701142</t>
  </si>
  <si>
    <t>BALIRAM</t>
  </si>
  <si>
    <t>Pranav Baliram Borate</t>
  </si>
  <si>
    <t>pranavborate100@gmail.com</t>
  </si>
  <si>
    <t>p25701142@student.nicmar.ac.in</t>
  </si>
  <si>
    <t>8051 6340 4257</t>
  </si>
  <si>
    <t>USHA</t>
  </si>
  <si>
    <t>At Post Bidal, Tal-Man, Dist- Satara</t>
  </si>
  <si>
    <t>SHALOM INTERNATIONAL SCHOOL, PACHGANI</t>
  </si>
  <si>
    <t>GALAXY ENGLISH MEDIUM SCHOOL &amp; JUNIOR COLLEGE</t>
  </si>
  <si>
    <t>MAHATMA PHULE KRUSHI VIDYAPEETH</t>
  </si>
  <si>
    <t>MS Office,MS Project,SPSS,MS EXCEL</t>
  </si>
  <si>
    <t>Raj Process Equipment and systems Pvt.Ltd. | Project Management Intern | Pune | May 2026 | Jul 2026 | 8.7142857142857 Weeks | Campus Internship</t>
  </si>
  <si>
    <t>P25701143</t>
  </si>
  <si>
    <t>PAMANNAVAR</t>
  </si>
  <si>
    <t>Sahil Ravindra Pamannavar</t>
  </si>
  <si>
    <t>sahilpamannvar@gmail.com</t>
  </si>
  <si>
    <t>p25701143@student.nicmar.ac.in</t>
  </si>
  <si>
    <t>31-Dec-1999</t>
  </si>
  <si>
    <t>5689 1970 3221</t>
  </si>
  <si>
    <t>Near Panchratna Medical Sugar Factory Road, Kabnur, Ichalkaranji 416116</t>
  </si>
  <si>
    <t>MANERE HIGH SCHOOL AND JUNIOR COLLEGE, ICHALKARANJI</t>
  </si>
  <si>
    <t>DR. J. J. MAGDUM POLYTECHNIC, JAYSINGPUR</t>
  </si>
  <si>
    <t>DR. A. D. SHINDE COLLEGE OF ENGINEERING, BHADGAON, MAHARASHTRA</t>
  </si>
  <si>
    <t>Gurudatta Construction | Site Engineer  | Kagal,Kolhapur | Jul 2023 | Jun 2024 | 0Y 11M | 1.56
Prashant Deshmukh Projects Pvt. Ltd. | Site Engineer  | Chakan,Pune | Jul 2024 | Jul 2025 | 0Y 11M | 3</t>
  </si>
  <si>
    <t>Prashant Deshmukh &amp; Associates | Trainee Engineer | Pune | May 2026 | Jul 2026 | 8.5714285714286 Weeks | Campus Internship</t>
  </si>
  <si>
    <t>P25701144</t>
  </si>
  <si>
    <t>PANKAJ</t>
  </si>
  <si>
    <t>NANAVATI</t>
  </si>
  <si>
    <t>Siddharth Pankaj Nanavati</t>
  </si>
  <si>
    <t>nanavatisiddharth21@gmail.com</t>
  </si>
  <si>
    <t>p25701144@student.nicmar.ac.in</t>
  </si>
  <si>
    <t>2061 3275 1809</t>
  </si>
  <si>
    <t>PANKAJ VIJAY NANAVATI</t>
  </si>
  <si>
    <t>PRITI PANKAJ NANAVATI</t>
  </si>
  <si>
    <t>A-602,Yashodhan Society, Kapil Nagar, Kondhwa Budruk, Near VIIT College, Pune-48</t>
  </si>
  <si>
    <t>DR. KALMADI SHAMARAO HIGH SCHOOL, PUNE</t>
  </si>
  <si>
    <t>NEW ENGLISH SCHOOL RAMANBAUG,PUNE</t>
  </si>
  <si>
    <t>AAYOJAN SCHOOL OF ARCHITECTURE AND DESIGN, PUNE</t>
  </si>
  <si>
    <t>Microsoft Project, Primavera P6, AutoCAD, Microsoft Office, SketchUp</t>
  </si>
  <si>
    <t>Adani Realty | Intern- Projects Team | Pune | May 2026 | Jul 2026 | 9.5714285714286 Weeks | Campus Internship
SAMYAK C2 INFRA PVT. LTD | Architectural &amp; Project Coordination Intern | KOTHRUD, PUNE | Jun 2024 | Dec 2024 | 25 Weeks</t>
  </si>
  <si>
    <t>Lean Six Sigma Green Belt- KPMG
EDGE Green Building Certification: Excellence in Design for Greater Efficiencies
Airport Infrastructure Development- L&amp;T EduTech
Foundations of Project Management: Google
Landslide Facility Planning by L&amp;T EduTech
Airside Facility Planning By L&amp;T EduTech</t>
  </si>
  <si>
    <t>P25701145</t>
  </si>
  <si>
    <t>RITWIK</t>
  </si>
  <si>
    <t>MUKHERJEE</t>
  </si>
  <si>
    <t>Ritwik Mukherjee</t>
  </si>
  <si>
    <t>swayam9865@gmail.com</t>
  </si>
  <si>
    <t>p25701145@student.nicmar.ac.in</t>
  </si>
  <si>
    <t>05-Dec-1997</t>
  </si>
  <si>
    <t>ENGLISH,HINDI,BENGALI</t>
  </si>
  <si>
    <t>9732 2418 0560</t>
  </si>
  <si>
    <t>RAM MOHAN MUKHERJEE</t>
  </si>
  <si>
    <t>KANIKA MUKHERJEE</t>
  </si>
  <si>
    <t>A1 Kamal Apartment Durga Mandir Road Hirapur</t>
  </si>
  <si>
    <t>DELHI PUBLIC SCHOOL DHANBAD</t>
  </si>
  <si>
    <t>CBSE JHARKHAND</t>
  </si>
  <si>
    <t>NIOS ISL JHARIA</t>
  </si>
  <si>
    <t>NATIONAL INSTITUTE OF OPEN SCHOOLING JHARKHAND</t>
  </si>
  <si>
    <t>TECHNO INTERNATIONAL NEWTOWN, WEST BENGAL</t>
  </si>
  <si>
    <t>AutoCAD,MS Office,Computer Application certification Course,Advanced excel certification Course</t>
  </si>
  <si>
    <t>Central Public Works Department | Project Intern | IIT ISM DHANBAD, JHARKHAND | May 2026 | Jul 2026 | 9.7142857142857 Weeks | Campus Internship</t>
  </si>
  <si>
    <t>Advanced Diploma in Computer Applications
Advanced Excel</t>
  </si>
  <si>
    <t>P25701147</t>
  </si>
  <si>
    <t>Raut Aniket Santosh</t>
  </si>
  <si>
    <t>aniketsraut@yahoo.com</t>
  </si>
  <si>
    <t>p25701147@student.nicmar.ac.in</t>
  </si>
  <si>
    <t>8624 2307 8375</t>
  </si>
  <si>
    <t>Juhunagar CHS, A/8, Sector-15, Near P.K.C. Hospital, Vashi</t>
  </si>
  <si>
    <t>FR. AGNEL MULTIPURPOSE SCHOOL, VASHI, MAHARASHTRA</t>
  </si>
  <si>
    <t>FR. AGNEL MULTIPURPOSE SCHOOL AND JUNIOR COLLEGE, VASHI, MAHARASHTRA</t>
  </si>
  <si>
    <t>DATTA MEGHE COLLEGE OF ENGINEERING, AIROLI, MAHARASHTRA</t>
  </si>
  <si>
    <t>Primavera (P6), MS Project, Power BI, Advance Excel, MS Office, AutoCAD.</t>
  </si>
  <si>
    <t>RELIANCE INDUSTRIES LIMITED | GRADUATE ENGINEER TRAINEE - CIVIL | PATALGANGA | Aug 2024 | Jun 2025 | 0Y 10M | 5.5</t>
  </si>
  <si>
    <t>New Consolidated Construction Company Limited (NCCCL) | Project Planning Intern | Navi Mumbai | May 2026 | Jul 2026 | 8.5714285714286 Weeks | Campus Internship
M.S. Enterprises Engineers and Contractors | Civil Engineer Trainee | Mumbai | Jun 2023 | Jul 2023 | 6.2857142857143 Weeks</t>
  </si>
  <si>
    <t>IGBC Accredited Professional (IGBC AP) awarded by the CII - Indian Green Building Council
Project Management: The Basics for Success
Introduction to Corporate Finance
Excel Statistics Essential Training 2
Excel Statistics Essential Training 1
Project Management with ZOHO
Project Management with JIRA</t>
  </si>
  <si>
    <t>P25701148</t>
  </si>
  <si>
    <t>Abhishek Anand</t>
  </si>
  <si>
    <t>meabhi1908@gmail.com</t>
  </si>
  <si>
    <t>p25701148@student.nicmar.ac.in</t>
  </si>
  <si>
    <t>28-Feb-1999</t>
  </si>
  <si>
    <t>Reading Book,Listening Music,Traveling,Cooking,Planting</t>
  </si>
  <si>
    <t>7743 2996 3610</t>
  </si>
  <si>
    <t>TARKESHWAR PANDIT</t>
  </si>
  <si>
    <t>NICMAR UNIVERSITY HOSTEL SJB</t>
  </si>
  <si>
    <t>New Bishunpur Near Hanuman Mandir Road</t>
  </si>
  <si>
    <t>MAULANA ABUL KALAM AZAD UNIVERSITY OF TECHNOLOGY,WESTBENGAL</t>
  </si>
  <si>
    <t>BENGAL COLLEGE OF ENGINEERING&amp;TECHNOLOGY</t>
  </si>
  <si>
    <t>IMPACT INFRA HEIGHT PVT. LTD. | QA/QC &amp; PLANNING | Pune | May 2026 | Jul 2026 | 8.7142857142857 Weeks | Campus Internship
Tata Motor Commercial Vechile Dealer | Auto Electrical And Mechanical Componets | DHANBAD | Sep 2022 | Oct 2022 | 4.2857142857143 Weeks
BHARAT COOKING COAL LIMITED | ENGINE AND TRANSMISION MECHANICAL  | DHANBAD | Mar 2021 | Mar 2021 | 3.7142857142857 Weeks</t>
  </si>
  <si>
    <t>C PROGRAMMING
ADVANCE EXCEL
Advance Diploma in Computer Application</t>
  </si>
  <si>
    <t>P25701149</t>
  </si>
  <si>
    <t>MADDHURI</t>
  </si>
  <si>
    <t>USHA SRI</t>
  </si>
  <si>
    <t>Maddhuri Usha Sri</t>
  </si>
  <si>
    <t>sriusha2424@gmail.com</t>
  </si>
  <si>
    <t>p25701149@student.nicmar.ac.in</t>
  </si>
  <si>
    <t>24-Oct-2002</t>
  </si>
  <si>
    <t>TELUGU, ENGLISH, HINDI - Basic</t>
  </si>
  <si>
    <t>Sketching,Learning</t>
  </si>
  <si>
    <t>8671 8957 3420</t>
  </si>
  <si>
    <t>MADDHURI SURYA PRAKASH</t>
  </si>
  <si>
    <t>MADDHURI KALYANI</t>
  </si>
  <si>
    <t>1-188, Annaipeta, Draksharamam, Ramachandrapuram Mandala</t>
  </si>
  <si>
    <t>NALLAM RESIDENDIAL CONCEPT HIGH SCHOOL</t>
  </si>
  <si>
    <t>STATE BOARD,ANDHRA PRADESH</t>
  </si>
  <si>
    <t>RAGHU ENGINEERING COLLEGE</t>
  </si>
  <si>
    <t>POWER MECH PROJECTS LIMITED | PROJECT MANAGEMENT INTERN | Hyderabad | May 2026 | Jul 2026 | 8.7142857142857 Weeks | Campus Internship
SDVVL SURVEY AND CONSTRUCTION PRIVATE LIMITED | DESIGN &amp; SURVEY INTERN | KAKINADA | May 2023 | Jul 2023 | 6.4285714285714 Weeks</t>
  </si>
  <si>
    <t>Project Management : The Basics of Success
Master Diploma in Civil CAD</t>
  </si>
  <si>
    <t>P25701151</t>
  </si>
  <si>
    <t>VINDHYAVALLI DEVI</t>
  </si>
  <si>
    <t>V S V S</t>
  </si>
  <si>
    <t>Vindhyavalli Devi V S V S</t>
  </si>
  <si>
    <t>vindhya.vurakaranam@gmail.com</t>
  </si>
  <si>
    <t>p25701151@student.nicmar.ac.in</t>
  </si>
  <si>
    <t>TELUGU, HINDI, ENGLISH, MARATHI</t>
  </si>
  <si>
    <t>5034 3671 9255</t>
  </si>
  <si>
    <t>V S S PRASAD</t>
  </si>
  <si>
    <t>V V SRIDEVI</t>
  </si>
  <si>
    <t>A-304, Saisthaan CHS, Plot-4, Sector-29,  Opposite Cidco Office, Nerul East,</t>
  </si>
  <si>
    <t>DAYANAND ANGLO VEDIC PUBLIC SCHOOL, NERUL</t>
  </si>
  <si>
    <t>PILLAI COLLEGE OF ARCHITECTURE, PANVEL</t>
  </si>
  <si>
    <t>AutoCAD,MS Office,MS Project,Primavera,Photoshop,Sketchup,Lumion,Endscape,Revit,Candy,@Risk</t>
  </si>
  <si>
    <t>Design Works | Junior Architect | Sanpada, Navi Mumbai | Jan 2025 | Jun 2025 | 0Y 5M | 3</t>
  </si>
  <si>
    <t>Econstruct Design &amp; Build Pvt Ltd | Project Management Intern | Banglore | May 2026 | Jun 2026 | 8.1428571428571 Weeks | Campus Internship
DESIGN WORKS | Intern | SANPADA, NAVI MUMBAI | Nov 2022 | May 2023 | 27.857142857143 Weeks</t>
  </si>
  <si>
    <t>Best All Rounder in UG College
Anubhuti Head in PiCA Student Council
International Standard of Abacus Mental Arthamatic
Revit for Architectural Design
Introduction to Corporate Finance
Project Management Basics</t>
  </si>
  <si>
    <t>P25701152</t>
  </si>
  <si>
    <t>Siddharth Patel</t>
  </si>
  <si>
    <t>siddharth.okk@gmail.com</t>
  </si>
  <si>
    <t>p25701152@student.nicmar.ac.in</t>
  </si>
  <si>
    <t>8426 6363 2491</t>
  </si>
  <si>
    <t>CHHAGAN PATEL</t>
  </si>
  <si>
    <t>PUNJI PATEL</t>
  </si>
  <si>
    <t>492, Adarsh Colony, Titradi</t>
  </si>
  <si>
    <t>ALOK SEN. SEC. SCHOOL, SEC 11</t>
  </si>
  <si>
    <t>UDAIPUR/ RAJASTHAN</t>
  </si>
  <si>
    <t>VISHWAKARMA INSTITUTE OF INFORMATION AND TECHNOLOGY, PUNE/MAHARASHTRA</t>
  </si>
  <si>
    <t>AutoCAD,MS Office,MS Project,Primavera,@Risk</t>
  </si>
  <si>
    <t>BCC &amp; Co. | Jr. engineer | Udaipur, Rajasthan  | Jul 2024 | Jun 2025 | 0Y 11M | 1.7</t>
  </si>
  <si>
    <t>RPP INFRA PROJECTS LTD | Planning  | Pune  | May 2026 | Jun 2026 | 8.1428571428571 Weeks | Campus Internship</t>
  </si>
  <si>
    <t>introduction to generative AI in human resource
Project management: the basics of success
Introduction to Corporate Finance</t>
  </si>
  <si>
    <t>P25701103</t>
  </si>
  <si>
    <t>VINIT</t>
  </si>
  <si>
    <t>RANJEET</t>
  </si>
  <si>
    <t>Vinit Ranjeet Kamble</t>
  </si>
  <si>
    <t>vinitk1902@gmail.com</t>
  </si>
  <si>
    <t>p25701103@student.nicmar.ac.in</t>
  </si>
  <si>
    <t>19-Dec-2002</t>
  </si>
  <si>
    <t>Football,Cricket</t>
  </si>
  <si>
    <t>5230 5078 4808</t>
  </si>
  <si>
    <t>RANJEET KAMBLE</t>
  </si>
  <si>
    <t>VAISHALI KAMBLE</t>
  </si>
  <si>
    <t>401, Laxmideep Complex, Veershaiv Nagar</t>
  </si>
  <si>
    <t>LATE V. M. MEHTA HIGH SCHOOL</t>
  </si>
  <si>
    <t>A. D. JOSHI JUNIOR COLLEGE</t>
  </si>
  <si>
    <t>SOLAPUR/MAHARASHTRA</t>
  </si>
  <si>
    <t>MS Office,MS Project,Catia,Solidworks</t>
  </si>
  <si>
    <t>ANAROCK Property Consultants  | Project Management &amp; Engineering  | Goa | May 2026 | Jul 2026 | 8.7142857142857 Weeks | Campus Internship
N. K. Orchid College of Engineering and technology | Project Leader | Solapur  | Aug 2023 | Jan 2024 | 21.857142857143 Weeks
K-TECH CENTRE OF EXCELLENCE IN AEROSPACE AND DEFENCE | TRAINEE ENGINEER | BANGALORE | Feb 2022 | Mar 2022 | 4.2857142857143 Weeks
N. K. ORCHID COLLEGE OF ENGINEERING AND TECHNOLOGY | MARKET RESEARCH &amp; PRODUCT IMPROVEMENT ANALYST | SOLAPUR  | Jul 2021 | Jan 2022 | 26.857142857143 Weeks</t>
  </si>
  <si>
    <t>Ready Engineer by TATA Technologies 2022-23
Participation in Aerocon 2022
Runner up in SAE convention 2021
Participation in MechaTHON 2024</t>
  </si>
  <si>
    <t>P25701104</t>
  </si>
  <si>
    <t>Ayush Patel</t>
  </si>
  <si>
    <t>ayush9090patel@gmail.com</t>
  </si>
  <si>
    <t>p25701104@student.nicmar.ac.in</t>
  </si>
  <si>
    <t>Reading business books &amp; current affairs,Football &amp; Cricket,Public speaking &amp; debate,Arts &amp; Craft,Traveling &amp; cultural exploration</t>
  </si>
  <si>
    <t>6314 7790 9018</t>
  </si>
  <si>
    <t>RAJESH KUMAR SINGH</t>
  </si>
  <si>
    <t>SURYABALA SINGH</t>
  </si>
  <si>
    <t>SWAPNIL VILLA, ADARSH VIHAR COLONY, AWALESHPUR, VARANASI</t>
  </si>
  <si>
    <t>House.no. 332, Kolana Paschimi, Beside Shri Ram Mandir, Kolana Darbar, Chunar, Mirzapur</t>
  </si>
  <si>
    <t>Mirzapur</t>
  </si>
  <si>
    <t>SUMBEAM SUNCITY BACHHAON RD KARSANA VARANASI UP</t>
  </si>
  <si>
    <t>CBSE, UTTAR PRADESH</t>
  </si>
  <si>
    <t>M M I C BACHCHHAON VARANASI</t>
  </si>
  <si>
    <t>UP BOARD, UTTAR PRADESH</t>
  </si>
  <si>
    <t>ACHARYA NARENDRA DEVA UNIVERSITY OF AGRICULTURE &amp; TECHNOLOGY, AYODHYA, UTTAR PRADESH</t>
  </si>
  <si>
    <t>COLLEGE OF AGRICULTURE, AYODHYA</t>
  </si>
  <si>
    <t>MS Office,MS Project,Primavera,IBM SPSS,Microsoft Power BI,Candy,@RISK</t>
  </si>
  <si>
    <t>Sri Vaarahi Real Assets | Marketing Analytics and Digital Strategies  | Hyderabad | May 2026 | Jul 2026 | 8.7142857142857 Weeks | Campus Internship
K. K. INDUSTRIES | MANAGEMENT TRAINEE INTERN (PROJECT &amp; SALES OPERATIONS) | INDUSTRIAL AREA, RAMNAGER, PHASE-1, CHANDUALI, UTTAR PRADESH | Mar 2025 | Apr 2025 | 6.8571428571429 Weeks</t>
  </si>
  <si>
    <t>Six Sigma Green Belt Specialization Kennesaw State University (via Coursera)
Data Analysis and Visualization with Power BI  Microsoft (via Coursera)
The Intersection of Finance, Strategy, and Sustainability  Business School &amp; University of Oxford (via Coursera)
Agriculture 4.0: The Future of Farming Technology &amp; Agripreneurship Development (2022)</t>
  </si>
  <si>
    <t>Test-Program</t>
  </si>
  <si>
    <t>lab1-pc1</t>
  </si>
  <si>
    <t>Lab1</t>
  </si>
  <si>
    <t>PC1</t>
  </si>
  <si>
    <t>Lab1 Pc1</t>
  </si>
  <si>
    <t>lab1-pc1@ncr.nicmar.ac.in</t>
  </si>
  <si>
    <t>12-Aug-2026</t>
  </si>
  <si>
    <t>Late Amorendra kr Dey</t>
  </si>
  <si>
    <t>Irrigation dept</t>
  </si>
  <si>
    <t>Late Gayatri Dey</t>
  </si>
  <si>
    <t>House wife</t>
  </si>
  <si>
    <t>House no 299, holy cross high school,Naojan</t>
  </si>
  <si>
    <t>Kheda</t>
  </si>
  <si>
    <t>Test</t>
  </si>
  <si>
    <t>2026-Mar</t>
  </si>
  <si>
    <t>lab1-pc2</t>
  </si>
  <si>
    <t>Lab2</t>
  </si>
  <si>
    <t>PC2</t>
  </si>
  <si>
    <t>Lab2 Pc2</t>
  </si>
  <si>
    <t>lab1-pc2@ncr.nicmar.ac.in</t>
  </si>
  <si>
    <t>lab1-pc3</t>
  </si>
  <si>
    <t>Lab3</t>
  </si>
  <si>
    <t>PC3</t>
  </si>
  <si>
    <t>Lab3 Pc3</t>
  </si>
  <si>
    <t>lab1-pc3@ncr.nicmar.ac.in</t>
  </si>
  <si>
    <t>lab1-pc4</t>
  </si>
  <si>
    <t>Lab4</t>
  </si>
  <si>
    <t>PC4</t>
  </si>
  <si>
    <t>Lab4 Pc4</t>
  </si>
  <si>
    <t>lab1-pc4@ncr.nicmar.ac.in</t>
  </si>
  <si>
    <t>lab1-pc5</t>
  </si>
  <si>
    <t>Lab5</t>
  </si>
  <si>
    <t>PC5</t>
  </si>
  <si>
    <t>Lab5 Pc5</t>
  </si>
  <si>
    <t>lab1-pc5@ncr.nicmar.ac.in</t>
  </si>
  <si>
    <t>2026-2027</t>
  </si>
  <si>
    <t>P26600001</t>
  </si>
  <si>
    <t xml:space="preserve">Bachate </t>
  </si>
  <si>
    <t xml:space="preserve">Samadhan </t>
  </si>
  <si>
    <t xml:space="preserve">Haridas </t>
  </si>
  <si>
    <t xml:space="preserve">Bachate  Samadhan  Haridas </t>
  </si>
  <si>
    <t>samadhanbachate987@gmail.com</t>
  </si>
  <si>
    <t>P26600001@student.nicmar.ac.in</t>
  </si>
  <si>
    <t>03-Dec-1999</t>
  </si>
  <si>
    <t xml:space="preserve">Marathi Hindi English </t>
  </si>
  <si>
    <t>Listening music</t>
  </si>
  <si>
    <t>Haridas</t>
  </si>
  <si>
    <t>Farmer</t>
  </si>
  <si>
    <t>Rukmin</t>
  </si>
  <si>
    <t>Aaj post bheta Tq. Ausa Dist.Latur</t>
  </si>
  <si>
    <t>Warje pune</t>
  </si>
  <si>
    <t>P26600002</t>
  </si>
  <si>
    <t xml:space="preserve">Aneeza </t>
  </si>
  <si>
    <t>Aneeza  M</t>
  </si>
  <si>
    <t>P26600002@student.nicmar.ac.in</t>
  </si>
  <si>
    <t>14-May-1992</t>
  </si>
  <si>
    <t>English,Hindi,Malayalam</t>
  </si>
  <si>
    <t>Playing badminton,Gardening,Dancing</t>
  </si>
  <si>
    <t>Abdul Latheef M</t>
  </si>
  <si>
    <t>Retired govt employee</t>
  </si>
  <si>
    <t>Shahida</t>
  </si>
  <si>
    <t>Malluvassery House, Netaji Road, Mananthavady P.O</t>
  </si>
  <si>
    <t>Wayanad</t>
  </si>
  <si>
    <t>Flat no -906, Elegant Iona, Plot no -103, Sector no -2A ,Karanjade, Panvel P.O</t>
  </si>
  <si>
    <t>MGM Higher Secondary School , Ambukutty, Mananthavady , Wayanad</t>
  </si>
  <si>
    <t>Board Of Public Examination, Kerala</t>
  </si>
  <si>
    <t>GVHSS, Mananthavady, Wayanad</t>
  </si>
  <si>
    <t>Board Of Higher Secondary Examination, Kerala</t>
  </si>
  <si>
    <t>Government Polytechnic College, Meenangadi , Wayanad</t>
  </si>
  <si>
    <t>Mahatma Gandhi University, Kottayam, Kerala</t>
  </si>
  <si>
    <t>Ilahia College Of Engineering &amp; Technology, Muvattupuzha, Kerala</t>
  </si>
  <si>
    <t>AutoCAD,Microsoft( Excel -Word -Powerpoint),strategic ERP</t>
  </si>
  <si>
    <t>Capacit'e Infraprojects Ltd., Mumbai | Junior Engineer | Mumbai | Jan 2024 | Apr 2026 | 2Y 2M | 3.24
Krishnamohan Memorial GOVT.ITI, Kalpetta, Wayanad | Junior Instructor | Kalpetta, Wayanad, Kerala | Apr 2017 | Nov 2017 | 0Y 6M | 1.8
Jeevana CDSSS- Jalanidhi | Junior Engineer | Kaniyambatta, Wayanad, Kerala | Oct 2016 | Apr 2017 | 0Y 6M | 1.44</t>
  </si>
  <si>
    <t>Jalanidhi -Jeevana CDSSS | Junior Engineer | Kaniyambatta, Wayanad, Kerala | Oct 2016 | Apr 2017 | 29.142857142857 Weeks
Krishnamohan Memorial Govt ITI, Kalpetta, Wayanad | Junior Instructor | Kalpetta, Wayanad, Kerala | Apr 2017 | Nov 2017 | 29.142857142857 Weeks</t>
  </si>
  <si>
    <t>P26600003</t>
  </si>
  <si>
    <t>Abhishek</t>
  </si>
  <si>
    <t xml:space="preserve">Anant </t>
  </si>
  <si>
    <t>Joshi</t>
  </si>
  <si>
    <t>Abhishek Anant  Joshi</t>
  </si>
  <si>
    <t>abhishekjoshi9057@gmail.com</t>
  </si>
  <si>
    <t>P26600003@student.nicmar.ac.in</t>
  </si>
  <si>
    <t>Music,Cricket,Traveling</t>
  </si>
  <si>
    <t>Anant Joshi</t>
  </si>
  <si>
    <t>Suvarna Joshi</t>
  </si>
  <si>
    <t>Radhe Shyam Nivas, Shirur Tajband, Tq:-Ahmedpur, Dist:- Latur</t>
  </si>
  <si>
    <t xml:space="preserve">Vridavan Elite Pg, Woods regency,Balewadi Rd, Behind Amar Tech Park, Balewadi , Pune, Maharashtra </t>
  </si>
  <si>
    <t>Shri Mahesh Vidyalaya</t>
  </si>
  <si>
    <t>Maharashtra State Board of Secondary and Higher Secondary Education, Pune</t>
  </si>
  <si>
    <t>Diploma In Civil Engineering</t>
  </si>
  <si>
    <t xml:space="preserve">Government Polytechnic, Solapur </t>
  </si>
  <si>
    <t>Savitribai Phule Pune University</t>
  </si>
  <si>
    <t>JSPM's Rajarshri Shahu Collage of Engineering</t>
  </si>
  <si>
    <t>Autocad,MS Project,Primavera P6,Advance Excel</t>
  </si>
  <si>
    <t>Krishnae Infrastructure Pvt.Ltd | Jr.Quality Control Engineer | Pune  | Jan 2024 | Apr 2026 | 2Y 3M | 2.76</t>
  </si>
  <si>
    <t>Pyramid Infraventure LLP | Intern | Pune | Jun 2022 | Dec 2022 | 26.142857142857 Weeks</t>
  </si>
  <si>
    <t>P26600004</t>
  </si>
  <si>
    <t>GOWTHAM</t>
  </si>
  <si>
    <t>G D</t>
  </si>
  <si>
    <t>Gowtham G D</t>
  </si>
  <si>
    <t>totalgowtham@gmail.com</t>
  </si>
  <si>
    <t>P26600004@student.nicmar.ac.in</t>
  </si>
  <si>
    <t>16-Aug-2000</t>
  </si>
  <si>
    <t>Tamil,English,Hindi</t>
  </si>
  <si>
    <t>Music,Stop Motion Animation</t>
  </si>
  <si>
    <t>GANESAN S</t>
  </si>
  <si>
    <t>Salesman</t>
  </si>
  <si>
    <t>DHANALAKSHMI G</t>
  </si>
  <si>
    <t>2/5 Ondi Muthu Mastri Street, South Veli Street, Madurai - 625001</t>
  </si>
  <si>
    <t>K V T MATRIC HR SEC SCHOOL</t>
  </si>
  <si>
    <t>THE GANDHIGRAM RURAL INSTITUTE - DEEMED TO BE UNIVERSITY</t>
  </si>
  <si>
    <t>THE GANDHIGRAM RURAL INSTITUTE - DEEMED TO BE UNIVERSITY TAMIL NADU</t>
  </si>
  <si>
    <t>AutoCAD,MS Excel,MS Word,MS Powerpoint,MS Project,Primavera</t>
  </si>
  <si>
    <t>Freyssinet Menard India | Junior Engineer | Thane | Nov 2023 | Jun 2026 | 2Y 6M | 4.04</t>
  </si>
  <si>
    <t>Plastic Wastage Management
Manufacturing of Composites
Create a Project Management Tracker using Microsoft Excel
Foundations of Project Management</t>
  </si>
  <si>
    <t>P26600005</t>
  </si>
  <si>
    <t>MUKUNDH</t>
  </si>
  <si>
    <t>Mani Mukundh</t>
  </si>
  <si>
    <t>P26600005@student.nicmar.ac.in</t>
  </si>
  <si>
    <t>05-Apr-2001</t>
  </si>
  <si>
    <t>ENGLISH,MALAYALAM,TAMIL</t>
  </si>
  <si>
    <t>PLAYING CRICKET,playing badminton</t>
  </si>
  <si>
    <t>SELVAN</t>
  </si>
  <si>
    <t>GOLD APPRAISOR</t>
  </si>
  <si>
    <t>PUSHPALATHA</t>
  </si>
  <si>
    <t>MANIMAKUDAM HOUSE DEVANGAR STREET PALATHULLY PERUVEMBA PALAKKAD</t>
  </si>
  <si>
    <t>CHINMAYA VIDYALAYA</t>
  </si>
  <si>
    <t>KKMHSS VANDITHAVALAM</t>
  </si>
  <si>
    <t>BOARD OF HIGHER SECONDARY EXAMINATION, KERALA</t>
  </si>
  <si>
    <t>DHANALAKSHMI COLLEGE OF ENGINEERING</t>
  </si>
  <si>
    <t>autocad,Excel</t>
  </si>
  <si>
    <t>BLUE DALE CONSTRUCTION | SITE SUPERVISOR | COIMBATORE | Jul 2024 | Apr 2026 | 1Y 9M | 2</t>
  </si>
  <si>
    <t>Advaith Sreedev Architects and Infrastructure Developers | Site supervisor  | Alappuzha  | Sep 2021 | Oct 2021 | 2.2857142857143 Weeks</t>
  </si>
  <si>
    <t>P26600006</t>
  </si>
  <si>
    <t>Om</t>
  </si>
  <si>
    <t>Ashok</t>
  </si>
  <si>
    <t>Shelke</t>
  </si>
  <si>
    <t>Om Ashok Shelke</t>
  </si>
  <si>
    <t>P26600006@student.nicmar.ac.in</t>
  </si>
  <si>
    <t>Sports &amp; Strategy,Outdoor Activities,Organization &amp; Leadership,Community Development,Fitness &amp; Discipline</t>
  </si>
  <si>
    <t>9872 9485 1872</t>
  </si>
  <si>
    <t>Mina</t>
  </si>
  <si>
    <t>House Wife, Farmer</t>
  </si>
  <si>
    <t>At Post Nandur Shingote Tal. Sinnar Dist. Nashik</t>
  </si>
  <si>
    <t>Shri Bramhanand New English School &amp; Jr. College Dodi Bk</t>
  </si>
  <si>
    <t>Maharashtra State Board Secondary &amp; Higher Secondary Education Pune</t>
  </si>
  <si>
    <t>Amrutvahini College of Engineering Sangamner</t>
  </si>
  <si>
    <t>AutoCad,Advance Excel</t>
  </si>
  <si>
    <t>K K Thorat Construction Private Limited | Intern | Sangamner | May 2023 | Jul 2023 | 7.2857142857143 Weeks</t>
  </si>
  <si>
    <t>P26600007</t>
  </si>
  <si>
    <t>Atharva</t>
  </si>
  <si>
    <t>Udaykumar</t>
  </si>
  <si>
    <t>Deshmukh</t>
  </si>
  <si>
    <t>Atharva Udaykumar Deshmukh</t>
  </si>
  <si>
    <t>P26600007@student.nicmar.ac.in</t>
  </si>
  <si>
    <t>P24702074@student.nicmar.ac.in</t>
  </si>
  <si>
    <t>Travelling &amp; Exploring</t>
  </si>
  <si>
    <t>Consultant</t>
  </si>
  <si>
    <t>Uma</t>
  </si>
  <si>
    <t>H N C20 Abhishek Nagar, Taroda BK Road, Nanded</t>
  </si>
  <si>
    <t>Pratibha Niketan Highschool</t>
  </si>
  <si>
    <t>Maharashtra State Board</t>
  </si>
  <si>
    <t>Government Polytechnic College, Nanded</t>
  </si>
  <si>
    <t>2026-Jul</t>
  </si>
  <si>
    <t>PAH Solapur University</t>
  </si>
  <si>
    <t>Walchand Institute of Technology, Solapur Maharashtra</t>
  </si>
  <si>
    <t>Primaverse IDC LLP | Graduate Engineer - Civil | Pune | Aug 2025 | Feb 2026 | 0Y 6M | 1.68</t>
  </si>
  <si>
    <t>P26600008</t>
  </si>
  <si>
    <t>Vaibhav</t>
  </si>
  <si>
    <t>Ravindra</t>
  </si>
  <si>
    <t>Ranaware</t>
  </si>
  <si>
    <t>Vaibhav Ravindra Ranaware</t>
  </si>
  <si>
    <t>P26600008@student.nicmar.ac.in</t>
  </si>
  <si>
    <t>P25700021@student.nicmar.ac.in</t>
  </si>
  <si>
    <t>English,Marathi,hindi</t>
  </si>
  <si>
    <t>Swimming</t>
  </si>
  <si>
    <t>Veterinary Doctor</t>
  </si>
  <si>
    <t>Bharati</t>
  </si>
  <si>
    <t>Ap- Pimpalwadi , Sakharwadi Tel- Phaltan Dist- Satara</t>
  </si>
  <si>
    <t>Mahurgad Apartment, Sanjeevan Hosital, Near Garware College Metro, Erandwane, Pune</t>
  </si>
  <si>
    <t>Sakharwadi Vidyalya Madhyamik Vibhag, Sakharwadi</t>
  </si>
  <si>
    <t>Maharashtra State Board of Secondary and Higher Secondary Education, Pune. Kolhapur Divisional Board</t>
  </si>
  <si>
    <t>Government Polytechnic, Kolhapur</t>
  </si>
  <si>
    <t>G H Raisoni College of Engineering and Management Pune</t>
  </si>
  <si>
    <t>Microsoft Excel</t>
  </si>
  <si>
    <t>Spoken English Level - A2
NPTEL Principles of Construction Management
NPTEL Enhancing Soft skills and Personality</t>
  </si>
  <si>
    <t>P26600009</t>
  </si>
  <si>
    <t xml:space="preserve">Prathamesh </t>
  </si>
  <si>
    <t>Ravikant</t>
  </si>
  <si>
    <t>Bartakke</t>
  </si>
  <si>
    <t>Prathamesh  Ravikant Bartakke</t>
  </si>
  <si>
    <t>prathameshrbartakke@gmail.com</t>
  </si>
  <si>
    <t>P26600009@student.nicmar.ac.in</t>
  </si>
  <si>
    <t>Playing and watching cricket</t>
  </si>
  <si>
    <t>5/132, Main Road, Near  Janata Bank, Bartakke Building, Ichalkaranji-416115</t>
  </si>
  <si>
    <t>Vyankatrao Highschool and Junior College</t>
  </si>
  <si>
    <t>Civil Engineering</t>
  </si>
  <si>
    <t>Dr. Babasaheb Ambedkar Technological University, Loner-Raigad</t>
  </si>
  <si>
    <t>Sharad Institute of Technology College of Engineering, Yadrav</t>
  </si>
  <si>
    <t>Auto Cad,MS Office,MS Project,ERP (Quadra)</t>
  </si>
  <si>
    <t>L&amp;W Construction Pvt Ltd | Engineer QS | Pune | Aug 2023 | Jun 2026 | 2Y 10M | 3.6</t>
  </si>
  <si>
    <t>P26600010</t>
  </si>
  <si>
    <t>Leena</t>
  </si>
  <si>
    <t>Chandrakant</t>
  </si>
  <si>
    <t>Attarde</t>
  </si>
  <si>
    <t>Leena Chandrakant Attarde</t>
  </si>
  <si>
    <t>P26600010@student.nicmar.ac.in</t>
  </si>
  <si>
    <t>P25700643@student.nicmar.ac.in</t>
  </si>
  <si>
    <t>Travelling,Art,Organizing</t>
  </si>
  <si>
    <t>Retired Teacher</t>
  </si>
  <si>
    <t>Chandralekha</t>
  </si>
  <si>
    <t>Plot no 21, Devendra Nagar, Behind Aditya Plaza, Mahabal Road, Jalgaon</t>
  </si>
  <si>
    <t>Nandinibai Wamanrao Girls High School, Jalgaon</t>
  </si>
  <si>
    <t>Government Polytechnic, Jalgoan</t>
  </si>
  <si>
    <t>Kavayitri Bahinabai Chaudhari North Maharashtra University, Jalgaon</t>
  </si>
  <si>
    <t>G H Raisoni Institute of Business Management, Jalgaon</t>
  </si>
  <si>
    <t>AutoCAD,SAP MM ,MS Office</t>
  </si>
  <si>
    <t>Godrej Properties Limited | Senior Executive-Billing | Navi Mumbai | Mar 2026 | Jun 2026 | 0Y 2M | 6.5
Godrej Properties-(Payroll CIEL HR Services Limited  ) | Associate-Billing | Navi Mumbai | Oct 2024 | Mar 2026 | 1Y 5M | 4.64</t>
  </si>
  <si>
    <t>P26600011</t>
  </si>
  <si>
    <t xml:space="preserve">Shankar </t>
  </si>
  <si>
    <t>Navnath</t>
  </si>
  <si>
    <t>Shinde</t>
  </si>
  <si>
    <t>Shankar  Navnath Shinde</t>
  </si>
  <si>
    <t>shankarshinde1710@gmail.com</t>
  </si>
  <si>
    <t>P26600011@student.nicmar.ac.in</t>
  </si>
  <si>
    <t>17-Oct-2001</t>
  </si>
  <si>
    <t>Reading,Swimming</t>
  </si>
  <si>
    <t>Private Job</t>
  </si>
  <si>
    <t>Kerabai</t>
  </si>
  <si>
    <t xml:space="preserve">Gourishankar nagar tardal, Ichalkaranji </t>
  </si>
  <si>
    <t xml:space="preserve">Vinayak Highschool Shahapur, Ichalkaranji </t>
  </si>
  <si>
    <t xml:space="preserve">Civil Engineering </t>
  </si>
  <si>
    <t xml:space="preserve">Sharad Institute of Technology (SIT) Polytechnic, Yadrav, Ichalkaranji, Maharashtra </t>
  </si>
  <si>
    <t>Dr. Babasaheb Ambedkar Technological University</t>
  </si>
  <si>
    <t xml:space="preserve">Sharad Institute of Technology College of Engineering, Yadrav, Ichalkaranji, Maharashtra </t>
  </si>
  <si>
    <t>ERP,Autocad,MS office,MSP,Quantity take-off ,Billing</t>
  </si>
  <si>
    <t>L&amp;W Construction Private Limited | Engineer- QS &amp; Contract  | Mumbai  | Sep 2023 | Jul 2026 | 2Y 9M | 3.66</t>
  </si>
  <si>
    <t xml:space="preserve"> Advance Diploma in Structural Design &amp; Analysis</t>
  </si>
  <si>
    <t>P26600012</t>
  </si>
  <si>
    <t xml:space="preserve">Meghana </t>
  </si>
  <si>
    <t>Meghana  V R</t>
  </si>
  <si>
    <t>P26600012@student.nicmar.ac.in</t>
  </si>
  <si>
    <t>26-Oct-2002</t>
  </si>
  <si>
    <t>Kannada,English,Hindi,Telugu</t>
  </si>
  <si>
    <t>Sketching,Photography,Listening to Music</t>
  </si>
  <si>
    <t xml:space="preserve">8586 0013 5704 </t>
  </si>
  <si>
    <t>Raghu V N</t>
  </si>
  <si>
    <t xml:space="preserve">Farmer </t>
  </si>
  <si>
    <t>Shanthamma G N</t>
  </si>
  <si>
    <t xml:space="preserve">Home Maker </t>
  </si>
  <si>
    <t>Veerammanahalli, Alipur, Gauribidanur, Chikkaballapur, Karnataka - 561213</t>
  </si>
  <si>
    <t>ZAINABIYA HIGHT SCHOOL</t>
  </si>
  <si>
    <t>SARVODAYA PU COLLEGE</t>
  </si>
  <si>
    <t>KARNATAKA BOARD OF THE PRE UNIVERSITY EDUCATION</t>
  </si>
  <si>
    <t>VISVESVARAYA TECHNOLOGICAL UNIVERSITY, BELGAUM</t>
  </si>
  <si>
    <t xml:space="preserve"> SIR M VISVESVARAYA INSTITUTE OF TECHNOLOGY, BENGALURU</t>
  </si>
  <si>
    <t>AutoCAD,Advance MS Excel,Fasvision-ERP</t>
  </si>
  <si>
    <t>Sowparnika Projects  | Jr. Engineer - QS | Bangalore | Oct 2024 | Jun 2026 | 1Y 8M | 3.37</t>
  </si>
  <si>
    <t>L&amp;T Construction (Building &amp; Factories) | Student Intern  | Bangalore  | Aug 2023 | Sep 2023 | 4.4285714285714 Weeks</t>
  </si>
  <si>
    <t>Academic Excellence during academic year 2021-22
Inter College Cultural Fest (Kalanjali) Volunteering 
Recognition of Outstanding Volunteering for Various Events Organized by Institution</t>
  </si>
  <si>
    <t>P26600013</t>
  </si>
  <si>
    <t>Ashwin</t>
  </si>
  <si>
    <t>Caetano</t>
  </si>
  <si>
    <t>D'Souza</t>
  </si>
  <si>
    <t>Ashwin Caetano D'souza</t>
  </si>
  <si>
    <t>P26600013@student.nicmar.ac.in</t>
  </si>
  <si>
    <t>25-Aug-1998</t>
  </si>
  <si>
    <t>Reading,Music,Chess</t>
  </si>
  <si>
    <t>Clariano V. M. D'Souza</t>
  </si>
  <si>
    <t>Yvette Maria D'Souza</t>
  </si>
  <si>
    <t>Porvorim</t>
  </si>
  <si>
    <t>Don Bosco High School</t>
  </si>
  <si>
    <t>Goa Board</t>
  </si>
  <si>
    <t>Don Bosco Higher Secondary School</t>
  </si>
  <si>
    <t>Goa College of Engineering</t>
  </si>
  <si>
    <t>Goa University</t>
  </si>
  <si>
    <t>MSP,Primavera P6,Advanced Excel,Power BI,SAP- S4/HANA,MS office applications</t>
  </si>
  <si>
    <t>KEC International Limited | Planning Engineer | Jamshedpur, Jharkand | Oct 2024 | Jun 2026 | 1Y 7M | 6.5
Morada Spaces | Site Engineer | Goa | Jul 2023 | Jul 2024 | 1Y 0M | 4.2
Dwelve  Studio | Architectural Engineer | Goa | Feb 2022 | May 2023 | 1Y 3M | 2.70
D. W. Kamat Architects, Engineers and Valuers | Junior Valuer | Goa | Aug 2020 | Jan 2022 | 1Y 5M | 2.16</t>
  </si>
  <si>
    <t>IAB Digital Marketing and Media Foundations Certification
Primavera P6 Enterprise Project Portfolio Management Essentials</t>
  </si>
  <si>
    <t>P26600014</t>
  </si>
  <si>
    <t>Rushikesh</t>
  </si>
  <si>
    <t>Kishor</t>
  </si>
  <si>
    <t>Pagar</t>
  </si>
  <si>
    <t>Rushikesh Kishor Pagar</t>
  </si>
  <si>
    <t>P26600014@student.nicmar.ac.in</t>
  </si>
  <si>
    <t>07-Mar-1999</t>
  </si>
  <si>
    <t>Reading,Driving,Travelling</t>
  </si>
  <si>
    <t>Highschool Teacher</t>
  </si>
  <si>
    <t>Asha</t>
  </si>
  <si>
    <t xml:space="preserve">Housewife </t>
  </si>
  <si>
    <t>Lilawati Niwas, Behind J.T.K Highschool , Nandgaon, Nashik</t>
  </si>
  <si>
    <t>Ultima Boys Hostel, Nicmar University, Balewadi ,Pune</t>
  </si>
  <si>
    <t>New English school Nandgaon , Nashik</t>
  </si>
  <si>
    <t>Arts , Commerce, and Science College Nandgaon , Nashik</t>
  </si>
  <si>
    <t>Savitribai Phule Pune University, Pune</t>
  </si>
  <si>
    <t>Gokhale Education Society's R.H.Sapat College of Engineering , Nashik</t>
  </si>
  <si>
    <t>Tekla,SDS2,AutoCAD,MS Excel</t>
  </si>
  <si>
    <t>Prothious Engineering Services Private Limited | Jr. Tekla Modeler and Checker | Nashik | Jul 2023 | Sep 2025 | 2Y 2M | 3.31</t>
  </si>
  <si>
    <t>P26600015</t>
  </si>
  <si>
    <t>MAHENDRABABU</t>
  </si>
  <si>
    <t>TEKU</t>
  </si>
  <si>
    <t>Mahendrababu Teku</t>
  </si>
  <si>
    <t>P26600015@student.nicmar.ac.in</t>
  </si>
  <si>
    <t>28-Mar-2003</t>
  </si>
  <si>
    <t>Music,Playing carroms,Yoga and Meditation</t>
  </si>
  <si>
    <t>TEKU SUBBARAO</t>
  </si>
  <si>
    <t>TEKU NARASAMMA</t>
  </si>
  <si>
    <t>3-23/1, Jagannadhapuram, Post Office:Jagannadhapuram</t>
  </si>
  <si>
    <t>3-23/1, Jagannadhapuram, Post Office:Jagannadhapurami</t>
  </si>
  <si>
    <t>D S R Z P P HIGH SCHOOL,PODURU, WEST GODAVARI DISTRICT</t>
  </si>
  <si>
    <t>WEST GODAVARI,ANDHRA PRADESH</t>
  </si>
  <si>
    <t>S.M.V.M. POLYTECHNIC-TANUKU</t>
  </si>
  <si>
    <t>JAWAHARLAL NEHRU TECHNOLOGICAL UNIVERSITY,KAKINADA</t>
  </si>
  <si>
    <t>SAGI RAMA KRISHNAM RAJU ENGINEERING COLLEGE, WEST GODAVARI, ANDHRA PRADESH</t>
  </si>
  <si>
    <t>AutoCAD,Advanced MS Excel,MS Office,MS Project,CostX,Revit</t>
  </si>
  <si>
    <t>OPTIVAL HEALTH SOLUTIONS PVT LTD | Project Co-Ordinator | Hyderabad  | May 2025 | Jun 2026 | 1Y 0M | 3
DESIGNS N FINISHINGS | Jr.Project Engineer | Guntur | Apr 2024 | May 2025 | 1Y 0M | 2</t>
  </si>
  <si>
    <t>GOVERNMENT OF ANDHRA PRADESH – RWS&amp;S DEPARTMENT | Induatrial Trainee | West Godavari | Apr 2021 | Sep 2021 | 20.428571428571 Weeks
ASCENT CS GLOBAL | Design and BIM Intern | HYDERABAD | Jul 2022 | Sep 2022 | 8.7142857142857 Weeks
SLV BUILDERS &amp; DEVELOPERS PVT. LTD. | Project Implementation Intern | AMARAVATI | Jun 2023 | Aug 2023 | 8.7142857142857 Weeks
SKILLDZIRE | Structural Design Intern | West Godavari | Dec 2023 | Apr 2024 | 17.428571428571 Weeks</t>
  </si>
  <si>
    <t>P26600016</t>
  </si>
  <si>
    <t>Sanket</t>
  </si>
  <si>
    <t>Panbude</t>
  </si>
  <si>
    <t>Sanket Ravindra Panbude</t>
  </si>
  <si>
    <t>P26600016@student.nicmar.ac.in</t>
  </si>
  <si>
    <t>chase,reading philosopy,exercise</t>
  </si>
  <si>
    <t>Shardha</t>
  </si>
  <si>
    <t>Ward no. 2 near Balaji mandir waigaon nipani wardha Maharashtra India</t>
  </si>
  <si>
    <t>Fortress Infracon Ltd | Highway Engineer  | Nashik | Apr 2026 | Jun 2026 | 0Y 2M | 3.60
Superb Hygienic Disposal India Pvt.Ltd. | Civil Site Engineer  | Wardha | Mar 2024 | Oct 2024 | 0Y 7M | 1.44</t>
  </si>
  <si>
    <t>P26600017</t>
  </si>
  <si>
    <t>Bhushan</t>
  </si>
  <si>
    <t>Balkrishna</t>
  </si>
  <si>
    <t>Mahakalkar</t>
  </si>
  <si>
    <t>Bhushan Balkrishna Mahakalkar</t>
  </si>
  <si>
    <t>P26600017@student.nicmar.ac.in</t>
  </si>
  <si>
    <t>Gym,swimming,reading books,cycling</t>
  </si>
  <si>
    <t>Balkrishna Dnyaneshwar Mahakalkar</t>
  </si>
  <si>
    <t>Mechanic</t>
  </si>
  <si>
    <t>Sharada Balkrishna Mahakalkar</t>
  </si>
  <si>
    <t>At. Post Pawnar, Tah. dist. Wardha Hanuman ward no.1 ,Pawnar</t>
  </si>
  <si>
    <t>Baburaoji Bangde Vidhyalaya ,Pawnar</t>
  </si>
  <si>
    <t>Maharashtra State Board of Secondary and Higher Secondary Education (MSBSHSE)</t>
  </si>
  <si>
    <t>Jankidevi Bajaj College of Science ,Wardha</t>
  </si>
  <si>
    <t>Dr. Babasaheb Ambedkar Technological University Lonere, Raigad</t>
  </si>
  <si>
    <t>Bajaj Institute Of Technology, Wardha</t>
  </si>
  <si>
    <t>TULJAI INFRASTRUCTURE  | Site Engineer | Katol,Amaravati | Feb 2024 | Feb 2026 | 2Y 0M | 2.64</t>
  </si>
  <si>
    <t>Public Works Division Wardha | Site Engineer | Seloo | Feb 2022 | Jul 2022 | 25.714285714286 Weeks</t>
  </si>
  <si>
    <t>P26600018</t>
  </si>
  <si>
    <t>Nikhil</t>
  </si>
  <si>
    <t>Tatyarao</t>
  </si>
  <si>
    <t>Murumkar</t>
  </si>
  <si>
    <t>Nikhil Tatyarao Murumkar</t>
  </si>
  <si>
    <t>P26600018@student.nicmar.ac.in</t>
  </si>
  <si>
    <t>10-Jun-1995</t>
  </si>
  <si>
    <t>strategy and team-based games,Music</t>
  </si>
  <si>
    <t xml:space="preserve">Retired Government Civil Engineer </t>
  </si>
  <si>
    <t>Vidhya</t>
  </si>
  <si>
    <t xml:space="preserve">Shantai niwas near datta mandir prakash nagar latur </t>
  </si>
  <si>
    <t>Nicmar boys hostel balewadi road ram nagar baner</t>
  </si>
  <si>
    <t>Saraswati Vidyalay Latur</t>
  </si>
  <si>
    <t>Maharashtra State Board Latur</t>
  </si>
  <si>
    <t>Dayanand Science College Latur</t>
  </si>
  <si>
    <t>Sandipani Technical Campus Latur</t>
  </si>
  <si>
    <t>JSPM Narhe Technical Campus Pune</t>
  </si>
  <si>
    <t>Autocad Civil</t>
  </si>
  <si>
    <t>P26600019</t>
  </si>
  <si>
    <t>SURVASE</t>
  </si>
  <si>
    <t>Samruddhi Ashok Survase</t>
  </si>
  <si>
    <t>survasesamruddhi@gmail.com</t>
  </si>
  <si>
    <t>P26600019@student.nicmar.ac.in</t>
  </si>
  <si>
    <t>HINDI,English,Marathi</t>
  </si>
  <si>
    <t>Listening Music,Travelling</t>
  </si>
  <si>
    <t>JAYSHREE</t>
  </si>
  <si>
    <t>C/O 3/4 Powai Collorination Housing Society, Vikhroli Jogeshwari Link Road, Opp I.E.E.S School, Powai Sakinaka, Mumbai, Maharshtra 400072</t>
  </si>
  <si>
    <t>St. Lawrence High School</t>
  </si>
  <si>
    <t>Maharashtra Board</t>
  </si>
  <si>
    <t>Government Polytechnic Mumbai</t>
  </si>
  <si>
    <t>A P Shah Institute of Technology Mumbai.</t>
  </si>
  <si>
    <t>Autocad,MS Office,ERP</t>
  </si>
  <si>
    <t>UK Realty | Contracts Engineer | Andheri West | Jan 2026 | Jun 2026 | 0Y 5M | 3.50
Arkade developers Ltd | Graduate Trainee Engineer | kandivali | Jun 2024 | Dec 2025 | 1Y 5M | 2.85</t>
  </si>
  <si>
    <t>autocad</t>
  </si>
  <si>
    <t>P26600020</t>
  </si>
  <si>
    <t>Mahesh</t>
  </si>
  <si>
    <t>Vasudeo</t>
  </si>
  <si>
    <t>Patil</t>
  </si>
  <si>
    <t>Mahesh Vasudeo Patil</t>
  </si>
  <si>
    <t>P26600020@student.nicmar.ac.in</t>
  </si>
  <si>
    <t>Marathi,Hindi,english</t>
  </si>
  <si>
    <t>Photography Shoots</t>
  </si>
  <si>
    <t>Devini</t>
  </si>
  <si>
    <t>Matoshree Ramubai Niwas
Devnagari Society</t>
  </si>
  <si>
    <t xml:space="preserve">Private Highschool Pen </t>
  </si>
  <si>
    <t>SSC</t>
  </si>
  <si>
    <t xml:space="preserve">SARVAJANIK VIDYAMANDIR AND JUNIOR COLLEGE PEN </t>
  </si>
  <si>
    <t>HSC</t>
  </si>
  <si>
    <t>Pillai HOC College of Engineering &amp; Technology Rasayani/Maharashtra</t>
  </si>
  <si>
    <t>MS Office,MS Project,Autocad</t>
  </si>
  <si>
    <t>Dbafna Developers | Jr. Civil Engineer | Pen-Raigad, Maharashtra | Jun 2023 | Oct 2025 | 2Y 4M | 2.76</t>
  </si>
  <si>
    <t>P26600021</t>
  </si>
  <si>
    <t>Rakhi</t>
  </si>
  <si>
    <t>Pramod</t>
  </si>
  <si>
    <t>Mahalle</t>
  </si>
  <si>
    <t>Rakhi Pramod Mahalle</t>
  </si>
  <si>
    <t>P26600021@student.nicmar.ac.in</t>
  </si>
  <si>
    <t>05-Aug-2001</t>
  </si>
  <si>
    <t>Painting,cooking</t>
  </si>
  <si>
    <t>Farmar</t>
  </si>
  <si>
    <t>Vandana</t>
  </si>
  <si>
    <t>At.  Kotegaon
Post. Khaspur 
Tah. Anjangaon Surji 
Dist. Amravati</t>
  </si>
  <si>
    <t>Prabodhan Vidyalaya Daryapur</t>
  </si>
  <si>
    <t>Maharashtra State Board of Secondary and Higher Secondary Education Pune</t>
  </si>
  <si>
    <t>Shri Shivaji Science College Amravati</t>
  </si>
  <si>
    <t>Maharashtra State Board Secondary and Higher Secondary Education Pune</t>
  </si>
  <si>
    <t>Government Polytechnic Amravati</t>
  </si>
  <si>
    <t>Rashtrasant Tukadoji Maharaj Nagpur University</t>
  </si>
  <si>
    <t>G H Raisoni Institute of Engineering and Technology Nagpur</t>
  </si>
  <si>
    <t>AutoCAD,SAP,MS Office</t>
  </si>
  <si>
    <t>KEC INTERNATIONAL LIMITED | BILLING ENGINEER | PUNE, MAHARASHTRA | Aug 2024 | Jul 2026 | 1Y 11M | 4</t>
  </si>
  <si>
    <t>Public Work Department Nagpur | Trainee | Nagpur | Jan 2024 | Jun 2024 | 25.857142857143 Weeks</t>
  </si>
  <si>
    <t>P26600022</t>
  </si>
  <si>
    <t>Sumit</t>
  </si>
  <si>
    <t>Balasaheb</t>
  </si>
  <si>
    <t>Deokule</t>
  </si>
  <si>
    <t>Sumit Balasaheb Deokule</t>
  </si>
  <si>
    <t>P26600022@student.nicmar.ac.in</t>
  </si>
  <si>
    <t>Marathi,English,hindi</t>
  </si>
  <si>
    <t>Reading,sketching,painting</t>
  </si>
  <si>
    <t>2178 6184 9110</t>
  </si>
  <si>
    <t>Balasaheb Tukaram Deokule</t>
  </si>
  <si>
    <t>Goverment Service</t>
  </si>
  <si>
    <t>Hemlata Balasaheb Deokule</t>
  </si>
  <si>
    <t>Phase 1, B/304, Shobha Park Apt, Gandhamnagar, Khadki Cantt Board, Pune</t>
  </si>
  <si>
    <t>Panna English High School</t>
  </si>
  <si>
    <t>Maharashtra State Board Of Secondary And Higher Secondary Education</t>
  </si>
  <si>
    <t>Bharat College</t>
  </si>
  <si>
    <t xml:space="preserve">Diploma In Civil Engineering </t>
  </si>
  <si>
    <t>Dilkap Research Institute Of Engineering &amp; Management  Studies</t>
  </si>
  <si>
    <t xml:space="preserve">Savitribai Phule Pune University </t>
  </si>
  <si>
    <t>Padmabhooshan Vasantraodada Patil Institute of Technology, Bavdhan</t>
  </si>
  <si>
    <t>P26600023</t>
  </si>
  <si>
    <t xml:space="preserve">Rushikesh </t>
  </si>
  <si>
    <t>Sunil</t>
  </si>
  <si>
    <t xml:space="preserve">Bhosale </t>
  </si>
  <si>
    <t xml:space="preserve">Rushikesh  Sunil Bhosale </t>
  </si>
  <si>
    <t>P26600023@student.nicmar.ac.in</t>
  </si>
  <si>
    <t>Marathi English,Hindi</t>
  </si>
  <si>
    <t>Reading books</t>
  </si>
  <si>
    <t xml:space="preserve">Jyoti </t>
  </si>
  <si>
    <t>Ward No. 1 At.Post. Selukate Tah. Wardha 
Dist. Wardha, Maharashtra 442001</t>
  </si>
  <si>
    <t xml:space="preserve">Yashwant High School, Wardha </t>
  </si>
  <si>
    <t>Maharashtra State Board Of Secondary And Higher Secondary Education, Nagpur</t>
  </si>
  <si>
    <t>Om Satya Sai High School, Bhandra</t>
  </si>
  <si>
    <t xml:space="preserve">Dr. Babasaheb Ambedkar Technological University </t>
  </si>
  <si>
    <t xml:space="preserve">Bajaj Institute Of Technology </t>
  </si>
  <si>
    <t>P26600024</t>
  </si>
  <si>
    <t>Dileep</t>
  </si>
  <si>
    <t>T L</t>
  </si>
  <si>
    <t>Dileep T L</t>
  </si>
  <si>
    <t>P26600024@student.nicmar.ac.in</t>
  </si>
  <si>
    <t>11-May-1999</t>
  </si>
  <si>
    <t>Kannada,hindi,english</t>
  </si>
  <si>
    <t>Basketball,Movies,music</t>
  </si>
  <si>
    <t>Lingaiah T E</t>
  </si>
  <si>
    <t>Savithramma H B</t>
  </si>
  <si>
    <t>Govt. Teacher</t>
  </si>
  <si>
    <t>Byraveshwara nilaya, Venkatadri bavane, Belagumba, Tumkur</t>
  </si>
  <si>
    <t>SIDDAGANGA JUNIOR COLLEGE, TUMAKURU</t>
  </si>
  <si>
    <t xml:space="preserve">CIVIL ENGINERRING </t>
  </si>
  <si>
    <t>SYDDAGANGA POLYTECHNIC TUMKUR</t>
  </si>
  <si>
    <t>ACHARYA INSTITUTE OF TECHNOLOGY, BANGALORE</t>
  </si>
  <si>
    <t>Auto CAD,BBS software,MS office</t>
  </si>
  <si>
    <t>Terra products | Junior Rebar Detailer | BANGLORE | Oct 2023 | May 2026 | 2Y 7M | 2.99</t>
  </si>
  <si>
    <t>P26600026</t>
  </si>
  <si>
    <t xml:space="preserve">Ashlesha </t>
  </si>
  <si>
    <t>Arunrao</t>
  </si>
  <si>
    <t>Naktode</t>
  </si>
  <si>
    <t>Ashlesha  Arunrao Naktode</t>
  </si>
  <si>
    <t>P26600026@student.nicmar.ac.in</t>
  </si>
  <si>
    <t>17-Mar-1997</t>
  </si>
  <si>
    <t>Playing Flute,Listening Music</t>
  </si>
  <si>
    <t>Arun Ramraoji Naktode</t>
  </si>
  <si>
    <t>Retired Police Sub-Inspector</t>
  </si>
  <si>
    <t>Sandhya Arun Naktode</t>
  </si>
  <si>
    <t>Home Maker</t>
  </si>
  <si>
    <t>402, Krishna Vatika Appt., Indraprasth Society, Near Kalode College, Omkar Nagar, Nagpur, 440027</t>
  </si>
  <si>
    <t>Vrindavan Elite PG 2 Service, Sai Chowk, Balewadi Road, Behind Tapas Elder Care, Balewadi, Pune, 411045</t>
  </si>
  <si>
    <t>Naktode Ashlesha Arunrao</t>
  </si>
  <si>
    <t>Maharashtra State Board of Secondary and Higher Secondary Education, Pune.</t>
  </si>
  <si>
    <t xml:space="preserve">Rashtrasant Tukdoji Maharaj Nagpur University </t>
  </si>
  <si>
    <t>G. H. Raisoni Academy of Engineering and Technology, Nagpur, Maharashtra.</t>
  </si>
  <si>
    <t>AutoCAD,MS Office,WaterGEMS,SewerGEMS,QGIS</t>
  </si>
  <si>
    <t>Choice Consultancy Services Pvt. Ltd. | Supervisor Cum Construction Manager | Nagpur, Maharashtra. | Feb 2023 | May 2026 | 3Y 2M | 3.76
SD Engineering | Sr. Engineer (C) | Nagpur, Maharashtra. | Nov 2021 | Jan 2023 | 1Y 2M | 2.04</t>
  </si>
  <si>
    <t>4 Years 5 Months</t>
  </si>
  <si>
    <t>Design of Waste Water System - SEWERGEMS.</t>
  </si>
  <si>
    <t>P26600027</t>
  </si>
  <si>
    <t xml:space="preserve">Nitin </t>
  </si>
  <si>
    <t>Vidyarthi</t>
  </si>
  <si>
    <t>Jha</t>
  </si>
  <si>
    <t>Nitin  Vidyarthi Jha</t>
  </si>
  <si>
    <t>nitin7mishra@gmail.com</t>
  </si>
  <si>
    <t>P26600027@student.nicmar.ac.in</t>
  </si>
  <si>
    <t>31-Jul-1995</t>
  </si>
  <si>
    <t>Reading, Music</t>
  </si>
  <si>
    <t>Bishnukant Mishra</t>
  </si>
  <si>
    <t>Civil Site Supervisor</t>
  </si>
  <si>
    <t>Mala Mishra</t>
  </si>
  <si>
    <t xml:space="preserve">A/404 Bachraj Lifespace YK nagar NX Virar (w) </t>
  </si>
  <si>
    <t>St.Francis High School</t>
  </si>
  <si>
    <t>Maharashtra state Board of secondary and Higher secondary Education,</t>
  </si>
  <si>
    <t>Diploma in Construction Technology</t>
  </si>
  <si>
    <t>Bhausaheb Vartak Polytechnic, Palghar, Maharashtra</t>
  </si>
  <si>
    <t>University of Mumbai</t>
  </si>
  <si>
    <t>Viva Institute of Technology, Palghar, Maharashtra</t>
  </si>
  <si>
    <t>DBOT Realty Pvt Ltd | Assistant manager - Project Monitoring (Grade - E2) | Mumbai | Mar 2026 | Jun 2026 | 0Y 3M | 7.47
Lodha Developers  | Site Engineer - Construction Management (Level : 4A) | Mumbai | Jan 2025 | Mar 2026 | 1Y 1M | 6.00
CONCEPTUAL ADVISORY SERVICES LLP | Site Engineer -  Construction | Mumbai | Jul 2022 | Jan 2025 | 2Y 5M | 4.95
Shri Chamunda Enterprises | Junior Engineer - Execution and Billing | Mumbai | Jan 2017 | Jul 2019 | 2Y 6M | 3.50
Kukreja Builders Pvt Ltd | Junior Site Engineer | Mumbai | Jan 2015 | Dec 2016 | 1Y 11M | 0.68</t>
  </si>
  <si>
    <t>8 Years 4 Months</t>
  </si>
  <si>
    <t>AutoCAD
MS Office
Advance Excel
Microsoft Project
Primavera</t>
  </si>
  <si>
    <t>P26600028</t>
  </si>
  <si>
    <t>Anil</t>
  </si>
  <si>
    <t>Sanket Anil Patil</t>
  </si>
  <si>
    <t>P26600028@student.nicmar.ac.in</t>
  </si>
  <si>
    <t>Marathi,English,Hindhi</t>
  </si>
  <si>
    <t>Exploring new places to understand diverse cultures and local communities.</t>
  </si>
  <si>
    <t>Anil Punju Patil</t>
  </si>
  <si>
    <t>Bus Conductor (MSRTC)</t>
  </si>
  <si>
    <t>Sunita Anil Patil</t>
  </si>
  <si>
    <t>24-B, Sane Guruji Colony, Nimzari Naka, Shirpur, Taluka: Shirpur, District: Dhule.</t>
  </si>
  <si>
    <t>R.C.Patel Secondary School Shirpur</t>
  </si>
  <si>
    <t>Maharashtra State Board Of Secondary And Higher Secondary Pune</t>
  </si>
  <si>
    <t>R.C.Patel Polytechnic Shirpur,Maharashtra</t>
  </si>
  <si>
    <t>Kavayitri Bahinabai Chaudhari North Maharashtra University Jalgaon,Maharashtra</t>
  </si>
  <si>
    <t>SSBT College Of Engineering And Technology, Bambhori, Jalgaon</t>
  </si>
  <si>
    <t>AutoCAD,Concrete Mix Design</t>
  </si>
  <si>
    <t>Pace Digitek limited. | Quality Engineer | Dhule/Nandurbar District  | Feb 2024 | Mar 2026 | 2Y 1M | 3.86
Nashik Municipal Smart City Development Corporation Limited (NMSCDCL) | Civil Intern | Nashik | Sep 2022 | May 2025 | 2Y 8M | 0.96</t>
  </si>
  <si>
    <t>4 Years 10 Months</t>
  </si>
  <si>
    <t>P26600029</t>
  </si>
  <si>
    <t>Siddhi</t>
  </si>
  <si>
    <t>Pradip</t>
  </si>
  <si>
    <t>Siddhi Pradip Deshmukh</t>
  </si>
  <si>
    <t>P26600029@student.nicmar.ac.in</t>
  </si>
  <si>
    <t>15-May-1996</t>
  </si>
  <si>
    <t>Ashwini</t>
  </si>
  <si>
    <t>Flat No 3802, Vista, Ten X Habitat, Raymond Realty, Pokharan Road N0.1 Thane (W)</t>
  </si>
  <si>
    <t>Nicmar Mellenium Girls Hostel, Ram Nagar, Baner, Pune</t>
  </si>
  <si>
    <t>G V Khade Vidyalaya, Shahapur</t>
  </si>
  <si>
    <t>Maharashtra State Board For Secondary and Higher Secondary Education, Pune</t>
  </si>
  <si>
    <t>Government Polytechnic, Thane</t>
  </si>
  <si>
    <t>University Of Mumbai</t>
  </si>
  <si>
    <t>MGM College of Engineering and Technology</t>
  </si>
  <si>
    <t>MS Office,MS Project,Advance Excel,AutoCAD</t>
  </si>
  <si>
    <t xml:space="preserve">Papaya Constructions Pvt Ltd | Tendering And Billing Engineer | Matunga Road, Mumbai | Sep 2025 | Jun 2026 | 0Y 9M | 5 
Land Records Department, Maharashtra State | Surveyor | Vasai, Maharashtra | Aug 2024 | Aug 2025 | 1Y 0M | 5 </t>
  </si>
  <si>
    <t>P26600030</t>
  </si>
  <si>
    <t>Shreyash</t>
  </si>
  <si>
    <t>Sanjayrao</t>
  </si>
  <si>
    <t>Gulhane</t>
  </si>
  <si>
    <t>Shreyash Sanjayrao Gulhane</t>
  </si>
  <si>
    <t>P26600030@student.nicmar.ac.in</t>
  </si>
  <si>
    <t>Travelling,Listening music</t>
  </si>
  <si>
    <t>Sanjay</t>
  </si>
  <si>
    <t>Shopkeeper</t>
  </si>
  <si>
    <t>Kanchan</t>
  </si>
  <si>
    <t>Radhakrushna Colony , Morshi , Dis Amravati</t>
  </si>
  <si>
    <t>Shri. Shivaji High School , Morshi</t>
  </si>
  <si>
    <t>Maharashtra State Board of Secondary and Higher Secondary Education , Pune</t>
  </si>
  <si>
    <t>Shri. R.R. Lahoti Science College , Morshi</t>
  </si>
  <si>
    <t>Dr. Babasaheb Ambedkar Technological University, Lonere</t>
  </si>
  <si>
    <t>Bajaj Institute of Technology, Wardha</t>
  </si>
  <si>
    <t>Auocad</t>
  </si>
  <si>
    <t>Indu Construction  | Site Engineer Execution | Amravati | Nov 2023 | May 2026 | 2Y 6M | 2.6</t>
  </si>
  <si>
    <t>P26600031</t>
  </si>
  <si>
    <t>Sahil</t>
  </si>
  <si>
    <t>Meghnath</t>
  </si>
  <si>
    <t>Mayekar</t>
  </si>
  <si>
    <t>Sahil Meghnath Mayekar</t>
  </si>
  <si>
    <t>P26600031@student.nicmar.ac.in</t>
  </si>
  <si>
    <t>Reading,Swimming,Cricket Playing</t>
  </si>
  <si>
    <t>Service</t>
  </si>
  <si>
    <t>Madhavi</t>
  </si>
  <si>
    <t>2/2B, S.P.Kawliwadi, Lady Jamshedgi Road, Opp. Gopi Tank Market, Mahim, Mumbai.</t>
  </si>
  <si>
    <t>I.E.S Mulund</t>
  </si>
  <si>
    <t>Maharashtra State Board of Secondary and Higher Secondary Education, Mumbai, Maharashtra</t>
  </si>
  <si>
    <t>V.G. Vaze Kelkar College of Arts, Science and Commerce</t>
  </si>
  <si>
    <t>Mumbai  University</t>
  </si>
  <si>
    <t>A. P. Shah Institute of Technology, Thane, Maharashtra</t>
  </si>
  <si>
    <t>MS Project,primavera,Autocad,MS Excel,Revit,Navisworks,PowerBi,Ms Office,CostX,BIM</t>
  </si>
  <si>
    <t>JISCO Construction | Site Engineer | Thane | Jun 2022 | Feb 2023 | 0Y 8M | 1.68
Amiand Consuting Pvt. Ltd. | Project Engineer cum Business Development | Andheri | Mar 2023 | May 2024 | 1Y 2M | 1.92
Foundation Engineering Company India Pvt  Ltd. | Site Engineer | Worli | Jul 2024 | Nov 2025 | 1Y 4M | 2.70
M/s Dynasoure Concrete Treatment Pvt Ltd | Tender cum Contracts Executive | Navi Mumbai | Feb 2026 | Jul 2026 | 0Y 4M | 3.81</t>
  </si>
  <si>
    <t>APSIT SKILLS
Primavera
Quality Achievement Certificate</t>
  </si>
  <si>
    <t>P26600032</t>
  </si>
  <si>
    <t>Audhoot</t>
  </si>
  <si>
    <t>Santosh</t>
  </si>
  <si>
    <t>Oshramkar</t>
  </si>
  <si>
    <t>Audhoot Santosh Oshramkar</t>
  </si>
  <si>
    <t>P26600032@student.nicmar.ac.in</t>
  </si>
  <si>
    <t>cricket,Trekking</t>
  </si>
  <si>
    <t>job</t>
  </si>
  <si>
    <t>Sujata</t>
  </si>
  <si>
    <t>Vrindavan Bidg No.2,Room no 116,1st Floor.Dr Ambedkar Road, Lalbaug, Parel.</t>
  </si>
  <si>
    <t>Chikitsak Samuha Shirolkar High School</t>
  </si>
  <si>
    <t>Wilson College</t>
  </si>
  <si>
    <t>Thakur Polytechnic</t>
  </si>
  <si>
    <t xml:space="preserve">Mumbai University </t>
  </si>
  <si>
    <t>Vishwaniketan's Institute of Management Entrepreneurship and Engineering Technology</t>
  </si>
  <si>
    <t>M/S.Vijay Construction Co. | Site Engineer  | Antop Hill, Mumbai | Jun 2024 | Jun 2026 | 2Y 0M | 3.21</t>
  </si>
  <si>
    <t>P26600033</t>
  </si>
  <si>
    <t>Swapnil Kumar</t>
  </si>
  <si>
    <t>swapnilkumar1995@gmail.com</t>
  </si>
  <si>
    <t>P26600033@student.nicmar.ac.in</t>
  </si>
  <si>
    <t>16-Nov-1996</t>
  </si>
  <si>
    <t>Listening Music,Traveling Abroad,Reading Newspaper</t>
  </si>
  <si>
    <t>SHAILENDRA KUMAR</t>
  </si>
  <si>
    <t>Retd. Executive Engineer</t>
  </si>
  <si>
    <t>ANJU SINHA</t>
  </si>
  <si>
    <t xml:space="preserve">CHASMA CENTRE LANE MAGADH COLONY KURJEE </t>
  </si>
  <si>
    <t>INDRAPURI ROAD NO 6 NEAR SHIV MANDIR HOUSE NO OPPOSITE OF 6/45.</t>
  </si>
  <si>
    <t xml:space="preserve">ST MICHAELS HIGH SCHOOL </t>
  </si>
  <si>
    <t>PATNA</t>
  </si>
  <si>
    <t xml:space="preserve">MAHANT HANUMAN SHARAN COLLEGE </t>
  </si>
  <si>
    <t>MAGADH UNIVERSITY</t>
  </si>
  <si>
    <t xml:space="preserve">R P SHARMA INSTITUTE OF TECHNOLOGY </t>
  </si>
  <si>
    <t>GVPR ENGINEERS LIMITED | JUNIOUR ENGINEER LIAISON | BIHAR (MUNGER) | Jul 2025 | Jun 2026 | 0Y 11M | 2.70
SHANTI BBCPL JV | SITE ENGINEER | BIHAR ( PATNA) | Mar 2024 | May 2025 | 1Y 2M | 2.16
VIJETA PROJECTS &amp; INFRASTRUCTURES LTD | SITE ENGINEER | BIHAR (JAMUI)  | Jan 2020 | Mar 2024 | 4Y 2M | 2.04</t>
  </si>
  <si>
    <t>6 Years 4 Months</t>
  </si>
  <si>
    <t>BSRDCL  | TRAINEE INTERNSHIP | BIHAR (PATNA) | Mar 2018 | Mar 2018 | 2.1428571428571 Weeks</t>
  </si>
  <si>
    <t>AUTOCAD
REVIT (ARCHITECTURE)
STAAD PRO V8i
CIVIQ EVENT (NIT PATNA)</t>
  </si>
  <si>
    <t>P26600034</t>
  </si>
  <si>
    <t>Virensingh</t>
  </si>
  <si>
    <t>Gokulsingh</t>
  </si>
  <si>
    <t>Rajput</t>
  </si>
  <si>
    <t>Virensingh Gokulsingh Rajput</t>
  </si>
  <si>
    <t>P26600034@student.nicmar.ac.in</t>
  </si>
  <si>
    <t>P25700198@student.nicmar.ac.in</t>
  </si>
  <si>
    <t>14-Jan-1998</t>
  </si>
  <si>
    <t>Riding bike,Reading newspaper,Travelling</t>
  </si>
  <si>
    <t>Na</t>
  </si>
  <si>
    <t>Jayshree</t>
  </si>
  <si>
    <t>4 shri vrundavan apartment, near sai saya bunglow ,savarkar nagar, sai mandir , gangapur road, nashik</t>
  </si>
  <si>
    <t>Navarachana vidyalaya</t>
  </si>
  <si>
    <t xml:space="preserve">Maharashtra State board of Secondary and higher Secondary education, nashik/maharashtra </t>
  </si>
  <si>
    <t>Hpt arts and ryk science college</t>
  </si>
  <si>
    <t>Savitribai fule Pune University</t>
  </si>
  <si>
    <t xml:space="preserve">Sandeep institute of engineering and management , nashik/maharashtra </t>
  </si>
  <si>
    <t>Autocad,Ms office</t>
  </si>
  <si>
    <t>Mahimtura consultants Pvt.ltd. | QMA | Mumbai | Jun 2025 | Jun 2026 | 1Y 0M | 4.2</t>
  </si>
  <si>
    <t>P26600035</t>
  </si>
  <si>
    <t>Rahul</t>
  </si>
  <si>
    <t>Mane</t>
  </si>
  <si>
    <t>Rahul Ashok Mane</t>
  </si>
  <si>
    <t>P26600035@student.nicmar.ac.in</t>
  </si>
  <si>
    <t>30-Aug-2001</t>
  </si>
  <si>
    <t>English ,hindi,marathi</t>
  </si>
  <si>
    <t>Cricket,travelling</t>
  </si>
  <si>
    <t>Ashok Dattarao Mane</t>
  </si>
  <si>
    <t>Kalpana Ashok Mane</t>
  </si>
  <si>
    <t>78. Ashok Mane At post Baradshewala Tq. Hadgoan Dis. Nanded</t>
  </si>
  <si>
    <t>Sahakar Vidya Prasarak Mandal Secondary School Kalwa, Thane</t>
  </si>
  <si>
    <t>Secondary School Certificate Board ( SSC )</t>
  </si>
  <si>
    <t>Narayanrao Waghmare Mahavidyalaya, Balapur, Hingoli</t>
  </si>
  <si>
    <t>The Maharashtra State Board of Secondary and Higher Secondary Education (MSBSHSE)</t>
  </si>
  <si>
    <t xml:space="preserve">Diploma in Civil Engineering </t>
  </si>
  <si>
    <t>Maharashtra State Board of Secondary and Higher Secondary Education ( MSBTE )</t>
  </si>
  <si>
    <t>Mumbai University (MU).</t>
  </si>
  <si>
    <t>Panvel</t>
  </si>
  <si>
    <t xml:space="preserve">Nicmar University </t>
  </si>
  <si>
    <t>MS Office,AutoCAD Pursuing</t>
  </si>
  <si>
    <t>P26600036</t>
  </si>
  <si>
    <t>SHUKLA</t>
  </si>
  <si>
    <t>Yogesh Kumar Shukla</t>
  </si>
  <si>
    <t>yks12393@gmail.com</t>
  </si>
  <si>
    <t>P26600036@student.nicmar.ac.in</t>
  </si>
  <si>
    <t>16-May-2001</t>
  </si>
  <si>
    <t>CYCLING,MUSIC</t>
  </si>
  <si>
    <t>ANIL KUMAR SHUKLA</t>
  </si>
  <si>
    <t>ASHA DEVI SHUKLA</t>
  </si>
  <si>
    <t>GYANPUR,BHADOHI,UTTAR PRADESH</t>
  </si>
  <si>
    <t>Bhadohi</t>
  </si>
  <si>
    <t>ST. Thomas School Gopiganj</t>
  </si>
  <si>
    <t>ICSE(New Delhi)</t>
  </si>
  <si>
    <t>ISC(New Delhi)</t>
  </si>
  <si>
    <t>Dr. A.P.J. Abdul Kalam Technical University,Lucknow</t>
  </si>
  <si>
    <t>Kashi Institute Of Technology,Varanasi</t>
  </si>
  <si>
    <t>Northern Railway | Summer Training | Lucknow | Jul 2022 | Aug 2022 | 4.2857142857143 Weeks</t>
  </si>
  <si>
    <t>P26600037</t>
  </si>
  <si>
    <t>Amol</t>
  </si>
  <si>
    <t>Bhusari</t>
  </si>
  <si>
    <t>Sumit Amol Bhusari</t>
  </si>
  <si>
    <t>P26600037@student.nicmar.ac.in</t>
  </si>
  <si>
    <t>17-Mar-1999</t>
  </si>
  <si>
    <t xml:space="preserve">English Hindi Marathi </t>
  </si>
  <si>
    <t>Reading Traveling Music</t>
  </si>
  <si>
    <t>Mangala</t>
  </si>
  <si>
    <t xml:space="preserve">Hedgewar Layout Near Pri -school Maharudra Colony Arjun Nagar Shivaji Nagar Amravati </t>
  </si>
  <si>
    <t>Shri Ganeshdas Rathi Vidyalaya Amaravti</t>
  </si>
  <si>
    <t>Matoshree Vimalabai Deshmukh Mahavidyalaya Amravati Maharashtra</t>
  </si>
  <si>
    <t>Diploma in civil engineering</t>
  </si>
  <si>
    <t>P R Pote Polytechnic College Amravati Maharashtra</t>
  </si>
  <si>
    <t xml:space="preserve">Sant Gadge Baba Amravati University Maharashtra </t>
  </si>
  <si>
    <t>P R Pote Patil Institute of Engineering and Research Amravati Maharashtra</t>
  </si>
  <si>
    <t>Autocad, Excel</t>
  </si>
  <si>
    <t>MSCIT</t>
  </si>
  <si>
    <t>P26600038</t>
  </si>
  <si>
    <t>Arpit</t>
  </si>
  <si>
    <t>Arpit Kishor Deshmukh</t>
  </si>
  <si>
    <t>P26600038@student.nicmar.ac.in</t>
  </si>
  <si>
    <t>reading,traveling,food tour</t>
  </si>
  <si>
    <t>AB-</t>
  </si>
  <si>
    <t>Kishor Deshmukh</t>
  </si>
  <si>
    <t>Sangita Deshmukh</t>
  </si>
  <si>
    <t>Dhanraj Nagar, Chandur Railway,Dist. Amravati,Maharashtra</t>
  </si>
  <si>
    <t>Kasar Home, Sanmati colony ,Shegaon Rahatgaon Road ,Amravati</t>
  </si>
  <si>
    <t>Bapusaheb Deshmukh Highschool</t>
  </si>
  <si>
    <t>Maharashtra State Board of Secondary Education, Amravati,Maharashtra</t>
  </si>
  <si>
    <t>P.R Pote Patil Institute of Technology, Amravati, Maharashtra</t>
  </si>
  <si>
    <t>Sant Gadge Baba Amravati University</t>
  </si>
  <si>
    <t>Prof. Ram Meghe Institute Of Technology &amp; Research</t>
  </si>
  <si>
    <t>autocad,excel</t>
  </si>
  <si>
    <t>Oriano Clean Energy  | Project Engineer | Remote | Jun 2024 | Jun 2026 | 2Y 0M | 3.30
IT Cube Solutions Pvt Ltd. | Back Office Executive | Remote | May 2023 | Apr 2024 | 0Y 11M | 2.8304</t>
  </si>
  <si>
    <t xml:space="preserve">Quantity Estimation 
BBS
Ms Excel </t>
  </si>
  <si>
    <t>P26600039</t>
  </si>
  <si>
    <t>Shubham</t>
  </si>
  <si>
    <t>Galhate</t>
  </si>
  <si>
    <t>Shubham Rahul Galhate</t>
  </si>
  <si>
    <t>shubhamgalhate1@gmail.com</t>
  </si>
  <si>
    <t>P26600039@student.nicmar.ac.in</t>
  </si>
  <si>
    <t>07-May-2001</t>
  </si>
  <si>
    <t>Rahul Galhate</t>
  </si>
  <si>
    <t xml:space="preserve">Buisness </t>
  </si>
  <si>
    <t xml:space="preserve">Vanita Galhate </t>
  </si>
  <si>
    <t>I-13, Shivshankar Colony, Tanaji Chowk, Aurangabad</t>
  </si>
  <si>
    <t>Jai Bhavani Vidya Mandir</t>
  </si>
  <si>
    <t xml:space="preserve">Maharashtra State Board of Secondary and Higher Secondary Education, Pune. </t>
  </si>
  <si>
    <t xml:space="preserve">MGM's Polytechnic </t>
  </si>
  <si>
    <t xml:space="preserve">Savitribai Phule University, Pune </t>
  </si>
  <si>
    <t xml:space="preserve">JSPM, Narhe Technical Campus, Pune </t>
  </si>
  <si>
    <t>ASAP ECOTECH SOLUTIONS  | SITE ENGINEER | Aurangabad  | Dec 2023 | Aug 2025 | 1Y 8M | 2.4</t>
  </si>
  <si>
    <t>ANNEX CONSULTANT  | Engineer | Aurangabad | May 2019 | Jun 2019 | 5.8571428571429 Weeks</t>
  </si>
  <si>
    <t>P26600040</t>
  </si>
  <si>
    <t>Revathi</t>
  </si>
  <si>
    <t>Revathi Haridas T</t>
  </si>
  <si>
    <t>P26600040@student.nicmar.ac.in</t>
  </si>
  <si>
    <t>18-Jul-1995</t>
  </si>
  <si>
    <t>Music,Cycling</t>
  </si>
  <si>
    <t>Haridasan T</t>
  </si>
  <si>
    <t>Pensioner</t>
  </si>
  <si>
    <t>Sreedevi D</t>
  </si>
  <si>
    <t>Thekkepat, Vettom Post
Tirur</t>
  </si>
  <si>
    <t>GBHSS, TIRUR</t>
  </si>
  <si>
    <t>KERALA STATE BOARD</t>
  </si>
  <si>
    <t>MMM HSS KUTTAYI</t>
  </si>
  <si>
    <t>CALICUT UNIVERSITY</t>
  </si>
  <si>
    <t>SREE ERNAKULATHAPPAN COLLEGE OF ENGINEERING AND MANAGEMENT, KERALA</t>
  </si>
  <si>
    <t>Afcons Infrastructure Ltd | Senior Quantity Surveyor | Kochi | Feb 2024 | Jun 2026 | 2Y 4M | 7.13
Kerala State Industrial Development Corporation Ltd | Project Engineer | Kerala | Sep 2022 | Feb 2024 | 1Y 4M | 5.04
Kunnel Engineers and Contractors Pvt Ltd | Site Engineer | Kerala | Nov 2018 | Aug 2022 | 3Y 8M | 2.16</t>
  </si>
  <si>
    <t>7 Years 6 Months</t>
  </si>
  <si>
    <t>Mary Sadan Edathala International Pvt Ltd | Quantity Surveyor | Kerala | Oct 2017 | Apr 2018 | 27.571428571429 Weeks</t>
  </si>
  <si>
    <t>P26600041</t>
  </si>
  <si>
    <t>Prajakta</t>
  </si>
  <si>
    <t xml:space="preserve">Rajesh </t>
  </si>
  <si>
    <t>Ghodke</t>
  </si>
  <si>
    <t>Prajakta Rajesh  Ghodke</t>
  </si>
  <si>
    <t>prajaktarghodke121@gmail.com</t>
  </si>
  <si>
    <t>P26600041@student.nicmar.ac.in</t>
  </si>
  <si>
    <t>12-Oct-2000</t>
  </si>
  <si>
    <t>Nayana</t>
  </si>
  <si>
    <t>89/9, Bismilla Chawl, Takiya Ward, Market Galli, Kurla West, Mumbai 400070</t>
  </si>
  <si>
    <t>St. Mary's High School</t>
  </si>
  <si>
    <t>State Board of Maharashtra</t>
  </si>
  <si>
    <t>NJBSPM's Shantiniketan Polytechnic</t>
  </si>
  <si>
    <t>Chhatrapati Shivaji Maharaj Institute Of Technology</t>
  </si>
  <si>
    <t>AutoCAD,MS Office,Far Vision ERP</t>
  </si>
  <si>
    <t>Vaswani Projects Pvt Ltd | Sr. Executive- Budgeting, Costing and Billing | Bandra, Mumbai | Aug 2024 | Jul 2026 | 1Y 11M | 5.356
Sheth Creators Pvt Ltd | Junior Engineer | Malad, Mumbai | Dec 2021 | Jul 2024 | 2Y 7M | 3.3</t>
  </si>
  <si>
    <t xml:space="preserve">Training course in building constructions 
Project safety certificate </t>
  </si>
  <si>
    <t>P26600042</t>
  </si>
  <si>
    <t>GULIVINDALA</t>
  </si>
  <si>
    <t>DHANUNJAYARAO</t>
  </si>
  <si>
    <t>Gulivindala Dhanunjayarao</t>
  </si>
  <si>
    <t>P26600042@student.nicmar.ac.in</t>
  </si>
  <si>
    <t>05-Jun-2003</t>
  </si>
  <si>
    <t>Farming and agricultural activities,Caring animals,Playing volleyball and cricket,Swimming</t>
  </si>
  <si>
    <t>GULIVINDALA ADINARAYANA</t>
  </si>
  <si>
    <t>GULIVINDALA JAYAMMA</t>
  </si>
  <si>
    <t>2-6,Diguva veedhi, Venkata rangaraya puram, Regidi Amdalavalasa, Srikakulam, Andhra Pradesh - 532122</t>
  </si>
  <si>
    <t>Sri Baba Vidhyanikethan School</t>
  </si>
  <si>
    <t>Board of secondary Education Andhra Pradesh</t>
  </si>
  <si>
    <t>Government polytechnic College Tekkali</t>
  </si>
  <si>
    <t>Acharya Nagarjuna University(ANU) Guntur</t>
  </si>
  <si>
    <t>Bapatla Engineering College Bapatla,Andhra Pradesh</t>
  </si>
  <si>
    <t>MS Project,AutoCAD,Autodesk Revit,MS Office</t>
  </si>
  <si>
    <t>CIDC (Construction industry Deveelopment council) | Civil Intern | Online- New Delhi, India | May 2023 | Jun 2023 | 4.2857142857143 Weeks
CIDC (Construction industry Deveelopment council) | Civil Intern | Online- New Delhi, India | Apr 2024 | May 2024 | 5.8571428571429 Weeks
VAJRAM CONSTRUCTION PVT LTD | Civil Intern | Vishakapatnam | Jul 2020 | Dec 2020 | 24 Weeks</t>
  </si>
  <si>
    <t>National workshop on "Sustainble glazing struturess-Strutural integrity,Safety and Energy"
3d Printing
First prize in Model Exhibo in JNTU kakinada,Andhra Pradesh</t>
  </si>
  <si>
    <t>P26600043</t>
  </si>
  <si>
    <t xml:space="preserve">Nandana </t>
  </si>
  <si>
    <t>Harish</t>
  </si>
  <si>
    <t>Nandana  Harish</t>
  </si>
  <si>
    <t>P26600043@student.nicmar.ac.in</t>
  </si>
  <si>
    <t>16-Aug-2004</t>
  </si>
  <si>
    <t>Hindi,English,Malayalam</t>
  </si>
  <si>
    <t>Music,Gardening,cooking</t>
  </si>
  <si>
    <t>Harish H</t>
  </si>
  <si>
    <t>Deepa Harish</t>
  </si>
  <si>
    <t>Software Engineer</t>
  </si>
  <si>
    <t>Harinivas Velloor P O Pampady Kottayam</t>
  </si>
  <si>
    <t>B M M English Medium Senior Secondary School</t>
  </si>
  <si>
    <t>Central Board of Secondary Education</t>
  </si>
  <si>
    <t>Dr. A P J Abdul Kalam Technical University</t>
  </si>
  <si>
    <t>Saintgits College of Engineering</t>
  </si>
  <si>
    <t>AUTOCAD,Revit</t>
  </si>
  <si>
    <t>Airport Authority of India | Trainee | Calicut | Jan 2026 | Feb 2026 | 4.4285714285714 Weeks | Campus Internship
Intern, Vellapalli Constructions | Trainee | Pathanamthitta | Aug 2023 | Aug 2023 | 0.71428571428571 Weeks | Campus Internship
SQ Engineering Contractors | Trainee | Kochi | Jul 2024 | Jul 2024 | 0.57142857142857 Weeks | Campus Internship</t>
  </si>
  <si>
    <t>Project Management
Construction Scheduling</t>
  </si>
  <si>
    <t>P26600044</t>
  </si>
  <si>
    <t>Anandrao</t>
  </si>
  <si>
    <t>Shelar</t>
  </si>
  <si>
    <t>Pramod Anandrao Shelar</t>
  </si>
  <si>
    <t>pramodshelarhere@gmail.com</t>
  </si>
  <si>
    <t>P26600044@student.nicmar.ac.in</t>
  </si>
  <si>
    <t>16-Sep-2001</t>
  </si>
  <si>
    <t>English,Marathi</t>
  </si>
  <si>
    <t>Running</t>
  </si>
  <si>
    <t>Anandrao Shelar</t>
  </si>
  <si>
    <t>Shubhangi Shelar</t>
  </si>
  <si>
    <t>Konark Apartment, Flat No. 3, Somwar Peth, Karad</t>
  </si>
  <si>
    <t>Tilak Highschool Karad</t>
  </si>
  <si>
    <t>Maharashtra State Board of Secondary and Higher Secondary Education, Maharashtra</t>
  </si>
  <si>
    <t>Creative Academy and Horizon English Medium Pune</t>
  </si>
  <si>
    <t>Smt. Premalatai Chavan Polytechnic Karad</t>
  </si>
  <si>
    <t>Tatyasaheb Kore Institute of Engineering &amp; Technology Warananagar</t>
  </si>
  <si>
    <t>Shivaji University, Kolhapur</t>
  </si>
  <si>
    <t>AutoCad,MS Excel</t>
  </si>
  <si>
    <t>Sujit Sabnis Infraz | Junior Site Engineer | Chinchani, Kadegaon, Sangli, Maharashtra  | Mar 2025 | Mar 2026 | 1Y 0M | 2.16</t>
  </si>
  <si>
    <t>Microsoft Power BI Desktop for Business Intelligence</t>
  </si>
  <si>
    <t>P26600045</t>
  </si>
  <si>
    <t xml:space="preserve">Ankit </t>
  </si>
  <si>
    <t>Yadav</t>
  </si>
  <si>
    <t>Ankit  Yadav</t>
  </si>
  <si>
    <t>P26600045@student.nicmar.ac.in</t>
  </si>
  <si>
    <t>10-Jul-1999</t>
  </si>
  <si>
    <t xml:space="preserve">Hindi,English </t>
  </si>
  <si>
    <t>Driving car</t>
  </si>
  <si>
    <t xml:space="preserve">Mannu Singh yadav </t>
  </si>
  <si>
    <t xml:space="preserve">Business </t>
  </si>
  <si>
    <t xml:space="preserve">Lilawati yadav </t>
  </si>
  <si>
    <t xml:space="preserve">Vill- Chakjain  khetabpur Ghazipur Uttarpradesh </t>
  </si>
  <si>
    <t xml:space="preserve">JANARDAN K G H S S SARAIYA GHAZIPUR </t>
  </si>
  <si>
    <t>Board of High school and Intermediate Education U.P</t>
  </si>
  <si>
    <t>Diploma Mechanical (Production )</t>
  </si>
  <si>
    <t xml:space="preserve">Ambalika institute of management and technology Lucknow </t>
  </si>
  <si>
    <t xml:space="preserve">Dr A.P.J. Abdul Kalam Technical University,Uttar Pradesh </t>
  </si>
  <si>
    <t>MS advance excel</t>
  </si>
  <si>
    <t>Hansha infrastructure pvt ltd  | Civil engineer  | Lucknow  | Sep 2024 | May 2025 | 0Y 7M | 2.16</t>
  </si>
  <si>
    <t>P26600047</t>
  </si>
  <si>
    <t>Arabaj</t>
  </si>
  <si>
    <t>Abid</t>
  </si>
  <si>
    <t>Sayyad</t>
  </si>
  <si>
    <t>Arabaj Abid Sayyad</t>
  </si>
  <si>
    <t>arabsayyad07@gmail.com</t>
  </si>
  <si>
    <t>P26600047@student.nicmar.ac.in</t>
  </si>
  <si>
    <t>Hindi,English,marathi</t>
  </si>
  <si>
    <t>Bike Riding,Fishing</t>
  </si>
  <si>
    <t>Abid Ismail Sayyad</t>
  </si>
  <si>
    <t>Sultana Abid Sayyad</t>
  </si>
  <si>
    <t>A/P.Chandapuri Tal.Malshiras Dist.Solapur</t>
  </si>
  <si>
    <t xml:space="preserve"> Pratapsinh Vidyalay Chandapuri</t>
  </si>
  <si>
    <t>Shriram Institute Of Engineering &amp; Technology, (Poly), Paniv.</t>
  </si>
  <si>
    <t xml:space="preserve">Savitribai Phule Pune University   </t>
  </si>
  <si>
    <t>Dr. D Y Patil Institute of Engineering, Management &amp; Research, Akurdi Pune</t>
  </si>
  <si>
    <t>MS Office,Auto CAD</t>
  </si>
  <si>
    <t>Y V Mane Constructions Pvt. Ltd. | Site Engineer Execution | Mohol, maharashtra. | Jan 2026 | Jun 2026 | 0Y 5M | 3.84
Shivansh Associates | Site Engineer Execution | Malshiras, LAVASA, Pune. | Jun 2024 | Dec 2025 | 1Y 6M | 3</t>
  </si>
  <si>
    <t>Ice-Cream Stick Bridge Model Making Competition
Winner- Survey Hunt Competition</t>
  </si>
  <si>
    <t>P26600048</t>
  </si>
  <si>
    <t>Pratik</t>
  </si>
  <si>
    <t>Krushnat</t>
  </si>
  <si>
    <t>Salunkhe</t>
  </si>
  <si>
    <t>Pratik Krushnat Salunkhe</t>
  </si>
  <si>
    <t>P26600048@student.nicmar.ac.in</t>
  </si>
  <si>
    <t>Trekking,Runner</t>
  </si>
  <si>
    <t>Chhaya</t>
  </si>
  <si>
    <t>At/Post : Nerle , Tal.: Walwa , Dist. : Sangli</t>
  </si>
  <si>
    <t>Royal Metroville Venture | Site Engineer | Balewadi, Pune | Jun 2024 | Jun 2026 | 2Y 0M | 3</t>
  </si>
  <si>
    <t>P26600049</t>
  </si>
  <si>
    <t>Kalpesh</t>
  </si>
  <si>
    <t>Shrivastava</t>
  </si>
  <si>
    <t>Kalpesh Shrivastava</t>
  </si>
  <si>
    <t>kalpeshshrivastava8@gmail.com</t>
  </si>
  <si>
    <t>P26600049@student.nicmar.ac.in</t>
  </si>
  <si>
    <t>06-Dec-1995</t>
  </si>
  <si>
    <t>Walking</t>
  </si>
  <si>
    <t>Manoj Shrivastava</t>
  </si>
  <si>
    <t>Advocate</t>
  </si>
  <si>
    <t>Kalpana Shrivastava</t>
  </si>
  <si>
    <t>H. No. 92, In front of Punjabi Gurudwara, Shiv Ward, Bina</t>
  </si>
  <si>
    <t>Sagar</t>
  </si>
  <si>
    <t>Nirmal Jyoti Higher Secondary School</t>
  </si>
  <si>
    <t>Central Board of Secondary Education, Ajmer</t>
  </si>
  <si>
    <t>Bina Public Higher Secondary School</t>
  </si>
  <si>
    <t>Madhya Pradesh Board of Secondary Education, Bhopal</t>
  </si>
  <si>
    <t>Rajiv Gandhi Proudyogiki Vishwavidyalaya, Bhopal</t>
  </si>
  <si>
    <t>Madhav Institute of Technology and Science, Gwalior</t>
  </si>
  <si>
    <t>Punjab University, Chandigarh</t>
  </si>
  <si>
    <t>National Institute of Technical Teachers Training and Research, Chandigarh</t>
  </si>
  <si>
    <t>SAP,MS Office,Auto CAD</t>
  </si>
  <si>
    <t>Dilip Buildcon Limited | Engineer (Operation and Maintenance) | Bhopal (M.P.) | Dec 2023 | Jun 2026 | 2Y 5M | 5.46</t>
  </si>
  <si>
    <t>Tikamgarh Public Works Department | Intern | Tikamgarh (M.P.) | May 2018 | Jun 2018 | 4.2857142857143 Weeks</t>
  </si>
  <si>
    <t>Auto CAD</t>
  </si>
  <si>
    <t>P26600050</t>
  </si>
  <si>
    <t>Prathmesh</t>
  </si>
  <si>
    <t xml:space="preserve">Rajendra </t>
  </si>
  <si>
    <t xml:space="preserve">Londhe </t>
  </si>
  <si>
    <t xml:space="preserve">Prathmesh Rajendra  Londhe </t>
  </si>
  <si>
    <t>P26600050@student.nicmar.ac.in</t>
  </si>
  <si>
    <t>English,hindi</t>
  </si>
  <si>
    <t>Playing Analytical games,Cooking</t>
  </si>
  <si>
    <t xml:space="preserve">Late Rajendra </t>
  </si>
  <si>
    <t>farmer</t>
  </si>
  <si>
    <t>Mangal</t>
  </si>
  <si>
    <t>At post Shirur (Ghat ) ta. kaij dist beed 431126</t>
  </si>
  <si>
    <t>Jeevan Pragati vidhaylay nandur (ghat )</t>
  </si>
  <si>
    <t xml:space="preserve"> chhatrapati Sambhajinagar (Aurangabad ) Divisional Board</t>
  </si>
  <si>
    <t>Goverment Polytechnic Beed</t>
  </si>
  <si>
    <t>Savitribai Phule University Pune</t>
  </si>
  <si>
    <t>Gh Raisoni College of Engineering and Management Pune</t>
  </si>
  <si>
    <t>P26600051</t>
  </si>
  <si>
    <t>Rohit</t>
  </si>
  <si>
    <t>Namdev</t>
  </si>
  <si>
    <t>Kirte</t>
  </si>
  <si>
    <t>Rohit Namdev Kirte</t>
  </si>
  <si>
    <t>P26600051@student.nicmar.ac.in</t>
  </si>
  <si>
    <t>14-Jan-1999</t>
  </si>
  <si>
    <t>English,Hindi,Marathi,Japanese N4 Level</t>
  </si>
  <si>
    <t>Travelling,Kickboxing,Watching Anime,Reading Current Affairs</t>
  </si>
  <si>
    <t>Sangita</t>
  </si>
  <si>
    <t>Ekdant Society, Rajendra Guru Nagar, Room no 201, B wing, 2nd floor, Near Vidyatirth Classes, Neral, Sub Dist. Karjat, Dist. Raigad. 410101.</t>
  </si>
  <si>
    <t>Vidya Vikas Primary and Secondary School, Vangani</t>
  </si>
  <si>
    <t>Mumbai Divisional Board</t>
  </si>
  <si>
    <t>Chandibai Himathmal Mansukhani College, Ulhasnagar</t>
  </si>
  <si>
    <t>MSBTE Civil Engineering</t>
  </si>
  <si>
    <t>G. V. Acharya Polytechnic, Shelu, Karjat, Raigad, Maharashtra</t>
  </si>
  <si>
    <t>B.R. Harne College of Engineering and Technology, Karav, Vangani.</t>
  </si>
  <si>
    <t>Autocad,MS Office,RDASH</t>
  </si>
  <si>
    <t>Ensemble Fitout and Fixtures Private Limited | Junior Executive Contracts | Parel, Mumbai | Oct 2025 | Jun 2026 | 0Y 7M | 3
Kalyan Dombivli Muncipal Corporation | Junior Engineer | Dombivli | Oct 2024 | Sep 2025 | 0Y 10M | 1.10</t>
  </si>
  <si>
    <t>P26600052</t>
  </si>
  <si>
    <t>Sudheendra Babu</t>
  </si>
  <si>
    <t>T S Sudheendra Babu</t>
  </si>
  <si>
    <t>sudheendrababuts@gmail.com</t>
  </si>
  <si>
    <t>P26600052@student.nicmar.ac.in</t>
  </si>
  <si>
    <t>Reading,Video Editing,Travelling</t>
  </si>
  <si>
    <t>Sudarsana Babu</t>
  </si>
  <si>
    <t>Retired Sub Inspector Of Police</t>
  </si>
  <si>
    <t>Suma</t>
  </si>
  <si>
    <t>THAMARASSERY HOUSE, INDIA NAGAR 58, KARICODE , KOLLAM</t>
  </si>
  <si>
    <t>T K M Centenary Public school, Karicode, Kollam, Kerala</t>
  </si>
  <si>
    <t>Central Board of Secondary Education (CBSE)  Kollam,Kerala</t>
  </si>
  <si>
    <t>APJ Abdul Kalam Technological University, Thiruvananthapuram, Kerala, India</t>
  </si>
  <si>
    <t>Government Engineering College, Thrissur, Kerala</t>
  </si>
  <si>
    <t>MS Office,AutoCAD,Primavera,MS Project</t>
  </si>
  <si>
    <t>Kulappara Wire Cut Bricks | QA/QC &amp; Sales | Kollam,Kerala | Dec 2022 | Oct 2023 | 42.714285714286 Weeks
Cubes &amp; Squares |  Interior Fit-outs Intern | Kakkanad, Kerala  | Oct 2023 | Jun 2024 | 35.285714285714 Weeks</t>
  </si>
  <si>
    <t>P26600053</t>
  </si>
  <si>
    <t>Tushar</t>
  </si>
  <si>
    <t>Sainath</t>
  </si>
  <si>
    <t>Borawake</t>
  </si>
  <si>
    <t>Tushar Sainath Borawake</t>
  </si>
  <si>
    <t>P26600053@student.nicmar.ac.in</t>
  </si>
  <si>
    <t>Kickboxing</t>
  </si>
  <si>
    <t>Lata</t>
  </si>
  <si>
    <t xml:space="preserve">303 Anad Vihar Building , Mahopor Colony , gondhele nagar , Hadapsar </t>
  </si>
  <si>
    <t>Netaji Subhash Chandra Bose Boys Military School Phulgaon Pune</t>
  </si>
  <si>
    <t>Maharashtra State Board Of Secondary And Higher Secondary Education , Pune</t>
  </si>
  <si>
    <t>Mahadaji Shinde School &amp; Junior College Shrigonda</t>
  </si>
  <si>
    <t xml:space="preserve">Savitribai Phule  Pune University </t>
  </si>
  <si>
    <t>Government College Of Engineering And Research, Avasari Khurd Pune</t>
  </si>
  <si>
    <t>Auto Cad Adavnced Excel</t>
  </si>
  <si>
    <t>Gsource Technologies Private Limited | Junior Quality Checker | pune | Aug 2024 | Jul 2026 | 1Y 11M | 3.6</t>
  </si>
  <si>
    <t>Divisha Varad Infra  | Intern | pune | Nov 2022 | Feb 2023 | 12.857142857143 Weeks</t>
  </si>
  <si>
    <t>Irrigation Management
QGIS Lab Training
Scilab Training
Qcad Training</t>
  </si>
  <si>
    <t>P26600054</t>
  </si>
  <si>
    <t>Anirudh</t>
  </si>
  <si>
    <t>Mundhada</t>
  </si>
  <si>
    <t>Tushar Anirudh Mundhada</t>
  </si>
  <si>
    <t>P26600054@student.nicmar.ac.in</t>
  </si>
  <si>
    <t>04-Mar-2002</t>
  </si>
  <si>
    <t>Scribbling,Travelling,Bike Riding,Listening music</t>
  </si>
  <si>
    <t>Accountant</t>
  </si>
  <si>
    <t>Meena</t>
  </si>
  <si>
    <t>Home Builder</t>
  </si>
  <si>
    <t>Urja Narmadda Appt Dighi</t>
  </si>
  <si>
    <t>Noel</t>
  </si>
  <si>
    <t>CBSE Akola Maharashtra</t>
  </si>
  <si>
    <t>Sanjivani K.B.P Polytechnic Kopargaon, Maharashtra</t>
  </si>
  <si>
    <t>MIT Academy Of Engineering</t>
  </si>
  <si>
    <t>AutoCAD,Excel,WaterGems,Revit,E-Tabs</t>
  </si>
  <si>
    <t>Winntus | Technical Sales Engineer | Pune | Jan 2025 | May 2025 | 21.428571428571 Weeks | Campus Internship</t>
  </si>
  <si>
    <t>P26600055</t>
  </si>
  <si>
    <t>Lalasaheb</t>
  </si>
  <si>
    <t>Kadam</t>
  </si>
  <si>
    <t>Rushikesh Lalasaheb Kadam</t>
  </si>
  <si>
    <t>P26600055@student.nicmar.ac.in</t>
  </si>
  <si>
    <t>English Marathi</t>
  </si>
  <si>
    <t>Lalasaheb Bapurao Kadam</t>
  </si>
  <si>
    <t>Saroja Lalasaheb Kadam</t>
  </si>
  <si>
    <t xml:space="preserve">Malumbra,Dist: Ausa </t>
  </si>
  <si>
    <t>Parimal High School latur</t>
  </si>
  <si>
    <t xml:space="preserve">Maharastra State Board </t>
  </si>
  <si>
    <t>Vishweshwarayya Polytechinic Almala</t>
  </si>
  <si>
    <t>Sinhgad Academy Of Engineering Kondhwa</t>
  </si>
  <si>
    <t>Auto cad</t>
  </si>
  <si>
    <t>P26600056</t>
  </si>
  <si>
    <t>Kiran</t>
  </si>
  <si>
    <t>Mahadev</t>
  </si>
  <si>
    <t>Galave</t>
  </si>
  <si>
    <t>Kiran Mahadev Galave</t>
  </si>
  <si>
    <t>kirangalave18@gmail.com</t>
  </si>
  <si>
    <t>P26600056@student.nicmar.ac.in</t>
  </si>
  <si>
    <t>18-Aug-2001</t>
  </si>
  <si>
    <t xml:space="preserve">Drawing,Trekking </t>
  </si>
  <si>
    <t xml:space="preserve">Mahadev </t>
  </si>
  <si>
    <t>Ex-Army Personal</t>
  </si>
  <si>
    <t>Laxmi</t>
  </si>
  <si>
    <t>At- Galavewadi post- sonand Tal- sangola Dist- solapur pin-413309</t>
  </si>
  <si>
    <t>Shree Gurukul vidhypeeth rajuri</t>
  </si>
  <si>
    <t>Maharastra state board of secondary and higher secondary education,pune</t>
  </si>
  <si>
    <t>Sanjay Ghodawat Junior College, Atigre</t>
  </si>
  <si>
    <t>Maharastra State Board Of Secondary and Higher Secondary Education , Pune</t>
  </si>
  <si>
    <t>D.Y.Patil College Engineering ,Akurdi</t>
  </si>
  <si>
    <t>AutoCAD,MS-Office</t>
  </si>
  <si>
    <t>M/s. Jai Sai Construction  | Site Civil Engineer | Solapur, Maharashtra | Feb 2024 | Aug 2024 | 0Y 6M | 1.92
Ammeya Enterprises | Site Engineer  | PUNE | Jun 2023 | Jan 2024 | 0Y 7M | 1.92
Shraddha Construction Co. | Site Engineer | Pune | May 2025 | Jun 2026 | 1Y 0M | 4.20</t>
  </si>
  <si>
    <t>Know how | Trainee  | Pune | Mar 2022 | Apr 2022 | 5.8571428571429 Weeks</t>
  </si>
  <si>
    <t>P26600057</t>
  </si>
  <si>
    <t>Raj</t>
  </si>
  <si>
    <t>Ramchandra</t>
  </si>
  <si>
    <t>Jadhav</t>
  </si>
  <si>
    <t>Raj Ramchandra Jadhav</t>
  </si>
  <si>
    <t>P26600057@student.nicmar.ac.in</t>
  </si>
  <si>
    <t>Running marathon,Playing cricket</t>
  </si>
  <si>
    <t>Lecturer</t>
  </si>
  <si>
    <t>Rajshri</t>
  </si>
  <si>
    <t>Flat no. 10, Janhvi Apartment, in front of Shani Mandir, Katpur Road, Basweshwar Chowk, Latur</t>
  </si>
  <si>
    <t>Shri Deshikendra Vidyalaya, Latur</t>
  </si>
  <si>
    <t>Maharashtra State Board of Secondary and Higher Secondary Education, Pune, Maharashtra</t>
  </si>
  <si>
    <t>Puranmal Lahoti Government Polytechnic, Latur, Maharashtra</t>
  </si>
  <si>
    <t>Pimpri Chinchwad College of Engineering and Research, Pune, Maharashtra</t>
  </si>
  <si>
    <t>Nicmar University</t>
  </si>
  <si>
    <t>Millennium Engineers and Contractors Private Limited | Jr Engineer | Pune | Jul 2024 | Jul 2026 | 2Y 0M | 2.964</t>
  </si>
  <si>
    <t>GT Pride  | Intern | Pune | Feb 2023 | Feb 2023 | 3.8571428571429 Weeks</t>
  </si>
  <si>
    <t>NPTEL: Electronic waste management-issues and challenges</t>
  </si>
  <si>
    <t>P26600058</t>
  </si>
  <si>
    <t>Arjun K M</t>
  </si>
  <si>
    <t>P26600058@student.nicmar.ac.in</t>
  </si>
  <si>
    <t>Reading,Doodling,Cricket,Football</t>
  </si>
  <si>
    <t>MOHANAN K S (Late)</t>
  </si>
  <si>
    <t>REKHA V</t>
  </si>
  <si>
    <t>KATTIANCHIRA HOUSE, ERAVATHODY, KANIYARKODE PO</t>
  </si>
  <si>
    <t>LAKSHMI NARAYANA VIDYANIKETHAN, OTTAPALAM, PALAKKAD</t>
  </si>
  <si>
    <t>CENTRAL BOARD OF SECONDARY EDUCATION, PALAKKAD, KERALA</t>
  </si>
  <si>
    <t>JAWAHARLAL COLLEGE OF ENGINEERING &amp; TECHNOLOGY, PALAKKAD, KERALA</t>
  </si>
  <si>
    <t>AutoCAD,MS Office,Primavera,STAAD Pro,Revit Architecture,3DS Max,Sketchup,Lumion,V-Ray</t>
  </si>
  <si>
    <t>Skyline Foundations and Structures Private Limited | Assistant Engineer | KOCHI | Jan 2026 | Jun 2026 | 0Y 4M | 3.55
Sobha Limited | Engineer | KOCHI | May 2024 | Jan 2026 | 1Y 8M | 3.29
Blueline Design &amp; Build | AutoCAD Draughtsman | THRISSUR | Jul 2023 | Apr 2024 | 0Y 9M | 0.66</t>
  </si>
  <si>
    <t>TORC Infotech Private Limited | Intern | KOCHI | Jun 2022 | Jul 2022 | 2.1428571428571 Weeks</t>
  </si>
  <si>
    <t>QUANTITY SURVEYING
AUTOCAD
REVIT ARCHITECTURE
3DS MAX</t>
  </si>
  <si>
    <t>P26600059</t>
  </si>
  <si>
    <t>Baburao</t>
  </si>
  <si>
    <t>Kolekar</t>
  </si>
  <si>
    <t>Shubham Baburao Kolekar</t>
  </si>
  <si>
    <t>P26600059@student.nicmar.ac.in</t>
  </si>
  <si>
    <t>Bike riding,Trekking</t>
  </si>
  <si>
    <t xml:space="preserve">Maharashtra Government Servent </t>
  </si>
  <si>
    <t>Vanita</t>
  </si>
  <si>
    <t>262,Dicholi Babarmachi,tel-Karad,Satara 415105</t>
  </si>
  <si>
    <t>Sai Dham Society, Laxmi nagar,Dhanori pune</t>
  </si>
  <si>
    <t>Netaji Subhashchandra Highschool Koynanagar</t>
  </si>
  <si>
    <t>Maharashtra State Board, Kolhapur</t>
  </si>
  <si>
    <t>SGM ,College Karad</t>
  </si>
  <si>
    <t>TSSM'S BSCOER Pune</t>
  </si>
  <si>
    <t>P26600060</t>
  </si>
  <si>
    <t>SRIKANTH</t>
  </si>
  <si>
    <t>GALAM</t>
  </si>
  <si>
    <t>Srikanth Galam</t>
  </si>
  <si>
    <t>srikanthgalam741@gmail.com</t>
  </si>
  <si>
    <t>P26600060@student.nicmar.ac.in</t>
  </si>
  <si>
    <t>ENGLIAH,HINDI,Telugu</t>
  </si>
  <si>
    <t>Listening music,Watching movies,Farming</t>
  </si>
  <si>
    <t>GALAM KOTESWARA RAO</t>
  </si>
  <si>
    <t>Agriculture worker</t>
  </si>
  <si>
    <t>GALAM GOVINDAMMA</t>
  </si>
  <si>
    <t>H NO 4-45, B C Colony, China Uyyalawada</t>
  </si>
  <si>
    <t>GOVT HIGH SCHOOL, CHIMAKURTHY</t>
  </si>
  <si>
    <t>D.A GOVT POLYTECHNIC-ONGOLE</t>
  </si>
  <si>
    <t>ACHARYA NAGARJUNA UNIVERSITY, GUNTUR</t>
  </si>
  <si>
    <t>Bapatla Engineering College, Bapatla</t>
  </si>
  <si>
    <t>Auto CAD,MS Office,MSProject,CYPECAD</t>
  </si>
  <si>
    <t>SITA RAMA INFRA | Industrial Trainee | KURCHEDU | May 2019 | Nov 2019 | 26.285714285714 Weeks</t>
  </si>
  <si>
    <t xml:space="preserve">Emerging New and Innovation Technologiesin construction
Subsurface Construction </t>
  </si>
  <si>
    <t>P26600061</t>
  </si>
  <si>
    <t>AKSHAYA</t>
  </si>
  <si>
    <t>Akshaya A</t>
  </si>
  <si>
    <t>P26600061@student.nicmar.ac.in</t>
  </si>
  <si>
    <t>English,Malayaalam,Hindi</t>
  </si>
  <si>
    <t>Playing Badminton,Singing</t>
  </si>
  <si>
    <t xml:space="preserve">949338627686 </t>
  </si>
  <si>
    <t>ASOKAN S</t>
  </si>
  <si>
    <t>SICILY V</t>
  </si>
  <si>
    <t xml:space="preserve">Meleveedu, Nedumpallam, Vengodi (PO), Elappully Palakkad </t>
  </si>
  <si>
    <t>Sree Narayana Public School, Kunnachy, Elappully, Palakkad</t>
  </si>
  <si>
    <t xml:space="preserve">CBSE </t>
  </si>
  <si>
    <t>Assisi EMHSS Kanjikode, Palakkad</t>
  </si>
  <si>
    <t>Government of Kerala Board of Higher Secondary Examinations</t>
  </si>
  <si>
    <t>APJ Abdul Kalam Technological University</t>
  </si>
  <si>
    <t>Ahalia School of Engineering &amp; Technology</t>
  </si>
  <si>
    <t>AutoCAD,STAAD.Pro,MS Project,MS Excel,MS Office</t>
  </si>
  <si>
    <t>SA Homes | Junior Engineer - Civil | Koppam, Palakkad | May 2025 | May 2026 | 1Y 0M | 1.2</t>
  </si>
  <si>
    <t>Mechanics of Materials III: Beam Bending, Coursera
C for Everyone: Programming Fundamentals, Coursera
Autodesk Certified Professional: AutoCAD for Design and Drafting Exam Prep, Coursera
C Programming Tutorial, Sololearn</t>
  </si>
  <si>
    <t>P26600062</t>
  </si>
  <si>
    <t>Praveenkumar</t>
  </si>
  <si>
    <t>Praveenkumar R</t>
  </si>
  <si>
    <t>P26600062@student.nicmar.ac.in</t>
  </si>
  <si>
    <t>26-Aug-1995</t>
  </si>
  <si>
    <t>Cooking,International affairs,Cricket,Gym</t>
  </si>
  <si>
    <t>Rajasekaran</t>
  </si>
  <si>
    <t xml:space="preserve">Sub Inspector of Police </t>
  </si>
  <si>
    <t xml:space="preserve"> Late Pramila </t>
  </si>
  <si>
    <t>3/1010 N.S Nadar Thottam, NGO colony</t>
  </si>
  <si>
    <t>Shri Maharishi Vidya Mandir</t>
  </si>
  <si>
    <t>SMB Matric Higher Secondary School</t>
  </si>
  <si>
    <t>State Board of School Examination Tamilnadu</t>
  </si>
  <si>
    <t>Anna University</t>
  </si>
  <si>
    <t>SSM Institute of Engineering and Technology Dindigul</t>
  </si>
  <si>
    <t>Revit Architecture,AutoCAD</t>
  </si>
  <si>
    <t xml:space="preserve">Autodesk Revit Architecture </t>
  </si>
  <si>
    <t>P26600063</t>
  </si>
  <si>
    <t>Chandan</t>
  </si>
  <si>
    <t>Manoj</t>
  </si>
  <si>
    <t>Choudhary</t>
  </si>
  <si>
    <t>Chandan Manoj Choudhary</t>
  </si>
  <si>
    <t>P26600063@student.nicmar.ac.in</t>
  </si>
  <si>
    <t>20-Aug-2000</t>
  </si>
  <si>
    <t>hindi,english,marathi</t>
  </si>
  <si>
    <t>trekking,cooking,music</t>
  </si>
  <si>
    <t>Manoj Choudhary</t>
  </si>
  <si>
    <t>tecnician</t>
  </si>
  <si>
    <t>Pinki  Choudhary</t>
  </si>
  <si>
    <t>House no 91, Digdoh Near Nagar parishad office, Hingna Road,,Indl.Area Nagpur,440016</t>
  </si>
  <si>
    <t>Orange city water pvt.ltd | Engineer | nagpur | Nov 2022 | May 2026 | 3Y 5M | 4.09</t>
  </si>
  <si>
    <t>L.G Developers and Builders  | Intern | Nagpur  | May 2018 | Jun 2018 | 4.4285714285714 Weeks</t>
  </si>
  <si>
    <t>Get Set Go Program by  ADCC Academy 
Industrial Motivation Campaign for Youths (IMC-Y) — MSME Technology Centre, Indo-German Tool Room, Nagpur (2020)</t>
  </si>
  <si>
    <t>P26600064</t>
  </si>
  <si>
    <t>JANGA</t>
  </si>
  <si>
    <t xml:space="preserve">SANDEEP </t>
  </si>
  <si>
    <t>Janga Sandeep  Kumar</t>
  </si>
  <si>
    <t>P26600064@student.nicmar.ac.in</t>
  </si>
  <si>
    <t>Personal blogging,Listening podcasts,Bird Watching</t>
  </si>
  <si>
    <t xml:space="preserve">SUBBA RAO </t>
  </si>
  <si>
    <t xml:space="preserve">NARASAMMA </t>
  </si>
  <si>
    <t xml:space="preserve">FARMER </t>
  </si>
  <si>
    <t xml:space="preserve">H. No:1-180, Gamalapadu, Dachepalli </t>
  </si>
  <si>
    <t xml:space="preserve">AP MODEL SCHOOL </t>
  </si>
  <si>
    <t xml:space="preserve">AP MODEL SCHOOL, DACHEPALLI, GUNTUR DISTRICT </t>
  </si>
  <si>
    <t xml:space="preserve">CIVIL ENGINEERING </t>
  </si>
  <si>
    <t xml:space="preserve">AANM &amp; VVRSR POLYTECHNIC COLLEGE - GUDLAVALLERU </t>
  </si>
  <si>
    <t xml:space="preserve">JNTUK - KAKINADA </t>
  </si>
  <si>
    <t>SAGI RAMA KRISHNAM RAJU ENGINEERING COLLEGE, CHINNA AMIRAM, BHIMAVARAM</t>
  </si>
  <si>
    <t>AutoCAD, MS Office,MS Project,Excel</t>
  </si>
  <si>
    <t>Techwave Infotech Pvt. Ltd | Intern  | Hyderabad  | Jan 2025 | May 2026 | 1Y 4M | 2.1</t>
  </si>
  <si>
    <t>ASCENT CS GLOBAL | Intern | Bhimavaram | Jul 2023 | Sep 2023 | 8.8571428571429 Weeks
SkillDzire | Intern | BHIMAVARAM, ANDHRA PRADESH | Jul 2024 | Sep 2024 | 8.8571428571429 Weeks
SkillDzire | Intern | BHIMAVARAM, ANDHRA PRADESH | Dec 2024 | Apr 2025 | 17.285714285714 Weeks</t>
  </si>
  <si>
    <t>P26600066</t>
  </si>
  <si>
    <t>SRI HARI</t>
  </si>
  <si>
    <t>BONAM</t>
  </si>
  <si>
    <t>Sri Hari Bonam</t>
  </si>
  <si>
    <t>P26600066@student.nicmar.ac.in</t>
  </si>
  <si>
    <t>Volunteering,Driving,Swimming,Travelling</t>
  </si>
  <si>
    <t>BONAM RAMESH</t>
  </si>
  <si>
    <t>BONAM SANTHA KUMARI</t>
  </si>
  <si>
    <t>H NO 31-63, Sivalayam Street, Cherukuwada, Penugonda Mandal</t>
  </si>
  <si>
    <t>Sri Chaitanya English Medium School, Penugonda</t>
  </si>
  <si>
    <t>Sri Chaitanya Junior College, Palakolu</t>
  </si>
  <si>
    <t>Aditya College Of Engineering and Technology, Andhra Pradesh</t>
  </si>
  <si>
    <t>2025-Nov</t>
  </si>
  <si>
    <t>AutoCAD,Advanced Excel,MS Office,Revit</t>
  </si>
  <si>
    <t>MUMTY CONSTRUCTIONS | Site Enginner Trainee | Yarravaram, Andhra Pradesh | Nov 2025 | May 2026 | 26.571428571429 Weeks
SKILL DZIRE | Revit Architecture Trainee | Surampalem | Feb 2024 | Apr 2024 | 9.7142857142857 Weeks</t>
  </si>
  <si>
    <t>P26600067</t>
  </si>
  <si>
    <t>ARYANJALI</t>
  </si>
  <si>
    <t>Aryanjali C R</t>
  </si>
  <si>
    <t>P26600067@student.nicmar.ac.in</t>
  </si>
  <si>
    <t>Reading,Cooking,Listening music,Strength training</t>
  </si>
  <si>
    <t>RAMESAN C R</t>
  </si>
  <si>
    <t xml:space="preserve">PARVATHI P V </t>
  </si>
  <si>
    <t>VAIDOORYAM, OTTAPPALA NAGAR, KARIMBAM PO, TALIPARAMBA, KANNUR, KERALA</t>
  </si>
  <si>
    <t>KENDRIYA VIDYALAYA KELTRON NAGAR</t>
  </si>
  <si>
    <t>MOOTHEDATH HIGHER SECONDARY SCHOOL</t>
  </si>
  <si>
    <t>RAJAGIRI SCHOOL OF ENGINEERING AND TECHNOLOGY KERALA</t>
  </si>
  <si>
    <t>AutoCAD,Primavera,MS Excel</t>
  </si>
  <si>
    <t>OMEGA CONSTRUCTIONS | GRADUATE ENGINEER TRAINEE | KANNUR | Jun 2025 | Jun 2026 | 53.714285714286 Weeks</t>
  </si>
  <si>
    <t>NPTEL-SUSTAINABLE ENGINEERING CONCEPTS AND LIFE CYCLE ANALYSIS</t>
  </si>
  <si>
    <t>P26600068</t>
  </si>
  <si>
    <t>Kunjilal</t>
  </si>
  <si>
    <t>Bisen</t>
  </si>
  <si>
    <t>Rahul Kunjilal Bisen</t>
  </si>
  <si>
    <t>rahulbisen661@gmail.com</t>
  </si>
  <si>
    <t>P26600068@student.nicmar.ac.in</t>
  </si>
  <si>
    <t>cricket,music</t>
  </si>
  <si>
    <t>Kunjilal Rajaram Bisen</t>
  </si>
  <si>
    <t>bank employee</t>
  </si>
  <si>
    <t>Kunta Kunjilal Bisen</t>
  </si>
  <si>
    <t>housewife</t>
  </si>
  <si>
    <t>Tilak ward, Behind forrest office, Tirora</t>
  </si>
  <si>
    <t>Shahid Mishra high school and junior college</t>
  </si>
  <si>
    <t>maharashtra state board pune,maharashtra</t>
  </si>
  <si>
    <t>Ganesh high school and junior college</t>
  </si>
  <si>
    <t>Maharashtra state board pune,maharashtra</t>
  </si>
  <si>
    <t>Diploma in Civil engineering</t>
  </si>
  <si>
    <t>Government Polytechnic Nagpur,Maharashtra</t>
  </si>
  <si>
    <t>Rashtrasant Tukadoji Maharaj Nagpur,Maharashtra</t>
  </si>
  <si>
    <t>R.V. Parankar college of engineering</t>
  </si>
  <si>
    <t>P26600069</t>
  </si>
  <si>
    <t>Haris</t>
  </si>
  <si>
    <t>ST</t>
  </si>
  <si>
    <t>Haris St</t>
  </si>
  <si>
    <t>harisst2004@gmail.com</t>
  </si>
  <si>
    <t>P26600069@student.nicmar.ac.in</t>
  </si>
  <si>
    <t>04-Nov-2004</t>
  </si>
  <si>
    <t>English,Hindi,Tamil,German</t>
  </si>
  <si>
    <t>Driving,Exploring,Cricket,Cooking,Gym</t>
  </si>
  <si>
    <t xml:space="preserve">E Thiagarajan </t>
  </si>
  <si>
    <t>T Shyamala</t>
  </si>
  <si>
    <t>7/5 Gandhinagar 4th street Tirupur , Tamilnadu - 641603</t>
  </si>
  <si>
    <t>Sri Nachammal Vidyavani Senior Secondary School</t>
  </si>
  <si>
    <t xml:space="preserve">Central Board Of Secondary Education , Tirupur/Tamilnadu </t>
  </si>
  <si>
    <t>Central Board Of Secondary Education , Tirupur/Tamilnadu</t>
  </si>
  <si>
    <t xml:space="preserve">Symbiosis International University </t>
  </si>
  <si>
    <t xml:space="preserve">Symbiosis Institute of Technology ,Pune </t>
  </si>
  <si>
    <t>Autocad,Autodesk Revit,Excel</t>
  </si>
  <si>
    <t>PMK Infra Pvt.LTD  | Civil Engineering Intern | Kozikode, Kerala  | Jan 2026 | Jun 2026 | 21.571428571429 Weeks</t>
  </si>
  <si>
    <t>Autocad 
Highway Planning Design and Construction offered by L&amp;T EduTech 
German Language A1.1</t>
  </si>
  <si>
    <t>P26600070</t>
  </si>
  <si>
    <t>SANDRA</t>
  </si>
  <si>
    <t>SEIRA</t>
  </si>
  <si>
    <t>GEORGE</t>
  </si>
  <si>
    <t>Sandra Seira George</t>
  </si>
  <si>
    <t>P26600070@student.nicmar.ac.in</t>
  </si>
  <si>
    <t>06-Oct-1998</t>
  </si>
  <si>
    <t>WALKING,COOKING,WATCHING CRIME DOCUMENTARY,FITNESS &amp; WELLNESS,JOURNALING</t>
  </si>
  <si>
    <t>KURIAN GEORGE</t>
  </si>
  <si>
    <t>SALES MANAGER</t>
  </si>
  <si>
    <t>SHAINI BABY T</t>
  </si>
  <si>
    <t>RETIRED GOVT.EMPLOYEE</t>
  </si>
  <si>
    <t xml:space="preserve">PRATHANA HOUSE,RAMNAGAR 3RD STREET ,PUNKUNNAM,THRISSUR </t>
  </si>
  <si>
    <t xml:space="preserve">KULAPATHI MUNSHI BHAVANS VIDYA MANDIR </t>
  </si>
  <si>
    <t>CBSE- KERALA</t>
  </si>
  <si>
    <t xml:space="preserve">MARTHOMA GIRLS HIGHER SECONDARY SCHOOL </t>
  </si>
  <si>
    <t xml:space="preserve">APJ ABDUL KALAM TECHNOLOGICAL UNIVERSITY </t>
  </si>
  <si>
    <t>SREE ERNAKULATHAPPAN COLLEGE OF ENGINEERING AND MANAGEMENT</t>
  </si>
  <si>
    <t>AUTOCAD,MS EXCEL,MS OFFICE</t>
  </si>
  <si>
    <t>SANTA MONICA PVT LIMITED | SALES CONSULTANT  | Thrissur,Kerala,India | Jan 2022 | Oct 2024 | 2Y 9M | 2.54</t>
  </si>
  <si>
    <t>NIRMITHI KENDRA,THRISSUR | INTERN | Thrissur,Kerala,India | Jun 2017 | Jul 2017 | 0.85714285714286 Weeks
PUBLIC WORKS DEPARTMENT  | INTERN | Thrissur,Kerala,India | Jul 2018 | Jul 2018 | 0.85714285714286 Weeks
PB HOMES PVT LTD  | Jr.Site Engineer (Trainee ) | Thrissur,Kerala,India | Feb 2026 | May 2026 | 13.285714285714 Weeks</t>
  </si>
  <si>
    <t>P26600071</t>
  </si>
  <si>
    <t>Umesh</t>
  </si>
  <si>
    <t>Rajendra</t>
  </si>
  <si>
    <t>Nimbalkar</t>
  </si>
  <si>
    <t>Umesh Rajendra Nimbalkar</t>
  </si>
  <si>
    <t>P26600071@student.nicmar.ac.in</t>
  </si>
  <si>
    <t>10-Jul-1997</t>
  </si>
  <si>
    <t>Hindi,Marathi,English</t>
  </si>
  <si>
    <t>Learning new software</t>
  </si>
  <si>
    <t>Rajendra Nimbalkar</t>
  </si>
  <si>
    <t>Mangal Nimbalkar</t>
  </si>
  <si>
    <t>Plot n 3 g n 166/1/4 Shivaji maharaj chauk supreem colony midc area jalgaon</t>
  </si>
  <si>
    <t xml:space="preserve">Chakankar niwas, Baner balewadi road ,Chakankar mala, near omkar height pune </t>
  </si>
  <si>
    <t>Zipru Anna Prathamik Madhyamik Vidyalaya jalgaon</t>
  </si>
  <si>
    <t>State Board Of Maharashtra, Jalgaon</t>
  </si>
  <si>
    <t>2013-Oct</t>
  </si>
  <si>
    <t>BGPS' Hi Tech Polytechnic Aurangabad,/ Maharashtra</t>
  </si>
  <si>
    <t>Kavayitri Bahinabai Chaudhari North Maharashtra University</t>
  </si>
  <si>
    <t>G.H. Raisoni Institute Of Engineering &amp; Management jalgaon / Maharashtra</t>
  </si>
  <si>
    <t>Microsoft Excel,Primavera</t>
  </si>
  <si>
    <t>Microsoft Excel
Quantity Surveying Building Estimation And Project Planning
Primavera P6</t>
  </si>
  <si>
    <t>MBA-PEM</t>
  </si>
  <si>
    <t>P26701001</t>
  </si>
  <si>
    <t>P26701001@student.nicmar.ac.in</t>
  </si>
  <si>
    <t>P26701002</t>
  </si>
  <si>
    <t>P26701002@student.nicmar.ac.in</t>
  </si>
  <si>
    <t>P26701003</t>
  </si>
  <si>
    <t>P26701003@student.nicmar.ac.in</t>
  </si>
  <si>
    <t>P26701004</t>
  </si>
  <si>
    <t>P26701004@student.nicmar.ac.in</t>
  </si>
  <si>
    <t>P26701005</t>
  </si>
  <si>
    <t>P26701005@student.nicmar.ac.in</t>
  </si>
  <si>
    <t>P26701006</t>
  </si>
  <si>
    <t>P26701006@student.nicmar.ac.in</t>
  </si>
  <si>
    <t>P26701007</t>
  </si>
  <si>
    <t>P26701007@student.nicmar.ac.in</t>
  </si>
  <si>
    <t>P26701008</t>
  </si>
  <si>
    <t>P26701008@student.nicmar.ac.in</t>
  </si>
  <si>
    <t>P26701009</t>
  </si>
  <si>
    <t>P26701009@student.nicmar.ac.in</t>
  </si>
  <si>
    <t>P26701010</t>
  </si>
  <si>
    <t>P26701010@student.nicmar.ac.in</t>
  </si>
  <si>
    <t>P26701011</t>
  </si>
  <si>
    <t>P26701011@student.nicmar.ac.in</t>
  </si>
  <si>
    <t>P26701012</t>
  </si>
  <si>
    <t>P26701012@student.nicmar.ac.in</t>
  </si>
  <si>
    <t>P26701013</t>
  </si>
  <si>
    <t>P26701013@student.nicmar.ac.in</t>
  </si>
  <si>
    <t>P26701014</t>
  </si>
  <si>
    <t>P26701014@student.nicmar.ac.in</t>
  </si>
  <si>
    <t>P26701015</t>
  </si>
  <si>
    <t>P26701015@student.nicmar.ac.in</t>
  </si>
  <si>
    <t>P26701016</t>
  </si>
  <si>
    <t>P26701016@student.nicmar.ac.in</t>
  </si>
  <si>
    <t>P26701017</t>
  </si>
  <si>
    <t>P26701017@student.nicmar.ac.in</t>
  </si>
  <si>
    <t>P26701018</t>
  </si>
  <si>
    <t>P26701018@student.nicmar.ac.in</t>
  </si>
  <si>
    <t>P26701019</t>
  </si>
  <si>
    <t>P26701019@student.nicmar.ac.in</t>
  </si>
  <si>
    <t>P26701020</t>
  </si>
  <si>
    <t>P26701020@student.nicmar.ac.in</t>
  </si>
  <si>
    <t>P26701021</t>
  </si>
  <si>
    <t>P26701021@student.nicmar.ac.in</t>
  </si>
  <si>
    <t>P26701022</t>
  </si>
  <si>
    <t>P26701022@student.nicmar.ac.in</t>
  </si>
  <si>
    <t>P26701023</t>
  </si>
  <si>
    <t>P26701023@student.nicmar.ac.in</t>
  </si>
  <si>
    <t>P26701024</t>
  </si>
  <si>
    <t>P26701024@student.nicmar.ac.in</t>
  </si>
  <si>
    <t>P26701025</t>
  </si>
  <si>
    <t>P26701025@student.nicmar.ac.in</t>
  </si>
  <si>
    <t>P26701026</t>
  </si>
  <si>
    <t>P26701026@student.nicmar.ac.in</t>
  </si>
  <si>
    <t>P26701027</t>
  </si>
  <si>
    <t>Afifa</t>
  </si>
  <si>
    <t>Qudsia</t>
  </si>
  <si>
    <t>Afifa Qudsia</t>
  </si>
  <si>
    <t>afifaqudsia@gmail.com</t>
  </si>
  <si>
    <t>P26701027@student.nicmar.ac.in</t>
  </si>
  <si>
    <t>English, Hindi,Kashmiri,Urdu</t>
  </si>
  <si>
    <t>Writing,Reading,Music,Trekking</t>
  </si>
  <si>
    <t>Ajaz Ahmad Khan</t>
  </si>
  <si>
    <t>Retired Physical Director</t>
  </si>
  <si>
    <t>Mehfooza Zargar</t>
  </si>
  <si>
    <t>Retired High School Master</t>
  </si>
  <si>
    <t>105, Sabah Lane, Bota Shah Mohallah, Lal Bazar</t>
  </si>
  <si>
    <t>1104, Millennium Girls Hostel, NICMAR University, Balewadi, Pune</t>
  </si>
  <si>
    <t>P26701028</t>
  </si>
  <si>
    <t>P26701028@student.nicmar.ac.in</t>
  </si>
  <si>
    <t>P26701029</t>
  </si>
  <si>
    <t>P26701029@student.nicmar.ac.in</t>
  </si>
  <si>
    <t>P26701030</t>
  </si>
  <si>
    <t>P26701030@student.nicmar.ac.in</t>
  </si>
  <si>
    <t>P26701031</t>
  </si>
  <si>
    <t>P26701031@student.nicmar.ac.in</t>
  </si>
  <si>
    <t>P26701032</t>
  </si>
  <si>
    <t>P26701032@student.nicmar.ac.in</t>
  </si>
  <si>
    <t>P26701033</t>
  </si>
  <si>
    <t>P26701033@student.nicmar.ac.in</t>
  </si>
  <si>
    <t>P26701034</t>
  </si>
  <si>
    <t>P26701034@student.nicmar.ac.in</t>
  </si>
  <si>
    <t>P26701035</t>
  </si>
  <si>
    <t>P26701035@student.nicmar.ac.in</t>
  </si>
  <si>
    <t>P26701036</t>
  </si>
  <si>
    <t>P26701036@student.nicmar.ac.in</t>
  </si>
  <si>
    <t>P26701037</t>
  </si>
  <si>
    <t>P26701037@student.nicmar.ac.in</t>
  </si>
  <si>
    <t>P26701038</t>
  </si>
  <si>
    <t>P26701038@student.nicmar.ac.in</t>
  </si>
  <si>
    <t>P26701039</t>
  </si>
  <si>
    <t>P26701039@student.nicmar.ac.in</t>
  </si>
  <si>
    <t>P26701040</t>
  </si>
  <si>
    <t>P26701040@student.nicmar.ac.in</t>
  </si>
  <si>
    <t>P26701041</t>
  </si>
  <si>
    <t>P26701041@student.nicmar.ac.in</t>
  </si>
  <si>
    <t>P26701042</t>
  </si>
  <si>
    <t>P26701042@student.nicmar.ac.in</t>
  </si>
  <si>
    <t>P26701043</t>
  </si>
  <si>
    <t>P26701043@student.nicmar.ac.in</t>
  </si>
  <si>
    <t>P26701044</t>
  </si>
  <si>
    <t>P26701044@student.nicmar.ac.in</t>
  </si>
  <si>
    <t>P26701045</t>
  </si>
  <si>
    <t>P26701045@student.nicmar.ac.in</t>
  </si>
  <si>
    <t>P26701046</t>
  </si>
  <si>
    <t>P26701046@student.nicmar.ac.in</t>
  </si>
  <si>
    <t>P26701047</t>
  </si>
  <si>
    <t>P26701047@student.nicmar.ac.in</t>
  </si>
  <si>
    <t>P26701048</t>
  </si>
  <si>
    <t>P26701048@student.nicmar.ac.in</t>
  </si>
  <si>
    <t>P26701049</t>
  </si>
  <si>
    <t>P26701049@student.nicmar.ac.in</t>
  </si>
  <si>
    <t>P26701050</t>
  </si>
  <si>
    <t>P26701050@student.nicmar.ac.in</t>
  </si>
  <si>
    <t>P26701051</t>
  </si>
  <si>
    <t>P26701051@student.nicmar.ac.in</t>
  </si>
  <si>
    <t>P26701052</t>
  </si>
  <si>
    <t>P26701052@student.nicmar.ac.in</t>
  </si>
  <si>
    <t>P26701053</t>
  </si>
  <si>
    <t>P26701053@student.nicmar.ac.in</t>
  </si>
  <si>
    <t>P26701054</t>
  </si>
  <si>
    <t>P26701054@student.nicmar.ac.in</t>
  </si>
  <si>
    <t>P26701055</t>
  </si>
  <si>
    <t>P26701055@student.nicmar.ac.in</t>
  </si>
  <si>
    <t>P26701056</t>
  </si>
  <si>
    <t>P26701056@student.nicmar.ac.in</t>
  </si>
  <si>
    <t>P26701057</t>
  </si>
  <si>
    <t>P26701057@student.nicmar.ac.in</t>
  </si>
  <si>
    <t>P26701058</t>
  </si>
  <si>
    <t>P26701058@student.nicmar.ac.in</t>
  </si>
  <si>
    <t>P26701059</t>
  </si>
  <si>
    <t>P26701059@student.nicmar.ac.in</t>
  </si>
  <si>
    <t>P26701060</t>
  </si>
  <si>
    <t>P26701060@student.nicmar.ac.in</t>
  </si>
  <si>
    <t>P26701061</t>
  </si>
  <si>
    <t>P26701061@student.nicmar.ac.in</t>
  </si>
  <si>
    <t>P26701062</t>
  </si>
  <si>
    <t>P26701062@student.nicmar.ac.in</t>
  </si>
  <si>
    <t>P26701063</t>
  </si>
  <si>
    <t>P26701063@student.nicmar.ac.in</t>
  </si>
  <si>
    <t>P26701064</t>
  </si>
  <si>
    <t>P26701064@student.nicmar.ac.in</t>
  </si>
  <si>
    <t>P26701065</t>
  </si>
  <si>
    <t>P26701065@student.nicmar.ac.in</t>
  </si>
  <si>
    <t>P26701066</t>
  </si>
  <si>
    <t>P26701066@student.nicmar.ac.in</t>
  </si>
  <si>
    <t>P26701067</t>
  </si>
  <si>
    <t>P26701067@student.nicmar.ac.in</t>
  </si>
  <si>
    <t>P26701069</t>
  </si>
  <si>
    <t>P26701069@student.nicmar.ac.in</t>
  </si>
  <si>
    <t>P26701070</t>
  </si>
  <si>
    <t>P26701070@student.nicmar.ac.in</t>
  </si>
  <si>
    <t>P26701071</t>
  </si>
  <si>
    <t>MD KHUSHNOOD</t>
  </si>
  <si>
    <t>ALAM</t>
  </si>
  <si>
    <t>Md Khushnood Alam</t>
  </si>
  <si>
    <t>khushnoodalam124@gmail.com</t>
  </si>
  <si>
    <t>P26701071@student.nicmar.ac.in</t>
  </si>
  <si>
    <t>COOKING,SIGHTSEEING,SOLVING PUZZLES,WATCHING SERIES</t>
  </si>
  <si>
    <t>MD NISHAT ALAM</t>
  </si>
  <si>
    <t>FARIDAH KHATOON</t>
  </si>
  <si>
    <t>PATNA CITY</t>
  </si>
  <si>
    <t>SHAHJAHANABAD APARTMENT, DWARKA SECTOR 11</t>
  </si>
  <si>
    <t>ARYABHATTA KNOWLEDGE UNIVERSITY</t>
  </si>
  <si>
    <t>MACET, PATNA</t>
  </si>
  <si>
    <t>MS OFFICE,AUTOCAD,AVEVA3D,TEKLA</t>
  </si>
  <si>
    <t>Metron Engineering PVT. LTD. | Site Engineer | Ranchi, Jharkhand | Aug 2022 | Jun 2026 | 3Y 10M | 4.32</t>
  </si>
  <si>
    <t>P26701072</t>
  </si>
  <si>
    <t>P26701072@student.nicmar.ac.in</t>
  </si>
  <si>
    <t>P26701073</t>
  </si>
  <si>
    <t>P26701073@student.nicmar.ac.in</t>
  </si>
  <si>
    <t>P26701074</t>
  </si>
  <si>
    <t>P26701074@student.nicmar.ac.in</t>
  </si>
  <si>
    <t>P26701075</t>
  </si>
  <si>
    <t>P26701075@student.nicmar.ac.in</t>
  </si>
  <si>
    <t>P26701076</t>
  </si>
  <si>
    <t>P26701076@student.nicmar.ac.in</t>
  </si>
  <si>
    <t>P26701077</t>
  </si>
  <si>
    <t>P26701077@student.nicmar.ac.in</t>
  </si>
  <si>
    <t>P26701078</t>
  </si>
  <si>
    <t>P26701078@student.nicmar.ac.in</t>
  </si>
  <si>
    <t>P26701081</t>
  </si>
  <si>
    <t>P26701081@student.nicmar.ac.in</t>
  </si>
  <si>
    <t>P26701082</t>
  </si>
  <si>
    <t>P26701082@student.nicmar.ac.in</t>
  </si>
  <si>
    <t>P26701083</t>
  </si>
  <si>
    <t>P26701083@student.nicmar.ac.in</t>
  </si>
  <si>
    <t>P26701084</t>
  </si>
  <si>
    <t>P26701084@student.nicmar.ac.in</t>
  </si>
  <si>
    <t>P26701085</t>
  </si>
  <si>
    <t>P26701085@student.nicmar.ac.in</t>
  </si>
  <si>
    <t>P26701086</t>
  </si>
  <si>
    <t>P26701086@student.nicmar.ac.in</t>
  </si>
  <si>
    <t>P26701087</t>
  </si>
  <si>
    <t>P26701087@student.nicmar.ac.in</t>
  </si>
  <si>
    <t>P26701088</t>
  </si>
  <si>
    <t>P26701088@student.nicmar.ac.in</t>
  </si>
  <si>
    <t>P26701089</t>
  </si>
  <si>
    <t>P26701089@student.nicmar.ac.in</t>
  </si>
  <si>
    <t>P26701090</t>
  </si>
  <si>
    <t>P26701090@student.nicmar.ac.in</t>
  </si>
  <si>
    <t>P26701091</t>
  </si>
  <si>
    <t>P26701091@student.nicmar.ac.in</t>
  </si>
  <si>
    <t>P26701092</t>
  </si>
  <si>
    <t>P26701092@student.nicmar.ac.in</t>
  </si>
  <si>
    <t>P26701093</t>
  </si>
  <si>
    <t>P26701093@student.nicmar.ac.in</t>
  </si>
  <si>
    <t>P26701094</t>
  </si>
  <si>
    <t>P26701094@student.nicmar.ac.in</t>
  </si>
  <si>
    <t>P26701095</t>
  </si>
  <si>
    <t>P26701095@student.nicmar.ac.in</t>
  </si>
  <si>
    <t>P26701096</t>
  </si>
  <si>
    <t>P26701096@student.nicmar.ac.in</t>
  </si>
  <si>
    <t>P26701098</t>
  </si>
  <si>
    <t>P26701098@student.nicmar.ac.in</t>
  </si>
  <si>
    <t>P26701099</t>
  </si>
  <si>
    <t>P26701099@student.nicmar.ac.in</t>
  </si>
  <si>
    <t>P26701100</t>
  </si>
  <si>
    <t>P26701100@student.nicmar.ac.in</t>
  </si>
  <si>
    <t>P26701101</t>
  </si>
  <si>
    <t>P26701101@student.nicmar.ac.in</t>
  </si>
  <si>
    <t>P26701102</t>
  </si>
  <si>
    <t>P26701102@student.nicmar.ac.in</t>
  </si>
  <si>
    <t>P26701103</t>
  </si>
  <si>
    <t>P26701103@student.nicmar.ac.in</t>
  </si>
  <si>
    <t>P26701104</t>
  </si>
  <si>
    <t>P26701104@student.nicmar.ac.in</t>
  </si>
  <si>
    <t>P26701105</t>
  </si>
  <si>
    <t>P26701105@student.nicmar.ac.in</t>
  </si>
  <si>
    <t>P26701106</t>
  </si>
  <si>
    <t>P26701106@student.nicmar.ac.in</t>
  </si>
  <si>
    <t>P26701107</t>
  </si>
  <si>
    <t>P26701107@student.nicmar.ac.in</t>
  </si>
  <si>
    <t>P26701108</t>
  </si>
  <si>
    <t>P26701108@student.nicmar.ac.in</t>
  </si>
  <si>
    <t>P26701109</t>
  </si>
  <si>
    <t>P26701109@student.nicmar.ac.in</t>
  </si>
  <si>
    <t>P26701110</t>
  </si>
  <si>
    <t>P26701110@student.nicmar.ac.in</t>
  </si>
  <si>
    <t>P26701111</t>
  </si>
  <si>
    <t>P26701111@student.nicmar.ac.in</t>
  </si>
  <si>
    <t>P26701112</t>
  </si>
  <si>
    <t>P26701112@student.nicmar.ac.in</t>
  </si>
  <si>
    <t>P26701113</t>
  </si>
  <si>
    <t>P26701113@student.nicmar.ac.in</t>
  </si>
  <si>
    <t>P26701114</t>
  </si>
  <si>
    <t>P26701114@student.nicmar.ac.in</t>
  </si>
  <si>
    <t>P26701115</t>
  </si>
  <si>
    <t>P26701115@student.nicmar.ac.in</t>
  </si>
  <si>
    <t>P26701116</t>
  </si>
  <si>
    <t>P26701116@student.nicmar.ac.in</t>
  </si>
  <si>
    <t>P26701117</t>
  </si>
  <si>
    <t>P26701117@student.nicmar.ac.in</t>
  </si>
  <si>
    <t>P26701118</t>
  </si>
  <si>
    <t>P26701118@student.nicmar.ac.in</t>
  </si>
  <si>
    <t>P26701119</t>
  </si>
  <si>
    <t>P26701119@student.nicmar.ac.in</t>
  </si>
  <si>
    <t>P26701120</t>
  </si>
  <si>
    <t>P26701120@student.nicmar.ac.in</t>
  </si>
  <si>
    <t>P26701121</t>
  </si>
  <si>
    <t>P26701121@student.nicmar.ac.in</t>
  </si>
  <si>
    <t>P26701123</t>
  </si>
  <si>
    <t>P26701123@student.nicmar.ac.in</t>
  </si>
  <si>
    <t>P26701124</t>
  </si>
  <si>
    <t>P26701124@student.nicmar.ac.in</t>
  </si>
  <si>
    <t>P26701125</t>
  </si>
  <si>
    <t>P26701125@student.nicmar.ac.in</t>
  </si>
  <si>
    <t>P26701126</t>
  </si>
  <si>
    <t>P26701126@student.nicmar.ac.in</t>
  </si>
  <si>
    <t>P26701127</t>
  </si>
  <si>
    <t>P26701127@student.nicmar.ac.in</t>
  </si>
  <si>
    <t>P26701128</t>
  </si>
  <si>
    <t>P26701128@student.nicmar.ac.in</t>
  </si>
  <si>
    <t>P26701129</t>
  </si>
  <si>
    <t>P26701129@student.nicmar.ac.in</t>
  </si>
  <si>
    <t>P26701130</t>
  </si>
  <si>
    <t>P26701130@student.nicmar.ac.in</t>
  </si>
  <si>
    <t>P26701131</t>
  </si>
  <si>
    <t>P26701131@student.nicmar.ac.in</t>
  </si>
  <si>
    <t>P26701132</t>
  </si>
  <si>
    <t>P26701132@student.nicmar.ac.in</t>
  </si>
  <si>
    <t>P26701133</t>
  </si>
  <si>
    <t>P26701133@student.nicmar.ac.in</t>
  </si>
  <si>
    <t>P26701134</t>
  </si>
  <si>
    <t>P26701134@student.nicmar.ac.in</t>
  </si>
  <si>
    <t>P26701135</t>
  </si>
  <si>
    <t>P26701135@student.nicmar.ac.in</t>
  </si>
  <si>
    <t>P26701137</t>
  </si>
  <si>
    <t>P26701137@student.nicmar.ac.in</t>
  </si>
  <si>
    <t>P26701138</t>
  </si>
  <si>
    <t>P26701138@student.nicmar.ac.in</t>
  </si>
  <si>
    <t>P26701139</t>
  </si>
  <si>
    <t>P26701139@student.nicmar.ac.in</t>
  </si>
  <si>
    <t>P26701140</t>
  </si>
  <si>
    <t>P26701140@student.nicmar.ac.in</t>
  </si>
  <si>
    <t>P26701141</t>
  </si>
  <si>
    <t>P26701141@student.nicmar.ac.in</t>
  </si>
  <si>
    <t>P26701142</t>
  </si>
  <si>
    <t>P26701142@student.nicmar.ac.in</t>
  </si>
  <si>
    <t>P26707001</t>
  </si>
  <si>
    <t>P26707001@student.nicmar.ac.in</t>
  </si>
  <si>
    <t>P26707002</t>
  </si>
  <si>
    <t>P26707002@student.nicmar.ac.in</t>
  </si>
  <si>
    <t>P26707003</t>
  </si>
  <si>
    <t>P26707003@student.nicmar.ac.in</t>
  </si>
  <si>
    <t>P26707004</t>
  </si>
  <si>
    <t>P26707004@student.nicmar.ac.in</t>
  </si>
  <si>
    <t>P26707005</t>
  </si>
  <si>
    <t>P26707005@student.nicmar.ac.in</t>
  </si>
  <si>
    <t>P26707006</t>
  </si>
  <si>
    <t>P26707006@student.nicmar.ac.in</t>
  </si>
  <si>
    <t>P26707007</t>
  </si>
  <si>
    <t>P26707007@student.nicmar.ac.in</t>
  </si>
  <si>
    <t>P26707008</t>
  </si>
  <si>
    <t>P26707008@student.nicmar.ac.in</t>
  </si>
  <si>
    <t>P26707009</t>
  </si>
  <si>
    <t>P26707009@student.nicmar.ac.in</t>
  </si>
  <si>
    <t>P26707010</t>
  </si>
  <si>
    <t>P26707010@student.nicmar.ac.in</t>
  </si>
  <si>
    <t>P26707011</t>
  </si>
  <si>
    <t>P26707011@student.nicmar.ac.in</t>
  </si>
  <si>
    <t>P26707013</t>
  </si>
  <si>
    <t>P26707013@student.nicmar.ac.in</t>
  </si>
  <si>
    <t>P26707014</t>
  </si>
  <si>
    <t>P26707014@student.nicmar.ac.in</t>
  </si>
  <si>
    <t>P26707015</t>
  </si>
  <si>
    <t>P26707015@student.nicmar.ac.in</t>
  </si>
  <si>
    <t>P26707016</t>
  </si>
  <si>
    <t>P26707016@student.nicmar.ac.in</t>
  </si>
  <si>
    <t>P26707017</t>
  </si>
  <si>
    <t>P26707017@student.nicmar.ac.in</t>
  </si>
  <si>
    <t>P26707018</t>
  </si>
  <si>
    <t>P26707018@student.nicmar.ac.in</t>
  </si>
  <si>
    <t>P26707019</t>
  </si>
  <si>
    <t>P26707019@student.nicmar.ac.in</t>
  </si>
  <si>
    <t>P26707020</t>
  </si>
  <si>
    <t>P26707020@student.nicmar.ac.in</t>
  </si>
  <si>
    <t>P26707021</t>
  </si>
  <si>
    <t>P26707021@student.nicmar.ac.in</t>
  </si>
  <si>
    <t>P26707022</t>
  </si>
  <si>
    <t>P26707022@student.nicmar.ac.in</t>
  </si>
  <si>
    <t>P26707023</t>
  </si>
  <si>
    <t>P26707023@student.nicmar.ac.in</t>
  </si>
  <si>
    <t>P26707024</t>
  </si>
  <si>
    <t>P26707024@student.nicmar.ac.in</t>
  </si>
  <si>
    <t>P26707025</t>
  </si>
  <si>
    <t>P26707025@student.nicmar.ac.in</t>
  </si>
  <si>
    <t>P26707026</t>
  </si>
  <si>
    <t>P26707026@student.nicmar.ac.in</t>
  </si>
  <si>
    <t>P26707027</t>
  </si>
  <si>
    <t>P26707027@student.nicmar.ac.in</t>
  </si>
  <si>
    <t>P26707028</t>
  </si>
  <si>
    <t>P26707028@student.nicmar.ac.in</t>
  </si>
  <si>
    <t>MBA-FBE</t>
  </si>
  <si>
    <t>P26708001</t>
  </si>
  <si>
    <t>P26708001@student.nicmar.ac.in</t>
  </si>
  <si>
    <t>P26708002</t>
  </si>
  <si>
    <t>P26708002@student.nicmar.ac.in</t>
  </si>
  <si>
    <t>P26708003</t>
  </si>
  <si>
    <t>P26708003@student.nicmar.ac.in</t>
  </si>
  <si>
    <t>P26708004</t>
  </si>
  <si>
    <t>P26708004@student.nicmar.ac.in</t>
  </si>
  <si>
    <t>P26708005</t>
  </si>
  <si>
    <t>P26708005@student.nicmar.ac.in</t>
  </si>
  <si>
    <t>P26708007</t>
  </si>
  <si>
    <t>P26708007@student.nicmar.ac.in</t>
  </si>
  <si>
    <t>P26708008</t>
  </si>
  <si>
    <t>P26708008@student.nicmar.ac.in</t>
  </si>
  <si>
    <t>M.Tech-CTM</t>
  </si>
  <si>
    <t>P26709001</t>
  </si>
  <si>
    <t>P26709001@student.nicmar.ac.in</t>
  </si>
  <si>
    <t>P26709002</t>
  </si>
  <si>
    <t>P26709002@student.nicmar.ac.in</t>
  </si>
  <si>
    <t>P26709003</t>
  </si>
  <si>
    <t>P26709003@student.nicmar.ac.in</t>
  </si>
  <si>
    <t>P26709004</t>
  </si>
  <si>
    <t>P26709004@student.nicmar.ac.in</t>
  </si>
  <si>
    <t>P26709005</t>
  </si>
  <si>
    <t>P26709005@student.nicmar.ac.in</t>
  </si>
  <si>
    <t>P26709006</t>
  </si>
  <si>
    <t>P26709006@student.nicmar.ac.in</t>
  </si>
  <si>
    <t>P26709007</t>
  </si>
  <si>
    <t>P26709007@student.nicmar.ac.in</t>
  </si>
  <si>
    <t>P26709008</t>
  </si>
  <si>
    <t>P26709008@student.nicmar.ac.in</t>
  </si>
  <si>
    <t>P26709009</t>
  </si>
  <si>
    <t>P26709009@student.nicmar.ac.in</t>
  </si>
  <si>
    <t>P26709010</t>
  </si>
  <si>
    <t>P26709010@student.nicmar.ac.in</t>
  </si>
  <si>
    <t>P26709011</t>
  </si>
  <si>
    <t>P26709011@student.nicmar.ac.in</t>
  </si>
  <si>
    <t>P26709012</t>
  </si>
  <si>
    <t>P26709012@student.nicmar.ac.in</t>
  </si>
  <si>
    <t>P26709013</t>
  </si>
  <si>
    <t>P26709013@student.nicmar.ac.in</t>
  </si>
  <si>
    <t>P26709014</t>
  </si>
  <si>
    <t>P26709014@student.nicmar.ac.in</t>
  </si>
  <si>
    <t>P26709015</t>
  </si>
  <si>
    <t>P26709015@student.nicmar.ac.in</t>
  </si>
  <si>
    <t>P26709016</t>
  </si>
  <si>
    <t>P26709016@student.nicmar.ac.in</t>
  </si>
  <si>
    <t>P26709017</t>
  </si>
  <si>
    <t>P26709017@student.nicmar.ac.in</t>
  </si>
  <si>
    <t>P26709018</t>
  </si>
  <si>
    <t>P26709018@student.nicmar.ac.in</t>
  </si>
  <si>
    <t>P26709019</t>
  </si>
  <si>
    <t>P26709019@student.nicmar.ac.in</t>
  </si>
  <si>
    <t>P26709020</t>
  </si>
  <si>
    <t>P26709020@student.nicmar.ac.in</t>
  </si>
  <si>
    <t>P26709022</t>
  </si>
  <si>
    <t>P26709022@student.nicmar.ac.in</t>
  </si>
  <si>
    <t>P26709023</t>
  </si>
  <si>
    <t>P26709023@student.nicmar.ac.in</t>
  </si>
  <si>
    <t>P26709024</t>
  </si>
  <si>
    <t>P26709024@student.nicmar.ac.in</t>
  </si>
  <si>
    <t>P26709025</t>
  </si>
  <si>
    <t>P26709025@student.nicmar.ac.in</t>
  </si>
  <si>
    <t>P26709026</t>
  </si>
  <si>
    <t>P26709026@student.nicmar.ac.in</t>
  </si>
  <si>
    <t>P26709027</t>
  </si>
  <si>
    <t>P26709027@student.nicmar.ac.in</t>
  </si>
  <si>
    <t>P26709028</t>
  </si>
  <si>
    <t>P26709028@student.nicmar.ac.in</t>
  </si>
  <si>
    <t>P26709030</t>
  </si>
  <si>
    <t>P26709030@student.nicmar.ac.in</t>
  </si>
  <si>
    <t>P26709031</t>
  </si>
  <si>
    <t>P26709031@student.nicmar.ac.in</t>
  </si>
  <si>
    <t>P26709032</t>
  </si>
  <si>
    <t>P26709032@student.nicmar.ac.in</t>
  </si>
  <si>
    <t>P26709033</t>
  </si>
  <si>
    <t>P26709033@student.nicmar.ac.in</t>
  </si>
  <si>
    <t>P26709034</t>
  </si>
  <si>
    <t>P26709034@student.nicmar.ac.in</t>
  </si>
  <si>
    <t>P26709035</t>
  </si>
  <si>
    <t>P26709035@student.nicmar.ac.in</t>
  </si>
  <si>
    <t>P26709036</t>
  </si>
  <si>
    <t>P26709036@student.nicmar.ac.in</t>
  </si>
  <si>
    <t>P26709037</t>
  </si>
  <si>
    <t>P26709037@student.nicmar.ac.in</t>
  </si>
  <si>
    <t>P26709038</t>
  </si>
  <si>
    <t>P26709038@student.nicmar.ac.in</t>
  </si>
  <si>
    <t>P26709039</t>
  </si>
  <si>
    <t>P26709039@student.nicmar.ac.in</t>
  </si>
  <si>
    <t>P26709040</t>
  </si>
  <si>
    <t>P26709040@student.nicmar.ac.in</t>
  </si>
  <si>
    <t>P26709041</t>
  </si>
  <si>
    <t>P26709041@student.nicmar.ac.in</t>
  </si>
  <si>
    <t>P26709042</t>
  </si>
  <si>
    <t>P26709042@student.nicmar.ac.in</t>
  </si>
  <si>
    <t>P26709043</t>
  </si>
  <si>
    <t>P26709043@student.nicmar.ac.in</t>
  </si>
  <si>
    <t>P26709044</t>
  </si>
  <si>
    <t>Prashant</t>
  </si>
  <si>
    <t>Bugalia</t>
  </si>
  <si>
    <t>Prashant Bugalia</t>
  </si>
  <si>
    <t>prashantchoudhary2944@gmail.com</t>
  </si>
  <si>
    <t>P26709044@student.nicmar.ac.in</t>
  </si>
  <si>
    <t>17-Jul-2002</t>
  </si>
  <si>
    <t>Playing Vallyball</t>
  </si>
  <si>
    <t>Suresh Kumar Bugalia</t>
  </si>
  <si>
    <t>Businessman</t>
  </si>
  <si>
    <t>Suman Devi</t>
  </si>
  <si>
    <t>House Maker</t>
  </si>
  <si>
    <t>Village-Balwantpura Post-Chelasi Teh-Nawalgarh</t>
  </si>
  <si>
    <t>Jhunjhunu</t>
  </si>
  <si>
    <t>P26709045</t>
  </si>
  <si>
    <t xml:space="preserve">Vansh </t>
  </si>
  <si>
    <t xml:space="preserve">Gajendra </t>
  </si>
  <si>
    <t>Chaudhari</t>
  </si>
  <si>
    <t>Vansh  Gajendra  Chaudhari</t>
  </si>
  <si>
    <t>P26709045@student.nicmar.ac.in</t>
  </si>
  <si>
    <t>Hindi ,Marathi,English</t>
  </si>
  <si>
    <t xml:space="preserve">Traveling </t>
  </si>
  <si>
    <t>Gajendra Chaudhari</t>
  </si>
  <si>
    <t xml:space="preserve">Self employed </t>
  </si>
  <si>
    <t xml:space="preserve">Bharti Chaudhari </t>
  </si>
  <si>
    <t xml:space="preserve">Shivtirth 17 A  geeta nagar </t>
  </si>
  <si>
    <t xml:space="preserve">Shivtirth 17 A  </t>
  </si>
  <si>
    <t>B.Tech-Civil</t>
  </si>
  <si>
    <t>2023-2027</t>
  </si>
  <si>
    <t>P2366001</t>
  </si>
  <si>
    <t>P2366001@student.nicmar.ac.in</t>
  </si>
  <si>
    <t>P2366002</t>
  </si>
  <si>
    <t>P2366002@student.nicmar.ac.in</t>
  </si>
  <si>
    <t>P2366003</t>
  </si>
  <si>
    <t>P2366003@student.nicmar.ac.in</t>
  </si>
  <si>
    <t>P2366004</t>
  </si>
  <si>
    <t>P2366004@student.nicmar.ac.in</t>
  </si>
  <si>
    <t>P2366005</t>
  </si>
  <si>
    <t>P2366005@student.nicmar.ac.in</t>
  </si>
  <si>
    <t>P2366006</t>
  </si>
  <si>
    <t>P2366006@student.nicmar.ac.in</t>
  </si>
  <si>
    <t>P2366007</t>
  </si>
  <si>
    <t>P2366007@student.nicmar.ac.in</t>
  </si>
  <si>
    <t>P2366008</t>
  </si>
  <si>
    <t>P2366008@student.nicmar.ac.in</t>
  </si>
  <si>
    <t>P2366009</t>
  </si>
  <si>
    <t>P2366009@student.nicmar.ac.in</t>
  </si>
  <si>
    <t>P2366010</t>
  </si>
  <si>
    <t>P2366010@student.nicmar.ac.in</t>
  </si>
  <si>
    <t>P2366012</t>
  </si>
  <si>
    <t>P2366012@student.nicmar.ac.in</t>
  </si>
  <si>
    <t>P2366013</t>
  </si>
  <si>
    <t>P2366013@student.nicmar.ac.in</t>
  </si>
  <si>
    <t>P2366014</t>
  </si>
  <si>
    <t>P2366014@student.nicmar.ac.in</t>
  </si>
  <si>
    <t>P2366016</t>
  </si>
  <si>
    <t>P2366016@student.nicmar.ac.in</t>
  </si>
  <si>
    <t>P2366017</t>
  </si>
  <si>
    <t>P2366017@student.nicmar.ac.in</t>
  </si>
  <si>
    <t>P2366018</t>
  </si>
  <si>
    <t>P2366018@student.nicmar.ac.in</t>
  </si>
  <si>
    <t>P2366019</t>
  </si>
  <si>
    <t>P2366019@student.nicmar.ac.in</t>
  </si>
  <si>
    <t>P2366020</t>
  </si>
  <si>
    <t>P2366020@student.nicmar.ac.in</t>
  </si>
  <si>
    <t>P2366021</t>
  </si>
  <si>
    <t>P2366021@student.nicmar.ac.in</t>
  </si>
  <si>
    <t>P2366022</t>
  </si>
  <si>
    <t>P2366022@student.nicmar.ac.in</t>
  </si>
  <si>
    <t>P2366023</t>
  </si>
  <si>
    <t>P2366023@student.nicmar.ac.in</t>
  </si>
  <si>
    <t>P2366024</t>
  </si>
  <si>
    <t>P2366024@student.nicmar.ac.in</t>
  </si>
  <si>
    <t>P2366026</t>
  </si>
  <si>
    <t>P2366026@student.nicmar.ac.in</t>
  </si>
  <si>
    <t>P2366027</t>
  </si>
  <si>
    <t>P2366027@student.nicmar.ac.in</t>
  </si>
  <si>
    <t>P2366028</t>
  </si>
  <si>
    <t>P2366028@student.nicmar.ac.in</t>
  </si>
  <si>
    <t>P2366029</t>
  </si>
  <si>
    <t>P2366029@student.nicmar.ac.in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</si>
</sst>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ill>
    <fill>
      <patternFill patternType="solid">
        <fgColor rgb="FFD9D9D9"/>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
    <xf xfId="0" fontId="0" numFmtId="0" fillId="0" borderId="0" applyFont="0" applyNumberFormat="0" applyFill="0" applyBorder="0" applyAlignment="0"/>
    <xf xfId="0" fontId="0" numFmtId="0" fillId="0" borderId="1" applyFont="0" applyNumberFormat="0" applyFill="0" applyBorder="1" applyAlignment="1">
      <alignment vertical="top"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1" applyFont="0" applyNumberFormat="0" applyFill="0"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nconnect.nicmar.ac.in/storage/profile/6a186e8559d6d.png" TargetMode="External"/><Relationship Id="rId_hyperlink_2" Type="http://schemas.openxmlformats.org/officeDocument/2006/relationships/hyperlink" Target="https://nconnect.nicmar.ac.in/storage/profile/6a196fd27d491.png" TargetMode="External"/><Relationship Id="rId_hyperlink_3" Type="http://schemas.openxmlformats.org/officeDocument/2006/relationships/hyperlink" Target="https://nconnect.nicmar.ac.in/storage/profile/6a1ad19432c21.png" TargetMode="External"/><Relationship Id="rId_hyperlink_4" Type="http://schemas.openxmlformats.org/officeDocument/2006/relationships/hyperlink" Target="https://nconnect.nicmar.ac.in/storage/profile/6a1d16cec8cd8.png" TargetMode="External"/><Relationship Id="rId_hyperlink_5" Type="http://schemas.openxmlformats.org/officeDocument/2006/relationships/hyperlink" Target="https://nconnect.nicmar.ac.in/storage/profile/6a1d1c679672f.png" TargetMode="External"/><Relationship Id="rId_hyperlink_6" Type="http://schemas.openxmlformats.org/officeDocument/2006/relationships/hyperlink" Target="https://nconnect.nicmar.ac.in/storage/profile/6a1b1b9e21425.png" TargetMode="External"/><Relationship Id="rId_hyperlink_7" Type="http://schemas.openxmlformats.org/officeDocument/2006/relationships/hyperlink" Target="https://nconnect.nicmar.ac.in/storage/profile/6a1bc2191055c.png" TargetMode="External"/><Relationship Id="rId_hyperlink_8" Type="http://schemas.openxmlformats.org/officeDocument/2006/relationships/hyperlink" Target="https://nconnect.nicmar.ac.in/storage/profile/6a1bc683727f9.png" TargetMode="External"/><Relationship Id="rId_hyperlink_9" Type="http://schemas.openxmlformats.org/officeDocument/2006/relationships/hyperlink" Target="https://nconnect.nicmar.ac.in/storage/profile/6a1c1d386b69b.png" TargetMode="External"/><Relationship Id="rId_hyperlink_10" Type="http://schemas.openxmlformats.org/officeDocument/2006/relationships/hyperlink" Target="https://nconnect.nicmar.ac.in/storage/profile/6a1c40dde72e1.png" TargetMode="External"/><Relationship Id="rId_hyperlink_11" Type="http://schemas.openxmlformats.org/officeDocument/2006/relationships/hyperlink" Target="https://nconnect.nicmar.ac.in/storage/profile/6a1c46dc90bab.png" TargetMode="External"/><Relationship Id="rId_hyperlink_12" Type="http://schemas.openxmlformats.org/officeDocument/2006/relationships/hyperlink" Target="https://nconnect.nicmar.ac.in/storage/profile/6a1c4c4fce923.png" TargetMode="External"/><Relationship Id="rId_hyperlink_13" Type="http://schemas.openxmlformats.org/officeDocument/2006/relationships/hyperlink" Target="https://nconnect.nicmar.ac.in/storage/profile/6a1c4ef70c260.png" TargetMode="External"/><Relationship Id="rId_hyperlink_14" Type="http://schemas.openxmlformats.org/officeDocument/2006/relationships/hyperlink" Target="https://nconnect.nicmar.ac.in/storage/profile/6a6b1a7f10660.png" TargetMode="External"/><Relationship Id="rId_hyperlink_15" Type="http://schemas.openxmlformats.org/officeDocument/2006/relationships/hyperlink" Target="https://nconnect.nicmar.ac.in/storage/profile/ProfilePhoto_P25700556_563978.jpg" TargetMode="External"/><Relationship Id="rId_hyperlink_16" Type="http://schemas.openxmlformats.org/officeDocument/2006/relationships/hyperlink" Target="https://nconnect.nicmar.ac.in/storage/profile/6a6b587484d66.png" TargetMode="External"/><Relationship Id="rId_hyperlink_17" Type="http://schemas.openxmlformats.org/officeDocument/2006/relationships/hyperlink" Target="https://nconnect.nicmar.ac.in/storage/profile/6a6b570c6c6f9.png" TargetMode="External"/><Relationship Id="rId_hyperlink_18" Type="http://schemas.openxmlformats.org/officeDocument/2006/relationships/hyperlink" Target="https://nconnect.nicmar.ac.in/storage/profile/ProfilePhoto_P25700226_217845.jpg" TargetMode="External"/><Relationship Id="rId_hyperlink_19" Type="http://schemas.openxmlformats.org/officeDocument/2006/relationships/hyperlink" Target="https://nconnect.nicmar.ac.in/storage/profile/ProfilePhoto_P25700221_715863.jpg" TargetMode="External"/><Relationship Id="rId_hyperlink_20" Type="http://schemas.openxmlformats.org/officeDocument/2006/relationships/hyperlink" Target="https://nconnect.nicmar.ac.in/storage/profile/6a6b562a9bb97.png" TargetMode="External"/><Relationship Id="rId_hyperlink_21" Type="http://schemas.openxmlformats.org/officeDocument/2006/relationships/hyperlink" Target="https://nconnect.nicmar.ac.in/storage/profile/ProfilePhoto_P25700377_893524.jpg" TargetMode="External"/><Relationship Id="rId_hyperlink_22" Type="http://schemas.openxmlformats.org/officeDocument/2006/relationships/hyperlink" Target="https://nconnect.nicmar.ac.in/storage/profile/6a6b19edaa669.png" TargetMode="External"/><Relationship Id="rId_hyperlink_23" Type="http://schemas.openxmlformats.org/officeDocument/2006/relationships/hyperlink" Target="https://nconnect.nicmar.ac.in/storage/profile/ProfilePhoto_P25700003_859234.jpg" TargetMode="External"/><Relationship Id="rId_hyperlink_24" Type="http://schemas.openxmlformats.org/officeDocument/2006/relationships/hyperlink" Target="https://nconnect.nicmar.ac.in/storage/profile/ProfilePhoto_P25700112_517384.jpg" TargetMode="External"/><Relationship Id="rId_hyperlink_25" Type="http://schemas.openxmlformats.org/officeDocument/2006/relationships/hyperlink" Target="https://nconnect.nicmar.ac.in/storage/profile/6a78e18c6997a.png" TargetMode="External"/><Relationship Id="rId_hyperlink_26" Type="http://schemas.openxmlformats.org/officeDocument/2006/relationships/hyperlink" Target="https://nconnect.nicmar.ac.in/storage/profile/ProfilePhoto_P25700584_287936.jpg" TargetMode="External"/><Relationship Id="rId_hyperlink_27" Type="http://schemas.openxmlformats.org/officeDocument/2006/relationships/hyperlink" Target="https://nconnect.nicmar.ac.in/storage/profile/6a658926a6983.png" TargetMode="External"/><Relationship Id="rId_hyperlink_28" Type="http://schemas.openxmlformats.org/officeDocument/2006/relationships/hyperlink" Target="https://nconnect.nicmar.ac.in/storage/profile/ProfilePhoto_P25700001_756293.jpg" TargetMode="External"/><Relationship Id="rId_hyperlink_29" Type="http://schemas.openxmlformats.org/officeDocument/2006/relationships/hyperlink" Target="https://nconnect.nicmar.ac.in/storage/profile/ProfilePhoto_P25700002_549178.jpg" TargetMode="External"/><Relationship Id="rId_hyperlink_30" Type="http://schemas.openxmlformats.org/officeDocument/2006/relationships/hyperlink" Target="https://nconnect.nicmar.ac.in/storage/profile/ProfilePhoto_P25700004_129356.jpg" TargetMode="External"/><Relationship Id="rId_hyperlink_31" Type="http://schemas.openxmlformats.org/officeDocument/2006/relationships/hyperlink" Target="https://nconnect.nicmar.ac.in/storage/profile/ProfilePhoto_P25700005_154637.jpg" TargetMode="External"/><Relationship Id="rId_hyperlink_32" Type="http://schemas.openxmlformats.org/officeDocument/2006/relationships/hyperlink" Target="https://nconnect.nicmar.ac.in/storage/profile/ProfilePhoto_P25700006_264513.jpg" TargetMode="External"/><Relationship Id="rId_hyperlink_33" Type="http://schemas.openxmlformats.org/officeDocument/2006/relationships/hyperlink" Target="https://nconnect.nicmar.ac.in/storage/profile/ProfilePhoto_P25700007_897142.jpg" TargetMode="External"/><Relationship Id="rId_hyperlink_34" Type="http://schemas.openxmlformats.org/officeDocument/2006/relationships/hyperlink" Target="https://nconnect.nicmar.ac.in/storage/profile/ProfilePhoto_P25700008_976184.jpg" TargetMode="External"/><Relationship Id="rId_hyperlink_35" Type="http://schemas.openxmlformats.org/officeDocument/2006/relationships/hyperlink" Target="https://nconnect.nicmar.ac.in/storage/profile/ProfilePhoto_P25700009_213976.jpg" TargetMode="External"/><Relationship Id="rId_hyperlink_36" Type="http://schemas.openxmlformats.org/officeDocument/2006/relationships/hyperlink" Target="https://nconnect.nicmar.ac.in/storage/profile/ProfilePhoto_P25700010_176259.jpg" TargetMode="External"/><Relationship Id="rId_hyperlink_37" Type="http://schemas.openxmlformats.org/officeDocument/2006/relationships/hyperlink" Target="https://nconnect.nicmar.ac.in/storage/profile/ProfilePhoto_P25700011_739251.jpg" TargetMode="External"/><Relationship Id="rId_hyperlink_38" Type="http://schemas.openxmlformats.org/officeDocument/2006/relationships/hyperlink" Target="https://nconnect.nicmar.ac.in/storage/profile/ProfilePhoto_P25700012_849315.jpg" TargetMode="External"/><Relationship Id="rId_hyperlink_39" Type="http://schemas.openxmlformats.org/officeDocument/2006/relationships/hyperlink" Target="https://nconnect.nicmar.ac.in/storage/profile/ProfilePhoto_P25700013_135872.jpg" TargetMode="External"/><Relationship Id="rId_hyperlink_40" Type="http://schemas.openxmlformats.org/officeDocument/2006/relationships/hyperlink" Target="https://nconnect.nicmar.ac.in/storage/profile/ProfilePhoto_P25700014_935186.jpg" TargetMode="External"/><Relationship Id="rId_hyperlink_41" Type="http://schemas.openxmlformats.org/officeDocument/2006/relationships/hyperlink" Target="https://nconnect.nicmar.ac.in/storage/profile/ProfilePhoto_P25700015_562978.jpg" TargetMode="External"/><Relationship Id="rId_hyperlink_42" Type="http://schemas.openxmlformats.org/officeDocument/2006/relationships/hyperlink" Target="https://nconnect.nicmar.ac.in/storage/profile/ProfilePhoto_P25700016_175486.jpg" TargetMode="External"/><Relationship Id="rId_hyperlink_43" Type="http://schemas.openxmlformats.org/officeDocument/2006/relationships/hyperlink" Target="https://nconnect.nicmar.ac.in/storage/profile/ProfilePhoto_P25700017_325687.jpg" TargetMode="External"/><Relationship Id="rId_hyperlink_44" Type="http://schemas.openxmlformats.org/officeDocument/2006/relationships/hyperlink" Target="https://nconnect.nicmar.ac.in/storage/profile/ProfilePhoto_P25700018_349268.jpg" TargetMode="External"/><Relationship Id="rId_hyperlink_45" Type="http://schemas.openxmlformats.org/officeDocument/2006/relationships/hyperlink" Target="https://nconnect.nicmar.ac.in/storage/profile/ProfilePhoto_P25700019_693821.jpg" TargetMode="External"/><Relationship Id="rId_hyperlink_46" Type="http://schemas.openxmlformats.org/officeDocument/2006/relationships/hyperlink" Target="https://nconnect.nicmar.ac.in/storage/profile/ProfilePhoto_P25700020_954273.jpg" TargetMode="External"/><Relationship Id="rId_hyperlink_47" Type="http://schemas.openxmlformats.org/officeDocument/2006/relationships/hyperlink" Target="https://nconnect.nicmar.ac.in/storage/profile/ProfilePhoto_P25700021_349526.jpg" TargetMode="External"/><Relationship Id="rId_hyperlink_48" Type="http://schemas.openxmlformats.org/officeDocument/2006/relationships/hyperlink" Target="https://nconnect.nicmar.ac.in/storage/profile/ProfilePhoto_P25700022_164257.jpg" TargetMode="External"/><Relationship Id="rId_hyperlink_49" Type="http://schemas.openxmlformats.org/officeDocument/2006/relationships/hyperlink" Target="https://nconnect.nicmar.ac.in/storage/profile/ProfilePhoto_P25700023_836724.jpg" TargetMode="External"/><Relationship Id="rId_hyperlink_50" Type="http://schemas.openxmlformats.org/officeDocument/2006/relationships/hyperlink" Target="https://nconnect.nicmar.ac.in/storage/profile/ProfilePhoto_P25700024_183579.jpg" TargetMode="External"/><Relationship Id="rId_hyperlink_51" Type="http://schemas.openxmlformats.org/officeDocument/2006/relationships/hyperlink" Target="https://nconnect.nicmar.ac.in/storage/profile/ProfilePhoto_P25700026_164829.jpg" TargetMode="External"/><Relationship Id="rId_hyperlink_52" Type="http://schemas.openxmlformats.org/officeDocument/2006/relationships/hyperlink" Target="https://nconnect.nicmar.ac.in/storage/profile/ProfilePhoto_P25700027_837251.jpg" TargetMode="External"/><Relationship Id="rId_hyperlink_53" Type="http://schemas.openxmlformats.org/officeDocument/2006/relationships/hyperlink" Target="https://nconnect.nicmar.ac.in/storage/profile/ProfilePhoto_P25700029_659732.jpg" TargetMode="External"/><Relationship Id="rId_hyperlink_54" Type="http://schemas.openxmlformats.org/officeDocument/2006/relationships/hyperlink" Target="https://nconnect.nicmar.ac.in/storage/profile/ProfilePhoto_P25700030_527831.jpg" TargetMode="External"/><Relationship Id="rId_hyperlink_55" Type="http://schemas.openxmlformats.org/officeDocument/2006/relationships/hyperlink" Target="https://nconnect.nicmar.ac.in/storage/profile/ProfilePhoto_P25700032_169785.jpg" TargetMode="External"/><Relationship Id="rId_hyperlink_56" Type="http://schemas.openxmlformats.org/officeDocument/2006/relationships/hyperlink" Target="https://nconnect.nicmar.ac.in/storage/profile/ProfilePhoto_P25700033_798215.jpg" TargetMode="External"/><Relationship Id="rId_hyperlink_57" Type="http://schemas.openxmlformats.org/officeDocument/2006/relationships/hyperlink" Target="https://nconnect.nicmar.ac.in/storage/profile/ProfilePhoto_P25700034_597426.jpg" TargetMode="External"/><Relationship Id="rId_hyperlink_58" Type="http://schemas.openxmlformats.org/officeDocument/2006/relationships/hyperlink" Target="https://nconnect.nicmar.ac.in/storage/profile/ProfilePhoto_P25700035_724139.jpg" TargetMode="External"/><Relationship Id="rId_hyperlink_59" Type="http://schemas.openxmlformats.org/officeDocument/2006/relationships/hyperlink" Target="https://nconnect.nicmar.ac.in/storage/profile/ProfilePhoto_P25700036_987541.jpg" TargetMode="External"/><Relationship Id="rId_hyperlink_60" Type="http://schemas.openxmlformats.org/officeDocument/2006/relationships/hyperlink" Target="https://nconnect.nicmar.ac.in/storage/profile/ProfilePhoto_P25700037_381245.jpg" TargetMode="External"/><Relationship Id="rId_hyperlink_61" Type="http://schemas.openxmlformats.org/officeDocument/2006/relationships/hyperlink" Target="https://nconnect.nicmar.ac.in/storage/profile/ProfilePhoto_P25700038_471395.jpg" TargetMode="External"/><Relationship Id="rId_hyperlink_62" Type="http://schemas.openxmlformats.org/officeDocument/2006/relationships/hyperlink" Target="https://nconnect.nicmar.ac.in/storage/profile/ProfilePhoto_P25700039_852764.jpg" TargetMode="External"/><Relationship Id="rId_hyperlink_63" Type="http://schemas.openxmlformats.org/officeDocument/2006/relationships/hyperlink" Target="https://nconnect.nicmar.ac.in/storage/profile/ProfilePhoto_P25700041_954768.jpg" TargetMode="External"/><Relationship Id="rId_hyperlink_64" Type="http://schemas.openxmlformats.org/officeDocument/2006/relationships/hyperlink" Target="https://nconnect.nicmar.ac.in/storage/profile/ProfilePhoto_P25700042_851493.jpg" TargetMode="External"/><Relationship Id="rId_hyperlink_65" Type="http://schemas.openxmlformats.org/officeDocument/2006/relationships/hyperlink" Target="https://nconnect.nicmar.ac.in/storage/profile/ProfilePhoto_P25700043_197362.jpg" TargetMode="External"/><Relationship Id="rId_hyperlink_66" Type="http://schemas.openxmlformats.org/officeDocument/2006/relationships/hyperlink" Target="https://nconnect.nicmar.ac.in/storage/profile/ProfilePhoto_P25700044_489275.jpg" TargetMode="External"/><Relationship Id="rId_hyperlink_67" Type="http://schemas.openxmlformats.org/officeDocument/2006/relationships/hyperlink" Target="https://nconnect.nicmar.ac.in/storage/profile/ProfilePhoto_P25700045_159487.jpg" TargetMode="External"/><Relationship Id="rId_hyperlink_68" Type="http://schemas.openxmlformats.org/officeDocument/2006/relationships/hyperlink" Target="https://nconnect.nicmar.ac.in/storage/profile/ProfilePhoto_P25700046_792813.jpg" TargetMode="External"/><Relationship Id="rId_hyperlink_69" Type="http://schemas.openxmlformats.org/officeDocument/2006/relationships/hyperlink" Target="https://nconnect.nicmar.ac.in/storage/profile/6a64976dc8482.png" TargetMode="External"/><Relationship Id="rId_hyperlink_70" Type="http://schemas.openxmlformats.org/officeDocument/2006/relationships/hyperlink" Target="https://nconnect.nicmar.ac.in/storage/profile/ProfilePhoto_P25700049_267981.jpg" TargetMode="External"/><Relationship Id="rId_hyperlink_71" Type="http://schemas.openxmlformats.org/officeDocument/2006/relationships/hyperlink" Target="https://nconnect.nicmar.ac.in/storage/profile/ProfilePhoto_P25700050_627491.jpg" TargetMode="External"/><Relationship Id="rId_hyperlink_72" Type="http://schemas.openxmlformats.org/officeDocument/2006/relationships/hyperlink" Target="https://nconnect.nicmar.ac.in/storage/profile/ProfilePhoto_P25700051_624359.jpg" TargetMode="External"/><Relationship Id="rId_hyperlink_73" Type="http://schemas.openxmlformats.org/officeDocument/2006/relationships/hyperlink" Target="https://nconnect.nicmar.ac.in/storage/profile/ProfilePhoto_P25700052_698342.jpg" TargetMode="External"/><Relationship Id="rId_hyperlink_74" Type="http://schemas.openxmlformats.org/officeDocument/2006/relationships/hyperlink" Target="https://nconnect.nicmar.ac.in/storage/profile/ProfilePhoto_P25700054_125897.jpg" TargetMode="External"/><Relationship Id="rId_hyperlink_75" Type="http://schemas.openxmlformats.org/officeDocument/2006/relationships/hyperlink" Target="https://nconnect.nicmar.ac.in/storage/profile/ProfilePhoto_P25700055_381546.jpg" TargetMode="External"/><Relationship Id="rId_hyperlink_76" Type="http://schemas.openxmlformats.org/officeDocument/2006/relationships/hyperlink" Target="https://nconnect.nicmar.ac.in/storage/profile/ProfilePhoto_P25700056_462197.jpg" TargetMode="External"/><Relationship Id="rId_hyperlink_77" Type="http://schemas.openxmlformats.org/officeDocument/2006/relationships/hyperlink" Target="https://nconnect.nicmar.ac.in/storage/profile/ProfilePhoto_P25700057_983714.jpg" TargetMode="External"/><Relationship Id="rId_hyperlink_78" Type="http://schemas.openxmlformats.org/officeDocument/2006/relationships/hyperlink" Target="https://nconnect.nicmar.ac.in/storage/profile/ProfilePhoto_P25700058_548397.jpg" TargetMode="External"/><Relationship Id="rId_hyperlink_79" Type="http://schemas.openxmlformats.org/officeDocument/2006/relationships/hyperlink" Target="https://nconnect.nicmar.ac.in/storage/profile/ProfilePhoto_P25700059_679482.jpg" TargetMode="External"/><Relationship Id="rId_hyperlink_80" Type="http://schemas.openxmlformats.org/officeDocument/2006/relationships/hyperlink" Target="https://nconnect.nicmar.ac.in/storage/profile/ProfilePhoto_P25700060_469738.jpg" TargetMode="External"/><Relationship Id="rId_hyperlink_81" Type="http://schemas.openxmlformats.org/officeDocument/2006/relationships/hyperlink" Target="https://nconnect.nicmar.ac.in/storage/profile/ProfilePhoto_P25700061_348925.jpg" TargetMode="External"/><Relationship Id="rId_hyperlink_82" Type="http://schemas.openxmlformats.org/officeDocument/2006/relationships/hyperlink" Target="https://nconnect.nicmar.ac.in/storage/profile/ProfilePhoto_P25700063_819562.jpg" TargetMode="External"/><Relationship Id="rId_hyperlink_83" Type="http://schemas.openxmlformats.org/officeDocument/2006/relationships/hyperlink" Target="https://nconnect.nicmar.ac.in/storage/profile/ProfilePhoto_P25700064_658724.jpg" TargetMode="External"/><Relationship Id="rId_hyperlink_84" Type="http://schemas.openxmlformats.org/officeDocument/2006/relationships/hyperlink" Target="https://nconnect.nicmar.ac.in/storage/profile/ProfilePhoto_P25700065_754213.jpg" TargetMode="External"/><Relationship Id="rId_hyperlink_85" Type="http://schemas.openxmlformats.org/officeDocument/2006/relationships/hyperlink" Target="https://nconnect.nicmar.ac.in/storage/profile/ProfilePhoto_P25700066_218945.jpg" TargetMode="External"/><Relationship Id="rId_hyperlink_86" Type="http://schemas.openxmlformats.org/officeDocument/2006/relationships/hyperlink" Target="https://nconnect.nicmar.ac.in/storage/profile/ProfilePhoto_P25700067_296354.jpg" TargetMode="External"/><Relationship Id="rId_hyperlink_87" Type="http://schemas.openxmlformats.org/officeDocument/2006/relationships/hyperlink" Target="https://nconnect.nicmar.ac.in/storage/profile/ProfilePhoto_P25700068_416927.jpg" TargetMode="External"/><Relationship Id="rId_hyperlink_88" Type="http://schemas.openxmlformats.org/officeDocument/2006/relationships/hyperlink" Target="https://nconnect.nicmar.ac.in/storage/profile/ProfilePhoto_P25700069_452369.jpg" TargetMode="External"/><Relationship Id="rId_hyperlink_89" Type="http://schemas.openxmlformats.org/officeDocument/2006/relationships/hyperlink" Target="https://nconnect.nicmar.ac.in/storage/profile/ProfilePhoto_P25700070_589147.jpg" TargetMode="External"/><Relationship Id="rId_hyperlink_90" Type="http://schemas.openxmlformats.org/officeDocument/2006/relationships/hyperlink" Target="https://nconnect.nicmar.ac.in/storage/profile/ProfilePhoto_P25700071_679325.jpg" TargetMode="External"/><Relationship Id="rId_hyperlink_91" Type="http://schemas.openxmlformats.org/officeDocument/2006/relationships/hyperlink" Target="https://nconnect.nicmar.ac.in/storage/profile/ProfilePhoto_P25700072_317845.jpg" TargetMode="External"/><Relationship Id="rId_hyperlink_92" Type="http://schemas.openxmlformats.org/officeDocument/2006/relationships/hyperlink" Target="https://nconnect.nicmar.ac.in/storage/profile/ProfilePhoto_P25700073_752198.jpg" TargetMode="External"/><Relationship Id="rId_hyperlink_93" Type="http://schemas.openxmlformats.org/officeDocument/2006/relationships/hyperlink" Target="https://nconnect.nicmar.ac.in/storage/profile/6a69ea2cd59b5.png" TargetMode="External"/><Relationship Id="rId_hyperlink_94" Type="http://schemas.openxmlformats.org/officeDocument/2006/relationships/hyperlink" Target="https://nconnect.nicmar.ac.in/storage/profile/ProfilePhoto_P25700075_647825.jpg" TargetMode="External"/><Relationship Id="rId_hyperlink_95" Type="http://schemas.openxmlformats.org/officeDocument/2006/relationships/hyperlink" Target="https://nconnect.nicmar.ac.in/storage/profile/ProfilePhoto_P25700076_896241.jpg" TargetMode="External"/><Relationship Id="rId_hyperlink_96" Type="http://schemas.openxmlformats.org/officeDocument/2006/relationships/hyperlink" Target="https://nconnect.nicmar.ac.in/storage/profile/ProfilePhoto_P25700077_256193.jpg" TargetMode="External"/><Relationship Id="rId_hyperlink_97" Type="http://schemas.openxmlformats.org/officeDocument/2006/relationships/hyperlink" Target="https://nconnect.nicmar.ac.in/storage/profile/ProfilePhoto_P25700078_578396.jpg" TargetMode="External"/><Relationship Id="rId_hyperlink_98" Type="http://schemas.openxmlformats.org/officeDocument/2006/relationships/hyperlink" Target="https://nconnect.nicmar.ac.in/storage/profile/ProfilePhoto_P25700079_752381.jpg" TargetMode="External"/><Relationship Id="rId_hyperlink_99" Type="http://schemas.openxmlformats.org/officeDocument/2006/relationships/hyperlink" Target="https://nconnect.nicmar.ac.in/storage/profile/ProfilePhoto_P25700080_357284.jpg" TargetMode="External"/><Relationship Id="rId_hyperlink_100" Type="http://schemas.openxmlformats.org/officeDocument/2006/relationships/hyperlink" Target="https://nconnect.nicmar.ac.in/storage/profile/ProfilePhoto_P25700081_978456.jpg" TargetMode="External"/><Relationship Id="rId_hyperlink_101" Type="http://schemas.openxmlformats.org/officeDocument/2006/relationships/hyperlink" Target="https://nconnect.nicmar.ac.in/storage/profile/ProfilePhoto_P25700082_853691.jpg" TargetMode="External"/><Relationship Id="rId_hyperlink_102" Type="http://schemas.openxmlformats.org/officeDocument/2006/relationships/hyperlink" Target="https://nconnect.nicmar.ac.in/storage/profile/ProfilePhoto_P25700083_543168.jpg" TargetMode="External"/><Relationship Id="rId_hyperlink_103" Type="http://schemas.openxmlformats.org/officeDocument/2006/relationships/hyperlink" Target="https://nconnect.nicmar.ac.in/storage/profile/ProfilePhoto_P25700084_671924.jpg" TargetMode="External"/><Relationship Id="rId_hyperlink_104" Type="http://schemas.openxmlformats.org/officeDocument/2006/relationships/hyperlink" Target="https://nconnect.nicmar.ac.in/storage/profile/ProfilePhoto_P25700085_527189.jpg" TargetMode="External"/><Relationship Id="rId_hyperlink_105" Type="http://schemas.openxmlformats.org/officeDocument/2006/relationships/hyperlink" Target="https://nconnect.nicmar.ac.in/storage/profile/ProfilePhoto_P25700086_943578.jpg" TargetMode="External"/><Relationship Id="rId_hyperlink_106" Type="http://schemas.openxmlformats.org/officeDocument/2006/relationships/hyperlink" Target="https://nconnect.nicmar.ac.in/storage/profile/ProfilePhoto_P25700087_527389.jpg" TargetMode="External"/><Relationship Id="rId_hyperlink_107" Type="http://schemas.openxmlformats.org/officeDocument/2006/relationships/hyperlink" Target="https://nconnect.nicmar.ac.in/storage/profile/ProfilePhoto_P25700088_736859.jpg" TargetMode="External"/><Relationship Id="rId_hyperlink_108" Type="http://schemas.openxmlformats.org/officeDocument/2006/relationships/hyperlink" Target="https://nconnect.nicmar.ac.in/storage/profile/ProfilePhoto_P25700089_931658.jpg" TargetMode="External"/><Relationship Id="rId_hyperlink_109" Type="http://schemas.openxmlformats.org/officeDocument/2006/relationships/hyperlink" Target="https://nconnect.nicmar.ac.in/storage/profile/ProfilePhoto_P25700090_678295.jpg" TargetMode="External"/><Relationship Id="rId_hyperlink_110" Type="http://schemas.openxmlformats.org/officeDocument/2006/relationships/hyperlink" Target="https://nconnect.nicmar.ac.in/storage/profile/ProfilePhoto_P25700091_861592.jpg" TargetMode="External"/><Relationship Id="rId_hyperlink_111" Type="http://schemas.openxmlformats.org/officeDocument/2006/relationships/hyperlink" Target="https://nconnect.nicmar.ac.in/storage/profile/ProfilePhoto_P25700092_346187.jpg" TargetMode="External"/><Relationship Id="rId_hyperlink_112" Type="http://schemas.openxmlformats.org/officeDocument/2006/relationships/hyperlink" Target="https://nconnect.nicmar.ac.in/storage/profile/6a69f840ceab4.png" TargetMode="External"/><Relationship Id="rId_hyperlink_113" Type="http://schemas.openxmlformats.org/officeDocument/2006/relationships/hyperlink" Target="https://nconnect.nicmar.ac.in/storage/profile/ProfilePhoto_P25700094_172359.jpg" TargetMode="External"/><Relationship Id="rId_hyperlink_114" Type="http://schemas.openxmlformats.org/officeDocument/2006/relationships/hyperlink" Target="https://nconnect.nicmar.ac.in/storage/profile/ProfilePhoto_P25700095_258476.jpg" TargetMode="External"/><Relationship Id="rId_hyperlink_115" Type="http://schemas.openxmlformats.org/officeDocument/2006/relationships/hyperlink" Target="https://nconnect.nicmar.ac.in/storage/profile/ProfilePhoto_P25700096_597461.jpg" TargetMode="External"/><Relationship Id="rId_hyperlink_116" Type="http://schemas.openxmlformats.org/officeDocument/2006/relationships/hyperlink" Target="https://nconnect.nicmar.ac.in/storage/profile/6a665bbd8e653.png" TargetMode="External"/><Relationship Id="rId_hyperlink_117" Type="http://schemas.openxmlformats.org/officeDocument/2006/relationships/hyperlink" Target="https://nconnect.nicmar.ac.in/storage/profile/ProfilePhoto_P25700098_621459.jpg" TargetMode="External"/><Relationship Id="rId_hyperlink_118" Type="http://schemas.openxmlformats.org/officeDocument/2006/relationships/hyperlink" Target="https://nconnect.nicmar.ac.in/storage/profile/ProfilePhoto_P25700099_561739.jpg" TargetMode="External"/><Relationship Id="rId_hyperlink_119" Type="http://schemas.openxmlformats.org/officeDocument/2006/relationships/hyperlink" Target="https://nconnect.nicmar.ac.in/storage/profile/ProfilePhoto_P25700100_631259.jpg" TargetMode="External"/><Relationship Id="rId_hyperlink_120" Type="http://schemas.openxmlformats.org/officeDocument/2006/relationships/hyperlink" Target="https://nconnect.nicmar.ac.in/storage/profile/ProfilePhoto_P25700101_136785.jpg" TargetMode="External"/><Relationship Id="rId_hyperlink_121" Type="http://schemas.openxmlformats.org/officeDocument/2006/relationships/hyperlink" Target="https://nconnect.nicmar.ac.in/storage/profile/ProfilePhoto_P25700103_548732.jpg" TargetMode="External"/><Relationship Id="rId_hyperlink_122" Type="http://schemas.openxmlformats.org/officeDocument/2006/relationships/hyperlink" Target="https://nconnect.nicmar.ac.in/storage/profile/ProfilePhoto_P25700104_637154.jpg" TargetMode="External"/><Relationship Id="rId_hyperlink_123" Type="http://schemas.openxmlformats.org/officeDocument/2006/relationships/hyperlink" Target="https://nconnect.nicmar.ac.in/storage/profile/ProfilePhoto_P25700105_329654.jpg" TargetMode="External"/><Relationship Id="rId_hyperlink_124" Type="http://schemas.openxmlformats.org/officeDocument/2006/relationships/hyperlink" Target="https://nconnect.nicmar.ac.in/storage/profile/ProfilePhoto_P25700106_635142.jpg" TargetMode="External"/><Relationship Id="rId_hyperlink_125" Type="http://schemas.openxmlformats.org/officeDocument/2006/relationships/hyperlink" Target="https://nconnect.nicmar.ac.in/storage/profile/ProfilePhoto_P25700107_215674.jpg" TargetMode="External"/><Relationship Id="rId_hyperlink_126" Type="http://schemas.openxmlformats.org/officeDocument/2006/relationships/hyperlink" Target="https://nconnect.nicmar.ac.in/storage/profile/ProfilePhoto_P25700108_352764.jpg" TargetMode="External"/><Relationship Id="rId_hyperlink_127" Type="http://schemas.openxmlformats.org/officeDocument/2006/relationships/hyperlink" Target="https://nconnect.nicmar.ac.in/storage/profile/ProfilePhoto_P25700109_129586.jpg" TargetMode="External"/><Relationship Id="rId_hyperlink_128" Type="http://schemas.openxmlformats.org/officeDocument/2006/relationships/hyperlink" Target="https://nconnect.nicmar.ac.in/storage/profile/ProfilePhoto_P25700110_587169.jpg" TargetMode="External"/><Relationship Id="rId_hyperlink_129" Type="http://schemas.openxmlformats.org/officeDocument/2006/relationships/hyperlink" Target="https://nconnect.nicmar.ac.in/storage/profile/ProfilePhoto_P25700111_718243.jpg" TargetMode="External"/><Relationship Id="rId_hyperlink_130" Type="http://schemas.openxmlformats.org/officeDocument/2006/relationships/hyperlink" Target="https://nconnect.nicmar.ac.in/storage/profile/ProfilePhoto_P25700113_721496.jpg" TargetMode="External"/><Relationship Id="rId_hyperlink_131" Type="http://schemas.openxmlformats.org/officeDocument/2006/relationships/hyperlink" Target="https://nconnect.nicmar.ac.in/storage/profile/ProfilePhoto_P25700114_648312.jpg" TargetMode="External"/><Relationship Id="rId_hyperlink_132" Type="http://schemas.openxmlformats.org/officeDocument/2006/relationships/hyperlink" Target="https://nconnect.nicmar.ac.in/storage/profile/ProfilePhoto_P25700115_875296.jpg" TargetMode="External"/><Relationship Id="rId_hyperlink_133" Type="http://schemas.openxmlformats.org/officeDocument/2006/relationships/hyperlink" Target="https://nconnect.nicmar.ac.in/storage/profile/ProfilePhoto_P25700116_731254.jpg" TargetMode="External"/><Relationship Id="rId_hyperlink_134" Type="http://schemas.openxmlformats.org/officeDocument/2006/relationships/hyperlink" Target="https://nconnect.nicmar.ac.in/storage/profile/ProfilePhoto_P25700117_189624.jpg" TargetMode="External"/><Relationship Id="rId_hyperlink_135" Type="http://schemas.openxmlformats.org/officeDocument/2006/relationships/hyperlink" Target="https://nconnect.nicmar.ac.in/storage/profile/ProfilePhoto_P25700118_148736.jpg" TargetMode="External"/><Relationship Id="rId_hyperlink_136" Type="http://schemas.openxmlformats.org/officeDocument/2006/relationships/hyperlink" Target="https://nconnect.nicmar.ac.in/storage/profile/ProfilePhoto_P25700119_915374.jpg" TargetMode="External"/><Relationship Id="rId_hyperlink_137" Type="http://schemas.openxmlformats.org/officeDocument/2006/relationships/hyperlink" Target="https://nconnect.nicmar.ac.in/storage/profile/ProfilePhoto_P25700121_694527.jpg" TargetMode="External"/><Relationship Id="rId_hyperlink_138" Type="http://schemas.openxmlformats.org/officeDocument/2006/relationships/hyperlink" Target="https://nconnect.nicmar.ac.in/storage/profile/ProfilePhoto_P25700122_231978.jpg" TargetMode="External"/><Relationship Id="rId_hyperlink_139" Type="http://schemas.openxmlformats.org/officeDocument/2006/relationships/hyperlink" Target="https://nconnect.nicmar.ac.in/storage/profile/ProfilePhoto_P25700123_419637.jpg" TargetMode="External"/><Relationship Id="rId_hyperlink_140" Type="http://schemas.openxmlformats.org/officeDocument/2006/relationships/hyperlink" Target="https://nconnect.nicmar.ac.in/storage/profile/ProfilePhoto_P25700124_567432.jpg" TargetMode="External"/><Relationship Id="rId_hyperlink_141" Type="http://schemas.openxmlformats.org/officeDocument/2006/relationships/hyperlink" Target="https://nconnect.nicmar.ac.in/storage/profile/ProfilePhoto_P25700125_234987.jpg" TargetMode="External"/><Relationship Id="rId_hyperlink_142" Type="http://schemas.openxmlformats.org/officeDocument/2006/relationships/hyperlink" Target="https://nconnect.nicmar.ac.in/storage/profile/ProfilePhoto_P25700126_934175.jpg" TargetMode="External"/><Relationship Id="rId_hyperlink_143" Type="http://schemas.openxmlformats.org/officeDocument/2006/relationships/hyperlink" Target="https://nconnect.nicmar.ac.in/storage/profile/ProfilePhoto_P25700127_184296.jpg" TargetMode="External"/><Relationship Id="rId_hyperlink_144" Type="http://schemas.openxmlformats.org/officeDocument/2006/relationships/hyperlink" Target="https://nconnect.nicmar.ac.in/storage/profile/ProfilePhoto_P25700128_169427.jpg" TargetMode="External"/><Relationship Id="rId_hyperlink_145" Type="http://schemas.openxmlformats.org/officeDocument/2006/relationships/hyperlink" Target="https://nconnect.nicmar.ac.in/storage/profile/ProfilePhoto_P25700129_792154.jpg" TargetMode="External"/><Relationship Id="rId_hyperlink_146" Type="http://schemas.openxmlformats.org/officeDocument/2006/relationships/hyperlink" Target="https://nconnect.nicmar.ac.in/storage/profile/ProfilePhoto_P25700130_468259.jpg" TargetMode="External"/><Relationship Id="rId_hyperlink_147" Type="http://schemas.openxmlformats.org/officeDocument/2006/relationships/hyperlink" Target="https://nconnect.nicmar.ac.in/storage/profile/ProfilePhoto_P25700131_136529.jpg" TargetMode="External"/><Relationship Id="rId_hyperlink_148" Type="http://schemas.openxmlformats.org/officeDocument/2006/relationships/hyperlink" Target="https://nconnect.nicmar.ac.in/storage/profile/ProfilePhoto_P25700132_591768.jpg" TargetMode="External"/><Relationship Id="rId_hyperlink_149" Type="http://schemas.openxmlformats.org/officeDocument/2006/relationships/hyperlink" Target="https://nconnect.nicmar.ac.in/storage/profile/ProfilePhoto_P25700133_325479.jpg" TargetMode="External"/><Relationship Id="rId_hyperlink_150" Type="http://schemas.openxmlformats.org/officeDocument/2006/relationships/hyperlink" Target="https://nconnect.nicmar.ac.in/storage/profile/ProfilePhoto_P25700134_358914.jpg" TargetMode="External"/><Relationship Id="rId_hyperlink_151" Type="http://schemas.openxmlformats.org/officeDocument/2006/relationships/hyperlink" Target="https://nconnect.nicmar.ac.in/storage/profile/ProfilePhoto_P25700135_792418.jpg" TargetMode="External"/><Relationship Id="rId_hyperlink_152" Type="http://schemas.openxmlformats.org/officeDocument/2006/relationships/hyperlink" Target="https://nconnect.nicmar.ac.in/storage/profile/ProfilePhoto_P25700136_196742.jpg" TargetMode="External"/><Relationship Id="rId_hyperlink_153" Type="http://schemas.openxmlformats.org/officeDocument/2006/relationships/hyperlink" Target="https://nconnect.nicmar.ac.in/storage/profile/ProfilePhoto_P25700137_823974.jpg" TargetMode="External"/><Relationship Id="rId_hyperlink_154" Type="http://schemas.openxmlformats.org/officeDocument/2006/relationships/hyperlink" Target="https://nconnect.nicmar.ac.in/storage/profile/ProfilePhoto_P25700138_159438.jpg" TargetMode="External"/><Relationship Id="rId_hyperlink_155" Type="http://schemas.openxmlformats.org/officeDocument/2006/relationships/hyperlink" Target="https://nconnect.nicmar.ac.in/storage/profile/ProfilePhoto_P25700139_421357.jpg" TargetMode="External"/><Relationship Id="rId_hyperlink_156" Type="http://schemas.openxmlformats.org/officeDocument/2006/relationships/hyperlink" Target="https://nconnect.nicmar.ac.in/storage/profile/ProfilePhoto_P25700140_347569.jpg" TargetMode="External"/><Relationship Id="rId_hyperlink_157" Type="http://schemas.openxmlformats.org/officeDocument/2006/relationships/hyperlink" Target="https://nconnect.nicmar.ac.in/storage/profile/ProfilePhoto_P25700141_362759.jpg" TargetMode="External"/><Relationship Id="rId_hyperlink_158" Type="http://schemas.openxmlformats.org/officeDocument/2006/relationships/hyperlink" Target="https://nconnect.nicmar.ac.in/storage/profile/ProfilePhoto_P25700142_683421.jpg" TargetMode="External"/><Relationship Id="rId_hyperlink_159" Type="http://schemas.openxmlformats.org/officeDocument/2006/relationships/hyperlink" Target="https://nconnect.nicmar.ac.in/storage/profile/ProfilePhoto_P25700143_172536.jpg" TargetMode="External"/><Relationship Id="rId_hyperlink_160" Type="http://schemas.openxmlformats.org/officeDocument/2006/relationships/hyperlink" Target="https://nconnect.nicmar.ac.in/storage/profile/ProfilePhoto_P25700144_267184.jpg" TargetMode="External"/><Relationship Id="rId_hyperlink_161" Type="http://schemas.openxmlformats.org/officeDocument/2006/relationships/hyperlink" Target="https://nconnect.nicmar.ac.in/storage/profile/ProfilePhoto_P25700145_843721.jpg" TargetMode="External"/><Relationship Id="rId_hyperlink_162" Type="http://schemas.openxmlformats.org/officeDocument/2006/relationships/hyperlink" Target="https://nconnect.nicmar.ac.in/storage/profile/ProfilePhoto_P25700146_681345.jpg" TargetMode="External"/><Relationship Id="rId_hyperlink_163" Type="http://schemas.openxmlformats.org/officeDocument/2006/relationships/hyperlink" Target="https://nconnect.nicmar.ac.in/storage/profile/ProfilePhoto_P25700147_396871.jpg" TargetMode="External"/><Relationship Id="rId_hyperlink_164" Type="http://schemas.openxmlformats.org/officeDocument/2006/relationships/hyperlink" Target="https://nconnect.nicmar.ac.in/storage/profile/ProfilePhoto_P25700148_324976.jpg" TargetMode="External"/><Relationship Id="rId_hyperlink_165" Type="http://schemas.openxmlformats.org/officeDocument/2006/relationships/hyperlink" Target="https://nconnect.nicmar.ac.in/storage/profile/ProfilePhoto_P25700150_725196.jpg" TargetMode="External"/><Relationship Id="rId_hyperlink_166" Type="http://schemas.openxmlformats.org/officeDocument/2006/relationships/hyperlink" Target="https://nconnect.nicmar.ac.in/storage/profile/ProfilePhoto_P25700151_798532.jpg" TargetMode="External"/><Relationship Id="rId_hyperlink_167" Type="http://schemas.openxmlformats.org/officeDocument/2006/relationships/hyperlink" Target="https://nconnect.nicmar.ac.in/storage/profile/ProfilePhoto_P25700152_346972.jpg" TargetMode="External"/><Relationship Id="rId_hyperlink_168" Type="http://schemas.openxmlformats.org/officeDocument/2006/relationships/hyperlink" Target="https://nconnect.nicmar.ac.in/storage/profile/ProfilePhoto_P25700153_315628.jpg" TargetMode="External"/><Relationship Id="rId_hyperlink_169" Type="http://schemas.openxmlformats.org/officeDocument/2006/relationships/hyperlink" Target="https://nconnect.nicmar.ac.in/storage/profile/ProfilePhoto_P25700154_792485.jpg" TargetMode="External"/><Relationship Id="rId_hyperlink_170" Type="http://schemas.openxmlformats.org/officeDocument/2006/relationships/hyperlink" Target="https://nconnect.nicmar.ac.in/storage/profile/ProfilePhoto_P25700155_624518.jpg" TargetMode="External"/><Relationship Id="rId_hyperlink_171" Type="http://schemas.openxmlformats.org/officeDocument/2006/relationships/hyperlink" Target="https://nconnect.nicmar.ac.in/storage/profile/ProfilePhoto_P25700156_149783.jpg" TargetMode="External"/><Relationship Id="rId_hyperlink_172" Type="http://schemas.openxmlformats.org/officeDocument/2006/relationships/hyperlink" Target="https://nconnect.nicmar.ac.in/storage/profile/6a740a27e3ca8.png" TargetMode="External"/><Relationship Id="rId_hyperlink_173" Type="http://schemas.openxmlformats.org/officeDocument/2006/relationships/hyperlink" Target="https://nconnect.nicmar.ac.in/storage/profile/ProfilePhoto_P25700158_196843.jpg" TargetMode="External"/><Relationship Id="rId_hyperlink_174" Type="http://schemas.openxmlformats.org/officeDocument/2006/relationships/hyperlink" Target="https://nconnect.nicmar.ac.in/storage/profile/ProfilePhoto_P25700159_791628.jpg" TargetMode="External"/><Relationship Id="rId_hyperlink_175" Type="http://schemas.openxmlformats.org/officeDocument/2006/relationships/hyperlink" Target="https://nconnect.nicmar.ac.in/storage/profile/ProfilePhoto_P25700160_274951.jpg" TargetMode="External"/><Relationship Id="rId_hyperlink_176" Type="http://schemas.openxmlformats.org/officeDocument/2006/relationships/hyperlink" Target="https://nconnect.nicmar.ac.in/storage/profile/ProfilePhoto_P25700161_896127.jpg" TargetMode="External"/><Relationship Id="rId_hyperlink_177" Type="http://schemas.openxmlformats.org/officeDocument/2006/relationships/hyperlink" Target="https://nconnect.nicmar.ac.in/storage/profile/ProfilePhoto_P25700162_326594.jpg" TargetMode="External"/><Relationship Id="rId_hyperlink_178" Type="http://schemas.openxmlformats.org/officeDocument/2006/relationships/hyperlink" Target="https://nconnect.nicmar.ac.in/storage/profile/ProfilePhoto_P25700163_913852.jpg" TargetMode="External"/><Relationship Id="rId_hyperlink_179" Type="http://schemas.openxmlformats.org/officeDocument/2006/relationships/hyperlink" Target="https://nconnect.nicmar.ac.in/storage/profile/ProfilePhoto_P25700164_746531.jpg" TargetMode="External"/><Relationship Id="rId_hyperlink_180" Type="http://schemas.openxmlformats.org/officeDocument/2006/relationships/hyperlink" Target="https://nconnect.nicmar.ac.in/storage/profile/ProfilePhoto_P25700165_376415.jpg" TargetMode="External"/><Relationship Id="rId_hyperlink_181" Type="http://schemas.openxmlformats.org/officeDocument/2006/relationships/hyperlink" Target="https://nconnect.nicmar.ac.in/storage/profile/ProfilePhoto_P25700166_763589.jpg" TargetMode="External"/><Relationship Id="rId_hyperlink_182" Type="http://schemas.openxmlformats.org/officeDocument/2006/relationships/hyperlink" Target="https://nconnect.nicmar.ac.in/storage/profile/ProfilePhoto_P25700167_351762.jpg" TargetMode="External"/><Relationship Id="rId_hyperlink_183" Type="http://schemas.openxmlformats.org/officeDocument/2006/relationships/hyperlink" Target="https://nconnect.nicmar.ac.in/storage/profile/ProfilePhoto_P25700168_965724.jpg" TargetMode="External"/><Relationship Id="rId_hyperlink_184" Type="http://schemas.openxmlformats.org/officeDocument/2006/relationships/hyperlink" Target="https://nconnect.nicmar.ac.in/storage/profile/ProfilePhoto_P25700169_478621.jpg" TargetMode="External"/><Relationship Id="rId_hyperlink_185" Type="http://schemas.openxmlformats.org/officeDocument/2006/relationships/hyperlink" Target="https://nconnect.nicmar.ac.in/storage/profile/ProfilePhoto_P25700170_489362.jpg" TargetMode="External"/><Relationship Id="rId_hyperlink_186" Type="http://schemas.openxmlformats.org/officeDocument/2006/relationships/hyperlink" Target="https://nconnect.nicmar.ac.in/storage/profile/ProfilePhoto_P25700171_586279.jpg" TargetMode="External"/><Relationship Id="rId_hyperlink_187" Type="http://schemas.openxmlformats.org/officeDocument/2006/relationships/hyperlink" Target="https://nconnect.nicmar.ac.in/storage/profile/ProfilePhoto_P25700172_489631.jpg" TargetMode="External"/><Relationship Id="rId_hyperlink_188" Type="http://schemas.openxmlformats.org/officeDocument/2006/relationships/hyperlink" Target="https://nconnect.nicmar.ac.in/storage/profile/ProfilePhoto_P25700174_784592.jpg" TargetMode="External"/><Relationship Id="rId_hyperlink_189" Type="http://schemas.openxmlformats.org/officeDocument/2006/relationships/hyperlink" Target="https://nconnect.nicmar.ac.in/storage/profile/ProfilePhoto_P25700175_314862.jpg" TargetMode="External"/><Relationship Id="rId_hyperlink_190" Type="http://schemas.openxmlformats.org/officeDocument/2006/relationships/hyperlink" Target="https://nconnect.nicmar.ac.in/storage/profile/ProfilePhoto_P25700176_125376.jpg" TargetMode="External"/><Relationship Id="rId_hyperlink_191" Type="http://schemas.openxmlformats.org/officeDocument/2006/relationships/hyperlink" Target="https://nconnect.nicmar.ac.in/storage/profile/ProfilePhoto_P25700177_264735.jpg" TargetMode="External"/><Relationship Id="rId_hyperlink_192" Type="http://schemas.openxmlformats.org/officeDocument/2006/relationships/hyperlink" Target="https://nconnect.nicmar.ac.in/storage/profile/ProfilePhoto_P25700178_586319.jpg" TargetMode="External"/><Relationship Id="rId_hyperlink_193" Type="http://schemas.openxmlformats.org/officeDocument/2006/relationships/hyperlink" Target="https://nconnect.nicmar.ac.in/storage/profile/ProfilePhoto_P25700179_795823.jpg" TargetMode="External"/><Relationship Id="rId_hyperlink_194" Type="http://schemas.openxmlformats.org/officeDocument/2006/relationships/hyperlink" Target="https://nconnect.nicmar.ac.in/storage/profile/ProfilePhoto_P25700180_516437.jpg" TargetMode="External"/><Relationship Id="rId_hyperlink_195" Type="http://schemas.openxmlformats.org/officeDocument/2006/relationships/hyperlink" Target="https://nconnect.nicmar.ac.in/storage/profile/ProfilePhoto_P25700181_536927.jpg" TargetMode="External"/><Relationship Id="rId_hyperlink_196" Type="http://schemas.openxmlformats.org/officeDocument/2006/relationships/hyperlink" Target="https://nconnect.nicmar.ac.in/storage/profile/ProfilePhoto_P25700182_253687.jpg" TargetMode="External"/><Relationship Id="rId_hyperlink_197" Type="http://schemas.openxmlformats.org/officeDocument/2006/relationships/hyperlink" Target="https://nconnect.nicmar.ac.in/storage/profile/ProfilePhoto_P25700183_831792.jpg" TargetMode="External"/><Relationship Id="rId_hyperlink_198" Type="http://schemas.openxmlformats.org/officeDocument/2006/relationships/hyperlink" Target="https://nconnect.nicmar.ac.in/storage/profile/ProfilePhoto_P25700184_536872.jpg" TargetMode="External"/><Relationship Id="rId_hyperlink_199" Type="http://schemas.openxmlformats.org/officeDocument/2006/relationships/hyperlink" Target="https://nconnect.nicmar.ac.in/storage/profile/ProfilePhoto_P25700185_527946.jpg" TargetMode="External"/><Relationship Id="rId_hyperlink_200" Type="http://schemas.openxmlformats.org/officeDocument/2006/relationships/hyperlink" Target="https://nconnect.nicmar.ac.in/storage/profile/ProfilePhoto_P25700186_952671.jpg" TargetMode="External"/><Relationship Id="rId_hyperlink_201" Type="http://schemas.openxmlformats.org/officeDocument/2006/relationships/hyperlink" Target="https://nconnect.nicmar.ac.in/storage/profile/ProfilePhoto_P25700187_358146.jpg" TargetMode="External"/><Relationship Id="rId_hyperlink_202" Type="http://schemas.openxmlformats.org/officeDocument/2006/relationships/hyperlink" Target="https://nconnect.nicmar.ac.in/storage/profile/ProfilePhoto_P25700188_342579.jpg" TargetMode="External"/><Relationship Id="rId_hyperlink_203" Type="http://schemas.openxmlformats.org/officeDocument/2006/relationships/hyperlink" Target="https://nconnect.nicmar.ac.in/storage/profile/ProfilePhoto_P25700189_658327.jpg" TargetMode="External"/><Relationship Id="rId_hyperlink_204" Type="http://schemas.openxmlformats.org/officeDocument/2006/relationships/hyperlink" Target="https://nconnect.nicmar.ac.in/storage/profile/ProfilePhoto_P25700190_285367.jpg" TargetMode="External"/><Relationship Id="rId_hyperlink_205" Type="http://schemas.openxmlformats.org/officeDocument/2006/relationships/hyperlink" Target="https://nconnect.nicmar.ac.in/storage/profile/ProfilePhoto_P25700191_975138.jpg" TargetMode="External"/><Relationship Id="rId_hyperlink_206" Type="http://schemas.openxmlformats.org/officeDocument/2006/relationships/hyperlink" Target="https://nconnect.nicmar.ac.in/storage/profile/ProfilePhoto_P25700192_921356.jpg" TargetMode="External"/><Relationship Id="rId_hyperlink_207" Type="http://schemas.openxmlformats.org/officeDocument/2006/relationships/hyperlink" Target="https://nconnect.nicmar.ac.in/storage/profile/ProfilePhoto_P25700193_714259.jpg" TargetMode="External"/><Relationship Id="rId_hyperlink_208" Type="http://schemas.openxmlformats.org/officeDocument/2006/relationships/hyperlink" Target="https://nconnect.nicmar.ac.in/storage/profile/ProfilePhoto_P25700194_912563.jpg" TargetMode="External"/><Relationship Id="rId_hyperlink_209" Type="http://schemas.openxmlformats.org/officeDocument/2006/relationships/hyperlink" Target="https://nconnect.nicmar.ac.in/storage/profile/ProfilePhoto_P25700195_426391.jpg" TargetMode="External"/><Relationship Id="rId_hyperlink_210" Type="http://schemas.openxmlformats.org/officeDocument/2006/relationships/hyperlink" Target="https://nconnect.nicmar.ac.in/storage/profile/ProfilePhoto_P25700196_149528.jpg" TargetMode="External"/><Relationship Id="rId_hyperlink_211" Type="http://schemas.openxmlformats.org/officeDocument/2006/relationships/hyperlink" Target="https://nconnect.nicmar.ac.in/storage/profile/ProfilePhoto_P25700197_524673.jpg" TargetMode="External"/><Relationship Id="rId_hyperlink_212" Type="http://schemas.openxmlformats.org/officeDocument/2006/relationships/hyperlink" Target="https://nconnect.nicmar.ac.in/storage/profile/ProfilePhoto_P25700198_974621.jpg" TargetMode="External"/><Relationship Id="rId_hyperlink_213" Type="http://schemas.openxmlformats.org/officeDocument/2006/relationships/hyperlink" Target="https://nconnect.nicmar.ac.in/storage/profile/ProfilePhoto_P25700200_862795.jpg" TargetMode="External"/><Relationship Id="rId_hyperlink_214" Type="http://schemas.openxmlformats.org/officeDocument/2006/relationships/hyperlink" Target="https://nconnect.nicmar.ac.in/storage/profile/ProfilePhoto_P25700201_524138.jpg" TargetMode="External"/><Relationship Id="rId_hyperlink_215" Type="http://schemas.openxmlformats.org/officeDocument/2006/relationships/hyperlink" Target="https://nconnect.nicmar.ac.in/storage/profile/ProfilePhoto_P25700202_916537.jpg" TargetMode="External"/><Relationship Id="rId_hyperlink_216" Type="http://schemas.openxmlformats.org/officeDocument/2006/relationships/hyperlink" Target="https://nconnect.nicmar.ac.in/storage/profile/ProfilePhoto_P25700203_758261.jpg" TargetMode="External"/><Relationship Id="rId_hyperlink_217" Type="http://schemas.openxmlformats.org/officeDocument/2006/relationships/hyperlink" Target="https://nconnect.nicmar.ac.in/storage/profile/ProfilePhoto_P25700204_948512.jpg" TargetMode="External"/><Relationship Id="rId_hyperlink_218" Type="http://schemas.openxmlformats.org/officeDocument/2006/relationships/hyperlink" Target="https://nconnect.nicmar.ac.in/storage/profile/ProfilePhoto_P25700205_853246.jpg" TargetMode="External"/><Relationship Id="rId_hyperlink_219" Type="http://schemas.openxmlformats.org/officeDocument/2006/relationships/hyperlink" Target="https://nconnect.nicmar.ac.in/storage/profile/ProfilePhoto_P25700206_719562.jpg" TargetMode="External"/><Relationship Id="rId_hyperlink_220" Type="http://schemas.openxmlformats.org/officeDocument/2006/relationships/hyperlink" Target="https://nconnect.nicmar.ac.in/storage/profile/ProfilePhoto_P25700207_975832.jpg" TargetMode="External"/><Relationship Id="rId_hyperlink_221" Type="http://schemas.openxmlformats.org/officeDocument/2006/relationships/hyperlink" Target="https://nconnect.nicmar.ac.in/storage/profile/ProfilePhoto_P25700208_794836.jpg" TargetMode="External"/><Relationship Id="rId_hyperlink_222" Type="http://schemas.openxmlformats.org/officeDocument/2006/relationships/hyperlink" Target="https://nconnect.nicmar.ac.in/storage/profile/ProfilePhoto_P25700209_172634.jpg" TargetMode="External"/><Relationship Id="rId_hyperlink_223" Type="http://schemas.openxmlformats.org/officeDocument/2006/relationships/hyperlink" Target="https://nconnect.nicmar.ac.in/storage/profile/ProfilePhoto_P25700210_974213.jpg" TargetMode="External"/><Relationship Id="rId_hyperlink_224" Type="http://schemas.openxmlformats.org/officeDocument/2006/relationships/hyperlink" Target="https://nconnect.nicmar.ac.in/storage/profile/ProfilePhoto_P25700211_374165.jpg" TargetMode="External"/><Relationship Id="rId_hyperlink_225" Type="http://schemas.openxmlformats.org/officeDocument/2006/relationships/hyperlink" Target="https://nconnect.nicmar.ac.in/storage/profile/ProfilePhoto_P25700212_349562.jpg" TargetMode="External"/><Relationship Id="rId_hyperlink_226" Type="http://schemas.openxmlformats.org/officeDocument/2006/relationships/hyperlink" Target="https://nconnect.nicmar.ac.in/storage/profile/ProfilePhoto_P25700213_341679.jpg" TargetMode="External"/><Relationship Id="rId_hyperlink_227" Type="http://schemas.openxmlformats.org/officeDocument/2006/relationships/hyperlink" Target="https://nconnect.nicmar.ac.in/storage/profile/ProfilePhoto_P25700214_983516.jpg" TargetMode="External"/><Relationship Id="rId_hyperlink_228" Type="http://schemas.openxmlformats.org/officeDocument/2006/relationships/hyperlink" Target="https://nconnect.nicmar.ac.in/storage/profile/ProfilePhoto_P25700215_176495.jpg" TargetMode="External"/><Relationship Id="rId_hyperlink_229" Type="http://schemas.openxmlformats.org/officeDocument/2006/relationships/hyperlink" Target="https://nconnect.nicmar.ac.in/storage/profile/ProfilePhoto_P25700216_187954.jpg" TargetMode="External"/><Relationship Id="rId_hyperlink_230" Type="http://schemas.openxmlformats.org/officeDocument/2006/relationships/hyperlink" Target="https://nconnect.nicmar.ac.in/storage/profile/ProfilePhoto_P25700217_691537.jpg" TargetMode="External"/><Relationship Id="rId_hyperlink_231" Type="http://schemas.openxmlformats.org/officeDocument/2006/relationships/hyperlink" Target="https://nconnect.nicmar.ac.in/storage/profile/ProfilePhoto_P25700218_745321.jpg" TargetMode="External"/><Relationship Id="rId_hyperlink_232" Type="http://schemas.openxmlformats.org/officeDocument/2006/relationships/hyperlink" Target="https://nconnect.nicmar.ac.in/storage/profile/ProfilePhoto_P25700219_247813.jpg" TargetMode="External"/><Relationship Id="rId_hyperlink_233" Type="http://schemas.openxmlformats.org/officeDocument/2006/relationships/hyperlink" Target="https://nconnect.nicmar.ac.in/storage/profile/ProfilePhoto_P25700220_175482.jpg" TargetMode="External"/><Relationship Id="rId_hyperlink_234" Type="http://schemas.openxmlformats.org/officeDocument/2006/relationships/hyperlink" Target="https://nconnect.nicmar.ac.in/storage/profile/ProfilePhoto_P25700222_137948.jpg" TargetMode="External"/><Relationship Id="rId_hyperlink_235" Type="http://schemas.openxmlformats.org/officeDocument/2006/relationships/hyperlink" Target="https://nconnect.nicmar.ac.in/storage/profile/ProfilePhoto_P25700223_327691.jpg" TargetMode="External"/><Relationship Id="rId_hyperlink_236" Type="http://schemas.openxmlformats.org/officeDocument/2006/relationships/hyperlink" Target="https://nconnect.nicmar.ac.in/storage/profile/ProfilePhoto_P25700224_261739.jpg" TargetMode="External"/><Relationship Id="rId_hyperlink_237" Type="http://schemas.openxmlformats.org/officeDocument/2006/relationships/hyperlink" Target="https://nconnect.nicmar.ac.in/storage/profile/ProfilePhoto_P25700225_983512.jpg" TargetMode="External"/><Relationship Id="rId_hyperlink_238" Type="http://schemas.openxmlformats.org/officeDocument/2006/relationships/hyperlink" Target="https://nconnect.nicmar.ac.in/storage/profile/ProfilePhoto_P25700227_241753.jpg" TargetMode="External"/><Relationship Id="rId_hyperlink_239" Type="http://schemas.openxmlformats.org/officeDocument/2006/relationships/hyperlink" Target="https://nconnect.nicmar.ac.in/storage/profile/ProfilePhoto_P25700228_279168.jpg" TargetMode="External"/><Relationship Id="rId_hyperlink_240" Type="http://schemas.openxmlformats.org/officeDocument/2006/relationships/hyperlink" Target="https://nconnect.nicmar.ac.in/storage/profile/ProfilePhoto_P25700229_187625.jpg" TargetMode="External"/><Relationship Id="rId_hyperlink_241" Type="http://schemas.openxmlformats.org/officeDocument/2006/relationships/hyperlink" Target="https://nconnect.nicmar.ac.in/storage/profile/ProfilePhoto_P25700230_398462.jpg" TargetMode="External"/><Relationship Id="rId_hyperlink_242" Type="http://schemas.openxmlformats.org/officeDocument/2006/relationships/hyperlink" Target="https://nconnect.nicmar.ac.in/storage/profile/ProfilePhoto_P25700231_485793.jpg" TargetMode="External"/><Relationship Id="rId_hyperlink_243" Type="http://schemas.openxmlformats.org/officeDocument/2006/relationships/hyperlink" Target="https://nconnect.nicmar.ac.in/storage/profile/ProfilePhoto_P25700232_974861.jpg" TargetMode="External"/><Relationship Id="rId_hyperlink_244" Type="http://schemas.openxmlformats.org/officeDocument/2006/relationships/hyperlink" Target="https://nconnect.nicmar.ac.in/storage/profile/ProfilePhoto_P25700233_537914.jpg" TargetMode="External"/><Relationship Id="rId_hyperlink_245" Type="http://schemas.openxmlformats.org/officeDocument/2006/relationships/hyperlink" Target="https://nconnect.nicmar.ac.in/storage/profile/ProfilePhoto_P25700234_527634.jpg" TargetMode="External"/><Relationship Id="rId_hyperlink_246" Type="http://schemas.openxmlformats.org/officeDocument/2006/relationships/hyperlink" Target="https://nconnect.nicmar.ac.in/storage/profile/ProfilePhoto_P25700235_962375.jpg" TargetMode="External"/><Relationship Id="rId_hyperlink_247" Type="http://schemas.openxmlformats.org/officeDocument/2006/relationships/hyperlink" Target="https://nconnect.nicmar.ac.in/storage/profile/ProfilePhoto_P25700236_483619.jpg" TargetMode="External"/><Relationship Id="rId_hyperlink_248" Type="http://schemas.openxmlformats.org/officeDocument/2006/relationships/hyperlink" Target="https://nconnect.nicmar.ac.in/storage/profile/ProfilePhoto_P25700237_972643.jpg" TargetMode="External"/><Relationship Id="rId_hyperlink_249" Type="http://schemas.openxmlformats.org/officeDocument/2006/relationships/hyperlink" Target="https://nconnect.nicmar.ac.in/storage/profile/ProfilePhoto_P25700238_975162.jpg" TargetMode="External"/><Relationship Id="rId_hyperlink_250" Type="http://schemas.openxmlformats.org/officeDocument/2006/relationships/hyperlink" Target="https://nconnect.nicmar.ac.in/storage/profile/ProfilePhoto_P25700239_319765.jpg" TargetMode="External"/><Relationship Id="rId_hyperlink_251" Type="http://schemas.openxmlformats.org/officeDocument/2006/relationships/hyperlink" Target="https://nconnect.nicmar.ac.in/storage/profile/ProfilePhoto_P25700240_513948.jpg" TargetMode="External"/><Relationship Id="rId_hyperlink_252" Type="http://schemas.openxmlformats.org/officeDocument/2006/relationships/hyperlink" Target="https://nconnect.nicmar.ac.in/storage/profile/ProfilePhoto_P25700241_162534.jpg" TargetMode="External"/><Relationship Id="rId_hyperlink_253" Type="http://schemas.openxmlformats.org/officeDocument/2006/relationships/hyperlink" Target="https://nconnect.nicmar.ac.in/storage/profile/ProfilePhoto_P25700242_529817.jpg" TargetMode="External"/><Relationship Id="rId_hyperlink_254" Type="http://schemas.openxmlformats.org/officeDocument/2006/relationships/hyperlink" Target="https://nconnect.nicmar.ac.in/storage/profile/ProfilePhoto_P25700243_752468.jpg" TargetMode="External"/><Relationship Id="rId_hyperlink_255" Type="http://schemas.openxmlformats.org/officeDocument/2006/relationships/hyperlink" Target="https://nconnect.nicmar.ac.in/storage/profile/ProfilePhoto_P25700244_691843.jpg" TargetMode="External"/><Relationship Id="rId_hyperlink_256" Type="http://schemas.openxmlformats.org/officeDocument/2006/relationships/hyperlink" Target="https://nconnect.nicmar.ac.in/storage/profile/ProfilePhoto_P25700245_918463.jpg" TargetMode="External"/><Relationship Id="rId_hyperlink_257" Type="http://schemas.openxmlformats.org/officeDocument/2006/relationships/hyperlink" Target="https://nconnect.nicmar.ac.in/storage/profile/ProfilePhoto_P25700246_546739.jpg" TargetMode="External"/><Relationship Id="rId_hyperlink_258" Type="http://schemas.openxmlformats.org/officeDocument/2006/relationships/hyperlink" Target="https://nconnect.nicmar.ac.in/storage/profile/ProfilePhoto_P25700247_237156.jpg" TargetMode="External"/><Relationship Id="rId_hyperlink_259" Type="http://schemas.openxmlformats.org/officeDocument/2006/relationships/hyperlink" Target="https://nconnect.nicmar.ac.in/storage/profile/ProfilePhoto_P25700248_864927.jpg" TargetMode="External"/><Relationship Id="rId_hyperlink_260" Type="http://schemas.openxmlformats.org/officeDocument/2006/relationships/hyperlink" Target="https://nconnect.nicmar.ac.in/storage/profile/ProfilePhoto_P25700249_159378.jpg" TargetMode="External"/><Relationship Id="rId_hyperlink_261" Type="http://schemas.openxmlformats.org/officeDocument/2006/relationships/hyperlink" Target="https://nconnect.nicmar.ac.in/storage/profile/ProfilePhoto_P25700250_825963.jpg" TargetMode="External"/><Relationship Id="rId_hyperlink_262" Type="http://schemas.openxmlformats.org/officeDocument/2006/relationships/hyperlink" Target="https://nconnect.nicmar.ac.in/storage/profile/ProfilePhoto_P25700251_793658.jpg" TargetMode="External"/><Relationship Id="rId_hyperlink_263" Type="http://schemas.openxmlformats.org/officeDocument/2006/relationships/hyperlink" Target="https://nconnect.nicmar.ac.in/storage/profile/ProfilePhoto_P25700252_286139.jpg" TargetMode="External"/><Relationship Id="rId_hyperlink_264" Type="http://schemas.openxmlformats.org/officeDocument/2006/relationships/hyperlink" Target="https://nconnect.nicmar.ac.in/storage/profile/ProfilePhoto_P25700253_341298.jpg" TargetMode="External"/><Relationship Id="rId_hyperlink_265" Type="http://schemas.openxmlformats.org/officeDocument/2006/relationships/hyperlink" Target="https://nconnect.nicmar.ac.in/storage/profile/6a73072f13df6.png" TargetMode="External"/><Relationship Id="rId_hyperlink_266" Type="http://schemas.openxmlformats.org/officeDocument/2006/relationships/hyperlink" Target="https://nconnect.nicmar.ac.in/storage/profile/6a6807d8292d9.png" TargetMode="External"/><Relationship Id="rId_hyperlink_267" Type="http://schemas.openxmlformats.org/officeDocument/2006/relationships/hyperlink" Target="https://nconnect.nicmar.ac.in/storage/profile/ProfilePhoto_P25700256_314276.jpg" TargetMode="External"/><Relationship Id="rId_hyperlink_268" Type="http://schemas.openxmlformats.org/officeDocument/2006/relationships/hyperlink" Target="https://nconnect.nicmar.ac.in/storage/profile/ProfilePhoto_P25700257_416537.jpg" TargetMode="External"/><Relationship Id="rId_hyperlink_269" Type="http://schemas.openxmlformats.org/officeDocument/2006/relationships/hyperlink" Target="https://nconnect.nicmar.ac.in/storage/profile/ProfilePhoto_P25700258_493578.jpg" TargetMode="External"/><Relationship Id="rId_hyperlink_270" Type="http://schemas.openxmlformats.org/officeDocument/2006/relationships/hyperlink" Target="https://nconnect.nicmar.ac.in/storage/profile/ProfilePhoto_P25700259_153496.jpg" TargetMode="External"/><Relationship Id="rId_hyperlink_271" Type="http://schemas.openxmlformats.org/officeDocument/2006/relationships/hyperlink" Target="https://nconnect.nicmar.ac.in/storage/profile/ProfilePhoto_P25700260_867251.jpg" TargetMode="External"/><Relationship Id="rId_hyperlink_272" Type="http://schemas.openxmlformats.org/officeDocument/2006/relationships/hyperlink" Target="https://nconnect.nicmar.ac.in/storage/profile/ProfilePhoto_P25700261_127954.jpg" TargetMode="External"/><Relationship Id="rId_hyperlink_273" Type="http://schemas.openxmlformats.org/officeDocument/2006/relationships/hyperlink" Target="https://nconnect.nicmar.ac.in/storage/profile/ProfilePhoto_P25700262_867913.jpg" TargetMode="External"/><Relationship Id="rId_hyperlink_274" Type="http://schemas.openxmlformats.org/officeDocument/2006/relationships/hyperlink" Target="https://nconnect.nicmar.ac.in/storage/profile/ProfilePhoto_P25700263_426175.jpg" TargetMode="External"/><Relationship Id="rId_hyperlink_275" Type="http://schemas.openxmlformats.org/officeDocument/2006/relationships/hyperlink" Target="https://nconnect.nicmar.ac.in/storage/profile/ProfilePhoto_P25700264_328496.jpg" TargetMode="External"/><Relationship Id="rId_hyperlink_276" Type="http://schemas.openxmlformats.org/officeDocument/2006/relationships/hyperlink" Target="https://nconnect.nicmar.ac.in/storage/profile/ProfilePhoto_P25700265_158934.jpg" TargetMode="External"/><Relationship Id="rId_hyperlink_277" Type="http://schemas.openxmlformats.org/officeDocument/2006/relationships/hyperlink" Target="https://nconnect.nicmar.ac.in/storage/profile/ProfilePhoto_P25700266_297863.jpg" TargetMode="External"/><Relationship Id="rId_hyperlink_278" Type="http://schemas.openxmlformats.org/officeDocument/2006/relationships/hyperlink" Target="https://nconnect.nicmar.ac.in/storage/profile/ProfilePhoto_P25700267_286547.jpg" TargetMode="External"/><Relationship Id="rId_hyperlink_279" Type="http://schemas.openxmlformats.org/officeDocument/2006/relationships/hyperlink" Target="https://nconnect.nicmar.ac.in/storage/profile/6a7ef2c6545b1.png" TargetMode="External"/><Relationship Id="rId_hyperlink_280" Type="http://schemas.openxmlformats.org/officeDocument/2006/relationships/hyperlink" Target="https://nconnect.nicmar.ac.in/storage/profile/ProfilePhoto_P25700269_861432.jpg" TargetMode="External"/><Relationship Id="rId_hyperlink_281" Type="http://schemas.openxmlformats.org/officeDocument/2006/relationships/hyperlink" Target="https://nconnect.nicmar.ac.in/storage/profile/ProfilePhoto_P25700270_194253.jpg" TargetMode="External"/><Relationship Id="rId_hyperlink_282" Type="http://schemas.openxmlformats.org/officeDocument/2006/relationships/hyperlink" Target="https://nconnect.nicmar.ac.in/storage/profile/ProfilePhoto_P25700271_135978.jpg" TargetMode="External"/><Relationship Id="rId_hyperlink_283" Type="http://schemas.openxmlformats.org/officeDocument/2006/relationships/hyperlink" Target="https://nconnect.nicmar.ac.in/storage/profile/ProfilePhoto_P25700272_839471.jpg" TargetMode="External"/><Relationship Id="rId_hyperlink_284" Type="http://schemas.openxmlformats.org/officeDocument/2006/relationships/hyperlink" Target="https://nconnect.nicmar.ac.in/storage/profile/ProfilePhoto_P25700273_243176.jpg" TargetMode="External"/><Relationship Id="rId_hyperlink_285" Type="http://schemas.openxmlformats.org/officeDocument/2006/relationships/hyperlink" Target="https://nconnect.nicmar.ac.in/storage/profile/ProfilePhoto_P25700274_326758.jpg" TargetMode="External"/><Relationship Id="rId_hyperlink_286" Type="http://schemas.openxmlformats.org/officeDocument/2006/relationships/hyperlink" Target="https://nconnect.nicmar.ac.in/storage/profile/ProfilePhoto_P25700275_563178.jpg" TargetMode="External"/><Relationship Id="rId_hyperlink_287" Type="http://schemas.openxmlformats.org/officeDocument/2006/relationships/hyperlink" Target="https://nconnect.nicmar.ac.in/storage/profile/ProfilePhoto_P25700277_438956.jpg" TargetMode="External"/><Relationship Id="rId_hyperlink_288" Type="http://schemas.openxmlformats.org/officeDocument/2006/relationships/hyperlink" Target="https://nconnect.nicmar.ac.in/storage/profile/ProfilePhoto_P25700278_937126.jpg" TargetMode="External"/><Relationship Id="rId_hyperlink_289" Type="http://schemas.openxmlformats.org/officeDocument/2006/relationships/hyperlink" Target="https://nconnect.nicmar.ac.in/storage/profile/ProfilePhoto_P25700280_693247.jpg" TargetMode="External"/><Relationship Id="rId_hyperlink_290" Type="http://schemas.openxmlformats.org/officeDocument/2006/relationships/hyperlink" Target="https://nconnect.nicmar.ac.in/storage/profile/ProfilePhoto_P25700282_942538.jpg" TargetMode="External"/><Relationship Id="rId_hyperlink_291" Type="http://schemas.openxmlformats.org/officeDocument/2006/relationships/hyperlink" Target="https://nconnect.nicmar.ac.in/storage/profile/ProfilePhoto_P25700283_529847.jpg" TargetMode="External"/><Relationship Id="rId_hyperlink_292" Type="http://schemas.openxmlformats.org/officeDocument/2006/relationships/hyperlink" Target="https://nconnect.nicmar.ac.in/storage/profile/ProfilePhoto_P25700284_724851.jpg" TargetMode="External"/><Relationship Id="rId_hyperlink_293" Type="http://schemas.openxmlformats.org/officeDocument/2006/relationships/hyperlink" Target="https://nconnect.nicmar.ac.in/storage/profile/6a6caffb11d26.png" TargetMode="External"/><Relationship Id="rId_hyperlink_294" Type="http://schemas.openxmlformats.org/officeDocument/2006/relationships/hyperlink" Target="https://nconnect.nicmar.ac.in/storage/profile/ProfilePhoto_P25700286_398214.jpg" TargetMode="External"/><Relationship Id="rId_hyperlink_295" Type="http://schemas.openxmlformats.org/officeDocument/2006/relationships/hyperlink" Target="https://nconnect.nicmar.ac.in/storage/profile/ProfilePhoto_P25700287_896372.jpg" TargetMode="External"/><Relationship Id="rId_hyperlink_296" Type="http://schemas.openxmlformats.org/officeDocument/2006/relationships/hyperlink" Target="https://nconnect.nicmar.ac.in/storage/profile/ProfilePhoto_P25700288_156498.jpg" TargetMode="External"/><Relationship Id="rId_hyperlink_297" Type="http://schemas.openxmlformats.org/officeDocument/2006/relationships/hyperlink" Target="https://nconnect.nicmar.ac.in/storage/profile/ProfilePhoto_P25700289_126498.jpg" TargetMode="External"/><Relationship Id="rId_hyperlink_298" Type="http://schemas.openxmlformats.org/officeDocument/2006/relationships/hyperlink" Target="https://nconnect.nicmar.ac.in/storage/profile/ProfilePhoto_P25700290_567841.jpg" TargetMode="External"/><Relationship Id="rId_hyperlink_299" Type="http://schemas.openxmlformats.org/officeDocument/2006/relationships/hyperlink" Target="https://nconnect.nicmar.ac.in/storage/profile/ProfilePhoto_P25700291_245196.jpg" TargetMode="External"/><Relationship Id="rId_hyperlink_300" Type="http://schemas.openxmlformats.org/officeDocument/2006/relationships/hyperlink" Target="https://nconnect.nicmar.ac.in/storage/profile/ProfilePhoto_P25700292_526814.jpg" TargetMode="External"/><Relationship Id="rId_hyperlink_301" Type="http://schemas.openxmlformats.org/officeDocument/2006/relationships/hyperlink" Target="https://nconnect.nicmar.ac.in/storage/profile/ProfilePhoto_P25700293_417563.jpg" TargetMode="External"/><Relationship Id="rId_hyperlink_302" Type="http://schemas.openxmlformats.org/officeDocument/2006/relationships/hyperlink" Target="https://nconnect.nicmar.ac.in/storage/profile/ProfilePhoto_P25700294_947681.jpg" TargetMode="External"/><Relationship Id="rId_hyperlink_303" Type="http://schemas.openxmlformats.org/officeDocument/2006/relationships/hyperlink" Target="https://nconnect.nicmar.ac.in/storage/profile/ProfilePhoto_P25700295_417832.jpg" TargetMode="External"/><Relationship Id="rId_hyperlink_304" Type="http://schemas.openxmlformats.org/officeDocument/2006/relationships/hyperlink" Target="https://nconnect.nicmar.ac.in/storage/profile/ProfilePhoto_P25700296_392684.jpg" TargetMode="External"/><Relationship Id="rId_hyperlink_305" Type="http://schemas.openxmlformats.org/officeDocument/2006/relationships/hyperlink" Target="https://nconnect.nicmar.ac.in/storage/profile/ProfilePhoto_P25700297_213596.jpg" TargetMode="External"/><Relationship Id="rId_hyperlink_306" Type="http://schemas.openxmlformats.org/officeDocument/2006/relationships/hyperlink" Target="https://nconnect.nicmar.ac.in/storage/profile/ProfilePhoto_P25700298_589421.jpg" TargetMode="External"/><Relationship Id="rId_hyperlink_307" Type="http://schemas.openxmlformats.org/officeDocument/2006/relationships/hyperlink" Target="https://nconnect.nicmar.ac.in/storage/profile/ProfilePhoto_P25700299_148926.jpg" TargetMode="External"/><Relationship Id="rId_hyperlink_308" Type="http://schemas.openxmlformats.org/officeDocument/2006/relationships/hyperlink" Target="https://nconnect.nicmar.ac.in/storage/profile/ProfilePhoto_P25700300_153649.jpg" TargetMode="External"/><Relationship Id="rId_hyperlink_309" Type="http://schemas.openxmlformats.org/officeDocument/2006/relationships/hyperlink" Target="https://nconnect.nicmar.ac.in/storage/profile/ProfilePhoto_P25700301_346981.jpg" TargetMode="External"/><Relationship Id="rId_hyperlink_310" Type="http://schemas.openxmlformats.org/officeDocument/2006/relationships/hyperlink" Target="https://nconnect.nicmar.ac.in/storage/profile/ProfilePhoto_P25700302_214356.jpg" TargetMode="External"/><Relationship Id="rId_hyperlink_311" Type="http://schemas.openxmlformats.org/officeDocument/2006/relationships/hyperlink" Target="https://nconnect.nicmar.ac.in/storage/profile/ProfilePhoto_P25700303_641892.jpg" TargetMode="External"/><Relationship Id="rId_hyperlink_312" Type="http://schemas.openxmlformats.org/officeDocument/2006/relationships/hyperlink" Target="https://nconnect.nicmar.ac.in/storage/profile/ProfilePhoto_P25700304_328576.jpg" TargetMode="External"/><Relationship Id="rId_hyperlink_313" Type="http://schemas.openxmlformats.org/officeDocument/2006/relationships/hyperlink" Target="https://nconnect.nicmar.ac.in/storage/profile/ProfilePhoto_P25700305_358149.jpg" TargetMode="External"/><Relationship Id="rId_hyperlink_314" Type="http://schemas.openxmlformats.org/officeDocument/2006/relationships/hyperlink" Target="https://nconnect.nicmar.ac.in/storage/profile/ProfilePhoto_P25700306_128963.jpg" TargetMode="External"/><Relationship Id="rId_hyperlink_315" Type="http://schemas.openxmlformats.org/officeDocument/2006/relationships/hyperlink" Target="https://nconnect.nicmar.ac.in/storage/profile/ProfilePhoto_P25700307_873512.jpg" TargetMode="External"/><Relationship Id="rId_hyperlink_316" Type="http://schemas.openxmlformats.org/officeDocument/2006/relationships/hyperlink" Target="https://nconnect.nicmar.ac.in/storage/profile/ProfilePhoto_P25700308_942517.jpg" TargetMode="External"/><Relationship Id="rId_hyperlink_317" Type="http://schemas.openxmlformats.org/officeDocument/2006/relationships/hyperlink" Target="https://nconnect.nicmar.ac.in/storage/profile/ProfilePhoto_P25700309_361294.jpg" TargetMode="External"/><Relationship Id="rId_hyperlink_318" Type="http://schemas.openxmlformats.org/officeDocument/2006/relationships/hyperlink" Target="https://nconnect.nicmar.ac.in/storage/profile/6a6247b201416.png" TargetMode="External"/><Relationship Id="rId_hyperlink_319" Type="http://schemas.openxmlformats.org/officeDocument/2006/relationships/hyperlink" Target="https://nconnect.nicmar.ac.in/storage/profile/ProfilePhoto_P25700311_175346.jpg" TargetMode="External"/><Relationship Id="rId_hyperlink_320" Type="http://schemas.openxmlformats.org/officeDocument/2006/relationships/hyperlink" Target="https://nconnect.nicmar.ac.in/storage/profile/ProfilePhoto_P25700312_491872.jpg" TargetMode="External"/><Relationship Id="rId_hyperlink_321" Type="http://schemas.openxmlformats.org/officeDocument/2006/relationships/hyperlink" Target="https://nconnect.nicmar.ac.in/storage/profile/ProfilePhoto_P25700313_351694.jpg" TargetMode="External"/><Relationship Id="rId_hyperlink_322" Type="http://schemas.openxmlformats.org/officeDocument/2006/relationships/hyperlink" Target="https://nconnect.nicmar.ac.in/storage/profile/ProfilePhoto_P25700314_541362.jpg" TargetMode="External"/><Relationship Id="rId_hyperlink_323" Type="http://schemas.openxmlformats.org/officeDocument/2006/relationships/hyperlink" Target="https://nconnect.nicmar.ac.in/storage/profile/ProfilePhoto_P25700316_645173.jpg" TargetMode="External"/><Relationship Id="rId_hyperlink_324" Type="http://schemas.openxmlformats.org/officeDocument/2006/relationships/hyperlink" Target="https://nconnect.nicmar.ac.in/storage/profile/ProfilePhoto_P25700317_381597.jpg" TargetMode="External"/><Relationship Id="rId_hyperlink_325" Type="http://schemas.openxmlformats.org/officeDocument/2006/relationships/hyperlink" Target="https://nconnect.nicmar.ac.in/storage/profile/ProfilePhoto_P25700318_763418.jpg" TargetMode="External"/><Relationship Id="rId_hyperlink_326" Type="http://schemas.openxmlformats.org/officeDocument/2006/relationships/hyperlink" Target="https://nconnect.nicmar.ac.in/storage/profile/ProfilePhoto_P25700320_432967.jpg" TargetMode="External"/><Relationship Id="rId_hyperlink_327" Type="http://schemas.openxmlformats.org/officeDocument/2006/relationships/hyperlink" Target="https://nconnect.nicmar.ac.in/storage/profile/ProfilePhoto_P25700321_248693.jpg" TargetMode="External"/><Relationship Id="rId_hyperlink_328" Type="http://schemas.openxmlformats.org/officeDocument/2006/relationships/hyperlink" Target="https://nconnect.nicmar.ac.in/storage/profile/ProfilePhoto_P25700322_174659.jpg" TargetMode="External"/><Relationship Id="rId_hyperlink_329" Type="http://schemas.openxmlformats.org/officeDocument/2006/relationships/hyperlink" Target="https://nconnect.nicmar.ac.in/storage/profile/ProfilePhoto_P25700323_852916.jpg" TargetMode="External"/><Relationship Id="rId_hyperlink_330" Type="http://schemas.openxmlformats.org/officeDocument/2006/relationships/hyperlink" Target="https://nconnect.nicmar.ac.in/storage/profile/ProfilePhoto_P25700324_649581.jpg" TargetMode="External"/><Relationship Id="rId_hyperlink_331" Type="http://schemas.openxmlformats.org/officeDocument/2006/relationships/hyperlink" Target="https://nconnect.nicmar.ac.in/storage/profile/6a6247e7c603e.png" TargetMode="External"/><Relationship Id="rId_hyperlink_332" Type="http://schemas.openxmlformats.org/officeDocument/2006/relationships/hyperlink" Target="https://nconnect.nicmar.ac.in/storage/profile/ProfilePhoto_P25700327_437895.jpg" TargetMode="External"/><Relationship Id="rId_hyperlink_333" Type="http://schemas.openxmlformats.org/officeDocument/2006/relationships/hyperlink" Target="https://nconnect.nicmar.ac.in/storage/profile/ProfilePhoto_P25700328_694123.jpg" TargetMode="External"/><Relationship Id="rId_hyperlink_334" Type="http://schemas.openxmlformats.org/officeDocument/2006/relationships/hyperlink" Target="https://nconnect.nicmar.ac.in/storage/profile/ProfilePhoto_P25700329_934817.jpg" TargetMode="External"/><Relationship Id="rId_hyperlink_335" Type="http://schemas.openxmlformats.org/officeDocument/2006/relationships/hyperlink" Target="https://nconnect.nicmar.ac.in/storage/profile/ProfilePhoto_P25700330_839724.jpg" TargetMode="External"/><Relationship Id="rId_hyperlink_336" Type="http://schemas.openxmlformats.org/officeDocument/2006/relationships/hyperlink" Target="https://nconnect.nicmar.ac.in/storage/profile/ProfilePhoto_P25700331_498125.jpg" TargetMode="External"/><Relationship Id="rId_hyperlink_337" Type="http://schemas.openxmlformats.org/officeDocument/2006/relationships/hyperlink" Target="https://nconnect.nicmar.ac.in/storage/profile/ProfilePhoto_P25700332_582631.jpg" TargetMode="External"/><Relationship Id="rId_hyperlink_338" Type="http://schemas.openxmlformats.org/officeDocument/2006/relationships/hyperlink" Target="https://nconnect.nicmar.ac.in/storage/profile/ProfilePhoto_P25700333_561738.jpg" TargetMode="External"/><Relationship Id="rId_hyperlink_339" Type="http://schemas.openxmlformats.org/officeDocument/2006/relationships/hyperlink" Target="https://nconnect.nicmar.ac.in/storage/profile/ProfilePhoto_P25700334_897625.jpg" TargetMode="External"/><Relationship Id="rId_hyperlink_340" Type="http://schemas.openxmlformats.org/officeDocument/2006/relationships/hyperlink" Target="https://nconnect.nicmar.ac.in/storage/profile/ProfilePhoto_P25700335_235948.jpg" TargetMode="External"/><Relationship Id="rId_hyperlink_341" Type="http://schemas.openxmlformats.org/officeDocument/2006/relationships/hyperlink" Target="https://nconnect.nicmar.ac.in/storage/profile/ProfilePhoto_P25700336_569138.jpg" TargetMode="External"/><Relationship Id="rId_hyperlink_342" Type="http://schemas.openxmlformats.org/officeDocument/2006/relationships/hyperlink" Target="https://nconnect.nicmar.ac.in/storage/profile/ProfilePhoto_P25700337_749123.jpg" TargetMode="External"/><Relationship Id="rId_hyperlink_343" Type="http://schemas.openxmlformats.org/officeDocument/2006/relationships/hyperlink" Target="https://nconnect.nicmar.ac.in/storage/profile/ProfilePhoto_P25700338_458312.jpg" TargetMode="External"/><Relationship Id="rId_hyperlink_344" Type="http://schemas.openxmlformats.org/officeDocument/2006/relationships/hyperlink" Target="https://nconnect.nicmar.ac.in/storage/profile/ProfilePhoto_P25700339_893165.jpg" TargetMode="External"/><Relationship Id="rId_hyperlink_345" Type="http://schemas.openxmlformats.org/officeDocument/2006/relationships/hyperlink" Target="https://nconnect.nicmar.ac.in/storage/profile/ProfilePhoto_P25700340_491823.jpg" TargetMode="External"/><Relationship Id="rId_hyperlink_346" Type="http://schemas.openxmlformats.org/officeDocument/2006/relationships/hyperlink" Target="https://nconnect.nicmar.ac.in/storage/profile/ProfilePhoto_P25700341_527638.jpg" TargetMode="External"/><Relationship Id="rId_hyperlink_347" Type="http://schemas.openxmlformats.org/officeDocument/2006/relationships/hyperlink" Target="https://nconnect.nicmar.ac.in/storage/profile/ProfilePhoto_P25700342_917356.jpg" TargetMode="External"/><Relationship Id="rId_hyperlink_348" Type="http://schemas.openxmlformats.org/officeDocument/2006/relationships/hyperlink" Target="https://nconnect.nicmar.ac.in/storage/profile/ProfilePhoto_P25700343_519836.jpg" TargetMode="External"/><Relationship Id="rId_hyperlink_349" Type="http://schemas.openxmlformats.org/officeDocument/2006/relationships/hyperlink" Target="https://nconnect.nicmar.ac.in/storage/profile/ProfilePhoto_P25700344_278134.jpg" TargetMode="External"/><Relationship Id="rId_hyperlink_350" Type="http://schemas.openxmlformats.org/officeDocument/2006/relationships/hyperlink" Target="https://nconnect.nicmar.ac.in/storage/profile/ProfilePhoto_P25700345_856793.jpg" TargetMode="External"/><Relationship Id="rId_hyperlink_351" Type="http://schemas.openxmlformats.org/officeDocument/2006/relationships/hyperlink" Target="https://nconnect.nicmar.ac.in/storage/profile/ProfilePhoto_P25700346_549627.jpg" TargetMode="External"/><Relationship Id="rId_hyperlink_352" Type="http://schemas.openxmlformats.org/officeDocument/2006/relationships/hyperlink" Target="https://nconnect.nicmar.ac.in/storage/profile/ProfilePhoto_P25700347_834162.jpg" TargetMode="External"/><Relationship Id="rId_hyperlink_353" Type="http://schemas.openxmlformats.org/officeDocument/2006/relationships/hyperlink" Target="https://nconnect.nicmar.ac.in/storage/profile/ProfilePhoto_P25700348_398162.jpg" TargetMode="External"/><Relationship Id="rId_hyperlink_354" Type="http://schemas.openxmlformats.org/officeDocument/2006/relationships/hyperlink" Target="https://nconnect.nicmar.ac.in/storage/profile/ProfilePhoto_P25700349_261783.jpg" TargetMode="External"/><Relationship Id="rId_hyperlink_355" Type="http://schemas.openxmlformats.org/officeDocument/2006/relationships/hyperlink" Target="https://nconnect.nicmar.ac.in/storage/profile/ProfilePhoto_P25700350_594367.jpg" TargetMode="External"/><Relationship Id="rId_hyperlink_356" Type="http://schemas.openxmlformats.org/officeDocument/2006/relationships/hyperlink" Target="https://nconnect.nicmar.ac.in/storage/profile/ProfilePhoto_P25700351_712865.jpg" TargetMode="External"/><Relationship Id="rId_hyperlink_357" Type="http://schemas.openxmlformats.org/officeDocument/2006/relationships/hyperlink" Target="https://nconnect.nicmar.ac.in/storage/profile/ProfilePhoto_P25700352_437125.jpg" TargetMode="External"/><Relationship Id="rId_hyperlink_358" Type="http://schemas.openxmlformats.org/officeDocument/2006/relationships/hyperlink" Target="https://nconnect.nicmar.ac.in/storage/profile/ProfilePhoto_P25700353_496532.jpg" TargetMode="External"/><Relationship Id="rId_hyperlink_359" Type="http://schemas.openxmlformats.org/officeDocument/2006/relationships/hyperlink" Target="https://nconnect.nicmar.ac.in/storage/profile/ProfilePhoto_P25700354_283475.jpg" TargetMode="External"/><Relationship Id="rId_hyperlink_360" Type="http://schemas.openxmlformats.org/officeDocument/2006/relationships/hyperlink" Target="https://nconnect.nicmar.ac.in/storage/profile/ProfilePhoto_P25700355_452968.jpg" TargetMode="External"/><Relationship Id="rId_hyperlink_361" Type="http://schemas.openxmlformats.org/officeDocument/2006/relationships/hyperlink" Target="https://nconnect.nicmar.ac.in/storage/profile/ProfilePhoto_P25700356_431675.jpg" TargetMode="External"/><Relationship Id="rId_hyperlink_362" Type="http://schemas.openxmlformats.org/officeDocument/2006/relationships/hyperlink" Target="https://nconnect.nicmar.ac.in/storage/profile/ProfilePhoto_P25700357_834596.jpg" TargetMode="External"/><Relationship Id="rId_hyperlink_363" Type="http://schemas.openxmlformats.org/officeDocument/2006/relationships/hyperlink" Target="https://nconnect.nicmar.ac.in/storage/profile/ProfilePhoto_P25700358_381456.jpg" TargetMode="External"/><Relationship Id="rId_hyperlink_364" Type="http://schemas.openxmlformats.org/officeDocument/2006/relationships/hyperlink" Target="https://nconnect.nicmar.ac.in/storage/profile/ProfilePhoto_P25700359_948167.jpg" TargetMode="External"/><Relationship Id="rId_hyperlink_365" Type="http://schemas.openxmlformats.org/officeDocument/2006/relationships/hyperlink" Target="https://nconnect.nicmar.ac.in/storage/profile/ProfilePhoto_P25700360_657192.jpg" TargetMode="External"/><Relationship Id="rId_hyperlink_366" Type="http://schemas.openxmlformats.org/officeDocument/2006/relationships/hyperlink" Target="https://nconnect.nicmar.ac.in/storage/profile/ProfilePhoto_P25700361_138974.jpg" TargetMode="External"/><Relationship Id="rId_hyperlink_367" Type="http://schemas.openxmlformats.org/officeDocument/2006/relationships/hyperlink" Target="https://nconnect.nicmar.ac.in/storage/profile/ProfilePhoto_P25700362_519874.jpg" TargetMode="External"/><Relationship Id="rId_hyperlink_368" Type="http://schemas.openxmlformats.org/officeDocument/2006/relationships/hyperlink" Target="https://nconnect.nicmar.ac.in/storage/profile/ProfilePhoto_P25700363_761958.jpg" TargetMode="External"/><Relationship Id="rId_hyperlink_369" Type="http://schemas.openxmlformats.org/officeDocument/2006/relationships/hyperlink" Target="https://nconnect.nicmar.ac.in/storage/profile/ProfilePhoto_P25700364_541382.jpg" TargetMode="External"/><Relationship Id="rId_hyperlink_370" Type="http://schemas.openxmlformats.org/officeDocument/2006/relationships/hyperlink" Target="https://nconnect.nicmar.ac.in/storage/profile/ProfilePhoto_P25700366_956721.jpg" TargetMode="External"/><Relationship Id="rId_hyperlink_371" Type="http://schemas.openxmlformats.org/officeDocument/2006/relationships/hyperlink" Target="https://nconnect.nicmar.ac.in/storage/profile/ProfilePhoto_P25700368_157439.jpg" TargetMode="External"/><Relationship Id="rId_hyperlink_372" Type="http://schemas.openxmlformats.org/officeDocument/2006/relationships/hyperlink" Target="https://nconnect.nicmar.ac.in/storage/profile/ProfilePhoto_P25700369_745329.jpg" TargetMode="External"/><Relationship Id="rId_hyperlink_373" Type="http://schemas.openxmlformats.org/officeDocument/2006/relationships/hyperlink" Target="https://nconnect.nicmar.ac.in/storage/profile/ProfilePhoto_P25700370_895437.jpg" TargetMode="External"/><Relationship Id="rId_hyperlink_374" Type="http://schemas.openxmlformats.org/officeDocument/2006/relationships/hyperlink" Target="https://nconnect.nicmar.ac.in/storage/profile/ProfilePhoto_P25700371_572389.jpg" TargetMode="External"/><Relationship Id="rId_hyperlink_375" Type="http://schemas.openxmlformats.org/officeDocument/2006/relationships/hyperlink" Target="https://nconnect.nicmar.ac.in/storage/profile/ProfilePhoto_P25700372_298156.jpg" TargetMode="External"/><Relationship Id="rId_hyperlink_376" Type="http://schemas.openxmlformats.org/officeDocument/2006/relationships/hyperlink" Target="https://nconnect.nicmar.ac.in/storage/profile/ProfilePhoto_P25700373_975146.jpg" TargetMode="External"/><Relationship Id="rId_hyperlink_377" Type="http://schemas.openxmlformats.org/officeDocument/2006/relationships/hyperlink" Target="https://nconnect.nicmar.ac.in/storage/profile/ProfilePhoto_P25700374_374629.jpg" TargetMode="External"/><Relationship Id="rId_hyperlink_378" Type="http://schemas.openxmlformats.org/officeDocument/2006/relationships/hyperlink" Target="https://nconnect.nicmar.ac.in/storage/profile/ProfilePhoto_P25700375_963157.jpg" TargetMode="External"/><Relationship Id="rId_hyperlink_379" Type="http://schemas.openxmlformats.org/officeDocument/2006/relationships/hyperlink" Target="https://nconnect.nicmar.ac.in/storage/profile/ProfilePhoto_P25700376_736185.jpg" TargetMode="External"/><Relationship Id="rId_hyperlink_380" Type="http://schemas.openxmlformats.org/officeDocument/2006/relationships/hyperlink" Target="https://nconnect.nicmar.ac.in/storage/profile/ProfilePhoto_P25700378_896243.jpg" TargetMode="External"/><Relationship Id="rId_hyperlink_381" Type="http://schemas.openxmlformats.org/officeDocument/2006/relationships/hyperlink" Target="https://nconnect.nicmar.ac.in/storage/profile/ProfilePhoto_P25700379_143659.jpg" TargetMode="External"/><Relationship Id="rId_hyperlink_382" Type="http://schemas.openxmlformats.org/officeDocument/2006/relationships/hyperlink" Target="https://nconnect.nicmar.ac.in/storage/profile/ProfilePhoto_P25700380_857362.jpg" TargetMode="External"/><Relationship Id="rId_hyperlink_383" Type="http://schemas.openxmlformats.org/officeDocument/2006/relationships/hyperlink" Target="https://nconnect.nicmar.ac.in/storage/profile/ProfilePhoto_P25700381_413569.jpg" TargetMode="External"/><Relationship Id="rId_hyperlink_384" Type="http://schemas.openxmlformats.org/officeDocument/2006/relationships/hyperlink" Target="https://nconnect.nicmar.ac.in/storage/profile/ProfilePhoto_P25700382_413295.jpg" TargetMode="External"/><Relationship Id="rId_hyperlink_385" Type="http://schemas.openxmlformats.org/officeDocument/2006/relationships/hyperlink" Target="https://nconnect.nicmar.ac.in/storage/profile/ProfilePhoto_P25700383_831254.jpg" TargetMode="External"/><Relationship Id="rId_hyperlink_386" Type="http://schemas.openxmlformats.org/officeDocument/2006/relationships/hyperlink" Target="https://nconnect.nicmar.ac.in/storage/profile/ProfilePhoto_P25700384_318246.jpg" TargetMode="External"/><Relationship Id="rId_hyperlink_387" Type="http://schemas.openxmlformats.org/officeDocument/2006/relationships/hyperlink" Target="https://nconnect.nicmar.ac.in/storage/profile/ProfilePhoto_P25700385_936548.jpg" TargetMode="External"/><Relationship Id="rId_hyperlink_388" Type="http://schemas.openxmlformats.org/officeDocument/2006/relationships/hyperlink" Target="https://nconnect.nicmar.ac.in/storage/profile/ProfilePhoto_P25700386_189623.jpg" TargetMode="External"/><Relationship Id="rId_hyperlink_389" Type="http://schemas.openxmlformats.org/officeDocument/2006/relationships/hyperlink" Target="https://nconnect.nicmar.ac.in/storage/profile/ProfilePhoto_P25700387_318952.jpg" TargetMode="External"/><Relationship Id="rId_hyperlink_390" Type="http://schemas.openxmlformats.org/officeDocument/2006/relationships/hyperlink" Target="https://nconnect.nicmar.ac.in/storage/profile/ProfilePhoto_P25700388_863591.jpg" TargetMode="External"/><Relationship Id="rId_hyperlink_391" Type="http://schemas.openxmlformats.org/officeDocument/2006/relationships/hyperlink" Target="https://nconnect.nicmar.ac.in/storage/profile/ProfilePhoto_P25700389_893247.jpg" TargetMode="External"/><Relationship Id="rId_hyperlink_392" Type="http://schemas.openxmlformats.org/officeDocument/2006/relationships/hyperlink" Target="https://nconnect.nicmar.ac.in/storage/profile/ProfilePhoto_P25700390_748536.jpg" TargetMode="External"/><Relationship Id="rId_hyperlink_393" Type="http://schemas.openxmlformats.org/officeDocument/2006/relationships/hyperlink" Target="https://nconnect.nicmar.ac.in/storage/profile/ProfilePhoto_P25700391_259437.jpg" TargetMode="External"/><Relationship Id="rId_hyperlink_394" Type="http://schemas.openxmlformats.org/officeDocument/2006/relationships/hyperlink" Target="https://nconnect.nicmar.ac.in/storage/profile/ProfilePhoto_P25700392_517643.jpg" TargetMode="External"/><Relationship Id="rId_hyperlink_395" Type="http://schemas.openxmlformats.org/officeDocument/2006/relationships/hyperlink" Target="https://nconnect.nicmar.ac.in/storage/profile/ProfilePhoto_P25700393_435691.jpg" TargetMode="External"/><Relationship Id="rId_hyperlink_396" Type="http://schemas.openxmlformats.org/officeDocument/2006/relationships/hyperlink" Target="https://nconnect.nicmar.ac.in/storage/profile/ProfilePhoto_P25700394_167349.jpg" TargetMode="External"/><Relationship Id="rId_hyperlink_397" Type="http://schemas.openxmlformats.org/officeDocument/2006/relationships/hyperlink" Target="https://nconnect.nicmar.ac.in/storage/profile/ProfilePhoto_P25700395_597218.jpg" TargetMode="External"/><Relationship Id="rId_hyperlink_398" Type="http://schemas.openxmlformats.org/officeDocument/2006/relationships/hyperlink" Target="https://nconnect.nicmar.ac.in/storage/profile/ProfilePhoto_P25700396_127438.jpg" TargetMode="External"/><Relationship Id="rId_hyperlink_399" Type="http://schemas.openxmlformats.org/officeDocument/2006/relationships/hyperlink" Target="https://nconnect.nicmar.ac.in/storage/profile/ProfilePhoto_P25700397_947536.jpg" TargetMode="External"/><Relationship Id="rId_hyperlink_400" Type="http://schemas.openxmlformats.org/officeDocument/2006/relationships/hyperlink" Target="https://nconnect.nicmar.ac.in/storage/profile/ProfilePhoto_P25700398_439256.jpg" TargetMode="External"/><Relationship Id="rId_hyperlink_401" Type="http://schemas.openxmlformats.org/officeDocument/2006/relationships/hyperlink" Target="https://nconnect.nicmar.ac.in/storage/profile/ProfilePhoto_P25700399_623841.jpg" TargetMode="External"/><Relationship Id="rId_hyperlink_402" Type="http://schemas.openxmlformats.org/officeDocument/2006/relationships/hyperlink" Target="https://nconnect.nicmar.ac.in/storage/profile/ProfilePhoto_P25700400_638452.jpg" TargetMode="External"/><Relationship Id="rId_hyperlink_403" Type="http://schemas.openxmlformats.org/officeDocument/2006/relationships/hyperlink" Target="https://nconnect.nicmar.ac.in/storage/profile/ProfilePhoto_P25700401_764591.jpg" TargetMode="External"/><Relationship Id="rId_hyperlink_404" Type="http://schemas.openxmlformats.org/officeDocument/2006/relationships/hyperlink" Target="https://nconnect.nicmar.ac.in/storage/profile/ProfilePhoto_P25700402_718253.jpg" TargetMode="External"/><Relationship Id="rId_hyperlink_405" Type="http://schemas.openxmlformats.org/officeDocument/2006/relationships/hyperlink" Target="https://nconnect.nicmar.ac.in/storage/profile/ProfilePhoto_P25700403_273965.jpg" TargetMode="External"/><Relationship Id="rId_hyperlink_406" Type="http://schemas.openxmlformats.org/officeDocument/2006/relationships/hyperlink" Target="https://nconnect.nicmar.ac.in/storage/profile/ProfilePhoto_P25700404_821954.jpg" TargetMode="External"/><Relationship Id="rId_hyperlink_407" Type="http://schemas.openxmlformats.org/officeDocument/2006/relationships/hyperlink" Target="https://nconnect.nicmar.ac.in/storage/profile/ProfilePhoto_P25700405_326714.jpg" TargetMode="External"/><Relationship Id="rId_hyperlink_408" Type="http://schemas.openxmlformats.org/officeDocument/2006/relationships/hyperlink" Target="https://nconnect.nicmar.ac.in/storage/profile/ProfilePhoto_P25700406_627149.jpg" TargetMode="External"/><Relationship Id="rId_hyperlink_409" Type="http://schemas.openxmlformats.org/officeDocument/2006/relationships/hyperlink" Target="https://nconnect.nicmar.ac.in/storage/profile/ProfilePhoto_P25700408_658397.jpg" TargetMode="External"/><Relationship Id="rId_hyperlink_410" Type="http://schemas.openxmlformats.org/officeDocument/2006/relationships/hyperlink" Target="https://nconnect.nicmar.ac.in/storage/profile/ProfilePhoto_P25700409_123987.jpg" TargetMode="External"/><Relationship Id="rId_hyperlink_411" Type="http://schemas.openxmlformats.org/officeDocument/2006/relationships/hyperlink" Target="https://nconnect.nicmar.ac.in/storage/profile/ProfilePhoto_P25700410_465312.jpg" TargetMode="External"/><Relationship Id="rId_hyperlink_412" Type="http://schemas.openxmlformats.org/officeDocument/2006/relationships/hyperlink" Target="https://nconnect.nicmar.ac.in/storage/profile/ProfilePhoto_P25700411_579146.jpg" TargetMode="External"/><Relationship Id="rId_hyperlink_413" Type="http://schemas.openxmlformats.org/officeDocument/2006/relationships/hyperlink" Target="https://nconnect.nicmar.ac.in/storage/profile/ProfilePhoto_P25700412_865394.jpg" TargetMode="External"/><Relationship Id="rId_hyperlink_414" Type="http://schemas.openxmlformats.org/officeDocument/2006/relationships/hyperlink" Target="https://nconnect.nicmar.ac.in/storage/profile/ProfilePhoto_P25700413_347268.jpg" TargetMode="External"/><Relationship Id="rId_hyperlink_415" Type="http://schemas.openxmlformats.org/officeDocument/2006/relationships/hyperlink" Target="https://nconnect.nicmar.ac.in/storage/profile/ProfilePhoto_P25700414_835714.jpg" TargetMode="External"/><Relationship Id="rId_hyperlink_416" Type="http://schemas.openxmlformats.org/officeDocument/2006/relationships/hyperlink" Target="https://nconnect.nicmar.ac.in/storage/profile/ProfilePhoto_P25700415_861234.jpg" TargetMode="External"/><Relationship Id="rId_hyperlink_417" Type="http://schemas.openxmlformats.org/officeDocument/2006/relationships/hyperlink" Target="https://nconnect.nicmar.ac.in/storage/profile/ProfilePhoto_P25700416_291456.jpg" TargetMode="External"/><Relationship Id="rId_hyperlink_418" Type="http://schemas.openxmlformats.org/officeDocument/2006/relationships/hyperlink" Target="https://nconnect.nicmar.ac.in/storage/profile/ProfilePhoto_P25700417_451862.jpg" TargetMode="External"/><Relationship Id="rId_hyperlink_419" Type="http://schemas.openxmlformats.org/officeDocument/2006/relationships/hyperlink" Target="https://nconnect.nicmar.ac.in/storage/profile/ProfilePhoto_P25700418_528617.jpg" TargetMode="External"/><Relationship Id="rId_hyperlink_420" Type="http://schemas.openxmlformats.org/officeDocument/2006/relationships/hyperlink" Target="https://nconnect.nicmar.ac.in/storage/profile/ProfilePhoto_P25700419_475938.jpg" TargetMode="External"/><Relationship Id="rId_hyperlink_421" Type="http://schemas.openxmlformats.org/officeDocument/2006/relationships/hyperlink" Target="https://nconnect.nicmar.ac.in/storage/profile/ProfilePhoto_P25700420_287643.jpg" TargetMode="External"/><Relationship Id="rId_hyperlink_422" Type="http://schemas.openxmlformats.org/officeDocument/2006/relationships/hyperlink" Target="https://nconnect.nicmar.ac.in/storage/profile/ProfilePhoto_P25700421_961834.jpg" TargetMode="External"/><Relationship Id="rId_hyperlink_423" Type="http://schemas.openxmlformats.org/officeDocument/2006/relationships/hyperlink" Target="https://nconnect.nicmar.ac.in/storage/profile/ProfilePhoto_P25700422_634185.jpg" TargetMode="External"/><Relationship Id="rId_hyperlink_424" Type="http://schemas.openxmlformats.org/officeDocument/2006/relationships/hyperlink" Target="https://nconnect.nicmar.ac.in/storage/profile/ProfilePhoto_P25700424_432817.jpg" TargetMode="External"/><Relationship Id="rId_hyperlink_425" Type="http://schemas.openxmlformats.org/officeDocument/2006/relationships/hyperlink" Target="https://nconnect.nicmar.ac.in/storage/profile/ProfilePhoto_P25700425_379841.jpg" TargetMode="External"/><Relationship Id="rId_hyperlink_426" Type="http://schemas.openxmlformats.org/officeDocument/2006/relationships/hyperlink" Target="https://nconnect.nicmar.ac.in/storage/profile/ProfilePhoto_P25700426_957814.jpg" TargetMode="External"/><Relationship Id="rId_hyperlink_427" Type="http://schemas.openxmlformats.org/officeDocument/2006/relationships/hyperlink" Target="https://nconnect.nicmar.ac.in/storage/profile/ProfilePhoto_P25700427_561483.jpg" TargetMode="External"/><Relationship Id="rId_hyperlink_428" Type="http://schemas.openxmlformats.org/officeDocument/2006/relationships/hyperlink" Target="https://nconnect.nicmar.ac.in/storage/profile/ProfilePhoto_P25700428_648923.jpg" TargetMode="External"/><Relationship Id="rId_hyperlink_429" Type="http://schemas.openxmlformats.org/officeDocument/2006/relationships/hyperlink" Target="https://nconnect.nicmar.ac.in/storage/profile/ProfilePhoto_P25700429_627859.jpg" TargetMode="External"/><Relationship Id="rId_hyperlink_430" Type="http://schemas.openxmlformats.org/officeDocument/2006/relationships/hyperlink" Target="https://nconnect.nicmar.ac.in/storage/profile/ProfilePhoto_P25700430_384715.jpg" TargetMode="External"/><Relationship Id="rId_hyperlink_431" Type="http://schemas.openxmlformats.org/officeDocument/2006/relationships/hyperlink" Target="https://nconnect.nicmar.ac.in/storage/profile/ProfilePhoto_P25700431_926174.jpg" TargetMode="External"/><Relationship Id="rId_hyperlink_432" Type="http://schemas.openxmlformats.org/officeDocument/2006/relationships/hyperlink" Target="https://nconnect.nicmar.ac.in/storage/profile/ProfilePhoto_P25700432_658914.jpg" TargetMode="External"/><Relationship Id="rId_hyperlink_433" Type="http://schemas.openxmlformats.org/officeDocument/2006/relationships/hyperlink" Target="https://nconnect.nicmar.ac.in/storage/profile/ProfilePhoto_P25700433_873965.jpg" TargetMode="External"/><Relationship Id="rId_hyperlink_434" Type="http://schemas.openxmlformats.org/officeDocument/2006/relationships/hyperlink" Target="https://nconnect.nicmar.ac.in/storage/profile/ProfilePhoto_P25700434_157429.jpg" TargetMode="External"/><Relationship Id="rId_hyperlink_435" Type="http://schemas.openxmlformats.org/officeDocument/2006/relationships/hyperlink" Target="https://nconnect.nicmar.ac.in/storage/profile/ProfilePhoto_P25700435_234951.jpg" TargetMode="External"/><Relationship Id="rId_hyperlink_436" Type="http://schemas.openxmlformats.org/officeDocument/2006/relationships/hyperlink" Target="https://nconnect.nicmar.ac.in/storage/profile/ProfilePhoto_P25700436_561982.jpg" TargetMode="External"/><Relationship Id="rId_hyperlink_437" Type="http://schemas.openxmlformats.org/officeDocument/2006/relationships/hyperlink" Target="https://nconnect.nicmar.ac.in/storage/profile/6a60b9b9a8f6d.png" TargetMode="External"/><Relationship Id="rId_hyperlink_438" Type="http://schemas.openxmlformats.org/officeDocument/2006/relationships/hyperlink" Target="https://nconnect.nicmar.ac.in/storage/profile/ProfilePhoto_P25700438_752491.jpg" TargetMode="External"/><Relationship Id="rId_hyperlink_439" Type="http://schemas.openxmlformats.org/officeDocument/2006/relationships/hyperlink" Target="https://nconnect.nicmar.ac.in/storage/profile/ProfilePhoto_P25700439_567421.jpg" TargetMode="External"/><Relationship Id="rId_hyperlink_440" Type="http://schemas.openxmlformats.org/officeDocument/2006/relationships/hyperlink" Target="https://nconnect.nicmar.ac.in/storage/profile/ProfilePhoto_P25700440_435897.jpg" TargetMode="External"/><Relationship Id="rId_hyperlink_441" Type="http://schemas.openxmlformats.org/officeDocument/2006/relationships/hyperlink" Target="https://nconnect.nicmar.ac.in/storage/profile/ProfilePhoto_P25700441_579146.jpg" TargetMode="External"/><Relationship Id="rId_hyperlink_442" Type="http://schemas.openxmlformats.org/officeDocument/2006/relationships/hyperlink" Target="https://nconnect.nicmar.ac.in/storage/profile/ProfilePhoto_P25700442_698427.jpg" TargetMode="External"/><Relationship Id="rId_hyperlink_443" Type="http://schemas.openxmlformats.org/officeDocument/2006/relationships/hyperlink" Target="https://nconnect.nicmar.ac.in/storage/profile/ProfilePhoto_P25700443_397648.jpg" TargetMode="External"/><Relationship Id="rId_hyperlink_444" Type="http://schemas.openxmlformats.org/officeDocument/2006/relationships/hyperlink" Target="https://nconnect.nicmar.ac.in/storage/profile/ProfilePhoto_P25700444_392578.jpg" TargetMode="External"/><Relationship Id="rId_hyperlink_445" Type="http://schemas.openxmlformats.org/officeDocument/2006/relationships/hyperlink" Target="https://nconnect.nicmar.ac.in/storage/profile/ProfilePhoto_P25700445_174289.jpg" TargetMode="External"/><Relationship Id="rId_hyperlink_446" Type="http://schemas.openxmlformats.org/officeDocument/2006/relationships/hyperlink" Target="https://nconnect.nicmar.ac.in/storage/profile/ProfilePhoto_P25700446_625137.jpg" TargetMode="External"/><Relationship Id="rId_hyperlink_447" Type="http://schemas.openxmlformats.org/officeDocument/2006/relationships/hyperlink" Target="https://nconnect.nicmar.ac.in/storage/profile/ProfilePhoto_P25700447_624183.jpg" TargetMode="External"/><Relationship Id="rId_hyperlink_448" Type="http://schemas.openxmlformats.org/officeDocument/2006/relationships/hyperlink" Target="https://nconnect.nicmar.ac.in/storage/profile/ProfilePhoto_P25700448_675934.jpg" TargetMode="External"/><Relationship Id="rId_hyperlink_449" Type="http://schemas.openxmlformats.org/officeDocument/2006/relationships/hyperlink" Target="https://nconnect.nicmar.ac.in/storage/profile/ProfilePhoto_P25700449_946731.jpg" TargetMode="External"/><Relationship Id="rId_hyperlink_450" Type="http://schemas.openxmlformats.org/officeDocument/2006/relationships/hyperlink" Target="https://nconnect.nicmar.ac.in/storage/profile/ProfilePhoto_P25700450_896257.jpg" TargetMode="External"/><Relationship Id="rId_hyperlink_451" Type="http://schemas.openxmlformats.org/officeDocument/2006/relationships/hyperlink" Target="https://nconnect.nicmar.ac.in/storage/profile/ProfilePhoto_P25700451_316894.jpg" TargetMode="External"/><Relationship Id="rId_hyperlink_452" Type="http://schemas.openxmlformats.org/officeDocument/2006/relationships/hyperlink" Target="https://nconnect.nicmar.ac.in/storage/profile/ProfilePhoto_P25700452_132786.jpg" TargetMode="External"/><Relationship Id="rId_hyperlink_453" Type="http://schemas.openxmlformats.org/officeDocument/2006/relationships/hyperlink" Target="https://nconnect.nicmar.ac.in/storage/profile/ProfilePhoto_P25700453_982314.jpg" TargetMode="External"/><Relationship Id="rId_hyperlink_454" Type="http://schemas.openxmlformats.org/officeDocument/2006/relationships/hyperlink" Target="https://nconnect.nicmar.ac.in/storage/profile/ProfilePhoto_P25700454_245369.jpg" TargetMode="External"/><Relationship Id="rId_hyperlink_455" Type="http://schemas.openxmlformats.org/officeDocument/2006/relationships/hyperlink" Target="https://nconnect.nicmar.ac.in/storage/profile/ProfilePhoto_P25700455_781534.jpg" TargetMode="External"/><Relationship Id="rId_hyperlink_456" Type="http://schemas.openxmlformats.org/officeDocument/2006/relationships/hyperlink" Target="https://nconnect.nicmar.ac.in/storage/profile/ProfilePhoto_P25700456_195823.jpg" TargetMode="External"/><Relationship Id="rId_hyperlink_457" Type="http://schemas.openxmlformats.org/officeDocument/2006/relationships/hyperlink" Target="https://nconnect.nicmar.ac.in/storage/profile/ProfilePhoto_P25700457_793145.jpg" TargetMode="External"/><Relationship Id="rId_hyperlink_458" Type="http://schemas.openxmlformats.org/officeDocument/2006/relationships/hyperlink" Target="https://nconnect.nicmar.ac.in/storage/profile/ProfilePhoto_P25700458_218963.jpg" TargetMode="External"/><Relationship Id="rId_hyperlink_459" Type="http://schemas.openxmlformats.org/officeDocument/2006/relationships/hyperlink" Target="https://nconnect.nicmar.ac.in/storage/profile/ProfilePhoto_P25700459_341756.jpg" TargetMode="External"/><Relationship Id="rId_hyperlink_460" Type="http://schemas.openxmlformats.org/officeDocument/2006/relationships/hyperlink" Target="https://nconnect.nicmar.ac.in/storage/profile/ProfilePhoto_P25700460_479385.jpg" TargetMode="External"/><Relationship Id="rId_hyperlink_461" Type="http://schemas.openxmlformats.org/officeDocument/2006/relationships/hyperlink" Target="https://nconnect.nicmar.ac.in/storage/profile/ProfilePhoto_P25700461_475293.jpg" TargetMode="External"/><Relationship Id="rId_hyperlink_462" Type="http://schemas.openxmlformats.org/officeDocument/2006/relationships/hyperlink" Target="https://nconnect.nicmar.ac.in/storage/profile/ProfilePhoto_P25700462_461837.jpg" TargetMode="External"/><Relationship Id="rId_hyperlink_463" Type="http://schemas.openxmlformats.org/officeDocument/2006/relationships/hyperlink" Target="https://nconnect.nicmar.ac.in/storage/profile/ProfilePhoto_P25700463_384196.jpg" TargetMode="External"/><Relationship Id="rId_hyperlink_464" Type="http://schemas.openxmlformats.org/officeDocument/2006/relationships/hyperlink" Target="https://nconnect.nicmar.ac.in/storage/profile/ProfilePhoto_P25700464_638752.jpg" TargetMode="External"/><Relationship Id="rId_hyperlink_465" Type="http://schemas.openxmlformats.org/officeDocument/2006/relationships/hyperlink" Target="https://nconnect.nicmar.ac.in/storage/profile/ProfilePhoto_P25700465_781254.jpg" TargetMode="External"/><Relationship Id="rId_hyperlink_466" Type="http://schemas.openxmlformats.org/officeDocument/2006/relationships/hyperlink" Target="https://nconnect.nicmar.ac.in/storage/profile/ProfilePhoto_P25700466_237615.jpg" TargetMode="External"/><Relationship Id="rId_hyperlink_467" Type="http://schemas.openxmlformats.org/officeDocument/2006/relationships/hyperlink" Target="https://nconnect.nicmar.ac.in/storage/profile/ProfilePhoto_P25700467_125643.jpg" TargetMode="External"/><Relationship Id="rId_hyperlink_468" Type="http://schemas.openxmlformats.org/officeDocument/2006/relationships/hyperlink" Target="https://nconnect.nicmar.ac.in/storage/profile/ProfilePhoto_P25700468_981762.jpg" TargetMode="External"/><Relationship Id="rId_hyperlink_469" Type="http://schemas.openxmlformats.org/officeDocument/2006/relationships/hyperlink" Target="https://nconnect.nicmar.ac.in/storage/profile/ProfilePhoto_P25700470_843725.jpg" TargetMode="External"/><Relationship Id="rId_hyperlink_470" Type="http://schemas.openxmlformats.org/officeDocument/2006/relationships/hyperlink" Target="https://nconnect.nicmar.ac.in/storage/profile/ProfilePhoto_P25700471_756394.jpg" TargetMode="External"/><Relationship Id="rId_hyperlink_471" Type="http://schemas.openxmlformats.org/officeDocument/2006/relationships/hyperlink" Target="https://nconnect.nicmar.ac.in/storage/profile/ProfilePhoto_P25700472_563742.jpg" TargetMode="External"/><Relationship Id="rId_hyperlink_472" Type="http://schemas.openxmlformats.org/officeDocument/2006/relationships/hyperlink" Target="https://nconnect.nicmar.ac.in/storage/profile/ProfilePhoto_P25700473_341952.jpg" TargetMode="External"/><Relationship Id="rId_hyperlink_473" Type="http://schemas.openxmlformats.org/officeDocument/2006/relationships/hyperlink" Target="https://nconnect.nicmar.ac.in/storage/profile/ProfilePhoto_P25700474_921674.jpg" TargetMode="External"/><Relationship Id="rId_hyperlink_474" Type="http://schemas.openxmlformats.org/officeDocument/2006/relationships/hyperlink" Target="https://nconnect.nicmar.ac.in/storage/profile/ProfilePhoto_P25700475_418297.jpg" TargetMode="External"/><Relationship Id="rId_hyperlink_475" Type="http://schemas.openxmlformats.org/officeDocument/2006/relationships/hyperlink" Target="https://nconnect.nicmar.ac.in/storage/profile/ProfilePhoto_P25700476_725986.jpg" TargetMode="External"/><Relationship Id="rId_hyperlink_476" Type="http://schemas.openxmlformats.org/officeDocument/2006/relationships/hyperlink" Target="https://nconnect.nicmar.ac.in/storage/profile/ProfilePhoto_P25700477_351924.jpg" TargetMode="External"/><Relationship Id="rId_hyperlink_477" Type="http://schemas.openxmlformats.org/officeDocument/2006/relationships/hyperlink" Target="https://nconnect.nicmar.ac.in/storage/profile/ProfilePhoto_P25700478_489325.jpg" TargetMode="External"/><Relationship Id="rId_hyperlink_478" Type="http://schemas.openxmlformats.org/officeDocument/2006/relationships/hyperlink" Target="https://nconnect.nicmar.ac.in/storage/profile/ProfilePhoto_P25700479_865294.jpg" TargetMode="External"/><Relationship Id="rId_hyperlink_479" Type="http://schemas.openxmlformats.org/officeDocument/2006/relationships/hyperlink" Target="https://nconnect.nicmar.ac.in/storage/profile/ProfilePhoto_P25700480_918634.jpg" TargetMode="External"/><Relationship Id="rId_hyperlink_480" Type="http://schemas.openxmlformats.org/officeDocument/2006/relationships/hyperlink" Target="https://nconnect.nicmar.ac.in/storage/profile/ProfilePhoto_P25700481_569471.jpg" TargetMode="External"/><Relationship Id="rId_hyperlink_481" Type="http://schemas.openxmlformats.org/officeDocument/2006/relationships/hyperlink" Target="https://nconnect.nicmar.ac.in/storage/profile/ProfilePhoto_P25700482_765438.jpg" TargetMode="External"/><Relationship Id="rId_hyperlink_482" Type="http://schemas.openxmlformats.org/officeDocument/2006/relationships/hyperlink" Target="https://nconnect.nicmar.ac.in/storage/profile/ProfilePhoto_P25700483_846325.jpg" TargetMode="External"/><Relationship Id="rId_hyperlink_483" Type="http://schemas.openxmlformats.org/officeDocument/2006/relationships/hyperlink" Target="https://nconnect.nicmar.ac.in/storage/profile/ProfilePhoto_P25700484_254718.jpg" TargetMode="External"/><Relationship Id="rId_hyperlink_484" Type="http://schemas.openxmlformats.org/officeDocument/2006/relationships/hyperlink" Target="https://nconnect.nicmar.ac.in/storage/profile/ProfilePhoto_P25700485_129836.jpg" TargetMode="External"/><Relationship Id="rId_hyperlink_485" Type="http://schemas.openxmlformats.org/officeDocument/2006/relationships/hyperlink" Target="https://nconnect.nicmar.ac.in/storage/profile/ProfilePhoto_P25700486_729541.jpg" TargetMode="External"/><Relationship Id="rId_hyperlink_486" Type="http://schemas.openxmlformats.org/officeDocument/2006/relationships/hyperlink" Target="https://nconnect.nicmar.ac.in/storage/profile/ProfilePhoto_P25700487_319528.jpg" TargetMode="External"/><Relationship Id="rId_hyperlink_487" Type="http://schemas.openxmlformats.org/officeDocument/2006/relationships/hyperlink" Target="https://nconnect.nicmar.ac.in/storage/profile/ProfilePhoto_P25700488_586793.jpg" TargetMode="External"/><Relationship Id="rId_hyperlink_488" Type="http://schemas.openxmlformats.org/officeDocument/2006/relationships/hyperlink" Target="https://nconnect.nicmar.ac.in/storage/profile/ProfilePhoto_P25700489_381496.jpg" TargetMode="External"/><Relationship Id="rId_hyperlink_489" Type="http://schemas.openxmlformats.org/officeDocument/2006/relationships/hyperlink" Target="https://nconnect.nicmar.ac.in/storage/profile/ProfilePhoto_P25700490_978215.jpg" TargetMode="External"/><Relationship Id="rId_hyperlink_490" Type="http://schemas.openxmlformats.org/officeDocument/2006/relationships/hyperlink" Target="https://nconnect.nicmar.ac.in/storage/profile/ProfilePhoto_P25700491_473681.jpg" TargetMode="External"/><Relationship Id="rId_hyperlink_491" Type="http://schemas.openxmlformats.org/officeDocument/2006/relationships/hyperlink" Target="https://nconnect.nicmar.ac.in/storage/profile/ProfilePhoto_P25700492_715349.jpg" TargetMode="External"/><Relationship Id="rId_hyperlink_492" Type="http://schemas.openxmlformats.org/officeDocument/2006/relationships/hyperlink" Target="https://nconnect.nicmar.ac.in/storage/profile/ProfilePhoto_P25700493_683249.jpg" TargetMode="External"/><Relationship Id="rId_hyperlink_493" Type="http://schemas.openxmlformats.org/officeDocument/2006/relationships/hyperlink" Target="https://nconnect.nicmar.ac.in/storage/profile/ProfilePhoto_P25700494_935762.jpg" TargetMode="External"/><Relationship Id="rId_hyperlink_494" Type="http://schemas.openxmlformats.org/officeDocument/2006/relationships/hyperlink" Target="https://nconnect.nicmar.ac.in/storage/profile/ProfilePhoto_P25700495_845126.jpg" TargetMode="External"/><Relationship Id="rId_hyperlink_495" Type="http://schemas.openxmlformats.org/officeDocument/2006/relationships/hyperlink" Target="https://nconnect.nicmar.ac.in/storage/profile/ProfilePhoto_P25700496_421673.jpg" TargetMode="External"/><Relationship Id="rId_hyperlink_496" Type="http://schemas.openxmlformats.org/officeDocument/2006/relationships/hyperlink" Target="https://nconnect.nicmar.ac.in/storage/profile/ProfilePhoto_P25700497_461735.jpg" TargetMode="External"/><Relationship Id="rId_hyperlink_497" Type="http://schemas.openxmlformats.org/officeDocument/2006/relationships/hyperlink" Target="https://nconnect.nicmar.ac.in/storage/profile/ProfilePhoto_P25700498_498652.jpg" TargetMode="External"/><Relationship Id="rId_hyperlink_498" Type="http://schemas.openxmlformats.org/officeDocument/2006/relationships/hyperlink" Target="https://nconnect.nicmar.ac.in/storage/profile/ProfilePhoto_P25700499_582613.jpg" TargetMode="External"/><Relationship Id="rId_hyperlink_499" Type="http://schemas.openxmlformats.org/officeDocument/2006/relationships/hyperlink" Target="https://nconnect.nicmar.ac.in/storage/profile/ProfilePhoto_P25700720_297461.jpg" TargetMode="External"/><Relationship Id="rId_hyperlink_500" Type="http://schemas.openxmlformats.org/officeDocument/2006/relationships/hyperlink" Target="https://nconnect.nicmar.ac.in/storage/profile/ProfilePhoto_P25700500_496237.jpg" TargetMode="External"/><Relationship Id="rId_hyperlink_501" Type="http://schemas.openxmlformats.org/officeDocument/2006/relationships/hyperlink" Target="https://nconnect.nicmar.ac.in/storage/profile/ProfilePhoto_P25700501_931728.jpg" TargetMode="External"/><Relationship Id="rId_hyperlink_502" Type="http://schemas.openxmlformats.org/officeDocument/2006/relationships/hyperlink" Target="https://nconnect.nicmar.ac.in/storage/profile/ProfilePhoto_P25700502_714592.jpg" TargetMode="External"/><Relationship Id="rId_hyperlink_503" Type="http://schemas.openxmlformats.org/officeDocument/2006/relationships/hyperlink" Target="https://nconnect.nicmar.ac.in/storage/profile/ProfilePhoto_P25700503_618932.jpg" TargetMode="External"/><Relationship Id="rId_hyperlink_504" Type="http://schemas.openxmlformats.org/officeDocument/2006/relationships/hyperlink" Target="https://nconnect.nicmar.ac.in/storage/profile/ProfilePhoto_P25700504_842731.jpg" TargetMode="External"/><Relationship Id="rId_hyperlink_505" Type="http://schemas.openxmlformats.org/officeDocument/2006/relationships/hyperlink" Target="https://nconnect.nicmar.ac.in/storage/profile/ProfilePhoto_P25700505_843196.jpg" TargetMode="External"/><Relationship Id="rId_hyperlink_506" Type="http://schemas.openxmlformats.org/officeDocument/2006/relationships/hyperlink" Target="https://nconnect.nicmar.ac.in/storage/profile/ProfilePhoto_P25700506_716935.jpg" TargetMode="External"/><Relationship Id="rId_hyperlink_507" Type="http://schemas.openxmlformats.org/officeDocument/2006/relationships/hyperlink" Target="https://nconnect.nicmar.ac.in/storage/profile/ProfilePhoto_P25700507_128367.jpg" TargetMode="External"/><Relationship Id="rId_hyperlink_508" Type="http://schemas.openxmlformats.org/officeDocument/2006/relationships/hyperlink" Target="https://nconnect.nicmar.ac.in/storage/profile/ProfilePhoto_P25700508_846395.jpg" TargetMode="External"/><Relationship Id="rId_hyperlink_509" Type="http://schemas.openxmlformats.org/officeDocument/2006/relationships/hyperlink" Target="https://nconnect.nicmar.ac.in/storage/profile/ProfilePhoto_P25700510_528964.jpg" TargetMode="External"/><Relationship Id="rId_hyperlink_510" Type="http://schemas.openxmlformats.org/officeDocument/2006/relationships/hyperlink" Target="https://nconnect.nicmar.ac.in/storage/profile/ProfilePhoto_P25700511_196873.jpg" TargetMode="External"/><Relationship Id="rId_hyperlink_511" Type="http://schemas.openxmlformats.org/officeDocument/2006/relationships/hyperlink" Target="https://nconnect.nicmar.ac.in/storage/profile/ProfilePhoto_P25700512_136547.jpg" TargetMode="External"/><Relationship Id="rId_hyperlink_512" Type="http://schemas.openxmlformats.org/officeDocument/2006/relationships/hyperlink" Target="https://nconnect.nicmar.ac.in/storage/profile/ProfilePhoto_P25700513_941562.jpg" TargetMode="External"/><Relationship Id="rId_hyperlink_513" Type="http://schemas.openxmlformats.org/officeDocument/2006/relationships/hyperlink" Target="https://nconnect.nicmar.ac.in/storage/profile/ProfilePhoto_P25700514_542397.jpg" TargetMode="External"/><Relationship Id="rId_hyperlink_514" Type="http://schemas.openxmlformats.org/officeDocument/2006/relationships/hyperlink" Target="https://nconnect.nicmar.ac.in/storage/profile/ProfilePhoto_P25700515_823165.jpg" TargetMode="External"/><Relationship Id="rId_hyperlink_515" Type="http://schemas.openxmlformats.org/officeDocument/2006/relationships/hyperlink" Target="https://nconnect.nicmar.ac.in/storage/profile/ProfilePhoto_P25700516_637824.jpg" TargetMode="External"/><Relationship Id="rId_hyperlink_516" Type="http://schemas.openxmlformats.org/officeDocument/2006/relationships/hyperlink" Target="https://nconnect.nicmar.ac.in/storage/profile/ProfilePhoto_P25700518_691543.jpg" TargetMode="External"/><Relationship Id="rId_hyperlink_517" Type="http://schemas.openxmlformats.org/officeDocument/2006/relationships/hyperlink" Target="https://nconnect.nicmar.ac.in/storage/profile/ProfilePhoto_P25700519_691532.jpg" TargetMode="External"/><Relationship Id="rId_hyperlink_518" Type="http://schemas.openxmlformats.org/officeDocument/2006/relationships/hyperlink" Target="https://nconnect.nicmar.ac.in/storage/profile/ProfilePhoto_P25700520_925738.jpg" TargetMode="External"/><Relationship Id="rId_hyperlink_519" Type="http://schemas.openxmlformats.org/officeDocument/2006/relationships/hyperlink" Target="https://nconnect.nicmar.ac.in/storage/profile/ProfilePhoto_P25700521_734961.jpg" TargetMode="External"/><Relationship Id="rId_hyperlink_520" Type="http://schemas.openxmlformats.org/officeDocument/2006/relationships/hyperlink" Target="https://nconnect.nicmar.ac.in/storage/profile/ProfilePhoto_P25700522_658429.jpg" TargetMode="External"/><Relationship Id="rId_hyperlink_521" Type="http://schemas.openxmlformats.org/officeDocument/2006/relationships/hyperlink" Target="https://nconnect.nicmar.ac.in/storage/profile/ProfilePhoto_P25700524_859374.jpg" TargetMode="External"/><Relationship Id="rId_hyperlink_522" Type="http://schemas.openxmlformats.org/officeDocument/2006/relationships/hyperlink" Target="https://nconnect.nicmar.ac.in/storage/profile/ProfilePhoto_P25700525_376924.jpg" TargetMode="External"/><Relationship Id="rId_hyperlink_523" Type="http://schemas.openxmlformats.org/officeDocument/2006/relationships/hyperlink" Target="https://nconnect.nicmar.ac.in/storage/profile/ProfilePhoto_P25700526_147892.jpg" TargetMode="External"/><Relationship Id="rId_hyperlink_524" Type="http://schemas.openxmlformats.org/officeDocument/2006/relationships/hyperlink" Target="https://nconnect.nicmar.ac.in/storage/profile/ProfilePhoto_P25700527_758192.jpg" TargetMode="External"/><Relationship Id="rId_hyperlink_525" Type="http://schemas.openxmlformats.org/officeDocument/2006/relationships/hyperlink" Target="https://nconnect.nicmar.ac.in/storage/profile/ProfilePhoto_P25700528_814675.jpg" TargetMode="External"/><Relationship Id="rId_hyperlink_526" Type="http://schemas.openxmlformats.org/officeDocument/2006/relationships/hyperlink" Target="https://nconnect.nicmar.ac.in/storage/profile/ProfilePhoto_P25700529_642317.jpg" TargetMode="External"/><Relationship Id="rId_hyperlink_527" Type="http://schemas.openxmlformats.org/officeDocument/2006/relationships/hyperlink" Target="https://nconnect.nicmar.ac.in/storage/profile/ProfilePhoto_P25700530_647152.jpg" TargetMode="External"/><Relationship Id="rId_hyperlink_528" Type="http://schemas.openxmlformats.org/officeDocument/2006/relationships/hyperlink" Target="https://nconnect.nicmar.ac.in/storage/profile/ProfilePhoto_P25700531_843916.jpg" TargetMode="External"/><Relationship Id="rId_hyperlink_529" Type="http://schemas.openxmlformats.org/officeDocument/2006/relationships/hyperlink" Target="https://nconnect.nicmar.ac.in/storage/profile/ProfilePhoto_P25700532_741398.jpg" TargetMode="External"/><Relationship Id="rId_hyperlink_530" Type="http://schemas.openxmlformats.org/officeDocument/2006/relationships/hyperlink" Target="https://nconnect.nicmar.ac.in/storage/profile/ProfilePhoto_P25700533_726583.jpg" TargetMode="External"/><Relationship Id="rId_hyperlink_531" Type="http://schemas.openxmlformats.org/officeDocument/2006/relationships/hyperlink" Target="https://nconnect.nicmar.ac.in/storage/profile/ProfilePhoto_P25700534_342198.jpg" TargetMode="External"/><Relationship Id="rId_hyperlink_532" Type="http://schemas.openxmlformats.org/officeDocument/2006/relationships/hyperlink" Target="https://nconnect.nicmar.ac.in/storage/profile/ProfilePhoto_P25700535_218456.jpg" TargetMode="External"/><Relationship Id="rId_hyperlink_533" Type="http://schemas.openxmlformats.org/officeDocument/2006/relationships/hyperlink" Target="https://nconnect.nicmar.ac.in/storage/profile/ProfilePhoto_P25700536_349728.jpg" TargetMode="External"/><Relationship Id="rId_hyperlink_534" Type="http://schemas.openxmlformats.org/officeDocument/2006/relationships/hyperlink" Target="https://nconnect.nicmar.ac.in/storage/profile/ProfilePhoto_P25700537_596821.jpg" TargetMode="External"/><Relationship Id="rId_hyperlink_535" Type="http://schemas.openxmlformats.org/officeDocument/2006/relationships/hyperlink" Target="https://nconnect.nicmar.ac.in/storage/profile/ProfilePhoto_P25700538_648517.jpg" TargetMode="External"/><Relationship Id="rId_hyperlink_536" Type="http://schemas.openxmlformats.org/officeDocument/2006/relationships/hyperlink" Target="https://nconnect.nicmar.ac.in/storage/profile/ProfilePhoto_P25700539_189627.jpg" TargetMode="External"/><Relationship Id="rId_hyperlink_537" Type="http://schemas.openxmlformats.org/officeDocument/2006/relationships/hyperlink" Target="https://nconnect.nicmar.ac.in/storage/profile/ProfilePhoto_P25700540_731968.jpg" TargetMode="External"/><Relationship Id="rId_hyperlink_538" Type="http://schemas.openxmlformats.org/officeDocument/2006/relationships/hyperlink" Target="https://nconnect.nicmar.ac.in/storage/profile/ProfilePhoto_P25700541_148765.jpg" TargetMode="External"/><Relationship Id="rId_hyperlink_539" Type="http://schemas.openxmlformats.org/officeDocument/2006/relationships/hyperlink" Target="https://nconnect.nicmar.ac.in/storage/profile/ProfilePhoto_P25700542_891354.jpg" TargetMode="External"/><Relationship Id="rId_hyperlink_540" Type="http://schemas.openxmlformats.org/officeDocument/2006/relationships/hyperlink" Target="https://nconnect.nicmar.ac.in/storage/profile/ProfilePhoto_P25700543_269387.jpg" TargetMode="External"/><Relationship Id="rId_hyperlink_541" Type="http://schemas.openxmlformats.org/officeDocument/2006/relationships/hyperlink" Target="https://nconnect.nicmar.ac.in/storage/profile/ProfilePhoto_P25700544_418352.jpg" TargetMode="External"/><Relationship Id="rId_hyperlink_542" Type="http://schemas.openxmlformats.org/officeDocument/2006/relationships/hyperlink" Target="https://nconnect.nicmar.ac.in/storage/profile/ProfilePhoto_P25700545_567941.jpg" TargetMode="External"/><Relationship Id="rId_hyperlink_543" Type="http://schemas.openxmlformats.org/officeDocument/2006/relationships/hyperlink" Target="https://nconnect.nicmar.ac.in/storage/profile/ProfilePhoto_P25700546_862451.jpg" TargetMode="External"/><Relationship Id="rId_hyperlink_544" Type="http://schemas.openxmlformats.org/officeDocument/2006/relationships/hyperlink" Target="https://nconnect.nicmar.ac.in/storage/profile/ProfilePhoto_P25700547_673924.jpg" TargetMode="External"/><Relationship Id="rId_hyperlink_545" Type="http://schemas.openxmlformats.org/officeDocument/2006/relationships/hyperlink" Target="https://nconnect.nicmar.ac.in/storage/profile/ProfilePhoto_P25700548_318946.jpg" TargetMode="External"/><Relationship Id="rId_hyperlink_546" Type="http://schemas.openxmlformats.org/officeDocument/2006/relationships/hyperlink" Target="https://nconnect.nicmar.ac.in/storage/profile/ProfilePhoto_P25700549_864517.jpg" TargetMode="External"/><Relationship Id="rId_hyperlink_547" Type="http://schemas.openxmlformats.org/officeDocument/2006/relationships/hyperlink" Target="https://nconnect.nicmar.ac.in/storage/profile/ProfilePhoto_P25700550_952413.jpg" TargetMode="External"/><Relationship Id="rId_hyperlink_548" Type="http://schemas.openxmlformats.org/officeDocument/2006/relationships/hyperlink" Target="https://nconnect.nicmar.ac.in/storage/profile/ProfilePhoto_P25700551_586341.jpg" TargetMode="External"/><Relationship Id="rId_hyperlink_549" Type="http://schemas.openxmlformats.org/officeDocument/2006/relationships/hyperlink" Target="https://nconnect.nicmar.ac.in/storage/profile/ProfilePhoto_P25700552_231985.jpg" TargetMode="External"/><Relationship Id="rId_hyperlink_550" Type="http://schemas.openxmlformats.org/officeDocument/2006/relationships/hyperlink" Target="https://nconnect.nicmar.ac.in/storage/profile/ProfilePhoto_P25700553_372649.jpg" TargetMode="External"/><Relationship Id="rId_hyperlink_551" Type="http://schemas.openxmlformats.org/officeDocument/2006/relationships/hyperlink" Target="https://nconnect.nicmar.ac.in/storage/profile/ProfilePhoto_P25700554_582394.jpg" TargetMode="External"/><Relationship Id="rId_hyperlink_552" Type="http://schemas.openxmlformats.org/officeDocument/2006/relationships/hyperlink" Target="https://nconnect.nicmar.ac.in/storage/profile/ProfilePhoto_P25700555_613982.jpg" TargetMode="External"/><Relationship Id="rId_hyperlink_553" Type="http://schemas.openxmlformats.org/officeDocument/2006/relationships/hyperlink" Target="https://nconnect.nicmar.ac.in/storage/profile/ProfilePhoto_P25700557_162945.jpg" TargetMode="External"/><Relationship Id="rId_hyperlink_554" Type="http://schemas.openxmlformats.org/officeDocument/2006/relationships/hyperlink" Target="https://nconnect.nicmar.ac.in/storage/profile/ProfilePhoto_P25700558_745321.jpg" TargetMode="External"/><Relationship Id="rId_hyperlink_555" Type="http://schemas.openxmlformats.org/officeDocument/2006/relationships/hyperlink" Target="https://nconnect.nicmar.ac.in/storage/profile/ProfilePhoto_P25700559_513428.jpg" TargetMode="External"/><Relationship Id="rId_hyperlink_556" Type="http://schemas.openxmlformats.org/officeDocument/2006/relationships/hyperlink" Target="https://nconnect.nicmar.ac.in/storage/profile/ProfilePhoto_P25700560_126375.jpg" TargetMode="External"/><Relationship Id="rId_hyperlink_557" Type="http://schemas.openxmlformats.org/officeDocument/2006/relationships/hyperlink" Target="https://nconnect.nicmar.ac.in/storage/profile/ProfilePhoto_P25700561_948516.jpg" TargetMode="External"/><Relationship Id="rId_hyperlink_558" Type="http://schemas.openxmlformats.org/officeDocument/2006/relationships/hyperlink" Target="https://nconnect.nicmar.ac.in/storage/profile/ProfilePhoto_P25700562_857264.jpg" TargetMode="External"/><Relationship Id="rId_hyperlink_559" Type="http://schemas.openxmlformats.org/officeDocument/2006/relationships/hyperlink" Target="https://nconnect.nicmar.ac.in/storage/profile/ProfilePhoto_P25700563_865279.jpg" TargetMode="External"/><Relationship Id="rId_hyperlink_560" Type="http://schemas.openxmlformats.org/officeDocument/2006/relationships/hyperlink" Target="https://nconnect.nicmar.ac.in/storage/profile/ProfilePhoto_P25700564_238796.jpg" TargetMode="External"/><Relationship Id="rId_hyperlink_561" Type="http://schemas.openxmlformats.org/officeDocument/2006/relationships/hyperlink" Target="https://nconnect.nicmar.ac.in/storage/profile/ProfilePhoto_P25700565_458762.jpg" TargetMode="External"/><Relationship Id="rId_hyperlink_562" Type="http://schemas.openxmlformats.org/officeDocument/2006/relationships/hyperlink" Target="https://nconnect.nicmar.ac.in/storage/profile/ProfilePhoto_P25700566_326841.jpg" TargetMode="External"/><Relationship Id="rId_hyperlink_563" Type="http://schemas.openxmlformats.org/officeDocument/2006/relationships/hyperlink" Target="https://nconnect.nicmar.ac.in/storage/profile/ProfilePhoto_P25700567_194573.jpg" TargetMode="External"/><Relationship Id="rId_hyperlink_564" Type="http://schemas.openxmlformats.org/officeDocument/2006/relationships/hyperlink" Target="https://nconnect.nicmar.ac.in/storage/profile/ProfilePhoto_P25700568_126738.jpg" TargetMode="External"/><Relationship Id="rId_hyperlink_565" Type="http://schemas.openxmlformats.org/officeDocument/2006/relationships/hyperlink" Target="https://nconnect.nicmar.ac.in/storage/profile/ProfilePhoto_P25700569_579436.jpg" TargetMode="External"/><Relationship Id="rId_hyperlink_566" Type="http://schemas.openxmlformats.org/officeDocument/2006/relationships/hyperlink" Target="https://nconnect.nicmar.ac.in/storage/profile/ProfilePhoto_P25700570_237541.jpg" TargetMode="External"/><Relationship Id="rId_hyperlink_567" Type="http://schemas.openxmlformats.org/officeDocument/2006/relationships/hyperlink" Target="https://nconnect.nicmar.ac.in/storage/profile/ProfilePhoto_P25700571_859736.jpg" TargetMode="External"/><Relationship Id="rId_hyperlink_568" Type="http://schemas.openxmlformats.org/officeDocument/2006/relationships/hyperlink" Target="https://nconnect.nicmar.ac.in/storage/profile/ProfilePhoto_P25700572_925681.jpg" TargetMode="External"/><Relationship Id="rId_hyperlink_569" Type="http://schemas.openxmlformats.org/officeDocument/2006/relationships/hyperlink" Target="https://nconnect.nicmar.ac.in/storage/profile/ProfilePhoto_P25700573_289415.jpg" TargetMode="External"/><Relationship Id="rId_hyperlink_570" Type="http://schemas.openxmlformats.org/officeDocument/2006/relationships/hyperlink" Target="https://nconnect.nicmar.ac.in/storage/profile/ProfilePhoto_P25700574_937814.jpg" TargetMode="External"/><Relationship Id="rId_hyperlink_571" Type="http://schemas.openxmlformats.org/officeDocument/2006/relationships/hyperlink" Target="https://nconnect.nicmar.ac.in/storage/profile/ProfilePhoto_P25700575_561478.jpg" TargetMode="External"/><Relationship Id="rId_hyperlink_572" Type="http://schemas.openxmlformats.org/officeDocument/2006/relationships/hyperlink" Target="https://nconnect.nicmar.ac.in/storage/profile/ProfilePhoto_P25700576_435176.jpg" TargetMode="External"/><Relationship Id="rId_hyperlink_573" Type="http://schemas.openxmlformats.org/officeDocument/2006/relationships/hyperlink" Target="https://nconnect.nicmar.ac.in/storage/profile/ProfilePhoto_P25700577_523498.jpg" TargetMode="External"/><Relationship Id="rId_hyperlink_574" Type="http://schemas.openxmlformats.org/officeDocument/2006/relationships/hyperlink" Target="https://nconnect.nicmar.ac.in/storage/profile/ProfilePhoto_P25700578_347951.jpg" TargetMode="External"/><Relationship Id="rId_hyperlink_575" Type="http://schemas.openxmlformats.org/officeDocument/2006/relationships/hyperlink" Target="https://nconnect.nicmar.ac.in/storage/profile/ProfilePhoto_P25700579_237859.jpg" TargetMode="External"/><Relationship Id="rId_hyperlink_576" Type="http://schemas.openxmlformats.org/officeDocument/2006/relationships/hyperlink" Target="https://nconnect.nicmar.ac.in/storage/profile/ProfilePhoto_P25700580_295186.jpg" TargetMode="External"/><Relationship Id="rId_hyperlink_577" Type="http://schemas.openxmlformats.org/officeDocument/2006/relationships/hyperlink" Target="https://nconnect.nicmar.ac.in/storage/profile/ProfilePhoto_P25700581_985367.jpg" TargetMode="External"/><Relationship Id="rId_hyperlink_578" Type="http://schemas.openxmlformats.org/officeDocument/2006/relationships/hyperlink" Target="https://nconnect.nicmar.ac.in/storage/profile/ProfilePhoto_P25700582_791845.jpg" TargetMode="External"/><Relationship Id="rId_hyperlink_579" Type="http://schemas.openxmlformats.org/officeDocument/2006/relationships/hyperlink" Target="https://nconnect.nicmar.ac.in/storage/profile/ProfilePhoto_P25700583_527169.jpg" TargetMode="External"/><Relationship Id="rId_hyperlink_580" Type="http://schemas.openxmlformats.org/officeDocument/2006/relationships/hyperlink" Target="https://nconnect.nicmar.ac.in/storage/profile/ProfilePhoto_P25700585_357829.jpg" TargetMode="External"/><Relationship Id="rId_hyperlink_581" Type="http://schemas.openxmlformats.org/officeDocument/2006/relationships/hyperlink" Target="https://nconnect.nicmar.ac.in/storage/profile/ProfilePhoto_P25700586_826451.jpg" TargetMode="External"/><Relationship Id="rId_hyperlink_582" Type="http://schemas.openxmlformats.org/officeDocument/2006/relationships/hyperlink" Target="https://nconnect.nicmar.ac.in/storage/profile/ProfilePhoto_P25700587_216584.jpg" TargetMode="External"/><Relationship Id="rId_hyperlink_583" Type="http://schemas.openxmlformats.org/officeDocument/2006/relationships/hyperlink" Target="https://nconnect.nicmar.ac.in/storage/profile/ProfilePhoto_P25700588_849236.jpg" TargetMode="External"/><Relationship Id="rId_hyperlink_584" Type="http://schemas.openxmlformats.org/officeDocument/2006/relationships/hyperlink" Target="https://nconnect.nicmar.ac.in/storage/profile/ProfilePhoto_P25700589_315784.jpg" TargetMode="External"/><Relationship Id="rId_hyperlink_585" Type="http://schemas.openxmlformats.org/officeDocument/2006/relationships/hyperlink" Target="https://nconnect.nicmar.ac.in/storage/profile/ProfilePhoto_P25700590_136924.jpg" TargetMode="External"/><Relationship Id="rId_hyperlink_586" Type="http://schemas.openxmlformats.org/officeDocument/2006/relationships/hyperlink" Target="https://nconnect.nicmar.ac.in/storage/profile/ProfilePhoto_P25700591_413927.jpg" TargetMode="External"/><Relationship Id="rId_hyperlink_587" Type="http://schemas.openxmlformats.org/officeDocument/2006/relationships/hyperlink" Target="https://nconnect.nicmar.ac.in/storage/profile/ProfilePhoto_P25700592_416579.jpg" TargetMode="External"/><Relationship Id="rId_hyperlink_588" Type="http://schemas.openxmlformats.org/officeDocument/2006/relationships/hyperlink" Target="https://nconnect.nicmar.ac.in/storage/profile/ProfilePhoto_P25700593_914835.jpg" TargetMode="External"/><Relationship Id="rId_hyperlink_589" Type="http://schemas.openxmlformats.org/officeDocument/2006/relationships/hyperlink" Target="https://nconnect.nicmar.ac.in/storage/profile/ProfilePhoto_P25700594_156829.jpg" TargetMode="External"/><Relationship Id="rId_hyperlink_590" Type="http://schemas.openxmlformats.org/officeDocument/2006/relationships/hyperlink" Target="https://nconnect.nicmar.ac.in/storage/profile/ProfilePhoto_P25700595_861492.jpg" TargetMode="External"/><Relationship Id="rId_hyperlink_591" Type="http://schemas.openxmlformats.org/officeDocument/2006/relationships/hyperlink" Target="https://nconnect.nicmar.ac.in/storage/profile/ProfilePhoto_P25700596_394516.jpg" TargetMode="External"/><Relationship Id="rId_hyperlink_592" Type="http://schemas.openxmlformats.org/officeDocument/2006/relationships/hyperlink" Target="https://nconnect.nicmar.ac.in/storage/profile/ProfilePhoto_P25700597_285793.jpg" TargetMode="External"/><Relationship Id="rId_hyperlink_593" Type="http://schemas.openxmlformats.org/officeDocument/2006/relationships/hyperlink" Target="https://nconnect.nicmar.ac.in/storage/profile/ProfilePhoto_P25700598_387159.jpg" TargetMode="External"/><Relationship Id="rId_hyperlink_594" Type="http://schemas.openxmlformats.org/officeDocument/2006/relationships/hyperlink" Target="https://nconnect.nicmar.ac.in/storage/profile/ProfilePhoto_P25700599_658143.jpg" TargetMode="External"/><Relationship Id="rId_hyperlink_595" Type="http://schemas.openxmlformats.org/officeDocument/2006/relationships/hyperlink" Target="https://nconnect.nicmar.ac.in/storage/profile/ProfilePhoto_P25700600_762981.jpg" TargetMode="External"/><Relationship Id="rId_hyperlink_596" Type="http://schemas.openxmlformats.org/officeDocument/2006/relationships/hyperlink" Target="https://nconnect.nicmar.ac.in/storage/profile/ProfilePhoto_P25700601_924578.jpg" TargetMode="External"/><Relationship Id="rId_hyperlink_597" Type="http://schemas.openxmlformats.org/officeDocument/2006/relationships/hyperlink" Target="https://nconnect.nicmar.ac.in/storage/profile/ProfilePhoto_P25700602_218567.jpg" TargetMode="External"/><Relationship Id="rId_hyperlink_598" Type="http://schemas.openxmlformats.org/officeDocument/2006/relationships/hyperlink" Target="https://nconnect.nicmar.ac.in/storage/profile/ProfilePhoto_P25700603_281359.jpg" TargetMode="External"/><Relationship Id="rId_hyperlink_599" Type="http://schemas.openxmlformats.org/officeDocument/2006/relationships/hyperlink" Target="https://nconnect.nicmar.ac.in/storage/profile/ProfilePhoto_P25700604_461283.jpg" TargetMode="External"/><Relationship Id="rId_hyperlink_600" Type="http://schemas.openxmlformats.org/officeDocument/2006/relationships/hyperlink" Target="https://nconnect.nicmar.ac.in/storage/profile/ProfilePhoto_P25700605_372681.jpg" TargetMode="External"/><Relationship Id="rId_hyperlink_601" Type="http://schemas.openxmlformats.org/officeDocument/2006/relationships/hyperlink" Target="https://nconnect.nicmar.ac.in/storage/profile/ProfilePhoto_P25700606_536718.jpg" TargetMode="External"/><Relationship Id="rId_hyperlink_602" Type="http://schemas.openxmlformats.org/officeDocument/2006/relationships/hyperlink" Target="https://nconnect.nicmar.ac.in/storage/profile/ProfilePhoto_P25700607_719423.jpg" TargetMode="External"/><Relationship Id="rId_hyperlink_603" Type="http://schemas.openxmlformats.org/officeDocument/2006/relationships/hyperlink" Target="https://nconnect.nicmar.ac.in/storage/profile/ProfilePhoto_P25700608_264975.jpg" TargetMode="External"/><Relationship Id="rId_hyperlink_604" Type="http://schemas.openxmlformats.org/officeDocument/2006/relationships/hyperlink" Target="https://nconnect.nicmar.ac.in/storage/profile/ProfilePhoto_P25700609_852341.jpg" TargetMode="External"/><Relationship Id="rId_hyperlink_605" Type="http://schemas.openxmlformats.org/officeDocument/2006/relationships/hyperlink" Target="https://nconnect.nicmar.ac.in/storage/profile/ProfilePhoto_P25700610_143892.jpg" TargetMode="External"/><Relationship Id="rId_hyperlink_606" Type="http://schemas.openxmlformats.org/officeDocument/2006/relationships/hyperlink" Target="https://nconnect.nicmar.ac.in/storage/profile/ProfilePhoto_P25700611_842917.jpg" TargetMode="External"/><Relationship Id="rId_hyperlink_607" Type="http://schemas.openxmlformats.org/officeDocument/2006/relationships/hyperlink" Target="https://nconnect.nicmar.ac.in/storage/profile/ProfilePhoto_P25700612_964275.jpg" TargetMode="External"/><Relationship Id="rId_hyperlink_608" Type="http://schemas.openxmlformats.org/officeDocument/2006/relationships/hyperlink" Target="https://nconnect.nicmar.ac.in/storage/profile/ProfilePhoto_P25700613_197586.jpg" TargetMode="External"/><Relationship Id="rId_hyperlink_609" Type="http://schemas.openxmlformats.org/officeDocument/2006/relationships/hyperlink" Target="https://nconnect.nicmar.ac.in/storage/profile/ProfilePhoto_P25700614_342179.jpg" TargetMode="External"/><Relationship Id="rId_hyperlink_610" Type="http://schemas.openxmlformats.org/officeDocument/2006/relationships/hyperlink" Target="https://nconnect.nicmar.ac.in/storage/profile/ProfilePhoto_P25700615_362518.jpg" TargetMode="External"/><Relationship Id="rId_hyperlink_611" Type="http://schemas.openxmlformats.org/officeDocument/2006/relationships/hyperlink" Target="https://nconnect.nicmar.ac.in/storage/profile/ProfilePhoto_P25700617_543618.jpg" TargetMode="External"/><Relationship Id="rId_hyperlink_612" Type="http://schemas.openxmlformats.org/officeDocument/2006/relationships/hyperlink" Target="https://nconnect.nicmar.ac.in/storage/profile/ProfilePhoto_P25700618_523847.jpg" TargetMode="External"/><Relationship Id="rId_hyperlink_613" Type="http://schemas.openxmlformats.org/officeDocument/2006/relationships/hyperlink" Target="https://nconnect.nicmar.ac.in/storage/profile/ProfilePhoto_P25700619_852364.jpg" TargetMode="External"/><Relationship Id="rId_hyperlink_614" Type="http://schemas.openxmlformats.org/officeDocument/2006/relationships/hyperlink" Target="https://nconnect.nicmar.ac.in/storage/profile/ProfilePhoto_P25700620_259716.jpg" TargetMode="External"/><Relationship Id="rId_hyperlink_615" Type="http://schemas.openxmlformats.org/officeDocument/2006/relationships/hyperlink" Target="https://nconnect.nicmar.ac.in/storage/profile/ProfilePhoto_P25700621_452871.jpg" TargetMode="External"/><Relationship Id="rId_hyperlink_616" Type="http://schemas.openxmlformats.org/officeDocument/2006/relationships/hyperlink" Target="https://nconnect.nicmar.ac.in/storage/profile/ProfilePhoto_P25700622_639152.jpg" TargetMode="External"/><Relationship Id="rId_hyperlink_617" Type="http://schemas.openxmlformats.org/officeDocument/2006/relationships/hyperlink" Target="https://nconnect.nicmar.ac.in/storage/profile/ProfilePhoto_P25700623_438172.jpg" TargetMode="External"/><Relationship Id="rId_hyperlink_618" Type="http://schemas.openxmlformats.org/officeDocument/2006/relationships/hyperlink" Target="https://nconnect.nicmar.ac.in/storage/profile/ProfilePhoto_P25700624_834795.jpg" TargetMode="External"/><Relationship Id="rId_hyperlink_619" Type="http://schemas.openxmlformats.org/officeDocument/2006/relationships/hyperlink" Target="https://nconnect.nicmar.ac.in/storage/profile/ProfilePhoto_P25700626_346895.jpg" TargetMode="External"/><Relationship Id="rId_hyperlink_620" Type="http://schemas.openxmlformats.org/officeDocument/2006/relationships/hyperlink" Target="https://nconnect.nicmar.ac.in/storage/profile/ProfilePhoto_P25700627_278145.jpg" TargetMode="External"/><Relationship Id="rId_hyperlink_621" Type="http://schemas.openxmlformats.org/officeDocument/2006/relationships/hyperlink" Target="https://nconnect.nicmar.ac.in/storage/profile/ProfilePhoto_P25700628_692713.jpg" TargetMode="External"/><Relationship Id="rId_hyperlink_622" Type="http://schemas.openxmlformats.org/officeDocument/2006/relationships/hyperlink" Target="https://nconnect.nicmar.ac.in/storage/profile/ProfilePhoto_P25700629_729153.jpg" TargetMode="External"/><Relationship Id="rId_hyperlink_623" Type="http://schemas.openxmlformats.org/officeDocument/2006/relationships/hyperlink" Target="https://nconnect.nicmar.ac.in/storage/profile/ProfilePhoto_P25700630_165892.jpg" TargetMode="External"/><Relationship Id="rId_hyperlink_624" Type="http://schemas.openxmlformats.org/officeDocument/2006/relationships/hyperlink" Target="https://nconnect.nicmar.ac.in/storage/profile/ProfilePhoto_P25700631_576189.jpg" TargetMode="External"/><Relationship Id="rId_hyperlink_625" Type="http://schemas.openxmlformats.org/officeDocument/2006/relationships/hyperlink" Target="https://nconnect.nicmar.ac.in/storage/profile/ProfilePhoto_P25700632_185743.jpg" TargetMode="External"/><Relationship Id="rId_hyperlink_626" Type="http://schemas.openxmlformats.org/officeDocument/2006/relationships/hyperlink" Target="https://nconnect.nicmar.ac.in/storage/profile/ProfilePhoto_P25700633_541692.jpg" TargetMode="External"/><Relationship Id="rId_hyperlink_627" Type="http://schemas.openxmlformats.org/officeDocument/2006/relationships/hyperlink" Target="https://nconnect.nicmar.ac.in/storage/profile/ProfilePhoto_P25700634_569782.jpg" TargetMode="External"/><Relationship Id="rId_hyperlink_628" Type="http://schemas.openxmlformats.org/officeDocument/2006/relationships/hyperlink" Target="https://nconnect.nicmar.ac.in/storage/profile/ProfilePhoto_P25700635_576948.jpg" TargetMode="External"/><Relationship Id="rId_hyperlink_629" Type="http://schemas.openxmlformats.org/officeDocument/2006/relationships/hyperlink" Target="https://nconnect.nicmar.ac.in/storage/profile/ProfilePhoto_P25700636_598721.jpg" TargetMode="External"/><Relationship Id="rId_hyperlink_630" Type="http://schemas.openxmlformats.org/officeDocument/2006/relationships/hyperlink" Target="https://nconnect.nicmar.ac.in/storage/profile/ProfilePhoto_P25700637_371864.jpg" TargetMode="External"/><Relationship Id="rId_hyperlink_631" Type="http://schemas.openxmlformats.org/officeDocument/2006/relationships/hyperlink" Target="https://nconnect.nicmar.ac.in/storage/profile/ProfilePhoto_P25700638_523967.jpg" TargetMode="External"/><Relationship Id="rId_hyperlink_632" Type="http://schemas.openxmlformats.org/officeDocument/2006/relationships/hyperlink" Target="https://nconnect.nicmar.ac.in/storage/profile/ProfilePhoto_P25700639_613785.jpg" TargetMode="External"/><Relationship Id="rId_hyperlink_633" Type="http://schemas.openxmlformats.org/officeDocument/2006/relationships/hyperlink" Target="https://nconnect.nicmar.ac.in/storage/profile/ProfilePhoto_P25700640_718623.jpg" TargetMode="External"/><Relationship Id="rId_hyperlink_634" Type="http://schemas.openxmlformats.org/officeDocument/2006/relationships/hyperlink" Target="https://nconnect.nicmar.ac.in/storage/profile/ProfilePhoto_P25700641_316458.jpg" TargetMode="External"/><Relationship Id="rId_hyperlink_635" Type="http://schemas.openxmlformats.org/officeDocument/2006/relationships/hyperlink" Target="https://nconnect.nicmar.ac.in/storage/profile/ProfilePhoto_P25700642_472538.jpg" TargetMode="External"/><Relationship Id="rId_hyperlink_636" Type="http://schemas.openxmlformats.org/officeDocument/2006/relationships/hyperlink" Target="https://nconnect.nicmar.ac.in/storage/profile/ProfilePhoto_P25700643_542673.jpg" TargetMode="External"/><Relationship Id="rId_hyperlink_637" Type="http://schemas.openxmlformats.org/officeDocument/2006/relationships/hyperlink" Target="https://nconnect.nicmar.ac.in/storage/profile/ProfilePhoto_P25700644_925768.jpg" TargetMode="External"/><Relationship Id="rId_hyperlink_638" Type="http://schemas.openxmlformats.org/officeDocument/2006/relationships/hyperlink" Target="https://nconnect.nicmar.ac.in/storage/profile/ProfilePhoto_P25700645_346279.jpg" TargetMode="External"/><Relationship Id="rId_hyperlink_639" Type="http://schemas.openxmlformats.org/officeDocument/2006/relationships/hyperlink" Target="https://nconnect.nicmar.ac.in/storage/profile/ProfilePhoto_P25700646_127359.jpg" TargetMode="External"/><Relationship Id="rId_hyperlink_640" Type="http://schemas.openxmlformats.org/officeDocument/2006/relationships/hyperlink" Target="https://nconnect.nicmar.ac.in/storage/profile/ProfilePhoto_P25700647_481956.jpg" TargetMode="External"/><Relationship Id="rId_hyperlink_641" Type="http://schemas.openxmlformats.org/officeDocument/2006/relationships/hyperlink" Target="https://nconnect.nicmar.ac.in/storage/profile/ProfilePhoto_P25700648_167498.jpg" TargetMode="External"/><Relationship Id="rId_hyperlink_642" Type="http://schemas.openxmlformats.org/officeDocument/2006/relationships/hyperlink" Target="https://nconnect.nicmar.ac.in/storage/profile/ProfilePhoto_P25700649_431865.jpg" TargetMode="External"/><Relationship Id="rId_hyperlink_643" Type="http://schemas.openxmlformats.org/officeDocument/2006/relationships/hyperlink" Target="https://nconnect.nicmar.ac.in/storage/profile/ProfilePhoto_P25700650_487352.jpg" TargetMode="External"/><Relationship Id="rId_hyperlink_644" Type="http://schemas.openxmlformats.org/officeDocument/2006/relationships/hyperlink" Target="https://nconnect.nicmar.ac.in/storage/profile/ProfilePhoto_P25700651_715392.jpg" TargetMode="External"/><Relationship Id="rId_hyperlink_645" Type="http://schemas.openxmlformats.org/officeDocument/2006/relationships/hyperlink" Target="https://nconnect.nicmar.ac.in/storage/profile/ProfilePhoto_P25700652_942673.jpg" TargetMode="External"/><Relationship Id="rId_hyperlink_646" Type="http://schemas.openxmlformats.org/officeDocument/2006/relationships/hyperlink" Target="https://nconnect.nicmar.ac.in/storage/profile/ProfilePhoto_P25700653_961745.jpg" TargetMode="External"/><Relationship Id="rId_hyperlink_647" Type="http://schemas.openxmlformats.org/officeDocument/2006/relationships/hyperlink" Target="https://nconnect.nicmar.ac.in/storage/profile/ProfilePhoto_P25700654_483671.jpg" TargetMode="External"/><Relationship Id="rId_hyperlink_648" Type="http://schemas.openxmlformats.org/officeDocument/2006/relationships/hyperlink" Target="https://nconnect.nicmar.ac.in/storage/profile/ProfilePhoto_P25700655_148397.jpg" TargetMode="External"/><Relationship Id="rId_hyperlink_649" Type="http://schemas.openxmlformats.org/officeDocument/2006/relationships/hyperlink" Target="https://nconnect.nicmar.ac.in/storage/profile/ProfilePhoto_P25700656_593681.jpg" TargetMode="External"/><Relationship Id="rId_hyperlink_650" Type="http://schemas.openxmlformats.org/officeDocument/2006/relationships/hyperlink" Target="https://nconnect.nicmar.ac.in/storage/profile/ProfilePhoto_P25700657_983527.jpg" TargetMode="External"/><Relationship Id="rId_hyperlink_651" Type="http://schemas.openxmlformats.org/officeDocument/2006/relationships/hyperlink" Target="https://nconnect.nicmar.ac.in/storage/profile/ProfilePhoto_P25700658_675928.jpg" TargetMode="External"/><Relationship Id="rId_hyperlink_652" Type="http://schemas.openxmlformats.org/officeDocument/2006/relationships/hyperlink" Target="https://nconnect.nicmar.ac.in/storage/profile/ProfilePhoto_P25700659_347681.jpg" TargetMode="External"/><Relationship Id="rId_hyperlink_653" Type="http://schemas.openxmlformats.org/officeDocument/2006/relationships/hyperlink" Target="https://nconnect.nicmar.ac.in/storage/profile/ProfilePhoto_P25700660_348769.jpg" TargetMode="External"/><Relationship Id="rId_hyperlink_654" Type="http://schemas.openxmlformats.org/officeDocument/2006/relationships/hyperlink" Target="https://nconnect.nicmar.ac.in/storage/profile/ProfilePhoto_P25700661_438971.jpg" TargetMode="External"/><Relationship Id="rId_hyperlink_655" Type="http://schemas.openxmlformats.org/officeDocument/2006/relationships/hyperlink" Target="https://nconnect.nicmar.ac.in/storage/profile/ProfilePhoto_P25700662_857164.jpg" TargetMode="External"/><Relationship Id="rId_hyperlink_656" Type="http://schemas.openxmlformats.org/officeDocument/2006/relationships/hyperlink" Target="https://nconnect.nicmar.ac.in/storage/profile/ProfilePhoto_P25700663_453187.jpg" TargetMode="External"/><Relationship Id="rId_hyperlink_657" Type="http://schemas.openxmlformats.org/officeDocument/2006/relationships/hyperlink" Target="https://nconnect.nicmar.ac.in/storage/profile/ProfilePhoto_P25700664_238457.jpg" TargetMode="External"/><Relationship Id="rId_hyperlink_658" Type="http://schemas.openxmlformats.org/officeDocument/2006/relationships/hyperlink" Target="https://nconnect.nicmar.ac.in/storage/profile/ProfilePhoto_P25700665_185362.jpg" TargetMode="External"/><Relationship Id="rId_hyperlink_659" Type="http://schemas.openxmlformats.org/officeDocument/2006/relationships/hyperlink" Target="https://nconnect.nicmar.ac.in/storage/profile/ProfilePhoto_P25700666_356489.jpg" TargetMode="External"/><Relationship Id="rId_hyperlink_660" Type="http://schemas.openxmlformats.org/officeDocument/2006/relationships/hyperlink" Target="https://nconnect.nicmar.ac.in/storage/profile/ProfilePhoto_P25700667_685391.jpg" TargetMode="External"/><Relationship Id="rId_hyperlink_661" Type="http://schemas.openxmlformats.org/officeDocument/2006/relationships/hyperlink" Target="https://nconnect.nicmar.ac.in/storage/profile/ProfilePhoto_P25700668_892617.jpg" TargetMode="External"/><Relationship Id="rId_hyperlink_662" Type="http://schemas.openxmlformats.org/officeDocument/2006/relationships/hyperlink" Target="https://nconnect.nicmar.ac.in/storage/profile/ProfilePhoto_P25700669_295168.jpg" TargetMode="External"/><Relationship Id="rId_hyperlink_663" Type="http://schemas.openxmlformats.org/officeDocument/2006/relationships/hyperlink" Target="https://nconnect.nicmar.ac.in/storage/profile/ProfilePhoto_P25700670_485319.jpg" TargetMode="External"/><Relationship Id="rId_hyperlink_664" Type="http://schemas.openxmlformats.org/officeDocument/2006/relationships/hyperlink" Target="https://nconnect.nicmar.ac.in/storage/profile/ProfilePhoto_P25700671_749136.jpg" TargetMode="External"/><Relationship Id="rId_hyperlink_665" Type="http://schemas.openxmlformats.org/officeDocument/2006/relationships/hyperlink" Target="https://nconnect.nicmar.ac.in/storage/profile/ProfilePhoto_P25700672_847361.jpg" TargetMode="External"/><Relationship Id="rId_hyperlink_666" Type="http://schemas.openxmlformats.org/officeDocument/2006/relationships/hyperlink" Target="https://nconnect.nicmar.ac.in/storage/profile/ProfilePhoto_P25700673_596741.jpg" TargetMode="External"/><Relationship Id="rId_hyperlink_667" Type="http://schemas.openxmlformats.org/officeDocument/2006/relationships/hyperlink" Target="https://nconnect.nicmar.ac.in/storage/profile/ProfilePhoto_P25700674_179648.jpg" TargetMode="External"/><Relationship Id="rId_hyperlink_668" Type="http://schemas.openxmlformats.org/officeDocument/2006/relationships/hyperlink" Target="https://nconnect.nicmar.ac.in/storage/profile/ProfilePhoto_P25700675_971354.jpg" TargetMode="External"/><Relationship Id="rId_hyperlink_669" Type="http://schemas.openxmlformats.org/officeDocument/2006/relationships/hyperlink" Target="https://nconnect.nicmar.ac.in/storage/profile/ProfilePhoto_P25700676_965278.jpg" TargetMode="External"/><Relationship Id="rId_hyperlink_670" Type="http://schemas.openxmlformats.org/officeDocument/2006/relationships/hyperlink" Target="https://nconnect.nicmar.ac.in/storage/profile/ProfilePhoto_P25700677_147963.jpg" TargetMode="External"/><Relationship Id="rId_hyperlink_671" Type="http://schemas.openxmlformats.org/officeDocument/2006/relationships/hyperlink" Target="https://nconnect.nicmar.ac.in/storage/profile/ProfilePhoto_P25700678_436728.jpg" TargetMode="External"/><Relationship Id="rId_hyperlink_672" Type="http://schemas.openxmlformats.org/officeDocument/2006/relationships/hyperlink" Target="https://nconnect.nicmar.ac.in/storage/profile/ProfilePhoto_P25700679_568347.jpg" TargetMode="External"/><Relationship Id="rId_hyperlink_673" Type="http://schemas.openxmlformats.org/officeDocument/2006/relationships/hyperlink" Target="https://nconnect.nicmar.ac.in/storage/profile/ProfilePhoto_P25700680_758621.jpg" TargetMode="External"/><Relationship Id="rId_hyperlink_674" Type="http://schemas.openxmlformats.org/officeDocument/2006/relationships/hyperlink" Target="https://nconnect.nicmar.ac.in/storage/profile/ProfilePhoto_P25700681_619574.jpg" TargetMode="External"/><Relationship Id="rId_hyperlink_675" Type="http://schemas.openxmlformats.org/officeDocument/2006/relationships/hyperlink" Target="https://nconnect.nicmar.ac.in/storage/profile/ProfilePhoto_P25700682_615498.jpg" TargetMode="External"/><Relationship Id="rId_hyperlink_676" Type="http://schemas.openxmlformats.org/officeDocument/2006/relationships/hyperlink" Target="https://nconnect.nicmar.ac.in/storage/profile/ProfilePhoto_P25700683_957612.jpg" TargetMode="External"/><Relationship Id="rId_hyperlink_677" Type="http://schemas.openxmlformats.org/officeDocument/2006/relationships/hyperlink" Target="https://nconnect.nicmar.ac.in/storage/profile/ProfilePhoto_P25700684_186534.jpg" TargetMode="External"/><Relationship Id="rId_hyperlink_678" Type="http://schemas.openxmlformats.org/officeDocument/2006/relationships/hyperlink" Target="https://nconnect.nicmar.ac.in/storage/profile/ProfilePhoto_P25700685_324561.jpg" TargetMode="External"/><Relationship Id="rId_hyperlink_679" Type="http://schemas.openxmlformats.org/officeDocument/2006/relationships/hyperlink" Target="https://nconnect.nicmar.ac.in/storage/profile/ProfilePhoto_P25700686_647582.jpg" TargetMode="External"/><Relationship Id="rId_hyperlink_680" Type="http://schemas.openxmlformats.org/officeDocument/2006/relationships/hyperlink" Target="https://nconnect.nicmar.ac.in/storage/profile/ProfilePhoto_P25700687_475918.jpg" TargetMode="External"/><Relationship Id="rId_hyperlink_681" Type="http://schemas.openxmlformats.org/officeDocument/2006/relationships/hyperlink" Target="https://nconnect.nicmar.ac.in/storage/profile/ProfilePhoto_P25700688_241639.jpg" TargetMode="External"/><Relationship Id="rId_hyperlink_682" Type="http://schemas.openxmlformats.org/officeDocument/2006/relationships/hyperlink" Target="https://nconnect.nicmar.ac.in/storage/profile/ProfilePhoto_P25700689_513962.jpg" TargetMode="External"/><Relationship Id="rId_hyperlink_683" Type="http://schemas.openxmlformats.org/officeDocument/2006/relationships/hyperlink" Target="https://nconnect.nicmar.ac.in/storage/profile/ProfilePhoto_P25700690_598276.jpg" TargetMode="External"/><Relationship Id="rId_hyperlink_684" Type="http://schemas.openxmlformats.org/officeDocument/2006/relationships/hyperlink" Target="https://nconnect.nicmar.ac.in/storage/profile/ProfilePhoto_P25700691_937165.jpg" TargetMode="External"/><Relationship Id="rId_hyperlink_685" Type="http://schemas.openxmlformats.org/officeDocument/2006/relationships/hyperlink" Target="https://nconnect.nicmar.ac.in/storage/profile/ProfilePhoto_P25700692_921468.jpg" TargetMode="External"/><Relationship Id="rId_hyperlink_686" Type="http://schemas.openxmlformats.org/officeDocument/2006/relationships/hyperlink" Target="https://nconnect.nicmar.ac.in/storage/profile/ProfilePhoto_P25700693_573496.jpg" TargetMode="External"/><Relationship Id="rId_hyperlink_687" Type="http://schemas.openxmlformats.org/officeDocument/2006/relationships/hyperlink" Target="https://nconnect.nicmar.ac.in/storage/profile/ProfilePhoto_P25700695_518436.jpg" TargetMode="External"/><Relationship Id="rId_hyperlink_688" Type="http://schemas.openxmlformats.org/officeDocument/2006/relationships/hyperlink" Target="https://nconnect.nicmar.ac.in/storage/profile/ProfilePhoto_P25700696_167394.jpg" TargetMode="External"/><Relationship Id="rId_hyperlink_689" Type="http://schemas.openxmlformats.org/officeDocument/2006/relationships/hyperlink" Target="https://nconnect.nicmar.ac.in/storage/profile/ProfilePhoto_P25700697_765314.jpg" TargetMode="External"/><Relationship Id="rId_hyperlink_690" Type="http://schemas.openxmlformats.org/officeDocument/2006/relationships/hyperlink" Target="https://nconnect.nicmar.ac.in/storage/profile/ProfilePhoto_P25700698_564379.jpg" TargetMode="External"/><Relationship Id="rId_hyperlink_691" Type="http://schemas.openxmlformats.org/officeDocument/2006/relationships/hyperlink" Target="https://nconnect.nicmar.ac.in/storage/profile/ProfilePhoto_P25700699_273694.jpg" TargetMode="External"/><Relationship Id="rId_hyperlink_692" Type="http://schemas.openxmlformats.org/officeDocument/2006/relationships/hyperlink" Target="https://nconnect.nicmar.ac.in/storage/profile/ProfilePhoto_P25700700_612583.jpg" TargetMode="External"/><Relationship Id="rId_hyperlink_693" Type="http://schemas.openxmlformats.org/officeDocument/2006/relationships/hyperlink" Target="https://nconnect.nicmar.ac.in/storage/profile/6a64a0cad9a96.png" TargetMode="External"/><Relationship Id="rId_hyperlink_694" Type="http://schemas.openxmlformats.org/officeDocument/2006/relationships/hyperlink" Target="https://nconnect.nicmar.ac.in/storage/profile/ProfilePhoto_P25700702_167429.jpg" TargetMode="External"/><Relationship Id="rId_hyperlink_695" Type="http://schemas.openxmlformats.org/officeDocument/2006/relationships/hyperlink" Target="https://nconnect.nicmar.ac.in/storage/profile/ProfilePhoto_P25700703_628351.jpg" TargetMode="External"/><Relationship Id="rId_hyperlink_696" Type="http://schemas.openxmlformats.org/officeDocument/2006/relationships/hyperlink" Target="https://nconnect.nicmar.ac.in/storage/profile/ProfilePhoto_P25700704_865749.jpg" TargetMode="External"/><Relationship Id="rId_hyperlink_697" Type="http://schemas.openxmlformats.org/officeDocument/2006/relationships/hyperlink" Target="https://nconnect.nicmar.ac.in/storage/profile/ProfilePhoto_P25700705_645739.jpg" TargetMode="External"/><Relationship Id="rId_hyperlink_698" Type="http://schemas.openxmlformats.org/officeDocument/2006/relationships/hyperlink" Target="https://nconnect.nicmar.ac.in/storage/profile/ProfilePhoto_P25700706_624518.jpg" TargetMode="External"/><Relationship Id="rId_hyperlink_699" Type="http://schemas.openxmlformats.org/officeDocument/2006/relationships/hyperlink" Target="https://nconnect.nicmar.ac.in/storage/profile/ProfilePhoto_P25700707_593176.jpg" TargetMode="External"/><Relationship Id="rId_hyperlink_700" Type="http://schemas.openxmlformats.org/officeDocument/2006/relationships/hyperlink" Target="https://nconnect.nicmar.ac.in/storage/profile/ProfilePhoto_P25700708_764359.jpg" TargetMode="External"/><Relationship Id="rId_hyperlink_701" Type="http://schemas.openxmlformats.org/officeDocument/2006/relationships/hyperlink" Target="https://nconnect.nicmar.ac.in/storage/profile/ProfilePhoto_P25700709_218653.jpg" TargetMode="External"/><Relationship Id="rId_hyperlink_702" Type="http://schemas.openxmlformats.org/officeDocument/2006/relationships/hyperlink" Target="https://nconnect.nicmar.ac.in/storage/profile/ProfilePhoto_P25700710_586142.jpg" TargetMode="External"/><Relationship Id="rId_hyperlink_703" Type="http://schemas.openxmlformats.org/officeDocument/2006/relationships/hyperlink" Target="https://nconnect.nicmar.ac.in/storage/profile/ProfilePhoto_P25700711_478962.jpg" TargetMode="External"/><Relationship Id="rId_hyperlink_704" Type="http://schemas.openxmlformats.org/officeDocument/2006/relationships/hyperlink" Target="https://nconnect.nicmar.ac.in/storage/profile/ProfilePhoto_P25700712_684593.jpg" TargetMode="External"/><Relationship Id="rId_hyperlink_705" Type="http://schemas.openxmlformats.org/officeDocument/2006/relationships/hyperlink" Target="https://nconnect.nicmar.ac.in/storage/profile/ProfilePhoto_P25700714_634851.jpg" TargetMode="External"/><Relationship Id="rId_hyperlink_706" Type="http://schemas.openxmlformats.org/officeDocument/2006/relationships/hyperlink" Target="https://nconnect.nicmar.ac.in/storage/profile/ProfilePhoto_P25700715_431895.jpg" TargetMode="External"/><Relationship Id="rId_hyperlink_707" Type="http://schemas.openxmlformats.org/officeDocument/2006/relationships/hyperlink" Target="https://nconnect.nicmar.ac.in/storage/profile/ProfilePhoto_P25700716_596743.jpg" TargetMode="External"/><Relationship Id="rId_hyperlink_708" Type="http://schemas.openxmlformats.org/officeDocument/2006/relationships/hyperlink" Target="https://nconnect.nicmar.ac.in/storage/profile/ProfilePhoto_P25700717_983154.jpg" TargetMode="External"/><Relationship Id="rId_hyperlink_709" Type="http://schemas.openxmlformats.org/officeDocument/2006/relationships/hyperlink" Target="https://nconnect.nicmar.ac.in/storage/profile/ProfilePhoto_P25700718_186239.jpg" TargetMode="External"/><Relationship Id="rId_hyperlink_710" Type="http://schemas.openxmlformats.org/officeDocument/2006/relationships/hyperlink" Target="https://nconnect.nicmar.ac.in/storage/profile/ProfilePhoto_P25700719_518623.jpg" TargetMode="External"/><Relationship Id="rId_hyperlink_711" Type="http://schemas.openxmlformats.org/officeDocument/2006/relationships/hyperlink" Target="https://nconnect.nicmar.ac.in/storage/profile/ProfilePhoto_P25700721_783129.jpg" TargetMode="External"/><Relationship Id="rId_hyperlink_712" Type="http://schemas.openxmlformats.org/officeDocument/2006/relationships/hyperlink" Target="https://nconnect.nicmar.ac.in/storage/profile/ProfilePhoto_P25700722_325679.jpg" TargetMode="External"/><Relationship Id="rId_hyperlink_713" Type="http://schemas.openxmlformats.org/officeDocument/2006/relationships/hyperlink" Target="https://nconnect.nicmar.ac.in/storage/profile/ProfilePhoto_P25700723_862314.jpg" TargetMode="External"/><Relationship Id="rId_hyperlink_714" Type="http://schemas.openxmlformats.org/officeDocument/2006/relationships/hyperlink" Target="https://nconnect.nicmar.ac.in/storage/profile/ProfilePhoto_P25700724_394512.jpg" TargetMode="External"/><Relationship Id="rId_hyperlink_715" Type="http://schemas.openxmlformats.org/officeDocument/2006/relationships/hyperlink" Target="https://nconnect.nicmar.ac.in/storage/profile/ProfilePhoto_P25700725_384512.jpg" TargetMode="External"/><Relationship Id="rId_hyperlink_716" Type="http://schemas.openxmlformats.org/officeDocument/2006/relationships/hyperlink" Target="https://nconnect.nicmar.ac.in/storage/profile/ProfilePhoto_P25700727_591248.jpg" TargetMode="External"/><Relationship Id="rId_hyperlink_717" Type="http://schemas.openxmlformats.org/officeDocument/2006/relationships/hyperlink" Target="https://nconnect.nicmar.ac.in/storage/profile/ProfilePhoto_P25700729_957261.jpg" TargetMode="External"/><Relationship Id="rId_hyperlink_718" Type="http://schemas.openxmlformats.org/officeDocument/2006/relationships/hyperlink" Target="https://nconnect.nicmar.ac.in/storage/profile/ProfilePhoto_P25700730_295671.jpg" TargetMode="External"/><Relationship Id="rId_hyperlink_719" Type="http://schemas.openxmlformats.org/officeDocument/2006/relationships/hyperlink" Target="https://nconnect.nicmar.ac.in/storage/profile/ProfilePhoto_P25700731_859741.jpg" TargetMode="External"/><Relationship Id="rId_hyperlink_720" Type="http://schemas.openxmlformats.org/officeDocument/2006/relationships/hyperlink" Target="https://nconnect.nicmar.ac.in/storage/profile/ProfilePhoto_P25700732_983572.jpg" TargetMode="External"/><Relationship Id="rId_hyperlink_721" Type="http://schemas.openxmlformats.org/officeDocument/2006/relationships/hyperlink" Target="https://nconnect.nicmar.ac.in/storage/profile/ProfilePhoto_P25700733_564197.jpg" TargetMode="External"/><Relationship Id="rId_hyperlink_722" Type="http://schemas.openxmlformats.org/officeDocument/2006/relationships/hyperlink" Target="https://nconnect.nicmar.ac.in/storage/profile/ProfilePhoto_P25700734_648325.jpg" TargetMode="External"/><Relationship Id="rId_hyperlink_723" Type="http://schemas.openxmlformats.org/officeDocument/2006/relationships/hyperlink" Target="https://nconnect.nicmar.ac.in/storage/profile/ProfilePhoto_P25700735_173845.jpg" TargetMode="External"/><Relationship Id="rId_hyperlink_724" Type="http://schemas.openxmlformats.org/officeDocument/2006/relationships/hyperlink" Target="https://nconnect.nicmar.ac.in/storage/profile/ProfilePhoto_P25700736_278395.jpg" TargetMode="External"/><Relationship Id="rId_hyperlink_725" Type="http://schemas.openxmlformats.org/officeDocument/2006/relationships/hyperlink" Target="https://nconnect.nicmar.ac.in/storage/profile/ProfilePhoto_P25700737_218935.jpg" TargetMode="External"/><Relationship Id="rId_hyperlink_726" Type="http://schemas.openxmlformats.org/officeDocument/2006/relationships/hyperlink" Target="https://nconnect.nicmar.ac.in/storage/profile/ProfilePhoto_P25700739_914235.jpg" TargetMode="External"/><Relationship Id="rId_hyperlink_727" Type="http://schemas.openxmlformats.org/officeDocument/2006/relationships/hyperlink" Target="https://nconnect.nicmar.ac.in/storage/profile/ProfilePhoto_P25700740_145692.jpg" TargetMode="External"/><Relationship Id="rId_hyperlink_728" Type="http://schemas.openxmlformats.org/officeDocument/2006/relationships/hyperlink" Target="https://nconnect.nicmar.ac.in/storage/profile/ProfilePhoto_P25700741_246781.jpg" TargetMode="External"/><Relationship Id="rId_hyperlink_729" Type="http://schemas.openxmlformats.org/officeDocument/2006/relationships/hyperlink" Target="https://nconnect.nicmar.ac.in/storage/profile/ProfilePhoto_P25700742_926831.jpg" TargetMode="External"/><Relationship Id="rId_hyperlink_730" Type="http://schemas.openxmlformats.org/officeDocument/2006/relationships/hyperlink" Target="https://nconnect.nicmar.ac.in/storage/profile/ProfilePhoto_P25700743_731954.jpg" TargetMode="External"/><Relationship Id="rId_hyperlink_731" Type="http://schemas.openxmlformats.org/officeDocument/2006/relationships/hyperlink" Target="https://nconnect.nicmar.ac.in/storage/profile/ProfilePhoto_P25700744_713894.jpg" TargetMode="External"/><Relationship Id="rId_hyperlink_732" Type="http://schemas.openxmlformats.org/officeDocument/2006/relationships/hyperlink" Target="https://nconnect.nicmar.ac.in/storage/profile/ProfilePhoto_P25700745_729431.jpg" TargetMode="External"/><Relationship Id="rId_hyperlink_733" Type="http://schemas.openxmlformats.org/officeDocument/2006/relationships/hyperlink" Target="https://nconnect.nicmar.ac.in/storage/profile/ProfilePhoto_P25700746_271548.jpg" TargetMode="External"/><Relationship Id="rId_hyperlink_734" Type="http://schemas.openxmlformats.org/officeDocument/2006/relationships/hyperlink" Target="https://nconnect.nicmar.ac.in/storage/profile/ProfilePhoto_P25700747_987124.jpg" TargetMode="External"/><Relationship Id="rId_hyperlink_735" Type="http://schemas.openxmlformats.org/officeDocument/2006/relationships/hyperlink" Target="https://nconnect.nicmar.ac.in/storage/profile/ProfilePhoto_P25700748_457291.jpg" TargetMode="External"/><Relationship Id="rId_hyperlink_736" Type="http://schemas.openxmlformats.org/officeDocument/2006/relationships/hyperlink" Target="https://nconnect.nicmar.ac.in/storage/profile/ProfilePhoto_P25700749_463951.jpg" TargetMode="External"/><Relationship Id="rId_hyperlink_737" Type="http://schemas.openxmlformats.org/officeDocument/2006/relationships/hyperlink" Target="https://nconnect.nicmar.ac.in/storage/profile/ProfilePhoto_P25700750_571468.jpg" TargetMode="External"/><Relationship Id="rId_hyperlink_738" Type="http://schemas.openxmlformats.org/officeDocument/2006/relationships/hyperlink" Target="https://nconnect.nicmar.ac.in/storage/profile/ProfilePhoto_P25700751_185649.jpg" TargetMode="External"/><Relationship Id="rId_hyperlink_739" Type="http://schemas.openxmlformats.org/officeDocument/2006/relationships/hyperlink" Target="https://nconnect.nicmar.ac.in/storage/profile/ProfilePhoto_P25700752_395618.jpg" TargetMode="External"/><Relationship Id="rId_hyperlink_740" Type="http://schemas.openxmlformats.org/officeDocument/2006/relationships/hyperlink" Target="https://nconnect.nicmar.ac.in/storage/profile/ProfilePhoto_P25700753_639218.jpg" TargetMode="External"/><Relationship Id="rId_hyperlink_741" Type="http://schemas.openxmlformats.org/officeDocument/2006/relationships/hyperlink" Target="https://nconnect.nicmar.ac.in/storage/profile/ProfilePhoto_P25700754_876213.jpg" TargetMode="External"/><Relationship Id="rId_hyperlink_742" Type="http://schemas.openxmlformats.org/officeDocument/2006/relationships/hyperlink" Target="https://nconnect.nicmar.ac.in/storage/profile/ProfilePhoto_P25700755_215487.jpg" TargetMode="External"/><Relationship Id="rId_hyperlink_743" Type="http://schemas.openxmlformats.org/officeDocument/2006/relationships/hyperlink" Target="https://nconnect.nicmar.ac.in/storage/profile/ProfilePhoto_P25700281_579136.jpg" TargetMode="External"/><Relationship Id="rId_hyperlink_744" Type="http://schemas.openxmlformats.org/officeDocument/2006/relationships/hyperlink" Target="https://nconnect.nicmar.ac.in/storage/profile/ProfilePhoto_P25700325_532469.jpg" TargetMode="External"/><Relationship Id="rId_hyperlink_745" Type="http://schemas.openxmlformats.org/officeDocument/2006/relationships/hyperlink" Target="https://nconnect.nicmar.ac.in/storage/profile/ProfilePhoto_P25700367_329568.jpg" TargetMode="External"/><Relationship Id="rId_hyperlink_746" Type="http://schemas.openxmlformats.org/officeDocument/2006/relationships/hyperlink" Target="https://nconnect.nicmar.ac.in/storage/profile/ProfilePhoto_P25700694_372165.jpg" TargetMode="External"/><Relationship Id="rId_hyperlink_747" Type="http://schemas.openxmlformats.org/officeDocument/2006/relationships/hyperlink" Target="https://nconnect.nicmar.ac.in/storage/profile/6a7f0ee693077.png" TargetMode="External"/><Relationship Id="rId_hyperlink_748" Type="http://schemas.openxmlformats.org/officeDocument/2006/relationships/hyperlink" Target="https://nconnect.nicmar.ac.in/storage/profile/6a7f14761badd.png" TargetMode="External"/><Relationship Id="rId_hyperlink_749" Type="http://schemas.openxmlformats.org/officeDocument/2006/relationships/hyperlink" Target="https://nconnect.nicmar.ac.in/storage/profile/6a1eab79188f8.png" TargetMode="External"/><Relationship Id="rId_hyperlink_750" Type="http://schemas.openxmlformats.org/officeDocument/2006/relationships/hyperlink" Target="https://nconnect.nicmar.ac.in/storage/profile/6a1eba10eb6f1.png" TargetMode="External"/><Relationship Id="rId_hyperlink_751" Type="http://schemas.openxmlformats.org/officeDocument/2006/relationships/hyperlink" Target="https://nconnect.nicmar.ac.in/storage/profile/6a1fa4f8604ae.png" TargetMode="External"/><Relationship Id="rId_hyperlink_752" Type="http://schemas.openxmlformats.org/officeDocument/2006/relationships/hyperlink" Target="https://nconnect.nicmar.ac.in/storage/profile/6a1fadfe61e9d.png" TargetMode="External"/><Relationship Id="rId_hyperlink_753" Type="http://schemas.openxmlformats.org/officeDocument/2006/relationships/hyperlink" Target="https://nconnect.nicmar.ac.in/storage/profile/6a1fc411369af.png" TargetMode="External"/><Relationship Id="rId_hyperlink_754" Type="http://schemas.openxmlformats.org/officeDocument/2006/relationships/hyperlink" Target="https://nconnect.nicmar.ac.in/storage/profile/ProfilePhoto_P24702124_129675.jpg" TargetMode="External"/><Relationship Id="rId_hyperlink_755" Type="http://schemas.openxmlformats.org/officeDocument/2006/relationships/hyperlink" Target="https://nconnect.nicmar.ac.in/storage/profile/ProfilePhoto_P25702001_634892.jpg" TargetMode="External"/><Relationship Id="rId_hyperlink_756" Type="http://schemas.openxmlformats.org/officeDocument/2006/relationships/hyperlink" Target="https://nconnect.nicmar.ac.in/storage/profile/ProfilePhoto_P25702002_231946.jpg" TargetMode="External"/><Relationship Id="rId_hyperlink_757" Type="http://schemas.openxmlformats.org/officeDocument/2006/relationships/hyperlink" Target="https://nconnect.nicmar.ac.in/storage/profile/ProfilePhoto_P25702003_496738.jpg" TargetMode="External"/><Relationship Id="rId_hyperlink_758" Type="http://schemas.openxmlformats.org/officeDocument/2006/relationships/hyperlink" Target="https://nconnect.nicmar.ac.in/storage/profile/ProfilePhoto_P25702005_782691.jpg" TargetMode="External"/><Relationship Id="rId_hyperlink_759" Type="http://schemas.openxmlformats.org/officeDocument/2006/relationships/hyperlink" Target="https://nconnect.nicmar.ac.in/storage/profile/ProfilePhoto_P25702006_129674.jpg" TargetMode="External"/><Relationship Id="rId_hyperlink_760" Type="http://schemas.openxmlformats.org/officeDocument/2006/relationships/hyperlink" Target="https://nconnect.nicmar.ac.in/storage/profile/ProfilePhoto_P25702007_643529.jpg" TargetMode="External"/><Relationship Id="rId_hyperlink_761" Type="http://schemas.openxmlformats.org/officeDocument/2006/relationships/hyperlink" Target="https://nconnect.nicmar.ac.in/storage/profile/ProfilePhoto_P25702008_452319.jpg" TargetMode="External"/><Relationship Id="rId_hyperlink_762" Type="http://schemas.openxmlformats.org/officeDocument/2006/relationships/hyperlink" Target="https://nconnect.nicmar.ac.in/storage/profile/ProfilePhoto_P25702009_718354.jpg" TargetMode="External"/><Relationship Id="rId_hyperlink_763" Type="http://schemas.openxmlformats.org/officeDocument/2006/relationships/hyperlink" Target="https://nconnect.nicmar.ac.in/storage/profile/ProfilePhoto_P25702010_942758.jpg" TargetMode="External"/><Relationship Id="rId_hyperlink_764" Type="http://schemas.openxmlformats.org/officeDocument/2006/relationships/hyperlink" Target="https://nconnect.nicmar.ac.in/storage/profile/6a6612129d7f8.png" TargetMode="External"/><Relationship Id="rId_hyperlink_765" Type="http://schemas.openxmlformats.org/officeDocument/2006/relationships/hyperlink" Target="https://nconnect.nicmar.ac.in/storage/profile/ProfilePhoto_P25702013_817429.jpg" TargetMode="External"/><Relationship Id="rId_hyperlink_766" Type="http://schemas.openxmlformats.org/officeDocument/2006/relationships/hyperlink" Target="https://nconnect.nicmar.ac.in/storage/profile/ProfilePhoto_P25702014_613248.jpg" TargetMode="External"/><Relationship Id="rId_hyperlink_767" Type="http://schemas.openxmlformats.org/officeDocument/2006/relationships/hyperlink" Target="https://nconnect.nicmar.ac.in/storage/profile/ProfilePhoto_P25702015_368254.jpg" TargetMode="External"/><Relationship Id="rId_hyperlink_768" Type="http://schemas.openxmlformats.org/officeDocument/2006/relationships/hyperlink" Target="https://nconnect.nicmar.ac.in/storage/profile/ProfilePhoto_P25702016_652349.jpg" TargetMode="External"/><Relationship Id="rId_hyperlink_769" Type="http://schemas.openxmlformats.org/officeDocument/2006/relationships/hyperlink" Target="https://nconnect.nicmar.ac.in/storage/profile/ProfilePhoto_P25702018_693254.jpg" TargetMode="External"/><Relationship Id="rId_hyperlink_770" Type="http://schemas.openxmlformats.org/officeDocument/2006/relationships/hyperlink" Target="https://nconnect.nicmar.ac.in/storage/profile/ProfilePhoto_P25702019_689217.jpg" TargetMode="External"/><Relationship Id="rId_hyperlink_771" Type="http://schemas.openxmlformats.org/officeDocument/2006/relationships/hyperlink" Target="https://nconnect.nicmar.ac.in/storage/profile/ProfilePhoto_P25702020_435189.jpg" TargetMode="External"/><Relationship Id="rId_hyperlink_772" Type="http://schemas.openxmlformats.org/officeDocument/2006/relationships/hyperlink" Target="https://nconnect.nicmar.ac.in/storage/profile/ProfilePhoto_P25702021_253841.jpg" TargetMode="External"/><Relationship Id="rId_hyperlink_773" Type="http://schemas.openxmlformats.org/officeDocument/2006/relationships/hyperlink" Target="https://nconnect.nicmar.ac.in/storage/profile/ProfilePhoto_P25702022_617352.jpg" TargetMode="External"/><Relationship Id="rId_hyperlink_774" Type="http://schemas.openxmlformats.org/officeDocument/2006/relationships/hyperlink" Target="https://nconnect.nicmar.ac.in/storage/profile/ProfilePhoto_P25702023_483726.jpg" TargetMode="External"/><Relationship Id="rId_hyperlink_775" Type="http://schemas.openxmlformats.org/officeDocument/2006/relationships/hyperlink" Target="https://nconnect.nicmar.ac.in/storage/profile/ProfilePhoto_P25702024_291845.jpg" TargetMode="External"/><Relationship Id="rId_hyperlink_776" Type="http://schemas.openxmlformats.org/officeDocument/2006/relationships/hyperlink" Target="https://nconnect.nicmar.ac.in/storage/profile/ProfilePhoto_P25702025_648375.jpg" TargetMode="External"/><Relationship Id="rId_hyperlink_777" Type="http://schemas.openxmlformats.org/officeDocument/2006/relationships/hyperlink" Target="https://nconnect.nicmar.ac.in/storage/profile/ProfilePhoto_P25702026_459627.jpg" TargetMode="External"/><Relationship Id="rId_hyperlink_778" Type="http://schemas.openxmlformats.org/officeDocument/2006/relationships/hyperlink" Target="https://nconnect.nicmar.ac.in/storage/profile/ProfilePhoto_P25702027_156924.jpg" TargetMode="External"/><Relationship Id="rId_hyperlink_779" Type="http://schemas.openxmlformats.org/officeDocument/2006/relationships/hyperlink" Target="https://nconnect.nicmar.ac.in/storage/profile/ProfilePhoto_P25702028_937845.jpg" TargetMode="External"/><Relationship Id="rId_hyperlink_780" Type="http://schemas.openxmlformats.org/officeDocument/2006/relationships/hyperlink" Target="https://nconnect.nicmar.ac.in/storage/profile/ProfilePhoto_P25702029_478612.jpg" TargetMode="External"/><Relationship Id="rId_hyperlink_781" Type="http://schemas.openxmlformats.org/officeDocument/2006/relationships/hyperlink" Target="https://nconnect.nicmar.ac.in/storage/profile/ProfilePhoto_P25702030_594783.jpg" TargetMode="External"/><Relationship Id="rId_hyperlink_782" Type="http://schemas.openxmlformats.org/officeDocument/2006/relationships/hyperlink" Target="https://nconnect.nicmar.ac.in/storage/profile/ProfilePhoto_P25702031_539764.jpg" TargetMode="External"/><Relationship Id="rId_hyperlink_783" Type="http://schemas.openxmlformats.org/officeDocument/2006/relationships/hyperlink" Target="https://nconnect.nicmar.ac.in/storage/profile/ProfilePhoto_P25702032_856149.jpg" TargetMode="External"/><Relationship Id="rId_hyperlink_784" Type="http://schemas.openxmlformats.org/officeDocument/2006/relationships/hyperlink" Target="https://nconnect.nicmar.ac.in/storage/profile/ProfilePhoto_P25702033_792583.jpg" TargetMode="External"/><Relationship Id="rId_hyperlink_785" Type="http://schemas.openxmlformats.org/officeDocument/2006/relationships/hyperlink" Target="https://nconnect.nicmar.ac.in/storage/profile/ProfilePhoto_P25702034_732194.jpg" TargetMode="External"/><Relationship Id="rId_hyperlink_786" Type="http://schemas.openxmlformats.org/officeDocument/2006/relationships/hyperlink" Target="https://nconnect.nicmar.ac.in/storage/profile/ProfilePhoto_P25702035_359426.jpg" TargetMode="External"/><Relationship Id="rId_hyperlink_787" Type="http://schemas.openxmlformats.org/officeDocument/2006/relationships/hyperlink" Target="https://nconnect.nicmar.ac.in/storage/profile/ProfilePhoto_P25702036_658941.jpg" TargetMode="External"/><Relationship Id="rId_hyperlink_788" Type="http://schemas.openxmlformats.org/officeDocument/2006/relationships/hyperlink" Target="https://nconnect.nicmar.ac.in/storage/profile/ProfilePhoto_P25702037_783451.jpg" TargetMode="External"/><Relationship Id="rId_hyperlink_789" Type="http://schemas.openxmlformats.org/officeDocument/2006/relationships/hyperlink" Target="https://nconnect.nicmar.ac.in/storage/profile/ProfilePhoto_P25702038_746298.jpg" TargetMode="External"/><Relationship Id="rId_hyperlink_790" Type="http://schemas.openxmlformats.org/officeDocument/2006/relationships/hyperlink" Target="https://nconnect.nicmar.ac.in/storage/profile/ProfilePhoto_P25702039_538214.jpg" TargetMode="External"/><Relationship Id="rId_hyperlink_791" Type="http://schemas.openxmlformats.org/officeDocument/2006/relationships/hyperlink" Target="https://nconnect.nicmar.ac.in/storage/profile/ProfilePhoto_P25702040_591438.jpg" TargetMode="External"/><Relationship Id="rId_hyperlink_792" Type="http://schemas.openxmlformats.org/officeDocument/2006/relationships/hyperlink" Target="https://nconnect.nicmar.ac.in/storage/profile/ProfilePhoto_P25702041_289157.jpg" TargetMode="External"/><Relationship Id="rId_hyperlink_793" Type="http://schemas.openxmlformats.org/officeDocument/2006/relationships/hyperlink" Target="https://nconnect.nicmar.ac.in/storage/profile/6a7bf50811c8c.png" TargetMode="External"/><Relationship Id="rId_hyperlink_794" Type="http://schemas.openxmlformats.org/officeDocument/2006/relationships/hyperlink" Target="https://nconnect.nicmar.ac.in/storage/profile/ProfilePhoto_P25702043_481923.jpg" TargetMode="External"/><Relationship Id="rId_hyperlink_795" Type="http://schemas.openxmlformats.org/officeDocument/2006/relationships/hyperlink" Target="https://nconnect.nicmar.ac.in/storage/profile/ProfilePhoto_P25702044_783125.jpg" TargetMode="External"/><Relationship Id="rId_hyperlink_796" Type="http://schemas.openxmlformats.org/officeDocument/2006/relationships/hyperlink" Target="https://nconnect.nicmar.ac.in/storage/profile/ProfilePhoto_P25702045_132689.jpg" TargetMode="External"/><Relationship Id="rId_hyperlink_797" Type="http://schemas.openxmlformats.org/officeDocument/2006/relationships/hyperlink" Target="https://nconnect.nicmar.ac.in/storage/profile/ProfilePhoto_P25702046_835946.jpg" TargetMode="External"/><Relationship Id="rId_hyperlink_798" Type="http://schemas.openxmlformats.org/officeDocument/2006/relationships/hyperlink" Target="https://nconnect.nicmar.ac.in/storage/profile/ProfilePhoto_P25702048_294635.jpg" TargetMode="External"/><Relationship Id="rId_hyperlink_799" Type="http://schemas.openxmlformats.org/officeDocument/2006/relationships/hyperlink" Target="https://nconnect.nicmar.ac.in/storage/profile/ProfilePhoto_P25702049_725163.jpg" TargetMode="External"/><Relationship Id="rId_hyperlink_800" Type="http://schemas.openxmlformats.org/officeDocument/2006/relationships/hyperlink" Target="https://nconnect.nicmar.ac.in/storage/profile/ProfilePhoto_P25702050_734158.jpg" TargetMode="External"/><Relationship Id="rId_hyperlink_801" Type="http://schemas.openxmlformats.org/officeDocument/2006/relationships/hyperlink" Target="https://nconnect.nicmar.ac.in/storage/profile/ProfilePhoto_P25702051_167852.jpg" TargetMode="External"/><Relationship Id="rId_hyperlink_802" Type="http://schemas.openxmlformats.org/officeDocument/2006/relationships/hyperlink" Target="https://nconnect.nicmar.ac.in/storage/profile/ProfilePhoto_P25702052_983415.jpg" TargetMode="External"/><Relationship Id="rId_hyperlink_803" Type="http://schemas.openxmlformats.org/officeDocument/2006/relationships/hyperlink" Target="https://nconnect.nicmar.ac.in/storage/profile/ProfilePhoto_P25702053_548217.jpg" TargetMode="External"/><Relationship Id="rId_hyperlink_804" Type="http://schemas.openxmlformats.org/officeDocument/2006/relationships/hyperlink" Target="https://nconnect.nicmar.ac.in/storage/profile/ProfilePhoto_P25702054_231546.jpg" TargetMode="External"/><Relationship Id="rId_hyperlink_805" Type="http://schemas.openxmlformats.org/officeDocument/2006/relationships/hyperlink" Target="https://nconnect.nicmar.ac.in/storage/profile/ProfilePhoto_P25702055_726958.jpg" TargetMode="External"/><Relationship Id="rId_hyperlink_806" Type="http://schemas.openxmlformats.org/officeDocument/2006/relationships/hyperlink" Target="https://nconnect.nicmar.ac.in/storage/profile/ProfilePhoto_P25702056_163759.jpg" TargetMode="External"/><Relationship Id="rId_hyperlink_807" Type="http://schemas.openxmlformats.org/officeDocument/2006/relationships/hyperlink" Target="https://nconnect.nicmar.ac.in/storage/profile/ProfilePhoto_P25702057_789125.jpg" TargetMode="External"/><Relationship Id="rId_hyperlink_808" Type="http://schemas.openxmlformats.org/officeDocument/2006/relationships/hyperlink" Target="https://nconnect.nicmar.ac.in/storage/profile/ProfilePhoto_P25702058_624583.jpg" TargetMode="External"/><Relationship Id="rId_hyperlink_809" Type="http://schemas.openxmlformats.org/officeDocument/2006/relationships/hyperlink" Target="https://nconnect.nicmar.ac.in/storage/profile/ProfilePhoto_P25702059_864359.jpg" TargetMode="External"/><Relationship Id="rId_hyperlink_810" Type="http://schemas.openxmlformats.org/officeDocument/2006/relationships/hyperlink" Target="https://nconnect.nicmar.ac.in/storage/profile/ProfilePhoto_P25702060_829173.jpg" TargetMode="External"/><Relationship Id="rId_hyperlink_811" Type="http://schemas.openxmlformats.org/officeDocument/2006/relationships/hyperlink" Target="https://nconnect.nicmar.ac.in/storage/profile/ProfilePhoto_P25702061_731829.jpg" TargetMode="External"/><Relationship Id="rId_hyperlink_812" Type="http://schemas.openxmlformats.org/officeDocument/2006/relationships/hyperlink" Target="https://nconnect.nicmar.ac.in/storage/profile/ProfilePhoto_P25702062_861492.jpg" TargetMode="External"/><Relationship Id="rId_hyperlink_813" Type="http://schemas.openxmlformats.org/officeDocument/2006/relationships/hyperlink" Target="https://nconnect.nicmar.ac.in/storage/profile/ProfilePhoto_P25702063_125638.jpg" TargetMode="External"/><Relationship Id="rId_hyperlink_814" Type="http://schemas.openxmlformats.org/officeDocument/2006/relationships/hyperlink" Target="https://nconnect.nicmar.ac.in/storage/profile/ProfilePhoto_P25702064_159876.jpg" TargetMode="External"/><Relationship Id="rId_hyperlink_815" Type="http://schemas.openxmlformats.org/officeDocument/2006/relationships/hyperlink" Target="https://nconnect.nicmar.ac.in/storage/profile/ProfilePhoto_P25702065_917365.jpg" TargetMode="External"/><Relationship Id="rId_hyperlink_816" Type="http://schemas.openxmlformats.org/officeDocument/2006/relationships/hyperlink" Target="https://nconnect.nicmar.ac.in/storage/profile/ProfilePhoto_P25702066_973218.jpg" TargetMode="External"/><Relationship Id="rId_hyperlink_817" Type="http://schemas.openxmlformats.org/officeDocument/2006/relationships/hyperlink" Target="https://nconnect.nicmar.ac.in/storage/profile/ProfilePhoto_P25702067_257683.jpg" TargetMode="External"/><Relationship Id="rId_hyperlink_818" Type="http://schemas.openxmlformats.org/officeDocument/2006/relationships/hyperlink" Target="https://nconnect.nicmar.ac.in/storage/profile/ProfilePhoto_P25702068_328657.jpg" TargetMode="External"/><Relationship Id="rId_hyperlink_819" Type="http://schemas.openxmlformats.org/officeDocument/2006/relationships/hyperlink" Target="https://nconnect.nicmar.ac.in/storage/profile/ProfilePhoto_P25702069_148397.jpg" TargetMode="External"/><Relationship Id="rId_hyperlink_820" Type="http://schemas.openxmlformats.org/officeDocument/2006/relationships/hyperlink" Target="https://nconnect.nicmar.ac.in/storage/profile/ProfilePhoto_P25702070_546397.jpg" TargetMode="External"/><Relationship Id="rId_hyperlink_821" Type="http://schemas.openxmlformats.org/officeDocument/2006/relationships/hyperlink" Target="https://nconnect.nicmar.ac.in/storage/profile/ProfilePhoto_P25702071_618479.jpg" TargetMode="External"/><Relationship Id="rId_hyperlink_822" Type="http://schemas.openxmlformats.org/officeDocument/2006/relationships/hyperlink" Target="https://nconnect.nicmar.ac.in/storage/profile/ProfilePhoto_P25702072_513768.jpg" TargetMode="External"/><Relationship Id="rId_hyperlink_823" Type="http://schemas.openxmlformats.org/officeDocument/2006/relationships/hyperlink" Target="https://nconnect.nicmar.ac.in/storage/profile/ProfilePhoto_P25702073_278631.jpg" TargetMode="External"/><Relationship Id="rId_hyperlink_824" Type="http://schemas.openxmlformats.org/officeDocument/2006/relationships/hyperlink" Target="https://nconnect.nicmar.ac.in/storage/profile/ProfilePhoto_P25702074_418937.jpg" TargetMode="External"/><Relationship Id="rId_hyperlink_825" Type="http://schemas.openxmlformats.org/officeDocument/2006/relationships/hyperlink" Target="https://nconnect.nicmar.ac.in/storage/profile/ProfilePhoto_P25702075_348759.jpg" TargetMode="External"/><Relationship Id="rId_hyperlink_826" Type="http://schemas.openxmlformats.org/officeDocument/2006/relationships/hyperlink" Target="https://nconnect.nicmar.ac.in/storage/profile/ProfilePhoto_P25702076_298574.jpg" TargetMode="External"/><Relationship Id="rId_hyperlink_827" Type="http://schemas.openxmlformats.org/officeDocument/2006/relationships/hyperlink" Target="https://nconnect.nicmar.ac.in/storage/profile/ProfilePhoto_P25702077_746891.jpg" TargetMode="External"/><Relationship Id="rId_hyperlink_828" Type="http://schemas.openxmlformats.org/officeDocument/2006/relationships/hyperlink" Target="https://nconnect.nicmar.ac.in/storage/profile/ProfilePhoto_P25702078_395712.jpg" TargetMode="External"/><Relationship Id="rId_hyperlink_829" Type="http://schemas.openxmlformats.org/officeDocument/2006/relationships/hyperlink" Target="https://nconnect.nicmar.ac.in/storage/profile/ProfilePhoto_P25702079_346712.jpg" TargetMode="External"/><Relationship Id="rId_hyperlink_830" Type="http://schemas.openxmlformats.org/officeDocument/2006/relationships/hyperlink" Target="https://nconnect.nicmar.ac.in/storage/profile/6a7ef1081ef14.png" TargetMode="External"/><Relationship Id="rId_hyperlink_831" Type="http://schemas.openxmlformats.org/officeDocument/2006/relationships/hyperlink" Target="https://nconnect.nicmar.ac.in/storage/profile/6a7ef38d1c234.png" TargetMode="External"/><Relationship Id="rId_hyperlink_832" Type="http://schemas.openxmlformats.org/officeDocument/2006/relationships/hyperlink" Target="https://nconnect.nicmar.ac.in/storage/profile/6a1ff84bd9c64.png" TargetMode="External"/><Relationship Id="rId_hyperlink_833" Type="http://schemas.openxmlformats.org/officeDocument/2006/relationships/hyperlink" Target="https://nconnect.nicmar.ac.in/storage/profile/6a20f9c0b49b0.png" TargetMode="External"/><Relationship Id="rId_hyperlink_834" Type="http://schemas.openxmlformats.org/officeDocument/2006/relationships/hyperlink" Target="https://nconnect.nicmar.ac.in/storage/profile/6a2103f0b6786.png" TargetMode="External"/><Relationship Id="rId_hyperlink_835" Type="http://schemas.openxmlformats.org/officeDocument/2006/relationships/hyperlink" Target="https://nconnect.nicmar.ac.in/storage/profile/6a210ba0cac18.png" TargetMode="External"/><Relationship Id="rId_hyperlink_836" Type="http://schemas.openxmlformats.org/officeDocument/2006/relationships/hyperlink" Target="https://nconnect.nicmar.ac.in/storage/profile/6a21173ac4788.png" TargetMode="External"/><Relationship Id="rId_hyperlink_837" Type="http://schemas.openxmlformats.org/officeDocument/2006/relationships/hyperlink" Target="https://nconnect.nicmar.ac.in/storage/profile/6a211eb83dc01.png" TargetMode="External"/><Relationship Id="rId_hyperlink_838" Type="http://schemas.openxmlformats.org/officeDocument/2006/relationships/hyperlink" Target="https://nconnect.nicmar.ac.in/storage/profile/6a21248d96303.png" TargetMode="External"/><Relationship Id="rId_hyperlink_839" Type="http://schemas.openxmlformats.org/officeDocument/2006/relationships/hyperlink" Target="https://nconnect.nicmar.ac.in/storage/profile/6a213e6b214b4.png" TargetMode="External"/><Relationship Id="rId_hyperlink_840" Type="http://schemas.openxmlformats.org/officeDocument/2006/relationships/hyperlink" Target="https://nconnect.nicmar.ac.in/storage/profile/6a2144da8acc0.png" TargetMode="External"/><Relationship Id="rId_hyperlink_841" Type="http://schemas.openxmlformats.org/officeDocument/2006/relationships/hyperlink" Target="https://nconnect.nicmar.ac.in/storage/profile/6a215333ef911.png" TargetMode="External"/><Relationship Id="rId_hyperlink_842" Type="http://schemas.openxmlformats.org/officeDocument/2006/relationships/hyperlink" Target="https://nconnect.nicmar.ac.in/storage/profile/6a215af3bfa89.png" TargetMode="External"/><Relationship Id="rId_hyperlink_843" Type="http://schemas.openxmlformats.org/officeDocument/2006/relationships/hyperlink" Target="https://nconnect.nicmar.ac.in/storage/profile/6a2151e4b96fb.png" TargetMode="External"/><Relationship Id="rId_hyperlink_844" Type="http://schemas.openxmlformats.org/officeDocument/2006/relationships/hyperlink" Target="https://nconnect.nicmar.ac.in/storage/profile/6a213db498d95.png" TargetMode="External"/><Relationship Id="rId_hyperlink_845" Type="http://schemas.openxmlformats.org/officeDocument/2006/relationships/hyperlink" Target="https://nconnect.nicmar.ac.in/storage/profile/6a2122372a8fe.png" TargetMode="External"/><Relationship Id="rId_hyperlink_846" Type="http://schemas.openxmlformats.org/officeDocument/2006/relationships/hyperlink" Target="https://nconnect.nicmar.ac.in/storage/profile/6a2117038be45.png" TargetMode="External"/><Relationship Id="rId_hyperlink_847" Type="http://schemas.openxmlformats.org/officeDocument/2006/relationships/hyperlink" Target="https://nconnect.nicmar.ac.in/storage/profile/6a210dbd65393.png" TargetMode="External"/><Relationship Id="rId_hyperlink_848" Type="http://schemas.openxmlformats.org/officeDocument/2006/relationships/hyperlink" Target="https://nconnect.nicmar.ac.in/storage/profile/6a20fb7964b78.png" TargetMode="External"/><Relationship Id="rId_hyperlink_849" Type="http://schemas.openxmlformats.org/officeDocument/2006/relationships/hyperlink" Target="https://nconnect.nicmar.ac.in/storage/profile/6a2011a6456bc.png" TargetMode="External"/><Relationship Id="rId_hyperlink_850" Type="http://schemas.openxmlformats.org/officeDocument/2006/relationships/hyperlink" Target="https://nconnect.nicmar.ac.in/storage/profile/6a20041f0beae.png" TargetMode="External"/><Relationship Id="rId_hyperlink_851" Type="http://schemas.openxmlformats.org/officeDocument/2006/relationships/hyperlink" Target="https://nconnect.nicmar.ac.in/storage/profile/6a26636e35111.png" TargetMode="External"/><Relationship Id="rId_hyperlink_852" Type="http://schemas.openxmlformats.org/officeDocument/2006/relationships/hyperlink" Target="https://nconnect.nicmar.ac.in/storage/profile/6a266895a2273.png" TargetMode="External"/><Relationship Id="rId_hyperlink_853" Type="http://schemas.openxmlformats.org/officeDocument/2006/relationships/hyperlink" Target="https://nconnect.nicmar.ac.in/storage/profile/6a2678a2bf61d.png" TargetMode="External"/><Relationship Id="rId_hyperlink_854" Type="http://schemas.openxmlformats.org/officeDocument/2006/relationships/hyperlink" Target="https://nconnect.nicmar.ac.in/storage/profile/6a2685caa33b5.png" TargetMode="External"/><Relationship Id="rId_hyperlink_855" Type="http://schemas.openxmlformats.org/officeDocument/2006/relationships/hyperlink" Target="https://nconnect.nicmar.ac.in/storage/profile/6a267e16ddcdb.png" TargetMode="External"/><Relationship Id="rId_hyperlink_856" Type="http://schemas.openxmlformats.org/officeDocument/2006/relationships/hyperlink" Target="https://nconnect.nicmar.ac.in/storage/profile/6a265cafc1c98.png" TargetMode="External"/><Relationship Id="rId_hyperlink_857" Type="http://schemas.openxmlformats.org/officeDocument/2006/relationships/hyperlink" Target="https://nconnect.nicmar.ac.in/storage/profile/6a26521b8c899.png" TargetMode="External"/><Relationship Id="rId_hyperlink_858" Type="http://schemas.openxmlformats.org/officeDocument/2006/relationships/hyperlink" Target="https://nconnect.nicmar.ac.in/storage/profile/6a228f22b5594.png" TargetMode="External"/><Relationship Id="rId_hyperlink_859" Type="http://schemas.openxmlformats.org/officeDocument/2006/relationships/hyperlink" Target="https://nconnect.nicmar.ac.in/storage/profile/6a229f37c4f6e.png" TargetMode="External"/><Relationship Id="rId_hyperlink_860" Type="http://schemas.openxmlformats.org/officeDocument/2006/relationships/hyperlink" Target="https://nconnect.nicmar.ac.in/storage/profile/6a22a37637792.png" TargetMode="External"/><Relationship Id="rId_hyperlink_861" Type="http://schemas.openxmlformats.org/officeDocument/2006/relationships/hyperlink" Target="https://nconnect.nicmar.ac.in/storage/profile/6a22aa8c81c79.png" TargetMode="External"/><Relationship Id="rId_hyperlink_862" Type="http://schemas.openxmlformats.org/officeDocument/2006/relationships/hyperlink" Target="https://nconnect.nicmar.ac.in/storage/profile/6a22b01e23288.png" TargetMode="External"/><Relationship Id="rId_hyperlink_863" Type="http://schemas.openxmlformats.org/officeDocument/2006/relationships/hyperlink" Target="https://nconnect.nicmar.ac.in/storage/profile/ProfilePhoto_P25702081_536981.jpg" TargetMode="External"/><Relationship Id="rId_hyperlink_864" Type="http://schemas.openxmlformats.org/officeDocument/2006/relationships/hyperlink" Target="https://nconnect.nicmar.ac.in/storage/profile/ProfilePhoto_P25702082_524391.jpg" TargetMode="External"/><Relationship Id="rId_hyperlink_865" Type="http://schemas.openxmlformats.org/officeDocument/2006/relationships/hyperlink" Target="https://nconnect.nicmar.ac.in/storage/profile/ProfilePhoto_P25702083_496513.jpg" TargetMode="External"/><Relationship Id="rId_hyperlink_866" Type="http://schemas.openxmlformats.org/officeDocument/2006/relationships/hyperlink" Target="https://nconnect.nicmar.ac.in/storage/profile/ProfilePhoto_P25702084_327986.jpg" TargetMode="External"/><Relationship Id="rId_hyperlink_867" Type="http://schemas.openxmlformats.org/officeDocument/2006/relationships/hyperlink" Target="https://nconnect.nicmar.ac.in/storage/profile/ProfilePhoto_P25702085_675194.jpg" TargetMode="External"/><Relationship Id="rId_hyperlink_868" Type="http://schemas.openxmlformats.org/officeDocument/2006/relationships/hyperlink" Target="https://nconnect.nicmar.ac.in/storage/profile/ProfilePhoto_P25702086_972613.jpg" TargetMode="External"/><Relationship Id="rId_hyperlink_869" Type="http://schemas.openxmlformats.org/officeDocument/2006/relationships/hyperlink" Target="https://nconnect.nicmar.ac.in/storage/profile/ProfilePhoto_P25702089_483152.jpg" TargetMode="External"/><Relationship Id="rId_hyperlink_870" Type="http://schemas.openxmlformats.org/officeDocument/2006/relationships/hyperlink" Target="https://nconnect.nicmar.ac.in/storage/profile/ProfilePhoto_P25702090_671284.jpg" TargetMode="External"/><Relationship Id="rId_hyperlink_871" Type="http://schemas.openxmlformats.org/officeDocument/2006/relationships/hyperlink" Target="https://nconnect.nicmar.ac.in/storage/profile/ProfilePhoto_P25702091_429168.jpg" TargetMode="External"/><Relationship Id="rId_hyperlink_872" Type="http://schemas.openxmlformats.org/officeDocument/2006/relationships/hyperlink" Target="https://nconnect.nicmar.ac.in/storage/profile/ProfilePhoto_P25702093_491532.jpg" TargetMode="External"/><Relationship Id="rId_hyperlink_873" Type="http://schemas.openxmlformats.org/officeDocument/2006/relationships/hyperlink" Target="https://nconnect.nicmar.ac.in/storage/profile/ProfilePhoto_P25702094_982716.jpg" TargetMode="External"/><Relationship Id="rId_hyperlink_874" Type="http://schemas.openxmlformats.org/officeDocument/2006/relationships/hyperlink" Target="https://nconnect.nicmar.ac.in/storage/profile/ProfilePhoto_P25702095_238745.jpg" TargetMode="External"/><Relationship Id="rId_hyperlink_875" Type="http://schemas.openxmlformats.org/officeDocument/2006/relationships/hyperlink" Target="https://nconnect.nicmar.ac.in/storage/profile/ProfilePhoto_P25702096_761253.jpg" TargetMode="External"/><Relationship Id="rId_hyperlink_876" Type="http://schemas.openxmlformats.org/officeDocument/2006/relationships/hyperlink" Target="https://nconnect.nicmar.ac.in/storage/profile/ProfilePhoto_P25702097_962518.jpg" TargetMode="External"/><Relationship Id="rId_hyperlink_877" Type="http://schemas.openxmlformats.org/officeDocument/2006/relationships/hyperlink" Target="https://nconnect.nicmar.ac.in/storage/profile/ProfilePhoto_P25702098_927635.jpg" TargetMode="External"/><Relationship Id="rId_hyperlink_878" Type="http://schemas.openxmlformats.org/officeDocument/2006/relationships/hyperlink" Target="https://nconnect.nicmar.ac.in/storage/profile/ProfilePhoto_P25702099_245678.jpg" TargetMode="External"/><Relationship Id="rId_hyperlink_879" Type="http://schemas.openxmlformats.org/officeDocument/2006/relationships/hyperlink" Target="https://nconnect.nicmar.ac.in/storage/profile/ProfilePhoto_P25702101_631897.jpg" TargetMode="External"/><Relationship Id="rId_hyperlink_880" Type="http://schemas.openxmlformats.org/officeDocument/2006/relationships/hyperlink" Target="https://nconnect.nicmar.ac.in/storage/profile/ProfilePhoto_P25702102_857932.jpg" TargetMode="External"/><Relationship Id="rId_hyperlink_881" Type="http://schemas.openxmlformats.org/officeDocument/2006/relationships/hyperlink" Target="https://nconnect.nicmar.ac.in/storage/profile/ProfilePhoto_P25702103_359467.jpg" TargetMode="External"/><Relationship Id="rId_hyperlink_882" Type="http://schemas.openxmlformats.org/officeDocument/2006/relationships/hyperlink" Target="https://nconnect.nicmar.ac.in/storage/profile/ProfilePhoto_P25702104_392471.jpg" TargetMode="External"/><Relationship Id="rId_hyperlink_883" Type="http://schemas.openxmlformats.org/officeDocument/2006/relationships/hyperlink" Target="https://nconnect.nicmar.ac.in/storage/profile/ProfilePhoto_P25702105_781956.jpg" TargetMode="External"/><Relationship Id="rId_hyperlink_884" Type="http://schemas.openxmlformats.org/officeDocument/2006/relationships/hyperlink" Target="https://nconnect.nicmar.ac.in/storage/profile/ProfilePhoto_P25702106_365247.jpg" TargetMode="External"/><Relationship Id="rId_hyperlink_885" Type="http://schemas.openxmlformats.org/officeDocument/2006/relationships/hyperlink" Target="https://nconnect.nicmar.ac.in/storage/profile/ProfilePhoto_P25702108_273491.jpg" TargetMode="External"/><Relationship Id="rId_hyperlink_886" Type="http://schemas.openxmlformats.org/officeDocument/2006/relationships/hyperlink" Target="https://nconnect.nicmar.ac.in/storage/profile/ProfilePhoto_P25702109_526438.jpg" TargetMode="External"/><Relationship Id="rId_hyperlink_887" Type="http://schemas.openxmlformats.org/officeDocument/2006/relationships/hyperlink" Target="https://nconnect.nicmar.ac.in/storage/profile/ProfilePhoto_P25702110_367925.jpg" TargetMode="External"/><Relationship Id="rId_hyperlink_888" Type="http://schemas.openxmlformats.org/officeDocument/2006/relationships/hyperlink" Target="https://nconnect.nicmar.ac.in/storage/profile/ProfilePhoto_P25702111_231964.jpg" TargetMode="External"/><Relationship Id="rId_hyperlink_889" Type="http://schemas.openxmlformats.org/officeDocument/2006/relationships/hyperlink" Target="https://nconnect.nicmar.ac.in/storage/profile/ProfilePhoto_P25702113_891347.jpg" TargetMode="External"/><Relationship Id="rId_hyperlink_890" Type="http://schemas.openxmlformats.org/officeDocument/2006/relationships/hyperlink" Target="https://nconnect.nicmar.ac.in/storage/profile/ProfilePhoto_P25702114_395268.jpg" TargetMode="External"/><Relationship Id="rId_hyperlink_891" Type="http://schemas.openxmlformats.org/officeDocument/2006/relationships/hyperlink" Target="https://nconnect.nicmar.ac.in/storage/profile/ProfilePhoto_P25702115_316582.jpg" TargetMode="External"/><Relationship Id="rId_hyperlink_892" Type="http://schemas.openxmlformats.org/officeDocument/2006/relationships/hyperlink" Target="https://nconnect.nicmar.ac.in/storage/profile/ProfilePhoto_P25702116_867945.jpg" TargetMode="External"/><Relationship Id="rId_hyperlink_893" Type="http://schemas.openxmlformats.org/officeDocument/2006/relationships/hyperlink" Target="https://nconnect.nicmar.ac.in/storage/profile/ProfilePhoto_P25702117_738624.jpg" TargetMode="External"/><Relationship Id="rId_hyperlink_894" Type="http://schemas.openxmlformats.org/officeDocument/2006/relationships/hyperlink" Target="https://nconnect.nicmar.ac.in/storage/profile/ProfilePhoto_P25702119_651389.jpg" TargetMode="External"/><Relationship Id="rId_hyperlink_895" Type="http://schemas.openxmlformats.org/officeDocument/2006/relationships/hyperlink" Target="https://nconnect.nicmar.ac.in/storage/profile/ProfilePhoto_P25702120_279461.jpg" TargetMode="External"/><Relationship Id="rId_hyperlink_896" Type="http://schemas.openxmlformats.org/officeDocument/2006/relationships/hyperlink" Target="https://nconnect.nicmar.ac.in/storage/profile/ProfilePhoto_P25702121_187593.jpg" TargetMode="External"/><Relationship Id="rId_hyperlink_897" Type="http://schemas.openxmlformats.org/officeDocument/2006/relationships/hyperlink" Target="https://nconnect.nicmar.ac.in/storage/profile/ProfilePhoto_P25702122_472139.jpg" TargetMode="External"/><Relationship Id="rId_hyperlink_898" Type="http://schemas.openxmlformats.org/officeDocument/2006/relationships/hyperlink" Target="https://nconnect.nicmar.ac.in/storage/profile/ProfilePhoto_P25702123_324697.jpg" TargetMode="External"/><Relationship Id="rId_hyperlink_899" Type="http://schemas.openxmlformats.org/officeDocument/2006/relationships/hyperlink" Target="https://nconnect.nicmar.ac.in/storage/profile/ProfilePhoto_P25702124_236974.jpg" TargetMode="External"/><Relationship Id="rId_hyperlink_900" Type="http://schemas.openxmlformats.org/officeDocument/2006/relationships/hyperlink" Target="https://nconnect.nicmar.ac.in/storage/profile/ProfilePhoto_P25702125_416987.jpg" TargetMode="External"/><Relationship Id="rId_hyperlink_901" Type="http://schemas.openxmlformats.org/officeDocument/2006/relationships/hyperlink" Target="https://nconnect.nicmar.ac.in/storage/profile/ProfilePhoto_P25702126_789261.jpg" TargetMode="External"/><Relationship Id="rId_hyperlink_902" Type="http://schemas.openxmlformats.org/officeDocument/2006/relationships/hyperlink" Target="https://nconnect.nicmar.ac.in/storage/profile/ProfilePhoto_P25702127_783594.jpg" TargetMode="External"/><Relationship Id="rId_hyperlink_903" Type="http://schemas.openxmlformats.org/officeDocument/2006/relationships/hyperlink" Target="https://nconnect.nicmar.ac.in/storage/profile/ProfilePhoto_P25702128_617289.jpg" TargetMode="External"/><Relationship Id="rId_hyperlink_904" Type="http://schemas.openxmlformats.org/officeDocument/2006/relationships/hyperlink" Target="https://nconnect.nicmar.ac.in/storage/profile/ProfilePhoto_P25702129_946852.jpg" TargetMode="External"/><Relationship Id="rId_hyperlink_905" Type="http://schemas.openxmlformats.org/officeDocument/2006/relationships/hyperlink" Target="https://nconnect.nicmar.ac.in/storage/profile/ProfilePhoto_P25702130_924736.jpg" TargetMode="External"/><Relationship Id="rId_hyperlink_906" Type="http://schemas.openxmlformats.org/officeDocument/2006/relationships/hyperlink" Target="https://nconnect.nicmar.ac.in/storage/profile/ProfilePhoto_P25702131_683715.jpg" TargetMode="External"/><Relationship Id="rId_hyperlink_907" Type="http://schemas.openxmlformats.org/officeDocument/2006/relationships/hyperlink" Target="https://nconnect.nicmar.ac.in/storage/profile/ProfilePhoto_P25702132_826143.jpg" TargetMode="External"/><Relationship Id="rId_hyperlink_908" Type="http://schemas.openxmlformats.org/officeDocument/2006/relationships/hyperlink" Target="https://nconnect.nicmar.ac.in/storage/profile/ProfilePhoto_P25702133_154693.jpg" TargetMode="External"/><Relationship Id="rId_hyperlink_909" Type="http://schemas.openxmlformats.org/officeDocument/2006/relationships/hyperlink" Target="https://nconnect.nicmar.ac.in/storage/profile/ProfilePhoto_P25702134_543796.jpg" TargetMode="External"/><Relationship Id="rId_hyperlink_910" Type="http://schemas.openxmlformats.org/officeDocument/2006/relationships/hyperlink" Target="https://nconnect.nicmar.ac.in/storage/profile/ProfilePhoto_P25702136_837591.jpg" TargetMode="External"/><Relationship Id="rId_hyperlink_911" Type="http://schemas.openxmlformats.org/officeDocument/2006/relationships/hyperlink" Target="https://nconnect.nicmar.ac.in/storage/profile/ProfilePhoto_P25702137_819267.jpg" TargetMode="External"/><Relationship Id="rId_hyperlink_912" Type="http://schemas.openxmlformats.org/officeDocument/2006/relationships/hyperlink" Target="https://nconnect.nicmar.ac.in/storage/profile/ProfilePhoto_P25702138_785142.jpg" TargetMode="External"/><Relationship Id="rId_hyperlink_913" Type="http://schemas.openxmlformats.org/officeDocument/2006/relationships/hyperlink" Target="https://nconnect.nicmar.ac.in/storage/profile/ProfilePhoto_P25702139_653287.jpg" TargetMode="External"/><Relationship Id="rId_hyperlink_914" Type="http://schemas.openxmlformats.org/officeDocument/2006/relationships/hyperlink" Target="https://nconnect.nicmar.ac.in/storage/profile/ProfilePhoto_P25702140_617534.jpg" TargetMode="External"/><Relationship Id="rId_hyperlink_915" Type="http://schemas.openxmlformats.org/officeDocument/2006/relationships/hyperlink" Target="https://nconnect.nicmar.ac.in/storage/profile/ProfilePhoto_P25702141_791462.jpg" TargetMode="External"/><Relationship Id="rId_hyperlink_916" Type="http://schemas.openxmlformats.org/officeDocument/2006/relationships/hyperlink" Target="https://nconnect.nicmar.ac.in/storage/profile/ProfilePhoto_P25702142_975823.jpg" TargetMode="External"/><Relationship Id="rId_hyperlink_917" Type="http://schemas.openxmlformats.org/officeDocument/2006/relationships/hyperlink" Target="https://nconnect.nicmar.ac.in/storage/profile/ProfilePhoto_P25702143_642159.jpg" TargetMode="External"/><Relationship Id="rId_hyperlink_918" Type="http://schemas.openxmlformats.org/officeDocument/2006/relationships/hyperlink" Target="https://nconnect.nicmar.ac.in/storage/profile/ProfilePhoto_P25702144_513879.jpg" TargetMode="External"/><Relationship Id="rId_hyperlink_919" Type="http://schemas.openxmlformats.org/officeDocument/2006/relationships/hyperlink" Target="https://nconnect.nicmar.ac.in/storage/profile/ProfilePhoto_P25702145_537219.jpg" TargetMode="External"/><Relationship Id="rId_hyperlink_920" Type="http://schemas.openxmlformats.org/officeDocument/2006/relationships/hyperlink" Target="https://nconnect.nicmar.ac.in/storage/profile/ProfilePhoto_P25702146_286534.jpg" TargetMode="External"/><Relationship Id="rId_hyperlink_921" Type="http://schemas.openxmlformats.org/officeDocument/2006/relationships/hyperlink" Target="https://nconnect.nicmar.ac.in/storage/profile/ProfilePhoto_P25702147_251638.jpg" TargetMode="External"/><Relationship Id="rId_hyperlink_922" Type="http://schemas.openxmlformats.org/officeDocument/2006/relationships/hyperlink" Target="https://nconnect.nicmar.ac.in/storage/profile/ProfilePhoto_P25702148_256413.jpg" TargetMode="External"/><Relationship Id="rId_hyperlink_923" Type="http://schemas.openxmlformats.org/officeDocument/2006/relationships/hyperlink" Target="https://nconnect.nicmar.ac.in/storage/profile/ProfilePhoto_P25702150_823791.jpg" TargetMode="External"/><Relationship Id="rId_hyperlink_924" Type="http://schemas.openxmlformats.org/officeDocument/2006/relationships/hyperlink" Target="https://nconnect.nicmar.ac.in/storage/profile/ProfilePhoto_P25702151_527439.jpg" TargetMode="External"/><Relationship Id="rId_hyperlink_925" Type="http://schemas.openxmlformats.org/officeDocument/2006/relationships/hyperlink" Target="https://nconnect.nicmar.ac.in/storage/profile/ProfilePhoto_P25702152_836721.jpg" TargetMode="External"/><Relationship Id="rId_hyperlink_926" Type="http://schemas.openxmlformats.org/officeDocument/2006/relationships/hyperlink" Target="https://nconnect.nicmar.ac.in/storage/profile/ProfilePhoto_P25702153_428956.jpg" TargetMode="External"/><Relationship Id="rId_hyperlink_927" Type="http://schemas.openxmlformats.org/officeDocument/2006/relationships/hyperlink" Target="https://nconnect.nicmar.ac.in/storage/profile/ProfilePhoto_P2201001_514287.jpg" TargetMode="External"/><Relationship Id="rId_hyperlink_928" Type="http://schemas.openxmlformats.org/officeDocument/2006/relationships/hyperlink" Target="https://nconnect.nicmar.ac.in/storage/profile/ProfilePhoto_P2201002_875142.jpg" TargetMode="External"/><Relationship Id="rId_hyperlink_929" Type="http://schemas.openxmlformats.org/officeDocument/2006/relationships/hyperlink" Target="https://nconnect.nicmar.ac.in/storage/profile/ProfilePhoto_P2201003_674125.jpg" TargetMode="External"/><Relationship Id="rId_hyperlink_930" Type="http://schemas.openxmlformats.org/officeDocument/2006/relationships/hyperlink" Target="https://nconnect.nicmar.ac.in/storage/profile/ProfilePhoto_P2201006_126385.jpg" TargetMode="External"/><Relationship Id="rId_hyperlink_931" Type="http://schemas.openxmlformats.org/officeDocument/2006/relationships/hyperlink" Target="https://nconnect.nicmar.ac.in/storage/profile/ProfilePhoto_P2201007_873615.jpg" TargetMode="External"/><Relationship Id="rId_hyperlink_932" Type="http://schemas.openxmlformats.org/officeDocument/2006/relationships/hyperlink" Target="https://nconnect.nicmar.ac.in/storage/profile/ProfilePhoto_P2201008_187945.jpg" TargetMode="External"/><Relationship Id="rId_hyperlink_933" Type="http://schemas.openxmlformats.org/officeDocument/2006/relationships/hyperlink" Target="https://nconnect.nicmar.ac.in/storage/profile/ProfilePhoto_P2201010_518643.jpg" TargetMode="External"/><Relationship Id="rId_hyperlink_934" Type="http://schemas.openxmlformats.org/officeDocument/2006/relationships/hyperlink" Target="https://nconnect.nicmar.ac.in/storage/profile/ProfilePhoto_P25703001_183497.jpg" TargetMode="External"/><Relationship Id="rId_hyperlink_935" Type="http://schemas.openxmlformats.org/officeDocument/2006/relationships/hyperlink" Target="https://nconnect.nicmar.ac.in/storage/profile/ProfilePhoto_P25703002_482139.jpg" TargetMode="External"/><Relationship Id="rId_hyperlink_936" Type="http://schemas.openxmlformats.org/officeDocument/2006/relationships/hyperlink" Target="https://nconnect.nicmar.ac.in/storage/profile/ProfilePhoto_P25703003_426193.jpg" TargetMode="External"/><Relationship Id="rId_hyperlink_937" Type="http://schemas.openxmlformats.org/officeDocument/2006/relationships/hyperlink" Target="https://nconnect.nicmar.ac.in/storage/profile/ProfilePhoto_P25703004_138697.jpg" TargetMode="External"/><Relationship Id="rId_hyperlink_938" Type="http://schemas.openxmlformats.org/officeDocument/2006/relationships/hyperlink" Target="https://nconnect.nicmar.ac.in/storage/profile/ProfilePhoto_P25703005_859241.jpg" TargetMode="External"/><Relationship Id="rId_hyperlink_939" Type="http://schemas.openxmlformats.org/officeDocument/2006/relationships/hyperlink" Target="https://nconnect.nicmar.ac.in/storage/profile/ProfilePhoto_P25703006_431582.jpg" TargetMode="External"/><Relationship Id="rId_hyperlink_940" Type="http://schemas.openxmlformats.org/officeDocument/2006/relationships/hyperlink" Target="https://nconnect.nicmar.ac.in/storage/profile/ProfilePhoto_P25703007_257863.jpg" TargetMode="External"/><Relationship Id="rId_hyperlink_941" Type="http://schemas.openxmlformats.org/officeDocument/2006/relationships/hyperlink" Target="https://nconnect.nicmar.ac.in/storage/profile/ProfilePhoto_P25703008_815249.jpg" TargetMode="External"/><Relationship Id="rId_hyperlink_942" Type="http://schemas.openxmlformats.org/officeDocument/2006/relationships/hyperlink" Target="https://nconnect.nicmar.ac.in/storage/profile/ProfilePhoto_P25703009_857219.jpg" TargetMode="External"/><Relationship Id="rId_hyperlink_943" Type="http://schemas.openxmlformats.org/officeDocument/2006/relationships/hyperlink" Target="https://nconnect.nicmar.ac.in/storage/profile/ProfilePhoto_P25703010_526749.jpg" TargetMode="External"/><Relationship Id="rId_hyperlink_944" Type="http://schemas.openxmlformats.org/officeDocument/2006/relationships/hyperlink" Target="https://nconnect.nicmar.ac.in/storage/profile/ProfilePhoto_P25703011_825793.jpg" TargetMode="External"/><Relationship Id="rId_hyperlink_945" Type="http://schemas.openxmlformats.org/officeDocument/2006/relationships/hyperlink" Target="https://nconnect.nicmar.ac.in/storage/profile/ProfilePhoto_P25703014_598123.jpg" TargetMode="External"/><Relationship Id="rId_hyperlink_946" Type="http://schemas.openxmlformats.org/officeDocument/2006/relationships/hyperlink" Target="https://nconnect.nicmar.ac.in/storage/profile/ProfilePhoto_P25703015_461932.jpg" TargetMode="External"/><Relationship Id="rId_hyperlink_947" Type="http://schemas.openxmlformats.org/officeDocument/2006/relationships/hyperlink" Target="https://nconnect.nicmar.ac.in/storage/profile/ProfilePhoto_P25703016_352178.jpg" TargetMode="External"/><Relationship Id="rId_hyperlink_948" Type="http://schemas.openxmlformats.org/officeDocument/2006/relationships/hyperlink" Target="https://nconnect.nicmar.ac.in/storage/profile/ProfilePhoto_P25703017_348917.jpg" TargetMode="External"/><Relationship Id="rId_hyperlink_949" Type="http://schemas.openxmlformats.org/officeDocument/2006/relationships/hyperlink" Target="https://nconnect.nicmar.ac.in/storage/profile/ProfilePhoto_P25703020_189736.jpg" TargetMode="External"/><Relationship Id="rId_hyperlink_950" Type="http://schemas.openxmlformats.org/officeDocument/2006/relationships/hyperlink" Target="https://nconnect.nicmar.ac.in/storage/profile/ProfilePhoto_P25703021_349281.jpg" TargetMode="External"/><Relationship Id="rId_hyperlink_951" Type="http://schemas.openxmlformats.org/officeDocument/2006/relationships/hyperlink" Target="https://nconnect.nicmar.ac.in/storage/profile/ProfilePhoto_P25703022_834792.jpg" TargetMode="External"/><Relationship Id="rId_hyperlink_952" Type="http://schemas.openxmlformats.org/officeDocument/2006/relationships/hyperlink" Target="https://nconnect.nicmar.ac.in/storage/profile/ProfilePhoto_P25703023_618729.jpg" TargetMode="External"/><Relationship Id="rId_hyperlink_953" Type="http://schemas.openxmlformats.org/officeDocument/2006/relationships/hyperlink" Target="https://nconnect.nicmar.ac.in/storage/profile/ProfilePhoto_P25703024_753916.jpg" TargetMode="External"/><Relationship Id="rId_hyperlink_954" Type="http://schemas.openxmlformats.org/officeDocument/2006/relationships/hyperlink" Target="https://nconnect.nicmar.ac.in/storage/profile/ProfilePhoto_P25703025_329654.jpg" TargetMode="External"/><Relationship Id="rId_hyperlink_955" Type="http://schemas.openxmlformats.org/officeDocument/2006/relationships/hyperlink" Target="https://nconnect.nicmar.ac.in/storage/profile/ProfilePhoto_P25703026_473982.jpg" TargetMode="External"/><Relationship Id="rId_hyperlink_956" Type="http://schemas.openxmlformats.org/officeDocument/2006/relationships/hyperlink" Target="https://nconnect.nicmar.ac.in/storage/profile/ProfilePhoto_P25703027_638754.jpg" TargetMode="External"/><Relationship Id="rId_hyperlink_957" Type="http://schemas.openxmlformats.org/officeDocument/2006/relationships/hyperlink" Target="https://nconnect.nicmar.ac.in/storage/profile/ProfilePhoto_P25703028_281695.jpg" TargetMode="External"/><Relationship Id="rId_hyperlink_958" Type="http://schemas.openxmlformats.org/officeDocument/2006/relationships/hyperlink" Target="https://nconnect.nicmar.ac.in/storage/profile/ProfilePhoto_P25703029_945782.jpg" TargetMode="External"/><Relationship Id="rId_hyperlink_959" Type="http://schemas.openxmlformats.org/officeDocument/2006/relationships/hyperlink" Target="https://nconnect.nicmar.ac.in/storage/profile/ProfilePhoto_P25703030_982536.jpg" TargetMode="External"/><Relationship Id="rId_hyperlink_960" Type="http://schemas.openxmlformats.org/officeDocument/2006/relationships/hyperlink" Target="https://nconnect.nicmar.ac.in/storage/profile/ProfilePhoto_P25703031_654879.jpg" TargetMode="External"/><Relationship Id="rId_hyperlink_961" Type="http://schemas.openxmlformats.org/officeDocument/2006/relationships/hyperlink" Target="https://nconnect.nicmar.ac.in/storage/profile/ProfilePhoto_P25703032_493712.jpg" TargetMode="External"/><Relationship Id="rId_hyperlink_962" Type="http://schemas.openxmlformats.org/officeDocument/2006/relationships/hyperlink" Target="https://nconnect.nicmar.ac.in/storage/profile/ProfilePhoto_P25703033_265831.jpg" TargetMode="External"/><Relationship Id="rId_hyperlink_963" Type="http://schemas.openxmlformats.org/officeDocument/2006/relationships/hyperlink" Target="https://nconnect.nicmar.ac.in/storage/profile/ProfilePhoto_P25703034_743562.jpg" TargetMode="External"/><Relationship Id="rId_hyperlink_964" Type="http://schemas.openxmlformats.org/officeDocument/2006/relationships/hyperlink" Target="https://nconnect.nicmar.ac.in/storage/profile/ProfilePhoto_P25703035_583967.jpg" TargetMode="External"/><Relationship Id="rId_hyperlink_965" Type="http://schemas.openxmlformats.org/officeDocument/2006/relationships/hyperlink" Target="https://nconnect.nicmar.ac.in/storage/profile/ProfilePhoto_P25703037_975312.jpg" TargetMode="External"/><Relationship Id="rId_hyperlink_966" Type="http://schemas.openxmlformats.org/officeDocument/2006/relationships/hyperlink" Target="https://nconnect.nicmar.ac.in/storage/profile/ProfilePhoto_P25703038_123479.jpg" TargetMode="External"/><Relationship Id="rId_hyperlink_967" Type="http://schemas.openxmlformats.org/officeDocument/2006/relationships/hyperlink" Target="https://nconnect.nicmar.ac.in/storage/profile/ProfilePhoto_P25703039_812957.jpg" TargetMode="External"/><Relationship Id="rId_hyperlink_968" Type="http://schemas.openxmlformats.org/officeDocument/2006/relationships/hyperlink" Target="https://nconnect.nicmar.ac.in/storage/profile/ProfilePhoto_P25703040_795461.jpg" TargetMode="External"/><Relationship Id="rId_hyperlink_969" Type="http://schemas.openxmlformats.org/officeDocument/2006/relationships/hyperlink" Target="https://nconnect.nicmar.ac.in/storage/profile/ProfilePhoto_P25703041_689342.jpg" TargetMode="External"/><Relationship Id="rId_hyperlink_970" Type="http://schemas.openxmlformats.org/officeDocument/2006/relationships/hyperlink" Target="https://nconnect.nicmar.ac.in/storage/profile/ProfilePhoto_P25703042_139468.jpg" TargetMode="External"/><Relationship Id="rId_hyperlink_971" Type="http://schemas.openxmlformats.org/officeDocument/2006/relationships/hyperlink" Target="https://nconnect.nicmar.ac.in/storage/profile/ProfilePhoto_P25703043_964875.jpg" TargetMode="External"/><Relationship Id="rId_hyperlink_972" Type="http://schemas.openxmlformats.org/officeDocument/2006/relationships/hyperlink" Target="https://nconnect.nicmar.ac.in/storage/profile/ProfilePhoto_P25703044_175329.jpg" TargetMode="External"/><Relationship Id="rId_hyperlink_973" Type="http://schemas.openxmlformats.org/officeDocument/2006/relationships/hyperlink" Target="https://nconnect.nicmar.ac.in/storage/profile/ProfilePhoto_P25703045_971483.jpg" TargetMode="External"/><Relationship Id="rId_hyperlink_974" Type="http://schemas.openxmlformats.org/officeDocument/2006/relationships/hyperlink" Target="https://nconnect.nicmar.ac.in/storage/profile/ProfilePhoto_P25703046_682913.jpg" TargetMode="External"/><Relationship Id="rId_hyperlink_975" Type="http://schemas.openxmlformats.org/officeDocument/2006/relationships/hyperlink" Target="https://nconnect.nicmar.ac.in/storage/profile/ProfilePhoto_P25703047_245896.jpg" TargetMode="External"/><Relationship Id="rId_hyperlink_976" Type="http://schemas.openxmlformats.org/officeDocument/2006/relationships/hyperlink" Target="https://nconnect.nicmar.ac.in/storage/profile/ProfilePhoto_P25703048_983516.jpg" TargetMode="External"/><Relationship Id="rId_hyperlink_977" Type="http://schemas.openxmlformats.org/officeDocument/2006/relationships/hyperlink" Target="https://nconnect.nicmar.ac.in/storage/profile/ProfilePhoto_P25703049_251834.jpg" TargetMode="External"/><Relationship Id="rId_hyperlink_978" Type="http://schemas.openxmlformats.org/officeDocument/2006/relationships/hyperlink" Target="https://nconnect.nicmar.ac.in/storage/profile/ProfilePhoto_P25703050_934657.jpg" TargetMode="External"/><Relationship Id="rId_hyperlink_979" Type="http://schemas.openxmlformats.org/officeDocument/2006/relationships/hyperlink" Target="https://nconnect.nicmar.ac.in/storage/profile/ProfilePhoto_P25703051_276439.jpg" TargetMode="External"/><Relationship Id="rId_hyperlink_980" Type="http://schemas.openxmlformats.org/officeDocument/2006/relationships/hyperlink" Target="https://nconnect.nicmar.ac.in/storage/profile/ProfilePhoto_P25703052_721359.jpg" TargetMode="External"/><Relationship Id="rId_hyperlink_981" Type="http://schemas.openxmlformats.org/officeDocument/2006/relationships/hyperlink" Target="https://nconnect.nicmar.ac.in/storage/profile/ProfilePhoto_P25703053_389456.jpg" TargetMode="External"/><Relationship Id="rId_hyperlink_982" Type="http://schemas.openxmlformats.org/officeDocument/2006/relationships/hyperlink" Target="https://nconnect.nicmar.ac.in/storage/profile/ProfilePhoto_P25703054_851264.jpg" TargetMode="External"/><Relationship Id="rId_hyperlink_983" Type="http://schemas.openxmlformats.org/officeDocument/2006/relationships/hyperlink" Target="https://nconnect.nicmar.ac.in/storage/profile/ProfilePhoto_P25703055_376895.jpg" TargetMode="External"/><Relationship Id="rId_hyperlink_984" Type="http://schemas.openxmlformats.org/officeDocument/2006/relationships/hyperlink" Target="https://nconnect.nicmar.ac.in/storage/profile/ProfilePhoto_P25703056_384126.jpg" TargetMode="External"/><Relationship Id="rId_hyperlink_985" Type="http://schemas.openxmlformats.org/officeDocument/2006/relationships/hyperlink" Target="https://nconnect.nicmar.ac.in/storage/profile/ProfilePhoto_P25703057_537942.jpg" TargetMode="External"/><Relationship Id="rId_hyperlink_986" Type="http://schemas.openxmlformats.org/officeDocument/2006/relationships/hyperlink" Target="https://nconnect.nicmar.ac.in/storage/profile/ProfilePhoto_P25703058_486527.jpg" TargetMode="External"/><Relationship Id="rId_hyperlink_987" Type="http://schemas.openxmlformats.org/officeDocument/2006/relationships/hyperlink" Target="https://nconnect.nicmar.ac.in/storage/profile/ProfilePhoto_P25703059_751834.jpg" TargetMode="External"/><Relationship Id="rId_hyperlink_988" Type="http://schemas.openxmlformats.org/officeDocument/2006/relationships/hyperlink" Target="https://nconnect.nicmar.ac.in/storage/profile/ProfilePhoto_P25703060_274865.jpg" TargetMode="External"/><Relationship Id="rId_hyperlink_989" Type="http://schemas.openxmlformats.org/officeDocument/2006/relationships/hyperlink" Target="https://nconnect.nicmar.ac.in/storage/profile/ProfilePhoto_P25703061_518749.jpg" TargetMode="External"/><Relationship Id="rId_hyperlink_990" Type="http://schemas.openxmlformats.org/officeDocument/2006/relationships/hyperlink" Target="https://nconnect.nicmar.ac.in/storage/profile/ProfilePhoto_P25703062_538147.jpg" TargetMode="External"/><Relationship Id="rId_hyperlink_991" Type="http://schemas.openxmlformats.org/officeDocument/2006/relationships/hyperlink" Target="https://nconnect.nicmar.ac.in/storage/profile/ProfilePhoto_P25703063_326758.jpg" TargetMode="External"/><Relationship Id="rId_hyperlink_992" Type="http://schemas.openxmlformats.org/officeDocument/2006/relationships/hyperlink" Target="https://nconnect.nicmar.ac.in/storage/profile/ProfilePhoto_P25703064_951836.jpg" TargetMode="External"/><Relationship Id="rId_hyperlink_993" Type="http://schemas.openxmlformats.org/officeDocument/2006/relationships/hyperlink" Target="https://nconnect.nicmar.ac.in/storage/profile/ProfilePhoto_P25703065_946527.jpg" TargetMode="External"/><Relationship Id="rId_hyperlink_994" Type="http://schemas.openxmlformats.org/officeDocument/2006/relationships/hyperlink" Target="https://nconnect.nicmar.ac.in/storage/profile/ProfilePhoto_P25703066_498361.jpg" TargetMode="External"/><Relationship Id="rId_hyperlink_995" Type="http://schemas.openxmlformats.org/officeDocument/2006/relationships/hyperlink" Target="https://nconnect.nicmar.ac.in/storage/profile/ProfilePhoto_P25703067_814359.jpg" TargetMode="External"/><Relationship Id="rId_hyperlink_996" Type="http://schemas.openxmlformats.org/officeDocument/2006/relationships/hyperlink" Target="https://nconnect.nicmar.ac.in/storage/profile/ProfilePhoto_P25703069_368529.jpg" TargetMode="External"/><Relationship Id="rId_hyperlink_997" Type="http://schemas.openxmlformats.org/officeDocument/2006/relationships/hyperlink" Target="https://nconnect.nicmar.ac.in/storage/profile/ProfilePhoto_P25703070_916348.jpg" TargetMode="External"/><Relationship Id="rId_hyperlink_998" Type="http://schemas.openxmlformats.org/officeDocument/2006/relationships/hyperlink" Target="https://nconnect.nicmar.ac.in/storage/profile/ProfilePhoto_P25703071_927836.jpg" TargetMode="External"/><Relationship Id="rId_hyperlink_999" Type="http://schemas.openxmlformats.org/officeDocument/2006/relationships/hyperlink" Target="https://nconnect.nicmar.ac.in/storage/profile/ProfilePhoto_P25703072_791563.jpg" TargetMode="External"/><Relationship Id="rId_hyperlink_1000" Type="http://schemas.openxmlformats.org/officeDocument/2006/relationships/hyperlink" Target="https://nconnect.nicmar.ac.in/storage/profile/ProfilePhoto_P25703073_853419.jpg" TargetMode="External"/><Relationship Id="rId_hyperlink_1001" Type="http://schemas.openxmlformats.org/officeDocument/2006/relationships/hyperlink" Target="https://nconnect.nicmar.ac.in/storage/profile/ProfilePhoto_P25703075_735968.jpg" TargetMode="External"/><Relationship Id="rId_hyperlink_1002" Type="http://schemas.openxmlformats.org/officeDocument/2006/relationships/hyperlink" Target="https://nconnect.nicmar.ac.in/storage/profile/ProfilePhoto_P25703076_758314.jpg" TargetMode="External"/><Relationship Id="rId_hyperlink_1003" Type="http://schemas.openxmlformats.org/officeDocument/2006/relationships/hyperlink" Target="https://nconnect.nicmar.ac.in/storage/profile/ProfilePhoto_P25703077_591873.jpg" TargetMode="External"/><Relationship Id="rId_hyperlink_1004" Type="http://schemas.openxmlformats.org/officeDocument/2006/relationships/hyperlink" Target="https://nconnect.nicmar.ac.in/storage/profile/ProfilePhoto_P25703078_978462.jpg" TargetMode="External"/><Relationship Id="rId_hyperlink_1005" Type="http://schemas.openxmlformats.org/officeDocument/2006/relationships/hyperlink" Target="https://nconnect.nicmar.ac.in/storage/profile/ProfilePhoto_P25703080_396475.jpg" TargetMode="External"/><Relationship Id="rId_hyperlink_1006" Type="http://schemas.openxmlformats.org/officeDocument/2006/relationships/hyperlink" Target="https://nconnect.nicmar.ac.in/storage/profile/ProfilePhoto_P25703036_347852.jpg" TargetMode="External"/><Relationship Id="rId_hyperlink_1007" Type="http://schemas.openxmlformats.org/officeDocument/2006/relationships/hyperlink" Target="https://nconnect.nicmar.ac.in/storage/profile/ProfilePhoto_P25707001_689247.jpg" TargetMode="External"/><Relationship Id="rId_hyperlink_1008" Type="http://schemas.openxmlformats.org/officeDocument/2006/relationships/hyperlink" Target="https://nconnect.nicmar.ac.in/storage/profile/ProfilePhoto_P25707002_857632.jpg" TargetMode="External"/><Relationship Id="rId_hyperlink_1009" Type="http://schemas.openxmlformats.org/officeDocument/2006/relationships/hyperlink" Target="https://nconnect.nicmar.ac.in/storage/profile/ProfilePhoto_P25707003_426789.jpg" TargetMode="External"/><Relationship Id="rId_hyperlink_1010" Type="http://schemas.openxmlformats.org/officeDocument/2006/relationships/hyperlink" Target="https://nconnect.nicmar.ac.in/storage/profile/ProfilePhoto_P25707004_475816.jpg" TargetMode="External"/><Relationship Id="rId_hyperlink_1011" Type="http://schemas.openxmlformats.org/officeDocument/2006/relationships/hyperlink" Target="https://nconnect.nicmar.ac.in/storage/profile/ProfilePhoto_P25707005_192873.jpg" TargetMode="External"/><Relationship Id="rId_hyperlink_1012" Type="http://schemas.openxmlformats.org/officeDocument/2006/relationships/hyperlink" Target="https://nconnect.nicmar.ac.in/storage/profile/ProfilePhoto_P25707007_687459.jpg" TargetMode="External"/><Relationship Id="rId_hyperlink_1013" Type="http://schemas.openxmlformats.org/officeDocument/2006/relationships/hyperlink" Target="https://nconnect.nicmar.ac.in/storage/profile/ProfilePhoto_P25707008_267589.jpg" TargetMode="External"/><Relationship Id="rId_hyperlink_1014" Type="http://schemas.openxmlformats.org/officeDocument/2006/relationships/hyperlink" Target="https://nconnect.nicmar.ac.in/storage/profile/ProfilePhoto_P25706001_497368.jpg" TargetMode="External"/><Relationship Id="rId_hyperlink_1015" Type="http://schemas.openxmlformats.org/officeDocument/2006/relationships/hyperlink" Target="https://nconnect.nicmar.ac.in/storage/profile/ProfilePhoto_P25706002_764851.jpg" TargetMode="External"/><Relationship Id="rId_hyperlink_1016" Type="http://schemas.openxmlformats.org/officeDocument/2006/relationships/hyperlink" Target="https://nconnect.nicmar.ac.in/storage/profile/ProfilePhoto_P25706003_729314.jpg" TargetMode="External"/><Relationship Id="rId_hyperlink_1017" Type="http://schemas.openxmlformats.org/officeDocument/2006/relationships/hyperlink" Target="https://nconnect.nicmar.ac.in/storage/profile/ProfilePhoto_P25706004_745293.jpg" TargetMode="External"/><Relationship Id="rId_hyperlink_1018" Type="http://schemas.openxmlformats.org/officeDocument/2006/relationships/hyperlink" Target="https://nconnect.nicmar.ac.in/storage/profile/ProfilePhoto_P25706005_369741.jpg" TargetMode="External"/><Relationship Id="rId_hyperlink_1019" Type="http://schemas.openxmlformats.org/officeDocument/2006/relationships/hyperlink" Target="https://nconnect.nicmar.ac.in/storage/profile/ProfilePhoto_P25706006_148672.jpg" TargetMode="External"/><Relationship Id="rId_hyperlink_1020" Type="http://schemas.openxmlformats.org/officeDocument/2006/relationships/hyperlink" Target="https://nconnect.nicmar.ac.in/storage/profile/ProfilePhoto_P25706007_459328.jpg" TargetMode="External"/><Relationship Id="rId_hyperlink_1021" Type="http://schemas.openxmlformats.org/officeDocument/2006/relationships/hyperlink" Target="https://nconnect.nicmar.ac.in/storage/profile/ProfilePhoto_P25706008_824173.jpg" TargetMode="External"/><Relationship Id="rId_hyperlink_1022" Type="http://schemas.openxmlformats.org/officeDocument/2006/relationships/hyperlink" Target="https://nconnect.nicmar.ac.in/storage/profile/ProfilePhoto_P25706009_795423.jpg" TargetMode="External"/><Relationship Id="rId_hyperlink_1023" Type="http://schemas.openxmlformats.org/officeDocument/2006/relationships/hyperlink" Target="https://nconnect.nicmar.ac.in/storage/profile/ProfilePhoto_P25706010_137249.jpg" TargetMode="External"/><Relationship Id="rId_hyperlink_1024" Type="http://schemas.openxmlformats.org/officeDocument/2006/relationships/hyperlink" Target="https://nconnect.nicmar.ac.in/storage/profile/ProfilePhoto_P25706011_687321.jpg" TargetMode="External"/><Relationship Id="rId_hyperlink_1025" Type="http://schemas.openxmlformats.org/officeDocument/2006/relationships/hyperlink" Target="https://nconnect.nicmar.ac.in/storage/profile/ProfilePhoto_P25706012_485726.jpg" TargetMode="External"/><Relationship Id="rId_hyperlink_1026" Type="http://schemas.openxmlformats.org/officeDocument/2006/relationships/hyperlink" Target="https://nconnect.nicmar.ac.in/storage/profile/ProfilePhoto_P25706013_549263.jpg" TargetMode="External"/><Relationship Id="rId_hyperlink_1027" Type="http://schemas.openxmlformats.org/officeDocument/2006/relationships/hyperlink" Target="https://nconnect.nicmar.ac.in/storage/profile/ProfilePhoto_P25706014_412957.jpg" TargetMode="External"/><Relationship Id="rId_hyperlink_1028" Type="http://schemas.openxmlformats.org/officeDocument/2006/relationships/hyperlink" Target="https://nconnect.nicmar.ac.in/storage/profile/ProfilePhoto_P25706015_614758.jpg" TargetMode="External"/><Relationship Id="rId_hyperlink_1029" Type="http://schemas.openxmlformats.org/officeDocument/2006/relationships/hyperlink" Target="https://nconnect.nicmar.ac.in/storage/profile/ProfilePhoto_P25706016_356284.jpg" TargetMode="External"/><Relationship Id="rId_hyperlink_1030" Type="http://schemas.openxmlformats.org/officeDocument/2006/relationships/hyperlink" Target="https://nconnect.nicmar.ac.in/storage/profile/ProfilePhoto_P25706017_423976.jpg" TargetMode="External"/><Relationship Id="rId_hyperlink_1031" Type="http://schemas.openxmlformats.org/officeDocument/2006/relationships/hyperlink" Target="https://nconnect.nicmar.ac.in/storage/profile/ProfilePhoto_P25706018_657438.jpg" TargetMode="External"/><Relationship Id="rId_hyperlink_1032" Type="http://schemas.openxmlformats.org/officeDocument/2006/relationships/hyperlink" Target="https://nconnect.nicmar.ac.in/storage/profile/ProfilePhoto_P25706019_479825.jpg" TargetMode="External"/><Relationship Id="rId_hyperlink_1033" Type="http://schemas.openxmlformats.org/officeDocument/2006/relationships/hyperlink" Target="https://nconnect.nicmar.ac.in/storage/profile/ProfilePhoto_P25706020_473619.jpg" TargetMode="External"/><Relationship Id="rId_hyperlink_1034" Type="http://schemas.openxmlformats.org/officeDocument/2006/relationships/hyperlink" Target="https://nconnect.nicmar.ac.in/storage/profile/6a6b463c54402.png" TargetMode="External"/><Relationship Id="rId_hyperlink_1035" Type="http://schemas.openxmlformats.org/officeDocument/2006/relationships/hyperlink" Target="https://nconnect.nicmar.ac.in/storage/profile/ProfilePhoto_P25706022_813754.jpg" TargetMode="External"/><Relationship Id="rId_hyperlink_1036" Type="http://schemas.openxmlformats.org/officeDocument/2006/relationships/hyperlink" Target="https://nconnect.nicmar.ac.in/storage/profile/ProfilePhoto_P25706023_352879.jpg" TargetMode="External"/><Relationship Id="rId_hyperlink_1037" Type="http://schemas.openxmlformats.org/officeDocument/2006/relationships/hyperlink" Target="https://nconnect.nicmar.ac.in/storage/profile/ProfilePhoto_P25706024_261895.jpg" TargetMode="External"/><Relationship Id="rId_hyperlink_1038" Type="http://schemas.openxmlformats.org/officeDocument/2006/relationships/hyperlink" Target="https://nconnect.nicmar.ac.in/storage/profile/ProfilePhoto_P25706025_139682.jpg" TargetMode="External"/><Relationship Id="rId_hyperlink_1039" Type="http://schemas.openxmlformats.org/officeDocument/2006/relationships/hyperlink" Target="https://nconnect.nicmar.ac.in/storage/profile/ProfilePhoto_P25706026_736918.jpg" TargetMode="External"/><Relationship Id="rId_hyperlink_1040" Type="http://schemas.openxmlformats.org/officeDocument/2006/relationships/hyperlink" Target="https://nconnect.nicmar.ac.in/storage/profile/ProfilePhoto_P25704001_327986.jpg" TargetMode="External"/><Relationship Id="rId_hyperlink_1041" Type="http://schemas.openxmlformats.org/officeDocument/2006/relationships/hyperlink" Target="https://nconnect.nicmar.ac.in/storage/profile/ProfilePhoto_P25704004_981675.jpg" TargetMode="External"/><Relationship Id="rId_hyperlink_1042" Type="http://schemas.openxmlformats.org/officeDocument/2006/relationships/hyperlink" Target="https://nconnect.nicmar.ac.in/storage/profile/ProfilePhoto_P25704005_592674.jpg" TargetMode="External"/><Relationship Id="rId_hyperlink_1043" Type="http://schemas.openxmlformats.org/officeDocument/2006/relationships/hyperlink" Target="https://nconnect.nicmar.ac.in/storage/profile/ProfilePhoto_P25704006_537618.jpg" TargetMode="External"/><Relationship Id="rId_hyperlink_1044" Type="http://schemas.openxmlformats.org/officeDocument/2006/relationships/hyperlink" Target="https://nconnect.nicmar.ac.in/storage/profile/ProfilePhoto_P25704007_382496.jpg" TargetMode="External"/><Relationship Id="rId_hyperlink_1045" Type="http://schemas.openxmlformats.org/officeDocument/2006/relationships/hyperlink" Target="https://nconnect.nicmar.ac.in/storage/profile/ProfilePhoto_P25704008_732964.jpg" TargetMode="External"/><Relationship Id="rId_hyperlink_1046" Type="http://schemas.openxmlformats.org/officeDocument/2006/relationships/hyperlink" Target="https://nconnect.nicmar.ac.in/storage/profile/ProfilePhoto_P25704010_926485.jpg" TargetMode="External"/><Relationship Id="rId_hyperlink_1047" Type="http://schemas.openxmlformats.org/officeDocument/2006/relationships/hyperlink" Target="https://nconnect.nicmar.ac.in/storage/profile/ProfilePhoto_P25704011_741839.jpg" TargetMode="External"/><Relationship Id="rId_hyperlink_1048" Type="http://schemas.openxmlformats.org/officeDocument/2006/relationships/hyperlink" Target="https://nconnect.nicmar.ac.in/storage/profile/ProfilePhoto_P25704012_517239.jpg" TargetMode="External"/><Relationship Id="rId_hyperlink_1049" Type="http://schemas.openxmlformats.org/officeDocument/2006/relationships/hyperlink" Target="https://nconnect.nicmar.ac.in/storage/profile/ProfilePhoto_P25704014_271968.jpg" TargetMode="External"/><Relationship Id="rId_hyperlink_1050" Type="http://schemas.openxmlformats.org/officeDocument/2006/relationships/hyperlink" Target="https://nconnect.nicmar.ac.in/storage/profile/ProfilePhoto_P25704015_271856.jpg" TargetMode="External"/><Relationship Id="rId_hyperlink_1051" Type="http://schemas.openxmlformats.org/officeDocument/2006/relationships/hyperlink" Target="https://nconnect.nicmar.ac.in/storage/profile/ProfilePhoto_P25704016_615842.jpg" TargetMode="External"/><Relationship Id="rId_hyperlink_1052" Type="http://schemas.openxmlformats.org/officeDocument/2006/relationships/hyperlink" Target="https://nconnect.nicmar.ac.in/storage/profile/ProfilePhoto_P25704017_891326.jpg" TargetMode="External"/><Relationship Id="rId_hyperlink_1053" Type="http://schemas.openxmlformats.org/officeDocument/2006/relationships/hyperlink" Target="https://nconnect.nicmar.ac.in/storage/profile/ProfilePhoto_P25704018_982543.jpg" TargetMode="External"/><Relationship Id="rId_hyperlink_1054" Type="http://schemas.openxmlformats.org/officeDocument/2006/relationships/hyperlink" Target="https://nconnect.nicmar.ac.in/storage/profile/ProfilePhoto_P25704019_593674.jpg" TargetMode="External"/><Relationship Id="rId_hyperlink_1055" Type="http://schemas.openxmlformats.org/officeDocument/2006/relationships/hyperlink" Target="https://nconnect.nicmar.ac.in/storage/profile/ProfilePhoto_P25704020_278361.jpg" TargetMode="External"/><Relationship Id="rId_hyperlink_1056" Type="http://schemas.openxmlformats.org/officeDocument/2006/relationships/hyperlink" Target="https://nconnect.nicmar.ac.in/storage/profile/ProfilePhoto_P25704021_426987.jpg" TargetMode="External"/><Relationship Id="rId_hyperlink_1057" Type="http://schemas.openxmlformats.org/officeDocument/2006/relationships/hyperlink" Target="https://nconnect.nicmar.ac.in/storage/profile/ProfilePhoto_P25704022_561872.jpg" TargetMode="External"/><Relationship Id="rId_hyperlink_1058" Type="http://schemas.openxmlformats.org/officeDocument/2006/relationships/hyperlink" Target="https://nconnect.nicmar.ac.in/storage/profile/ProfilePhoto_P25704023_534962.jpg" TargetMode="External"/><Relationship Id="rId_hyperlink_1059" Type="http://schemas.openxmlformats.org/officeDocument/2006/relationships/hyperlink" Target="https://nconnect.nicmar.ac.in/storage/profile/ProfilePhoto_P25704024_853971.jpg" TargetMode="External"/><Relationship Id="rId_hyperlink_1060" Type="http://schemas.openxmlformats.org/officeDocument/2006/relationships/hyperlink" Target="https://nconnect.nicmar.ac.in/storage/profile/ProfilePhoto_P25704025_279518.jpg" TargetMode="External"/><Relationship Id="rId_hyperlink_1061" Type="http://schemas.openxmlformats.org/officeDocument/2006/relationships/hyperlink" Target="https://nconnect.nicmar.ac.in/storage/profile/ProfilePhoto_P25704026_986524.jpg" TargetMode="External"/><Relationship Id="rId_hyperlink_1062" Type="http://schemas.openxmlformats.org/officeDocument/2006/relationships/hyperlink" Target="https://nconnect.nicmar.ac.in/storage/profile/ProfilePhoto_P25704027_845267.jpg" TargetMode="External"/><Relationship Id="rId_hyperlink_1063" Type="http://schemas.openxmlformats.org/officeDocument/2006/relationships/hyperlink" Target="https://nconnect.nicmar.ac.in/storage/profile/ProfilePhoto_P25704028_759214.jpg" TargetMode="External"/><Relationship Id="rId_hyperlink_1064" Type="http://schemas.openxmlformats.org/officeDocument/2006/relationships/hyperlink" Target="https://nconnect.nicmar.ac.in/storage/profile/ProfilePhoto_P25704029_425917.jpg" TargetMode="External"/><Relationship Id="rId_hyperlink_1065" Type="http://schemas.openxmlformats.org/officeDocument/2006/relationships/hyperlink" Target="https://nconnect.nicmar.ac.in/storage/profile/ProfilePhoto_P25704030_279351.jpg" TargetMode="External"/><Relationship Id="rId_hyperlink_1066" Type="http://schemas.openxmlformats.org/officeDocument/2006/relationships/hyperlink" Target="https://nconnect.nicmar.ac.in/storage/profile/ProfilePhoto_P25704032_987163.jpg" TargetMode="External"/><Relationship Id="rId_hyperlink_1067" Type="http://schemas.openxmlformats.org/officeDocument/2006/relationships/hyperlink" Target="https://nconnect.nicmar.ac.in/storage/profile/ProfilePhoto_P25704033_491638.jpg" TargetMode="External"/><Relationship Id="rId_hyperlink_1068" Type="http://schemas.openxmlformats.org/officeDocument/2006/relationships/hyperlink" Target="https://nconnect.nicmar.ac.in/storage/profile/ProfilePhoto_P25704034_924785.jpg" TargetMode="External"/><Relationship Id="rId_hyperlink_1069" Type="http://schemas.openxmlformats.org/officeDocument/2006/relationships/hyperlink" Target="https://nconnect.nicmar.ac.in/storage/profile/ProfilePhoto_P25704035_451867.jpg" TargetMode="External"/><Relationship Id="rId_hyperlink_1070" Type="http://schemas.openxmlformats.org/officeDocument/2006/relationships/hyperlink" Target="https://nconnect.nicmar.ac.in/storage/profile/ProfilePhoto_P25704036_238451.jpg" TargetMode="External"/><Relationship Id="rId_hyperlink_1071" Type="http://schemas.openxmlformats.org/officeDocument/2006/relationships/hyperlink" Target="https://nconnect.nicmar.ac.in/storage/profile/ProfilePhoto_P25704038_832517.jpg" TargetMode="External"/><Relationship Id="rId_hyperlink_1072" Type="http://schemas.openxmlformats.org/officeDocument/2006/relationships/hyperlink" Target="https://nconnect.nicmar.ac.in/storage/profile/6a7f2e8348ded.png" TargetMode="External"/><Relationship Id="rId_hyperlink_1073" Type="http://schemas.openxmlformats.org/officeDocument/2006/relationships/hyperlink" Target="https://nconnect.nicmar.ac.in/storage/profile/6a263d01e588c.png" TargetMode="External"/><Relationship Id="rId_hyperlink_1074" Type="http://schemas.openxmlformats.org/officeDocument/2006/relationships/hyperlink" Target="https://nconnect.nicmar.ac.in/storage/profile/6a2643dfcb805.png" TargetMode="External"/><Relationship Id="rId_hyperlink_1075" Type="http://schemas.openxmlformats.org/officeDocument/2006/relationships/hyperlink" Target="https://nconnect.nicmar.ac.in/storage/profile/6a6b564870642.png" TargetMode="External"/><Relationship Id="rId_hyperlink_1076" Type="http://schemas.openxmlformats.org/officeDocument/2006/relationships/hyperlink" Target="https://nconnect.nicmar.ac.in/storage/profile/6a6b57a3643cb.png" TargetMode="External"/><Relationship Id="rId_hyperlink_1077" Type="http://schemas.openxmlformats.org/officeDocument/2006/relationships/hyperlink" Target="https://nconnect.nicmar.ac.in/storage/profile/ProfilePhoto_P25701096_463592.jpg" TargetMode="External"/><Relationship Id="rId_hyperlink_1078" Type="http://schemas.openxmlformats.org/officeDocument/2006/relationships/hyperlink" Target="https://nconnect.nicmar.ac.in/storage/profile/6a6b584cd0173.png" TargetMode="External"/><Relationship Id="rId_hyperlink_1079" Type="http://schemas.openxmlformats.org/officeDocument/2006/relationships/hyperlink" Target="https://nconnect.nicmar.ac.in/storage/profile/ProfilePhoto_P25707011_829531.jpg" TargetMode="External"/><Relationship Id="rId_hyperlink_1080" Type="http://schemas.openxmlformats.org/officeDocument/2006/relationships/hyperlink" Target="https://nconnect.nicmar.ac.in/storage/profile/ProfilePhoto_P25707012_126357.jpg" TargetMode="External"/><Relationship Id="rId_hyperlink_1081" Type="http://schemas.openxmlformats.org/officeDocument/2006/relationships/hyperlink" Target="https://nconnect.nicmar.ac.in/storage/profile/ProfilePhoto_P25707013_359281.jpg" TargetMode="External"/><Relationship Id="rId_hyperlink_1082" Type="http://schemas.openxmlformats.org/officeDocument/2006/relationships/hyperlink" Target="https://nconnect.nicmar.ac.in/storage/profile/ProfilePhoto_P25707014_759148.jpg" TargetMode="External"/><Relationship Id="rId_hyperlink_1083" Type="http://schemas.openxmlformats.org/officeDocument/2006/relationships/hyperlink" Target="https://nconnect.nicmar.ac.in/storage/profile/ProfilePhoto_P25707015_275148.jpg" TargetMode="External"/><Relationship Id="rId_hyperlink_1084" Type="http://schemas.openxmlformats.org/officeDocument/2006/relationships/hyperlink" Target="https://nconnect.nicmar.ac.in/storage/profile/ProfilePhoto_P25707016_126584.jpg" TargetMode="External"/><Relationship Id="rId_hyperlink_1085" Type="http://schemas.openxmlformats.org/officeDocument/2006/relationships/hyperlink" Target="https://nconnect.nicmar.ac.in/storage/profile/ProfilePhoto_P25707017_492153.jpg" TargetMode="External"/><Relationship Id="rId_hyperlink_1086" Type="http://schemas.openxmlformats.org/officeDocument/2006/relationships/hyperlink" Target="https://nconnect.nicmar.ac.in/storage/profile/ProfilePhoto_P25707018_314526.jpg" TargetMode="External"/><Relationship Id="rId_hyperlink_1087" Type="http://schemas.openxmlformats.org/officeDocument/2006/relationships/hyperlink" Target="https://nconnect.nicmar.ac.in/storage/profile/ProfilePhoto_P25707021_512496.jpg" TargetMode="External"/><Relationship Id="rId_hyperlink_1088" Type="http://schemas.openxmlformats.org/officeDocument/2006/relationships/hyperlink" Target="https://nconnect.nicmar.ac.in/storage/profile/ProfilePhoto_P25707022_251376.jpg" TargetMode="External"/><Relationship Id="rId_hyperlink_1089" Type="http://schemas.openxmlformats.org/officeDocument/2006/relationships/hyperlink" Target="https://nconnect.nicmar.ac.in/storage/profile/ProfilePhoto_P25707023_842739.jpg" TargetMode="External"/><Relationship Id="rId_hyperlink_1090" Type="http://schemas.openxmlformats.org/officeDocument/2006/relationships/hyperlink" Target="https://nconnect.nicmar.ac.in/storage/profile/ProfilePhoto_P25707024_269347.jpg" TargetMode="External"/><Relationship Id="rId_hyperlink_1091" Type="http://schemas.openxmlformats.org/officeDocument/2006/relationships/hyperlink" Target="https://nconnect.nicmar.ac.in/storage/profile/ProfilePhoto_P25707025_542186.jpg" TargetMode="External"/><Relationship Id="rId_hyperlink_1092" Type="http://schemas.openxmlformats.org/officeDocument/2006/relationships/hyperlink" Target="https://nconnect.nicmar.ac.in/storage/profile/ProfilePhoto_P25707026_581379.jpg" TargetMode="External"/><Relationship Id="rId_hyperlink_1093" Type="http://schemas.openxmlformats.org/officeDocument/2006/relationships/hyperlink" Target="https://nconnect.nicmar.ac.in/storage/profile/ProfilePhoto_P25707027_184539.jpg" TargetMode="External"/><Relationship Id="rId_hyperlink_1094" Type="http://schemas.openxmlformats.org/officeDocument/2006/relationships/hyperlink" Target="https://nconnect.nicmar.ac.in/storage/profile/ProfilePhoto_P25707028_695231.jpg" TargetMode="External"/><Relationship Id="rId_hyperlink_1095" Type="http://schemas.openxmlformats.org/officeDocument/2006/relationships/hyperlink" Target="https://nconnect.nicmar.ac.in/storage/profile/ProfilePhoto_P25707029_139628.jpg" TargetMode="External"/><Relationship Id="rId_hyperlink_1096" Type="http://schemas.openxmlformats.org/officeDocument/2006/relationships/hyperlink" Target="https://nconnect.nicmar.ac.in/storage/profile/ProfilePhoto_P25707030_263785.jpg" TargetMode="External"/><Relationship Id="rId_hyperlink_1097" Type="http://schemas.openxmlformats.org/officeDocument/2006/relationships/hyperlink" Target="https://nconnect.nicmar.ac.in/storage/profile/ProfilePhoto_P25707031_731429.jpg" TargetMode="External"/><Relationship Id="rId_hyperlink_1098" Type="http://schemas.openxmlformats.org/officeDocument/2006/relationships/hyperlink" Target="https://nconnect.nicmar.ac.in/storage/profile/ProfilePhoto_P25707033_857492.jpg" TargetMode="External"/><Relationship Id="rId_hyperlink_1099" Type="http://schemas.openxmlformats.org/officeDocument/2006/relationships/hyperlink" Target="https://nconnect.nicmar.ac.in/storage/profile/ProfilePhoto_P25707034_398276.jpg" TargetMode="External"/><Relationship Id="rId_hyperlink_1100" Type="http://schemas.openxmlformats.org/officeDocument/2006/relationships/hyperlink" Target="https://nconnect.nicmar.ac.in/storage/profile/ProfilePhoto_P25707035_892731.jpg" TargetMode="External"/><Relationship Id="rId_hyperlink_1101" Type="http://schemas.openxmlformats.org/officeDocument/2006/relationships/hyperlink" Target="https://nconnect.nicmar.ac.in/storage/profile/ProfilePhoto_P25707036_319574.jpg" TargetMode="External"/><Relationship Id="rId_hyperlink_1102" Type="http://schemas.openxmlformats.org/officeDocument/2006/relationships/hyperlink" Target="https://nconnect.nicmar.ac.in/storage/profile/ProfilePhoto_P25707037_629387.jpg" TargetMode="External"/><Relationship Id="rId_hyperlink_1103" Type="http://schemas.openxmlformats.org/officeDocument/2006/relationships/hyperlink" Target="https://nconnect.nicmar.ac.in/storage/profile/ProfilePhoto_P25707038_634579.jpg" TargetMode="External"/><Relationship Id="rId_hyperlink_1104" Type="http://schemas.openxmlformats.org/officeDocument/2006/relationships/hyperlink" Target="https://nconnect.nicmar.ac.in/storage/profile/ProfilePhoto_P25707039_752349.jpg" TargetMode="External"/><Relationship Id="rId_hyperlink_1105" Type="http://schemas.openxmlformats.org/officeDocument/2006/relationships/hyperlink" Target="https://nconnect.nicmar.ac.in/storage/profile/ProfilePhoto_P25701001_763985.jpg" TargetMode="External"/><Relationship Id="rId_hyperlink_1106" Type="http://schemas.openxmlformats.org/officeDocument/2006/relationships/hyperlink" Target="https://nconnect.nicmar.ac.in/storage/profile/ProfilePhoto_P25701002_568417.jpg" TargetMode="External"/><Relationship Id="rId_hyperlink_1107" Type="http://schemas.openxmlformats.org/officeDocument/2006/relationships/hyperlink" Target="https://nconnect.nicmar.ac.in/storage/profile/ProfilePhoto_P25701003_852167.jpg" TargetMode="External"/><Relationship Id="rId_hyperlink_1108" Type="http://schemas.openxmlformats.org/officeDocument/2006/relationships/hyperlink" Target="https://nconnect.nicmar.ac.in/storage/profile/ProfilePhoto_P25701004_384192.jpg" TargetMode="External"/><Relationship Id="rId_hyperlink_1109" Type="http://schemas.openxmlformats.org/officeDocument/2006/relationships/hyperlink" Target="https://nconnect.nicmar.ac.in/storage/profile/ProfilePhoto_P25701005_496138.jpg" TargetMode="External"/><Relationship Id="rId_hyperlink_1110" Type="http://schemas.openxmlformats.org/officeDocument/2006/relationships/hyperlink" Target="https://nconnect.nicmar.ac.in/storage/profile/ProfilePhoto_P25701007_349827.jpg" TargetMode="External"/><Relationship Id="rId_hyperlink_1111" Type="http://schemas.openxmlformats.org/officeDocument/2006/relationships/hyperlink" Target="https://nconnect.nicmar.ac.in/storage/profile/ProfilePhoto_P25701008_873691.jpg" TargetMode="External"/><Relationship Id="rId_hyperlink_1112" Type="http://schemas.openxmlformats.org/officeDocument/2006/relationships/hyperlink" Target="https://nconnect.nicmar.ac.in/storage/profile/ProfilePhoto_P25701009_968471.jpg" TargetMode="External"/><Relationship Id="rId_hyperlink_1113" Type="http://schemas.openxmlformats.org/officeDocument/2006/relationships/hyperlink" Target="https://nconnect.nicmar.ac.in/storage/profile/ProfilePhoto_P25701010_479156.jpg" TargetMode="External"/><Relationship Id="rId_hyperlink_1114" Type="http://schemas.openxmlformats.org/officeDocument/2006/relationships/hyperlink" Target="https://nconnect.nicmar.ac.in/storage/profile/ProfilePhoto_P25701011_932476.jpg" TargetMode="External"/><Relationship Id="rId_hyperlink_1115" Type="http://schemas.openxmlformats.org/officeDocument/2006/relationships/hyperlink" Target="https://nconnect.nicmar.ac.in/storage/profile/ProfilePhoto_P25701013_148267.jpg" TargetMode="External"/><Relationship Id="rId_hyperlink_1116" Type="http://schemas.openxmlformats.org/officeDocument/2006/relationships/hyperlink" Target="https://nconnect.nicmar.ac.in/storage/profile/ProfilePhoto_P25701014_782496.jpg" TargetMode="External"/><Relationship Id="rId_hyperlink_1117" Type="http://schemas.openxmlformats.org/officeDocument/2006/relationships/hyperlink" Target="https://nconnect.nicmar.ac.in/storage/profile/ProfilePhoto_P25701015_578136.jpg" TargetMode="External"/><Relationship Id="rId_hyperlink_1118" Type="http://schemas.openxmlformats.org/officeDocument/2006/relationships/hyperlink" Target="https://nconnect.nicmar.ac.in/storage/profile/ProfilePhoto_P25701016_248953.jpg" TargetMode="External"/><Relationship Id="rId_hyperlink_1119" Type="http://schemas.openxmlformats.org/officeDocument/2006/relationships/hyperlink" Target="https://nconnect.nicmar.ac.in/storage/profile/ProfilePhoto_P25701017_283697.jpg" TargetMode="External"/><Relationship Id="rId_hyperlink_1120" Type="http://schemas.openxmlformats.org/officeDocument/2006/relationships/hyperlink" Target="https://nconnect.nicmar.ac.in/storage/profile/ProfilePhoto_P25701018_163478.jpg" TargetMode="External"/><Relationship Id="rId_hyperlink_1121" Type="http://schemas.openxmlformats.org/officeDocument/2006/relationships/hyperlink" Target="https://nconnect.nicmar.ac.in/storage/profile/ProfilePhoto_P25701020_926453.jpg" TargetMode="External"/><Relationship Id="rId_hyperlink_1122" Type="http://schemas.openxmlformats.org/officeDocument/2006/relationships/hyperlink" Target="https://nconnect.nicmar.ac.in/storage/profile/ProfilePhoto_P25701021_792318.jpg" TargetMode="External"/><Relationship Id="rId_hyperlink_1123" Type="http://schemas.openxmlformats.org/officeDocument/2006/relationships/hyperlink" Target="https://nconnect.nicmar.ac.in/storage/profile/ProfilePhoto_P25701022_635789.jpg" TargetMode="External"/><Relationship Id="rId_hyperlink_1124" Type="http://schemas.openxmlformats.org/officeDocument/2006/relationships/hyperlink" Target="https://nconnect.nicmar.ac.in/storage/profile/ProfilePhoto_P25701024_187362.jpg" TargetMode="External"/><Relationship Id="rId_hyperlink_1125" Type="http://schemas.openxmlformats.org/officeDocument/2006/relationships/hyperlink" Target="https://nconnect.nicmar.ac.in/storage/profile/ProfilePhoto_P25701025_745183.jpg" TargetMode="External"/><Relationship Id="rId_hyperlink_1126" Type="http://schemas.openxmlformats.org/officeDocument/2006/relationships/hyperlink" Target="https://nconnect.nicmar.ac.in/storage/profile/ProfilePhoto_P25701026_834126.jpg" TargetMode="External"/><Relationship Id="rId_hyperlink_1127" Type="http://schemas.openxmlformats.org/officeDocument/2006/relationships/hyperlink" Target="https://nconnect.nicmar.ac.in/storage/profile/ProfilePhoto_P25701027_634982.jpg" TargetMode="External"/><Relationship Id="rId_hyperlink_1128" Type="http://schemas.openxmlformats.org/officeDocument/2006/relationships/hyperlink" Target="https://nconnect.nicmar.ac.in/storage/profile/ProfilePhoto_P25701028_358741.jpg" TargetMode="External"/><Relationship Id="rId_hyperlink_1129" Type="http://schemas.openxmlformats.org/officeDocument/2006/relationships/hyperlink" Target="https://nconnect.nicmar.ac.in/storage/profile/ProfilePhoto_P25701029_843927.jpg" TargetMode="External"/><Relationship Id="rId_hyperlink_1130" Type="http://schemas.openxmlformats.org/officeDocument/2006/relationships/hyperlink" Target="https://nconnect.nicmar.ac.in/storage/profile/ProfilePhoto_P25701030_785132.jpg" TargetMode="External"/><Relationship Id="rId_hyperlink_1131" Type="http://schemas.openxmlformats.org/officeDocument/2006/relationships/hyperlink" Target="https://nconnect.nicmar.ac.in/storage/profile/ProfilePhoto_P25701031_957842.jpg" TargetMode="External"/><Relationship Id="rId_hyperlink_1132" Type="http://schemas.openxmlformats.org/officeDocument/2006/relationships/hyperlink" Target="https://nconnect.nicmar.ac.in/storage/profile/ProfilePhoto_P25701032_539862.jpg" TargetMode="External"/><Relationship Id="rId_hyperlink_1133" Type="http://schemas.openxmlformats.org/officeDocument/2006/relationships/hyperlink" Target="https://nconnect.nicmar.ac.in/storage/profile/ProfilePhoto_P25701033_941258.jpg" TargetMode="External"/><Relationship Id="rId_hyperlink_1134" Type="http://schemas.openxmlformats.org/officeDocument/2006/relationships/hyperlink" Target="https://nconnect.nicmar.ac.in/storage/profile/ProfilePhoto_P25701034_463527.jpg" TargetMode="External"/><Relationship Id="rId_hyperlink_1135" Type="http://schemas.openxmlformats.org/officeDocument/2006/relationships/hyperlink" Target="https://nconnect.nicmar.ac.in/storage/profile/ProfilePhoto_P25701035_827956.jpg" TargetMode="External"/><Relationship Id="rId_hyperlink_1136" Type="http://schemas.openxmlformats.org/officeDocument/2006/relationships/hyperlink" Target="https://nconnect.nicmar.ac.in/storage/profile/ProfilePhoto_P25701036_451738.jpg" TargetMode="External"/><Relationship Id="rId_hyperlink_1137" Type="http://schemas.openxmlformats.org/officeDocument/2006/relationships/hyperlink" Target="https://nconnect.nicmar.ac.in/storage/profile/ProfilePhoto_P25701037_823671.jpg" TargetMode="External"/><Relationship Id="rId_hyperlink_1138" Type="http://schemas.openxmlformats.org/officeDocument/2006/relationships/hyperlink" Target="https://nconnect.nicmar.ac.in/storage/profile/ProfilePhoto_P25701038_647513.jpg" TargetMode="External"/><Relationship Id="rId_hyperlink_1139" Type="http://schemas.openxmlformats.org/officeDocument/2006/relationships/hyperlink" Target="https://nconnect.nicmar.ac.in/storage/profile/ProfilePhoto_P25701040_275319.jpg" TargetMode="External"/><Relationship Id="rId_hyperlink_1140" Type="http://schemas.openxmlformats.org/officeDocument/2006/relationships/hyperlink" Target="https://nconnect.nicmar.ac.in/storage/profile/ProfilePhoto_P25701041_738129.jpg" TargetMode="External"/><Relationship Id="rId_hyperlink_1141" Type="http://schemas.openxmlformats.org/officeDocument/2006/relationships/hyperlink" Target="https://nconnect.nicmar.ac.in/storage/profile/ProfilePhoto_P25701042_567892.jpg" TargetMode="External"/><Relationship Id="rId_hyperlink_1142" Type="http://schemas.openxmlformats.org/officeDocument/2006/relationships/hyperlink" Target="https://nconnect.nicmar.ac.in/storage/profile/ProfilePhoto_P25701043_584167.jpg" TargetMode="External"/><Relationship Id="rId_hyperlink_1143" Type="http://schemas.openxmlformats.org/officeDocument/2006/relationships/hyperlink" Target="https://nconnect.nicmar.ac.in/storage/profile/ProfilePhoto_P25701044_378594.jpg" TargetMode="External"/><Relationship Id="rId_hyperlink_1144" Type="http://schemas.openxmlformats.org/officeDocument/2006/relationships/hyperlink" Target="https://nconnect.nicmar.ac.in/storage/profile/ProfilePhoto_P25701045_798341.jpg" TargetMode="External"/><Relationship Id="rId_hyperlink_1145" Type="http://schemas.openxmlformats.org/officeDocument/2006/relationships/hyperlink" Target="https://nconnect.nicmar.ac.in/storage/profile/ProfilePhoto_P25701047_179582.jpg" TargetMode="External"/><Relationship Id="rId_hyperlink_1146" Type="http://schemas.openxmlformats.org/officeDocument/2006/relationships/hyperlink" Target="https://nconnect.nicmar.ac.in/storage/profile/ProfilePhoto_P25701048_947136.jpg" TargetMode="External"/><Relationship Id="rId_hyperlink_1147" Type="http://schemas.openxmlformats.org/officeDocument/2006/relationships/hyperlink" Target="https://nconnect.nicmar.ac.in/storage/profile/ProfilePhoto_P25701049_942516.jpg" TargetMode="External"/><Relationship Id="rId_hyperlink_1148" Type="http://schemas.openxmlformats.org/officeDocument/2006/relationships/hyperlink" Target="https://nconnect.nicmar.ac.in/storage/profile/ProfilePhoto_P25701050_146523.jpg" TargetMode="External"/><Relationship Id="rId_hyperlink_1149" Type="http://schemas.openxmlformats.org/officeDocument/2006/relationships/hyperlink" Target="https://nconnect.nicmar.ac.in/storage/profile/ProfilePhoto_P25701051_864915.jpg" TargetMode="External"/><Relationship Id="rId_hyperlink_1150" Type="http://schemas.openxmlformats.org/officeDocument/2006/relationships/hyperlink" Target="https://nconnect.nicmar.ac.in/storage/profile/ProfilePhoto_P25701052_917684.jpg" TargetMode="External"/><Relationship Id="rId_hyperlink_1151" Type="http://schemas.openxmlformats.org/officeDocument/2006/relationships/hyperlink" Target="https://nconnect.nicmar.ac.in/storage/profile/ProfilePhoto_P25701053_372945.jpg" TargetMode="External"/><Relationship Id="rId_hyperlink_1152" Type="http://schemas.openxmlformats.org/officeDocument/2006/relationships/hyperlink" Target="https://nconnect.nicmar.ac.in/storage/profile/ProfilePhoto_P25701054_928375.jpg" TargetMode="External"/><Relationship Id="rId_hyperlink_1153" Type="http://schemas.openxmlformats.org/officeDocument/2006/relationships/hyperlink" Target="https://nconnect.nicmar.ac.in/storage/profile/ProfilePhoto_P25701055_348719.jpg" TargetMode="External"/><Relationship Id="rId_hyperlink_1154" Type="http://schemas.openxmlformats.org/officeDocument/2006/relationships/hyperlink" Target="https://nconnect.nicmar.ac.in/storage/profile/ProfilePhoto_P25701056_321589.jpg" TargetMode="External"/><Relationship Id="rId_hyperlink_1155" Type="http://schemas.openxmlformats.org/officeDocument/2006/relationships/hyperlink" Target="https://nconnect.nicmar.ac.in/storage/profile/ProfilePhoto_P25701057_742385.jpg" TargetMode="External"/><Relationship Id="rId_hyperlink_1156" Type="http://schemas.openxmlformats.org/officeDocument/2006/relationships/hyperlink" Target="https://nconnect.nicmar.ac.in/storage/profile/ProfilePhoto_P25701058_382415.jpg" TargetMode="External"/><Relationship Id="rId_hyperlink_1157" Type="http://schemas.openxmlformats.org/officeDocument/2006/relationships/hyperlink" Target="https://nconnect.nicmar.ac.in/storage/profile/ProfilePhoto_P25701059_618749.jpg" TargetMode="External"/><Relationship Id="rId_hyperlink_1158" Type="http://schemas.openxmlformats.org/officeDocument/2006/relationships/hyperlink" Target="https://nconnect.nicmar.ac.in/storage/profile/ProfilePhoto_P25701060_532694.jpg" TargetMode="External"/><Relationship Id="rId_hyperlink_1159" Type="http://schemas.openxmlformats.org/officeDocument/2006/relationships/hyperlink" Target="https://nconnect.nicmar.ac.in/storage/profile/ProfilePhoto_P25701061_738146.jpg" TargetMode="External"/><Relationship Id="rId_hyperlink_1160" Type="http://schemas.openxmlformats.org/officeDocument/2006/relationships/hyperlink" Target="https://nconnect.nicmar.ac.in/storage/profile/ProfilePhoto_P25701062_418765.jpg" TargetMode="External"/><Relationship Id="rId_hyperlink_1161" Type="http://schemas.openxmlformats.org/officeDocument/2006/relationships/hyperlink" Target="https://nconnect.nicmar.ac.in/storage/profile/ProfilePhoto_P25701063_213945.jpg" TargetMode="External"/><Relationship Id="rId_hyperlink_1162" Type="http://schemas.openxmlformats.org/officeDocument/2006/relationships/hyperlink" Target="https://nconnect.nicmar.ac.in/storage/profile/ProfilePhoto_P25701064_689127.jpg" TargetMode="External"/><Relationship Id="rId_hyperlink_1163" Type="http://schemas.openxmlformats.org/officeDocument/2006/relationships/hyperlink" Target="https://nconnect.nicmar.ac.in/storage/profile/ProfilePhoto_P25701065_158739.jpg" TargetMode="External"/><Relationship Id="rId_hyperlink_1164" Type="http://schemas.openxmlformats.org/officeDocument/2006/relationships/hyperlink" Target="https://nconnect.nicmar.ac.in/storage/profile/ProfilePhoto_P25701066_926834.jpg" TargetMode="External"/><Relationship Id="rId_hyperlink_1165" Type="http://schemas.openxmlformats.org/officeDocument/2006/relationships/hyperlink" Target="https://nconnect.nicmar.ac.in/storage/profile/ProfilePhoto_P25701067_261389.jpg" TargetMode="External"/><Relationship Id="rId_hyperlink_1166" Type="http://schemas.openxmlformats.org/officeDocument/2006/relationships/hyperlink" Target="https://nconnect.nicmar.ac.in/storage/profile/ProfilePhoto_P25701068_489276.jpg" TargetMode="External"/><Relationship Id="rId_hyperlink_1167" Type="http://schemas.openxmlformats.org/officeDocument/2006/relationships/hyperlink" Target="https://nconnect.nicmar.ac.in/storage/profile/ProfilePhoto_P25701070_249536.jpg" TargetMode="External"/><Relationship Id="rId_hyperlink_1168" Type="http://schemas.openxmlformats.org/officeDocument/2006/relationships/hyperlink" Target="https://nconnect.nicmar.ac.in/storage/profile/ProfilePhoto_P25701071_961527.jpg" TargetMode="External"/><Relationship Id="rId_hyperlink_1169" Type="http://schemas.openxmlformats.org/officeDocument/2006/relationships/hyperlink" Target="https://nconnect.nicmar.ac.in/storage/profile/ProfilePhoto_P25701073_431986.jpg" TargetMode="External"/><Relationship Id="rId_hyperlink_1170" Type="http://schemas.openxmlformats.org/officeDocument/2006/relationships/hyperlink" Target="https://nconnect.nicmar.ac.in/storage/profile/ProfilePhoto_P25701074_918327.jpg" TargetMode="External"/><Relationship Id="rId_hyperlink_1171" Type="http://schemas.openxmlformats.org/officeDocument/2006/relationships/hyperlink" Target="https://nconnect.nicmar.ac.in/storage/profile/ProfilePhoto_P25701075_871349.jpg" TargetMode="External"/><Relationship Id="rId_hyperlink_1172" Type="http://schemas.openxmlformats.org/officeDocument/2006/relationships/hyperlink" Target="https://nconnect.nicmar.ac.in/storage/profile/ProfilePhoto_P25701076_837462.jpg" TargetMode="External"/><Relationship Id="rId_hyperlink_1173" Type="http://schemas.openxmlformats.org/officeDocument/2006/relationships/hyperlink" Target="https://nconnect.nicmar.ac.in/storage/profile/ProfilePhoto_P25701077_254678.jpg" TargetMode="External"/><Relationship Id="rId_hyperlink_1174" Type="http://schemas.openxmlformats.org/officeDocument/2006/relationships/hyperlink" Target="https://nconnect.nicmar.ac.in/storage/profile/ProfilePhoto_P25701078_946752.jpg" TargetMode="External"/><Relationship Id="rId_hyperlink_1175" Type="http://schemas.openxmlformats.org/officeDocument/2006/relationships/hyperlink" Target="https://nconnect.nicmar.ac.in/storage/profile/ProfilePhoto_P25701080_291384.jpg" TargetMode="External"/><Relationship Id="rId_hyperlink_1176" Type="http://schemas.openxmlformats.org/officeDocument/2006/relationships/hyperlink" Target="https://nconnect.nicmar.ac.in/storage/profile/ProfilePhoto_P25701082_517926.jpg" TargetMode="External"/><Relationship Id="rId_hyperlink_1177" Type="http://schemas.openxmlformats.org/officeDocument/2006/relationships/hyperlink" Target="https://nconnect.nicmar.ac.in/storage/profile/ProfilePhoto_P25701083_263178.jpg" TargetMode="External"/><Relationship Id="rId_hyperlink_1178" Type="http://schemas.openxmlformats.org/officeDocument/2006/relationships/hyperlink" Target="https://nconnect.nicmar.ac.in/storage/profile/ProfilePhoto_P25701084_612374.jpg" TargetMode="External"/><Relationship Id="rId_hyperlink_1179" Type="http://schemas.openxmlformats.org/officeDocument/2006/relationships/hyperlink" Target="https://nconnect.nicmar.ac.in/storage/profile/ProfilePhoto_P25701085_372584.jpg" TargetMode="External"/><Relationship Id="rId_hyperlink_1180" Type="http://schemas.openxmlformats.org/officeDocument/2006/relationships/hyperlink" Target="https://nconnect.nicmar.ac.in/storage/profile/ProfilePhoto_P25701087_365981.jpg" TargetMode="External"/><Relationship Id="rId_hyperlink_1181" Type="http://schemas.openxmlformats.org/officeDocument/2006/relationships/hyperlink" Target="https://nconnect.nicmar.ac.in/storage/profile/ProfilePhoto_P25701088_378519.jpg" TargetMode="External"/><Relationship Id="rId_hyperlink_1182" Type="http://schemas.openxmlformats.org/officeDocument/2006/relationships/hyperlink" Target="https://nconnect.nicmar.ac.in/storage/profile/ProfilePhoto_P25701089_251937.jpg" TargetMode="External"/><Relationship Id="rId_hyperlink_1183" Type="http://schemas.openxmlformats.org/officeDocument/2006/relationships/hyperlink" Target="https://nconnect.nicmar.ac.in/storage/profile/ProfilePhoto_P25701090_859126.jpg" TargetMode="External"/><Relationship Id="rId_hyperlink_1184" Type="http://schemas.openxmlformats.org/officeDocument/2006/relationships/hyperlink" Target="https://nconnect.nicmar.ac.in/storage/profile/ProfilePhoto_P25701091_628517.jpg" TargetMode="External"/><Relationship Id="rId_hyperlink_1185" Type="http://schemas.openxmlformats.org/officeDocument/2006/relationships/hyperlink" Target="https://nconnect.nicmar.ac.in/storage/profile/ProfilePhoto_P25701092_936487.jpg" TargetMode="External"/><Relationship Id="rId_hyperlink_1186" Type="http://schemas.openxmlformats.org/officeDocument/2006/relationships/hyperlink" Target="https://nconnect.nicmar.ac.in/storage/profile/ProfilePhoto_P25701093_486973.jpg" TargetMode="External"/><Relationship Id="rId_hyperlink_1187" Type="http://schemas.openxmlformats.org/officeDocument/2006/relationships/hyperlink" Target="https://nconnect.nicmar.ac.in/storage/profile/ProfilePhoto_P25701094_546218.jpg" TargetMode="External"/><Relationship Id="rId_hyperlink_1188" Type="http://schemas.openxmlformats.org/officeDocument/2006/relationships/hyperlink" Target="https://nconnect.nicmar.ac.in/storage/profile/ProfilePhoto_P25701095_712486.jpg" TargetMode="External"/><Relationship Id="rId_hyperlink_1189" Type="http://schemas.openxmlformats.org/officeDocument/2006/relationships/hyperlink" Target="https://nconnect.nicmar.ac.in/storage/profile/ProfilePhoto_P25701097_691845.jpg" TargetMode="External"/><Relationship Id="rId_hyperlink_1190" Type="http://schemas.openxmlformats.org/officeDocument/2006/relationships/hyperlink" Target="https://nconnect.nicmar.ac.in/storage/profile/ProfilePhoto_P25701098_726394.jpg" TargetMode="External"/><Relationship Id="rId_hyperlink_1191" Type="http://schemas.openxmlformats.org/officeDocument/2006/relationships/hyperlink" Target="https://nconnect.nicmar.ac.in/storage/profile/ProfilePhoto_P25701099_675183.jpg" TargetMode="External"/><Relationship Id="rId_hyperlink_1192" Type="http://schemas.openxmlformats.org/officeDocument/2006/relationships/hyperlink" Target="https://nconnect.nicmar.ac.in/storage/profile/ProfilePhoto_P25701100_954627.jpg" TargetMode="External"/><Relationship Id="rId_hyperlink_1193" Type="http://schemas.openxmlformats.org/officeDocument/2006/relationships/hyperlink" Target="https://nconnect.nicmar.ac.in/storage/profile/ProfilePhoto_P25701101_637518.jpg" TargetMode="External"/><Relationship Id="rId_hyperlink_1194" Type="http://schemas.openxmlformats.org/officeDocument/2006/relationships/hyperlink" Target="https://nconnect.nicmar.ac.in/storage/profile/ProfilePhoto_P25701102_496235.jpg" TargetMode="External"/><Relationship Id="rId_hyperlink_1195" Type="http://schemas.openxmlformats.org/officeDocument/2006/relationships/hyperlink" Target="https://nconnect.nicmar.ac.in/storage/profile/ProfilePhoto_P25701106_756483.jpg" TargetMode="External"/><Relationship Id="rId_hyperlink_1196" Type="http://schemas.openxmlformats.org/officeDocument/2006/relationships/hyperlink" Target="https://nconnect.nicmar.ac.in/storage/profile/ProfilePhoto_P25701107_574683.jpg" TargetMode="External"/><Relationship Id="rId_hyperlink_1197" Type="http://schemas.openxmlformats.org/officeDocument/2006/relationships/hyperlink" Target="https://nconnect.nicmar.ac.in/storage/profile/ProfilePhoto_P25701108_691235.jpg" TargetMode="External"/><Relationship Id="rId_hyperlink_1198" Type="http://schemas.openxmlformats.org/officeDocument/2006/relationships/hyperlink" Target="https://nconnect.nicmar.ac.in/storage/profile/ProfilePhoto_P25701109_872635.jpg" TargetMode="External"/><Relationship Id="rId_hyperlink_1199" Type="http://schemas.openxmlformats.org/officeDocument/2006/relationships/hyperlink" Target="https://nconnect.nicmar.ac.in/storage/profile/ProfilePhoto_P25701110_927538.jpg" TargetMode="External"/><Relationship Id="rId_hyperlink_1200" Type="http://schemas.openxmlformats.org/officeDocument/2006/relationships/hyperlink" Target="https://nconnect.nicmar.ac.in/storage/profile/ProfilePhoto_P25701111_263478.jpg" TargetMode="External"/><Relationship Id="rId_hyperlink_1201" Type="http://schemas.openxmlformats.org/officeDocument/2006/relationships/hyperlink" Target="https://nconnect.nicmar.ac.in/storage/profile/ProfilePhoto_P25701112_923457.jpg" TargetMode="External"/><Relationship Id="rId_hyperlink_1202" Type="http://schemas.openxmlformats.org/officeDocument/2006/relationships/hyperlink" Target="https://nconnect.nicmar.ac.in/storage/profile/ProfilePhoto_P25701113_867329.jpg" TargetMode="External"/><Relationship Id="rId_hyperlink_1203" Type="http://schemas.openxmlformats.org/officeDocument/2006/relationships/hyperlink" Target="https://nconnect.nicmar.ac.in/storage/profile/ProfilePhoto_P25701114_583712.jpg" TargetMode="External"/><Relationship Id="rId_hyperlink_1204" Type="http://schemas.openxmlformats.org/officeDocument/2006/relationships/hyperlink" Target="https://nconnect.nicmar.ac.in/storage/profile/ProfilePhoto_P25701115_284369.jpg" TargetMode="External"/><Relationship Id="rId_hyperlink_1205" Type="http://schemas.openxmlformats.org/officeDocument/2006/relationships/hyperlink" Target="https://nconnect.nicmar.ac.in/storage/profile/ProfilePhoto_P25701116_873219.jpg" TargetMode="External"/><Relationship Id="rId_hyperlink_1206" Type="http://schemas.openxmlformats.org/officeDocument/2006/relationships/hyperlink" Target="https://nconnect.nicmar.ac.in/storage/profile/ProfilePhoto_P25701117_619824.jpg" TargetMode="External"/><Relationship Id="rId_hyperlink_1207" Type="http://schemas.openxmlformats.org/officeDocument/2006/relationships/hyperlink" Target="https://nconnect.nicmar.ac.in/storage/profile/ProfilePhoto_P25701118_392456.jpg" TargetMode="External"/><Relationship Id="rId_hyperlink_1208" Type="http://schemas.openxmlformats.org/officeDocument/2006/relationships/hyperlink" Target="https://nconnect.nicmar.ac.in/storage/profile/ProfilePhoto_P25701119_274135.jpg" TargetMode="External"/><Relationship Id="rId_hyperlink_1209" Type="http://schemas.openxmlformats.org/officeDocument/2006/relationships/hyperlink" Target="https://nconnect.nicmar.ac.in/storage/profile/ProfilePhoto_P25701120_461395.jpg" TargetMode="External"/><Relationship Id="rId_hyperlink_1210" Type="http://schemas.openxmlformats.org/officeDocument/2006/relationships/hyperlink" Target="https://nconnect.nicmar.ac.in/storage/profile/ProfilePhoto_P25701121_753814.jpg" TargetMode="External"/><Relationship Id="rId_hyperlink_1211" Type="http://schemas.openxmlformats.org/officeDocument/2006/relationships/hyperlink" Target="https://nconnect.nicmar.ac.in/storage/profile/ProfilePhoto_P25701122_936541.jpg" TargetMode="External"/><Relationship Id="rId_hyperlink_1212" Type="http://schemas.openxmlformats.org/officeDocument/2006/relationships/hyperlink" Target="https://nconnect.nicmar.ac.in/storage/profile/ProfilePhoto_P25701123_957821.jpg" TargetMode="External"/><Relationship Id="rId_hyperlink_1213" Type="http://schemas.openxmlformats.org/officeDocument/2006/relationships/hyperlink" Target="https://nconnect.nicmar.ac.in/storage/profile/ProfilePhoto_P25701124_429365.jpg" TargetMode="External"/><Relationship Id="rId_hyperlink_1214" Type="http://schemas.openxmlformats.org/officeDocument/2006/relationships/hyperlink" Target="https://nconnect.nicmar.ac.in/storage/profile/ProfilePhoto_P25701125_465728.jpg" TargetMode="External"/><Relationship Id="rId_hyperlink_1215" Type="http://schemas.openxmlformats.org/officeDocument/2006/relationships/hyperlink" Target="https://nconnect.nicmar.ac.in/storage/profile/ProfilePhoto_P25701126_826341.jpg" TargetMode="External"/><Relationship Id="rId_hyperlink_1216" Type="http://schemas.openxmlformats.org/officeDocument/2006/relationships/hyperlink" Target="https://nconnect.nicmar.ac.in/storage/profile/ProfilePhoto_P25701127_942376.jpg" TargetMode="External"/><Relationship Id="rId_hyperlink_1217" Type="http://schemas.openxmlformats.org/officeDocument/2006/relationships/hyperlink" Target="https://nconnect.nicmar.ac.in/storage/profile/ProfilePhoto_P25701128_269574.jpg" TargetMode="External"/><Relationship Id="rId_hyperlink_1218" Type="http://schemas.openxmlformats.org/officeDocument/2006/relationships/hyperlink" Target="https://nconnect.nicmar.ac.in/storage/profile/ProfilePhoto_P25701129_129463.jpg" TargetMode="External"/><Relationship Id="rId_hyperlink_1219" Type="http://schemas.openxmlformats.org/officeDocument/2006/relationships/hyperlink" Target="https://nconnect.nicmar.ac.in/storage/profile/ProfilePhoto_P25701130_516472.jpg" TargetMode="External"/><Relationship Id="rId_hyperlink_1220" Type="http://schemas.openxmlformats.org/officeDocument/2006/relationships/hyperlink" Target="https://nconnect.nicmar.ac.in/storage/profile/ProfilePhoto_P25701131_359184.jpg" TargetMode="External"/><Relationship Id="rId_hyperlink_1221" Type="http://schemas.openxmlformats.org/officeDocument/2006/relationships/hyperlink" Target="https://nconnect.nicmar.ac.in/storage/profile/ProfilePhoto_P25701132_857361.jpg" TargetMode="External"/><Relationship Id="rId_hyperlink_1222" Type="http://schemas.openxmlformats.org/officeDocument/2006/relationships/hyperlink" Target="https://nconnect.nicmar.ac.in/storage/profile/ProfilePhoto_P25701133_312596.jpg" TargetMode="External"/><Relationship Id="rId_hyperlink_1223" Type="http://schemas.openxmlformats.org/officeDocument/2006/relationships/hyperlink" Target="https://nconnect.nicmar.ac.in/storage/profile/ProfilePhoto_P25701134_183274.jpg" TargetMode="External"/><Relationship Id="rId_hyperlink_1224" Type="http://schemas.openxmlformats.org/officeDocument/2006/relationships/hyperlink" Target="https://nconnect.nicmar.ac.in/storage/profile/ProfilePhoto_P25701135_748916.jpg" TargetMode="External"/><Relationship Id="rId_hyperlink_1225" Type="http://schemas.openxmlformats.org/officeDocument/2006/relationships/hyperlink" Target="https://nconnect.nicmar.ac.in/storage/profile/ProfilePhoto_P25701136_172468.jpg" TargetMode="External"/><Relationship Id="rId_hyperlink_1226" Type="http://schemas.openxmlformats.org/officeDocument/2006/relationships/hyperlink" Target="https://nconnect.nicmar.ac.in/storage/profile/ProfilePhoto_P25701137_312786.jpg" TargetMode="External"/><Relationship Id="rId_hyperlink_1227" Type="http://schemas.openxmlformats.org/officeDocument/2006/relationships/hyperlink" Target="https://nconnect.nicmar.ac.in/storage/profile/ProfilePhoto_P25701138_614237.jpg" TargetMode="External"/><Relationship Id="rId_hyperlink_1228" Type="http://schemas.openxmlformats.org/officeDocument/2006/relationships/hyperlink" Target="https://nconnect.nicmar.ac.in/storage/profile/ProfilePhoto_P25701139_685329.jpg" TargetMode="External"/><Relationship Id="rId_hyperlink_1229" Type="http://schemas.openxmlformats.org/officeDocument/2006/relationships/hyperlink" Target="https://nconnect.nicmar.ac.in/storage/profile/ProfilePhoto_P25701140_987256.jpg" TargetMode="External"/><Relationship Id="rId_hyperlink_1230" Type="http://schemas.openxmlformats.org/officeDocument/2006/relationships/hyperlink" Target="https://nconnect.nicmar.ac.in/storage/profile/ProfilePhoto_P25701141_658723.jpg" TargetMode="External"/><Relationship Id="rId_hyperlink_1231" Type="http://schemas.openxmlformats.org/officeDocument/2006/relationships/hyperlink" Target="https://nconnect.nicmar.ac.in/storage/profile/ProfilePhoto_P25701142_867349.jpg" TargetMode="External"/><Relationship Id="rId_hyperlink_1232" Type="http://schemas.openxmlformats.org/officeDocument/2006/relationships/hyperlink" Target="https://nconnect.nicmar.ac.in/storage/profile/ProfilePhoto_P25701143_256148.jpg" TargetMode="External"/><Relationship Id="rId_hyperlink_1233" Type="http://schemas.openxmlformats.org/officeDocument/2006/relationships/hyperlink" Target="https://nconnect.nicmar.ac.in/storage/profile/ProfilePhoto_P25701144_961284.jpg" TargetMode="External"/><Relationship Id="rId_hyperlink_1234" Type="http://schemas.openxmlformats.org/officeDocument/2006/relationships/hyperlink" Target="https://nconnect.nicmar.ac.in/storage/profile/ProfilePhoto_P25701145_172436.jpg" TargetMode="External"/><Relationship Id="rId_hyperlink_1235" Type="http://schemas.openxmlformats.org/officeDocument/2006/relationships/hyperlink" Target="https://nconnect.nicmar.ac.in/storage/profile/ProfilePhoto_P25701147_438629.jpg" TargetMode="External"/><Relationship Id="rId_hyperlink_1236" Type="http://schemas.openxmlformats.org/officeDocument/2006/relationships/hyperlink" Target="https://nconnect.nicmar.ac.in/storage/profile/ProfilePhoto_P25701148_372981.jpg" TargetMode="External"/><Relationship Id="rId_hyperlink_1237" Type="http://schemas.openxmlformats.org/officeDocument/2006/relationships/hyperlink" Target="https://nconnect.nicmar.ac.in/storage/profile/ProfilePhoto_P25701149_837291.jpg" TargetMode="External"/><Relationship Id="rId_hyperlink_1238" Type="http://schemas.openxmlformats.org/officeDocument/2006/relationships/hyperlink" Target="https://nconnect.nicmar.ac.in/storage/profile/ProfilePhoto_P25701151_132857.jpg" TargetMode="External"/><Relationship Id="rId_hyperlink_1239" Type="http://schemas.openxmlformats.org/officeDocument/2006/relationships/hyperlink" Target="https://nconnect.nicmar.ac.in/storage/profile/ProfilePhoto_P25701152_148367.jpg" TargetMode="External"/><Relationship Id="rId_hyperlink_1240" Type="http://schemas.openxmlformats.org/officeDocument/2006/relationships/hyperlink" Target="https://nconnect.nicmar.ac.in/storage/profile/ProfilePhoto_P25701103_576182.jpg" TargetMode="External"/><Relationship Id="rId_hyperlink_1241" Type="http://schemas.openxmlformats.org/officeDocument/2006/relationships/hyperlink" Target="https://nconnect.nicmar.ac.in/storage/profile/ProfilePhoto_P25701104_261935.jpg" TargetMode="External"/><Relationship Id="rId_hyperlink_1242" Type="http://schemas.openxmlformats.org/officeDocument/2006/relationships/hyperlink" Target="https://nconnect.nicmar.ac.in/storage/profile/6a7047586c45a.png" TargetMode="External"/><Relationship Id="rId_hyperlink_1243" Type="http://schemas.openxmlformats.org/officeDocument/2006/relationships/hyperlink" Target="https://nconnect.nicmar.ac.in/storage/profile/6a7b534d07582.png" TargetMode="External"/><Relationship Id="rId_hyperlink_1244" Type="http://schemas.openxmlformats.org/officeDocument/2006/relationships/hyperlink" Target="https://nconnect.nicmar.ac.in/storage/profile/6a7b3ff33e174.png" TargetMode="External"/><Relationship Id="rId_hyperlink_1245" Type="http://schemas.openxmlformats.org/officeDocument/2006/relationships/hyperlink" Target="https://nconnect.nicmar.ac.in/storage/profile/6a783d68f314b.png" TargetMode="External"/><Relationship Id="rId_hyperlink_1246" Type="http://schemas.openxmlformats.org/officeDocument/2006/relationships/hyperlink" Target="https://nconnect.nicmar.ac.in/storage/profile/6a7894a493d41.png" TargetMode="External"/><Relationship Id="rId_hyperlink_1247" Type="http://schemas.openxmlformats.org/officeDocument/2006/relationships/hyperlink" Target="https://nconnect.nicmar.ac.in/storage/profile/6a7719338e3dd.png" TargetMode="External"/><Relationship Id="rId_hyperlink_1248" Type="http://schemas.openxmlformats.org/officeDocument/2006/relationships/hyperlink" Target="https://nconnect.nicmar.ac.in/storage/profile/6a773ef581cb9.png" TargetMode="External"/><Relationship Id="rId_hyperlink_1249" Type="http://schemas.openxmlformats.org/officeDocument/2006/relationships/hyperlink" Target="https://nconnect.nicmar.ac.in/storage/profile/6a7786aa7f2a9.png" TargetMode="External"/><Relationship Id="rId_hyperlink_1250" Type="http://schemas.openxmlformats.org/officeDocument/2006/relationships/hyperlink" Target="https://nconnect.nicmar.ac.in/storage/profile/6a79dc1a863d9.png" TargetMode="External"/><Relationship Id="rId_hyperlink_1251" Type="http://schemas.openxmlformats.org/officeDocument/2006/relationships/hyperlink" Target="https://nconnect.nicmar.ac.in/storage/profile/6a78592cde9a4.png" TargetMode="External"/><Relationship Id="rId_hyperlink_1252" Type="http://schemas.openxmlformats.org/officeDocument/2006/relationships/hyperlink" Target="https://nconnect.nicmar.ac.in/storage/profile/6a7889384e4dd.png" TargetMode="External"/><Relationship Id="rId_hyperlink_1253" Type="http://schemas.openxmlformats.org/officeDocument/2006/relationships/hyperlink" Target="https://nconnect.nicmar.ac.in/storage/profile/6a761cd47898b.png" TargetMode="External"/><Relationship Id="rId_hyperlink_1254" Type="http://schemas.openxmlformats.org/officeDocument/2006/relationships/hyperlink" Target="https://nconnect.nicmar.ac.in/storage/profile/6a775781845f6.png" TargetMode="External"/><Relationship Id="rId_hyperlink_1255" Type="http://schemas.openxmlformats.org/officeDocument/2006/relationships/hyperlink" Target="https://nconnect.nicmar.ac.in/storage/profile/6a7898fedd86c.png" TargetMode="External"/><Relationship Id="rId_hyperlink_1256" Type="http://schemas.openxmlformats.org/officeDocument/2006/relationships/hyperlink" Target="https://nconnect.nicmar.ac.in/storage/profile/6a784bfc39662.png" TargetMode="External"/><Relationship Id="rId_hyperlink_1257" Type="http://schemas.openxmlformats.org/officeDocument/2006/relationships/hyperlink" Target="https://nconnect.nicmar.ac.in/storage/profile/6a7756d9c95a3.png" TargetMode="External"/><Relationship Id="rId_hyperlink_1258" Type="http://schemas.openxmlformats.org/officeDocument/2006/relationships/hyperlink" Target="https://nconnect.nicmar.ac.in/storage/profile/6a7a255d2c7c9.png" TargetMode="External"/><Relationship Id="rId_hyperlink_1259" Type="http://schemas.openxmlformats.org/officeDocument/2006/relationships/hyperlink" Target="https://nconnect.nicmar.ac.in/storage/profile/6a78ada4397c1.png" TargetMode="External"/><Relationship Id="rId_hyperlink_1260" Type="http://schemas.openxmlformats.org/officeDocument/2006/relationships/hyperlink" Target="https://nconnect.nicmar.ac.in/storage/profile/6a774f476974f.png" TargetMode="External"/><Relationship Id="rId_hyperlink_1261" Type="http://schemas.openxmlformats.org/officeDocument/2006/relationships/hyperlink" Target="https://nconnect.nicmar.ac.in/storage/profile/6a771359eb538.png" TargetMode="External"/><Relationship Id="rId_hyperlink_1262" Type="http://schemas.openxmlformats.org/officeDocument/2006/relationships/hyperlink" Target="https://nconnect.nicmar.ac.in/storage/profile/6a7c2b1d3eab5.png" TargetMode="External"/><Relationship Id="rId_hyperlink_1263" Type="http://schemas.openxmlformats.org/officeDocument/2006/relationships/hyperlink" Target="https://nconnect.nicmar.ac.in/storage/profile/6a78839a0f588.png" TargetMode="External"/><Relationship Id="rId_hyperlink_1264" Type="http://schemas.openxmlformats.org/officeDocument/2006/relationships/hyperlink" Target="https://nconnect.nicmar.ac.in/storage/profile/6a78c74ce7154.png" TargetMode="External"/><Relationship Id="rId_hyperlink_1265" Type="http://schemas.openxmlformats.org/officeDocument/2006/relationships/hyperlink" Target="https://nconnect.nicmar.ac.in/storage/profile/6a78ab3806c32.png" TargetMode="External"/><Relationship Id="rId_hyperlink_1266" Type="http://schemas.openxmlformats.org/officeDocument/2006/relationships/hyperlink" Target="https://nconnect.nicmar.ac.in/storage/profile/6a78988b71cf3.png" TargetMode="External"/><Relationship Id="rId_hyperlink_1267" Type="http://schemas.openxmlformats.org/officeDocument/2006/relationships/hyperlink" Target="https://nconnect.nicmar.ac.in/storage/profile/6a76e517d0cee.png" TargetMode="External"/><Relationship Id="rId_hyperlink_1268" Type="http://schemas.openxmlformats.org/officeDocument/2006/relationships/hyperlink" Target="https://nconnect.nicmar.ac.in/storage/profile/6a79bd3a093d6.png" TargetMode="External"/><Relationship Id="rId_hyperlink_1269" Type="http://schemas.openxmlformats.org/officeDocument/2006/relationships/hyperlink" Target="https://nconnect.nicmar.ac.in/storage/profile/6a7a8f4e2bf5c.png" TargetMode="External"/><Relationship Id="rId_hyperlink_1270" Type="http://schemas.openxmlformats.org/officeDocument/2006/relationships/hyperlink" Target="https://nconnect.nicmar.ac.in/storage/profile/6a76dd2a47ae6.png" TargetMode="External"/><Relationship Id="rId_hyperlink_1271" Type="http://schemas.openxmlformats.org/officeDocument/2006/relationships/hyperlink" Target="https://nconnect.nicmar.ac.in/storage/profile/6a789c2ccfd2d.png" TargetMode="External"/><Relationship Id="rId_hyperlink_1272" Type="http://schemas.openxmlformats.org/officeDocument/2006/relationships/hyperlink" Target="https://nconnect.nicmar.ac.in/storage/profile/6a788b6f53160.png" TargetMode="External"/><Relationship Id="rId_hyperlink_1273" Type="http://schemas.openxmlformats.org/officeDocument/2006/relationships/hyperlink" Target="https://nconnect.nicmar.ac.in/storage/profile/6a76417736f8e.png" TargetMode="External"/><Relationship Id="rId_hyperlink_1274" Type="http://schemas.openxmlformats.org/officeDocument/2006/relationships/hyperlink" Target="https://nconnect.nicmar.ac.in/storage/profile/6a77463b6de1d.png" TargetMode="External"/><Relationship Id="rId_hyperlink_1275" Type="http://schemas.openxmlformats.org/officeDocument/2006/relationships/hyperlink" Target="https://nconnect.nicmar.ac.in/storage/profile/6a783618cf149.png" TargetMode="External"/><Relationship Id="rId_hyperlink_1276" Type="http://schemas.openxmlformats.org/officeDocument/2006/relationships/hyperlink" Target="https://nconnect.nicmar.ac.in/storage/profile/6a78682410593.png" TargetMode="External"/><Relationship Id="rId_hyperlink_1277" Type="http://schemas.openxmlformats.org/officeDocument/2006/relationships/hyperlink" Target="https://nconnect.nicmar.ac.in/storage/profile/6a771976545c3.png" TargetMode="External"/><Relationship Id="rId_hyperlink_1278" Type="http://schemas.openxmlformats.org/officeDocument/2006/relationships/hyperlink" Target="https://nconnect.nicmar.ac.in/storage/profile/6a776f69ee9d1.png" TargetMode="External"/><Relationship Id="rId_hyperlink_1279" Type="http://schemas.openxmlformats.org/officeDocument/2006/relationships/hyperlink" Target="https://nconnect.nicmar.ac.in/storage/profile/6a78243e73ccf.png" TargetMode="External"/><Relationship Id="rId_hyperlink_1280" Type="http://schemas.openxmlformats.org/officeDocument/2006/relationships/hyperlink" Target="https://nconnect.nicmar.ac.in/storage/profile/6a78be5a76923.png" TargetMode="External"/><Relationship Id="rId_hyperlink_1281" Type="http://schemas.openxmlformats.org/officeDocument/2006/relationships/hyperlink" Target="https://nconnect.nicmar.ac.in/storage/profile/6a782c2eec4c4.png" TargetMode="External"/><Relationship Id="rId_hyperlink_1282" Type="http://schemas.openxmlformats.org/officeDocument/2006/relationships/hyperlink" Target="https://nconnect.nicmar.ac.in/storage/profile/6a76fb5b7f394.png" TargetMode="External"/><Relationship Id="rId_hyperlink_1283" Type="http://schemas.openxmlformats.org/officeDocument/2006/relationships/hyperlink" Target="https://nconnect.nicmar.ac.in/storage/profile/6a7731783a23a.png" TargetMode="External"/><Relationship Id="rId_hyperlink_1284" Type="http://schemas.openxmlformats.org/officeDocument/2006/relationships/hyperlink" Target="https://nconnect.nicmar.ac.in/storage/profile/6a7739ca206c8.png" TargetMode="External"/><Relationship Id="rId_hyperlink_1285" Type="http://schemas.openxmlformats.org/officeDocument/2006/relationships/hyperlink" Target="https://nconnect.nicmar.ac.in/storage/profile/6a78768ed6dc7.png" TargetMode="External"/><Relationship Id="rId_hyperlink_1286" Type="http://schemas.openxmlformats.org/officeDocument/2006/relationships/hyperlink" Target="https://nconnect.nicmar.ac.in/storage/profile/6a78630c927a2.png" TargetMode="External"/><Relationship Id="rId_hyperlink_1287" Type="http://schemas.openxmlformats.org/officeDocument/2006/relationships/hyperlink" Target="https://nconnect.nicmar.ac.in/storage/profile/6a785980401ac.png" TargetMode="External"/><Relationship Id="rId_hyperlink_1288" Type="http://schemas.openxmlformats.org/officeDocument/2006/relationships/hyperlink" Target="https://nconnect.nicmar.ac.in/storage/profile/6a7b4daf202ff.png" TargetMode="External"/><Relationship Id="rId_hyperlink_1289" Type="http://schemas.openxmlformats.org/officeDocument/2006/relationships/hyperlink" Target="https://nconnect.nicmar.ac.in/storage/profile/6a7611b38ad66.png" TargetMode="External"/><Relationship Id="rId_hyperlink_1290" Type="http://schemas.openxmlformats.org/officeDocument/2006/relationships/hyperlink" Target="https://nconnect.nicmar.ac.in/storage/profile/6a78c67574746.png" TargetMode="External"/><Relationship Id="rId_hyperlink_1291" Type="http://schemas.openxmlformats.org/officeDocument/2006/relationships/hyperlink" Target="https://nconnect.nicmar.ac.in/storage/profile/6a784f701ad66.png" TargetMode="External"/><Relationship Id="rId_hyperlink_1292" Type="http://schemas.openxmlformats.org/officeDocument/2006/relationships/hyperlink" Target="https://nconnect.nicmar.ac.in/storage/profile/6a78b0886b04c.png" TargetMode="External"/><Relationship Id="rId_hyperlink_1293" Type="http://schemas.openxmlformats.org/officeDocument/2006/relationships/hyperlink" Target="https://nconnect.nicmar.ac.in/storage/profile/6a7a096d1db48.png" TargetMode="External"/><Relationship Id="rId_hyperlink_1294" Type="http://schemas.openxmlformats.org/officeDocument/2006/relationships/hyperlink" Target="https://nconnect.nicmar.ac.in/storage/profile/6a7610b3486e2.png" TargetMode="External"/><Relationship Id="rId_hyperlink_1295" Type="http://schemas.openxmlformats.org/officeDocument/2006/relationships/hyperlink" Target="https://nconnect.nicmar.ac.in/storage/profile/6a78cb472861b.png" TargetMode="External"/><Relationship Id="rId_hyperlink_1296" Type="http://schemas.openxmlformats.org/officeDocument/2006/relationships/hyperlink" Target="https://nconnect.nicmar.ac.in/storage/profile/6a78bcaadacb7.png" TargetMode="External"/><Relationship Id="rId_hyperlink_1297" Type="http://schemas.openxmlformats.org/officeDocument/2006/relationships/hyperlink" Target="https://nconnect.nicmar.ac.in/storage/profile/6a78a2211babc.png" TargetMode="External"/><Relationship Id="rId_hyperlink_1298" Type="http://schemas.openxmlformats.org/officeDocument/2006/relationships/hyperlink" Target="https://nconnect.nicmar.ac.in/storage/profile/6a7730014bd41.png" TargetMode="External"/><Relationship Id="rId_hyperlink_1299" Type="http://schemas.openxmlformats.org/officeDocument/2006/relationships/hyperlink" Target="https://nconnect.nicmar.ac.in/storage/profile/6a78611303309.png" TargetMode="External"/><Relationship Id="rId_hyperlink_1300" Type="http://schemas.openxmlformats.org/officeDocument/2006/relationships/hyperlink" Target="https://nconnect.nicmar.ac.in/storage/profile/6a78511c9d49f.png" TargetMode="External"/><Relationship Id="rId_hyperlink_1301" Type="http://schemas.openxmlformats.org/officeDocument/2006/relationships/hyperlink" Target="https://nconnect.nicmar.ac.in/storage/profile/6a7805f490f7d.png" TargetMode="External"/><Relationship Id="rId_hyperlink_1302" Type="http://schemas.openxmlformats.org/officeDocument/2006/relationships/hyperlink" Target="https://nconnect.nicmar.ac.in/storage/profile/6a7777bf58d07.png" TargetMode="External"/><Relationship Id="rId_hyperlink_1303" Type="http://schemas.openxmlformats.org/officeDocument/2006/relationships/hyperlink" Target="https://nconnect.nicmar.ac.in/storage/profile/6a7aaec33ef53.png" TargetMode="External"/><Relationship Id="rId_hyperlink_1304" Type="http://schemas.openxmlformats.org/officeDocument/2006/relationships/hyperlink" Target="https://nconnect.nicmar.ac.in/storage/profile/6a7740325d54f.png" TargetMode="External"/><Relationship Id="rId_hyperlink_1305" Type="http://schemas.openxmlformats.org/officeDocument/2006/relationships/hyperlink" Target="https://nconnect.nicmar.ac.in/storage/profile/6a77e26d910fa.png" TargetMode="External"/><Relationship Id="rId_hyperlink_1306" Type="http://schemas.openxmlformats.org/officeDocument/2006/relationships/hyperlink" Target="https://nconnect.nicmar.ac.in/storage/profile/6a78014b58ce1.png" TargetMode="External"/><Relationship Id="rId_hyperlink_1307" Type="http://schemas.openxmlformats.org/officeDocument/2006/relationships/hyperlink" Target="https://nconnect.nicmar.ac.in/storage/profile/6a78b9ac88ecb.png" TargetMode="External"/><Relationship Id="rId_hyperlink_1308" Type="http://schemas.openxmlformats.org/officeDocument/2006/relationships/hyperlink" Target="https://nconnect.nicmar.ac.in/storage/profile/6a77773973e35.png" TargetMode="External"/><Relationship Id="rId_hyperlink_1309" Type="http://schemas.openxmlformats.org/officeDocument/2006/relationships/hyperlink" Target="https://nconnect.nicmar.ac.in/storage/profile/6a7804ef207d2.png" TargetMode="External"/><Relationship Id="rId_hyperlink_1310" Type="http://schemas.openxmlformats.org/officeDocument/2006/relationships/hyperlink" Target="https://nconnect.nicmar.ac.in/storage/profile/6a78452350642.pn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R2482"/>
  <sheetViews>
    <sheetView tabSelected="1" workbookViewId="0" showGridLines="true" showRowColHeaders="1">
      <pane ySplit="1" topLeftCell="A2" activePane="bottomLeft" state="frozen"/>
      <selection pane="bottomLeft" activeCell="BR2" sqref="BR2:BR2482"/>
    </sheetView>
  </sheetViews>
  <sheetFormatPr defaultRowHeight="14.4" outlineLevelRow="0" outlineLevelCol="0"/>
  <cols>
    <col min="1" max="1" width="15.282" bestFit="true" customWidth="true" style="0"/>
    <col min="2" max="2" width="11.711" bestFit="true" customWidth="true" style="0"/>
    <col min="3" max="3" width="17.71" bestFit="true" customWidth="true" style="0"/>
    <col min="4" max="4" width="23.423" bestFit="true" customWidth="true" style="0"/>
    <col min="5" max="5" width="17.71" bestFit="true" customWidth="true" style="0"/>
    <col min="6" max="6" width="23.423" bestFit="true" customWidth="true" style="0"/>
    <col min="7" max="7" width="43.561" bestFit="true" customWidth="true" style="0"/>
    <col min="8" max="8" width="42.418" bestFit="true" customWidth="true" style="0"/>
    <col min="9" max="9" width="37.705" bestFit="true" customWidth="true" style="0"/>
    <col min="10" max="10" width="12.854" bestFit="true" customWidth="true" style="0"/>
    <col min="11" max="11" width="11.283" bestFit="true" customWidth="true" style="0"/>
    <col min="12" max="12" width="13.997" bestFit="true" customWidth="true" style="0"/>
    <col min="13" max="13" width="21.566" bestFit="true" customWidth="true" style="0"/>
    <col min="14" max="14" width="82.408" bestFit="true" customWidth="true" style="0"/>
    <col min="15" max="15" width="235.8" bestFit="true" customWidth="true" style="0"/>
    <col min="16" max="16" width="17.71" bestFit="true" customWidth="true" style="0"/>
    <col min="17" max="17" width="20.281" bestFit="true" customWidth="true" style="0"/>
    <col min="18" max="18" width="41.133" bestFit="true" customWidth="true" style="0"/>
    <col min="19" max="19" width="20.281" bestFit="true" customWidth="true" style="0"/>
    <col min="20" max="20" width="74.268" bestFit="true" customWidth="true" style="0"/>
    <col min="21" max="21" width="39.99" bestFit="true" customWidth="true" style="0"/>
    <col min="22" max="22" width="20.281" bestFit="true" customWidth="true" style="0"/>
    <col min="23" max="23" width="84.836" bestFit="true" customWidth="true" style="0"/>
    <col min="24" max="24" width="196.952" bestFit="true" customWidth="true" style="0"/>
    <col min="25" max="25" width="24.708" bestFit="true" customWidth="true" style="0"/>
    <col min="26" max="26" width="19.995" bestFit="true" customWidth="true" style="0"/>
    <col min="27" max="27" width="196.952" bestFit="true" customWidth="true" style="0"/>
    <col min="28" max="28" width="27.993" bestFit="true" customWidth="true" style="0"/>
    <col min="29" max="29" width="29.421" bestFit="true" customWidth="true" style="0"/>
    <col min="30" max="30" width="19.138" bestFit="true" customWidth="true" style="0"/>
    <col min="31" max="31" width="12.568" bestFit="true" customWidth="true" style="0"/>
    <col min="32" max="32" width="106.117" bestFit="true" customWidth="true" style="0"/>
    <col min="33" max="33" width="162.675" bestFit="true" customWidth="true" style="0"/>
    <col min="34" max="34" width="24.28" bestFit="true" customWidth="true" style="0"/>
    <col min="35" max="35" width="24.28" bestFit="true" customWidth="true" style="0"/>
    <col min="36" max="36" width="15.139" bestFit="true" customWidth="true" style="0"/>
    <col min="37" max="37" width="13.997" bestFit="true" customWidth="true" style="0"/>
    <col min="38" max="38" width="139.109" bestFit="true" customWidth="true" style="0"/>
    <col min="39" max="39" width="126.112" bestFit="true" customWidth="true" style="0"/>
    <col min="40" max="40" width="24.28" bestFit="true" customWidth="true" style="0"/>
    <col min="41" max="41" width="24.28" bestFit="true" customWidth="true" style="0"/>
    <col min="42" max="42" width="15.139" bestFit="true" customWidth="true" style="0"/>
    <col min="43" max="43" width="13.997" bestFit="true" customWidth="true" style="0"/>
    <col min="44" max="44" width="55.272" bestFit="true" customWidth="true" style="0"/>
    <col min="45" max="45" width="104.832" bestFit="true" customWidth="true" style="0"/>
    <col min="46" max="46" width="29.421" bestFit="true" customWidth="true" style="0"/>
    <col min="47" max="47" width="29.421" bestFit="true" customWidth="true" style="0"/>
    <col min="48" max="48" width="20.281" bestFit="true" customWidth="true" style="0"/>
    <col min="49" max="49" width="19.138" bestFit="true" customWidth="true" style="0"/>
    <col min="50" max="50" width="117.828" bestFit="true" customWidth="true" style="0"/>
    <col min="51" max="51" width="128.54" bestFit="true" customWidth="true" style="0"/>
    <col min="52" max="52" width="33.135" bestFit="true" customWidth="true" style="0"/>
    <col min="53" max="53" width="33.135" bestFit="true" customWidth="true" style="0"/>
    <col min="54" max="54" width="24.28" bestFit="true" customWidth="true" style="0"/>
    <col min="55" max="55" width="22.852" bestFit="true" customWidth="true" style="0"/>
    <col min="56" max="56" width="88.407" bestFit="true" customWidth="true" style="0"/>
    <col min="57" max="57" width="88.407" bestFit="true" customWidth="true" style="0"/>
    <col min="58" max="58" width="39.705" bestFit="true" customWidth="true" style="0"/>
    <col min="59" max="59" width="39.705" bestFit="true" customWidth="true" style="0"/>
    <col min="60" max="60" width="30.564" bestFit="true" customWidth="true" style="0"/>
    <col min="61" max="61" width="29.421" bestFit="true" customWidth="true" style="0"/>
    <col min="62" max="62" width="301.926" bestFit="true" customWidth="true" style="0"/>
    <col min="63" max="63" width="389.191" bestFit="true" customWidth="true" style="0"/>
    <col min="64" max="64" width="24.28" bestFit="true" customWidth="true" style="0"/>
    <col min="65" max="65" width="346.773" bestFit="true" customWidth="true" style="0"/>
    <col min="66" max="66" width="19.138" bestFit="true" customWidth="true" style="0"/>
    <col min="67" max="67" width="300.784" bestFit="true" customWidth="true" style="0"/>
    <col min="68" max="68" width="22.852" bestFit="true" customWidth="true" style="0"/>
    <col min="69" max="69" width="21.566" bestFit="true" customWidth="true" style="0"/>
    <col min="70" max="70" width="17.71" bestFit="true" customWidth="true" style="0"/>
  </cols>
  <sheetData>
    <row r="1" spans="1:70" customHeight="1" ht="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row>
    <row r="2" spans="1:70">
      <c r="A2" s="1" t="s">
        <v>70</v>
      </c>
      <c r="B2" s="1" t="s">
        <v>71</v>
      </c>
      <c r="C2" s="1" t="s">
        <v>72</v>
      </c>
      <c r="D2" s="1" t="s">
        <v>73</v>
      </c>
      <c r="E2" s="1" t="s">
        <v>74</v>
      </c>
      <c r="F2" s="1" t="s">
        <v>75</v>
      </c>
      <c r="G2" s="1" t="s">
        <v>76</v>
      </c>
      <c r="H2" s="1" t="s">
        <v>77</v>
      </c>
      <c r="I2" s="1" t="s">
        <v>78</v>
      </c>
      <c r="J2" s="1">
        <v>7397934069</v>
      </c>
      <c r="K2" s="1" t="s">
        <v>79</v>
      </c>
      <c r="L2" s="1" t="s">
        <v>80</v>
      </c>
      <c r="M2" s="1" t="s">
        <v>81</v>
      </c>
      <c r="N2" s="1" t="s">
        <v>82</v>
      </c>
      <c r="O2" s="1" t="s">
        <v>83</v>
      </c>
      <c r="P2" s="1" t="s">
        <v>84</v>
      </c>
      <c r="Q2" s="1" t="s">
        <v>85</v>
      </c>
      <c r="R2" s="1" t="s">
        <v>86</v>
      </c>
      <c r="S2" s="1">
        <v>9422230619</v>
      </c>
      <c r="T2" s="1" t="s">
        <v>87</v>
      </c>
      <c r="U2" s="1" t="s">
        <v>88</v>
      </c>
      <c r="V2" s="1">
        <v>9423653241</v>
      </c>
      <c r="W2" s="1" t="s">
        <v>89</v>
      </c>
      <c r="X2" s="1" t="s">
        <v>90</v>
      </c>
      <c r="Y2" s="1" t="s">
        <v>91</v>
      </c>
      <c r="Z2" s="1" t="s">
        <v>92</v>
      </c>
      <c r="AA2" s="1" t="s">
        <v>90</v>
      </c>
      <c r="AB2" s="1" t="s">
        <v>91</v>
      </c>
      <c r="AC2" s="1" t="s">
        <v>92</v>
      </c>
      <c r="AD2" s="1" t="s">
        <v>93</v>
      </c>
      <c r="AE2" s="1" t="s">
        <v>93</v>
      </c>
      <c r="AF2" s="1" t="s">
        <v>94</v>
      </c>
      <c r="AG2" s="1" t="s">
        <v>95</v>
      </c>
      <c r="AH2" s="1" t="s">
        <v>96</v>
      </c>
      <c r="AI2" s="1" t="s">
        <v>97</v>
      </c>
      <c r="AJ2" s="1">
        <v>79.8</v>
      </c>
      <c r="AK2" s="1"/>
      <c r="AL2" s="1"/>
      <c r="AM2" s="1"/>
      <c r="AN2" s="1"/>
      <c r="AO2" s="1"/>
      <c r="AP2" s="1"/>
      <c r="AQ2" s="1"/>
      <c r="AR2" s="1" t="s">
        <v>98</v>
      </c>
      <c r="AS2" s="1" t="s">
        <v>99</v>
      </c>
      <c r="AT2" s="1" t="s">
        <v>100</v>
      </c>
      <c r="AU2" s="1" t="s">
        <v>101</v>
      </c>
      <c r="AV2" s="1">
        <v>60.06</v>
      </c>
      <c r="AW2" s="1"/>
      <c r="AX2" s="1" t="s">
        <v>102</v>
      </c>
      <c r="AY2" s="1" t="s">
        <v>103</v>
      </c>
      <c r="AZ2" s="1" t="s">
        <v>104</v>
      </c>
      <c r="BA2" s="1" t="s">
        <v>105</v>
      </c>
      <c r="BB2" s="1">
        <v>82.27</v>
      </c>
      <c r="BC2" s="1"/>
      <c r="BD2" s="1"/>
      <c r="BE2" s="1"/>
      <c r="BF2" s="1"/>
      <c r="BG2" s="1"/>
      <c r="BH2" s="1"/>
      <c r="BI2" s="1"/>
      <c r="BJ2" s="1" t="s">
        <v>106</v>
      </c>
      <c r="BK2" s="1"/>
      <c r="BL2" s="1"/>
      <c r="BM2" s="1" t="s">
        <v>107</v>
      </c>
      <c r="BN2" s="1">
        <v>12</v>
      </c>
      <c r="BO2" s="1" t="s">
        <v>108</v>
      </c>
      <c r="BP2" s="1" t="str">
        <f>HYPERLINK("https://nconnect.nicmar.ac.in/storage/profile/6a186e8559d6d.png","Download")</f>
        <v>0</v>
      </c>
      <c r="BQ2" s="3"/>
      <c r="BR2" s="3"/>
    </row>
    <row r="3" spans="1:70">
      <c r="A3" s="1" t="s">
        <v>70</v>
      </c>
      <c r="B3" s="1" t="s">
        <v>71</v>
      </c>
      <c r="C3" s="1" t="s">
        <v>109</v>
      </c>
      <c r="D3" s="1" t="s">
        <v>110</v>
      </c>
      <c r="E3" s="1" t="s">
        <v>111</v>
      </c>
      <c r="F3" s="1" t="s">
        <v>112</v>
      </c>
      <c r="G3" s="1" t="s">
        <v>113</v>
      </c>
      <c r="H3" s="1" t="s">
        <v>114</v>
      </c>
      <c r="I3" s="1" t="s">
        <v>114</v>
      </c>
      <c r="J3" s="1">
        <v>9656425242</v>
      </c>
      <c r="K3" s="1" t="s">
        <v>79</v>
      </c>
      <c r="L3" s="1" t="s">
        <v>115</v>
      </c>
      <c r="M3" s="1" t="s">
        <v>81</v>
      </c>
      <c r="N3" s="1" t="s">
        <v>116</v>
      </c>
      <c r="O3" s="1" t="s">
        <v>83</v>
      </c>
      <c r="P3" s="1" t="s">
        <v>117</v>
      </c>
      <c r="Q3" s="1" t="s">
        <v>118</v>
      </c>
      <c r="R3" s="1" t="s">
        <v>119</v>
      </c>
      <c r="S3" s="1">
        <v>9495845773</v>
      </c>
      <c r="T3" s="1" t="s">
        <v>120</v>
      </c>
      <c r="U3" s="1" t="s">
        <v>121</v>
      </c>
      <c r="V3" s="1">
        <v>9562891610</v>
      </c>
      <c r="W3" s="1" t="s">
        <v>122</v>
      </c>
      <c r="X3" s="1" t="s">
        <v>123</v>
      </c>
      <c r="Y3" s="1" t="s">
        <v>124</v>
      </c>
      <c r="Z3" s="1" t="s">
        <v>125</v>
      </c>
      <c r="AA3" s="1" t="s">
        <v>123</v>
      </c>
      <c r="AB3" s="1" t="s">
        <v>124</v>
      </c>
      <c r="AC3" s="1" t="s">
        <v>125</v>
      </c>
      <c r="AD3" s="1" t="s">
        <v>93</v>
      </c>
      <c r="AE3" s="1" t="s">
        <v>93</v>
      </c>
      <c r="AF3" s="1" t="s">
        <v>126</v>
      </c>
      <c r="AG3" s="1" t="s">
        <v>127</v>
      </c>
      <c r="AH3" s="1" t="s">
        <v>128</v>
      </c>
      <c r="AI3" s="1" t="s">
        <v>129</v>
      </c>
      <c r="AJ3" s="1">
        <v>93.1</v>
      </c>
      <c r="AK3" s="1">
        <v>9.8</v>
      </c>
      <c r="AL3" s="1" t="s">
        <v>126</v>
      </c>
      <c r="AM3" s="1" t="s">
        <v>127</v>
      </c>
      <c r="AN3" s="1" t="s">
        <v>130</v>
      </c>
      <c r="AO3" s="1" t="s">
        <v>131</v>
      </c>
      <c r="AP3" s="1">
        <v>91</v>
      </c>
      <c r="AQ3" s="1"/>
      <c r="AR3" s="1"/>
      <c r="AS3" s="1"/>
      <c r="AT3" s="1"/>
      <c r="AU3" s="1"/>
      <c r="AV3" s="1"/>
      <c r="AW3" s="1"/>
      <c r="AX3" s="1" t="s">
        <v>132</v>
      </c>
      <c r="AY3" s="1" t="s">
        <v>133</v>
      </c>
      <c r="AZ3" s="1" t="s">
        <v>134</v>
      </c>
      <c r="BA3" s="1" t="s">
        <v>135</v>
      </c>
      <c r="BB3" s="1">
        <v>72.2</v>
      </c>
      <c r="BC3" s="1">
        <v>7.22</v>
      </c>
      <c r="BD3" s="1" t="s">
        <v>132</v>
      </c>
      <c r="BE3" s="1" t="s">
        <v>133</v>
      </c>
      <c r="BF3" s="1" t="s">
        <v>134</v>
      </c>
      <c r="BG3" s="1" t="s">
        <v>135</v>
      </c>
      <c r="BH3" s="1">
        <v>72.2</v>
      </c>
      <c r="BI3" s="1">
        <v>7.22</v>
      </c>
      <c r="BJ3" s="1" t="s">
        <v>136</v>
      </c>
      <c r="BK3" s="1" t="s">
        <v>137</v>
      </c>
      <c r="BL3" s="1" t="s">
        <v>138</v>
      </c>
      <c r="BM3" s="1" t="s">
        <v>139</v>
      </c>
      <c r="BN3" s="1">
        <v>8</v>
      </c>
      <c r="BO3" s="1" t="s">
        <v>140</v>
      </c>
      <c r="BP3" s="1" t="str">
        <f>HYPERLINK("https://nconnect.nicmar.ac.in/storage/profile/6a196fd27d491.png","Download")</f>
        <v>0</v>
      </c>
      <c r="BQ3" s="3"/>
      <c r="BR3" s="3"/>
    </row>
    <row r="4" spans="1:70">
      <c r="A4" s="1" t="s">
        <v>70</v>
      </c>
      <c r="B4" s="1" t="s">
        <v>71</v>
      </c>
      <c r="C4" s="1" t="s">
        <v>141</v>
      </c>
      <c r="D4" s="1" t="s">
        <v>142</v>
      </c>
      <c r="E4" s="1" t="s">
        <v>143</v>
      </c>
      <c r="F4" s="1" t="s">
        <v>144</v>
      </c>
      <c r="G4" s="1" t="s">
        <v>145</v>
      </c>
      <c r="H4" s="1" t="s">
        <v>146</v>
      </c>
      <c r="I4" s="1" t="s">
        <v>147</v>
      </c>
      <c r="J4" s="1">
        <v>9325534311</v>
      </c>
      <c r="K4" s="1" t="s">
        <v>148</v>
      </c>
      <c r="L4" s="1" t="s">
        <v>149</v>
      </c>
      <c r="M4" s="1" t="s">
        <v>150</v>
      </c>
      <c r="N4" s="1" t="s">
        <v>151</v>
      </c>
      <c r="O4" s="1" t="s">
        <v>152</v>
      </c>
      <c r="P4" s="1" t="s">
        <v>117</v>
      </c>
      <c r="Q4" s="1" t="s">
        <v>153</v>
      </c>
      <c r="R4" s="1" t="s">
        <v>144</v>
      </c>
      <c r="S4" s="1">
        <v>9922217792</v>
      </c>
      <c r="T4" s="1" t="s">
        <v>154</v>
      </c>
      <c r="U4" s="1" t="s">
        <v>155</v>
      </c>
      <c r="V4" s="1">
        <v>7499066533</v>
      </c>
      <c r="W4" s="1" t="s">
        <v>156</v>
      </c>
      <c r="X4" s="1" t="s">
        <v>157</v>
      </c>
      <c r="Y4" s="1" t="s">
        <v>158</v>
      </c>
      <c r="Z4" s="1" t="s">
        <v>92</v>
      </c>
      <c r="AA4" s="1" t="s">
        <v>157</v>
      </c>
      <c r="AB4" s="1" t="s">
        <v>158</v>
      </c>
      <c r="AC4" s="1" t="s">
        <v>92</v>
      </c>
      <c r="AD4" s="1" t="s">
        <v>93</v>
      </c>
      <c r="AE4" s="1" t="s">
        <v>93</v>
      </c>
      <c r="AF4" s="1" t="s">
        <v>159</v>
      </c>
      <c r="AG4" s="1" t="s">
        <v>160</v>
      </c>
      <c r="AH4" s="1" t="s">
        <v>161</v>
      </c>
      <c r="AI4" s="1" t="s">
        <v>162</v>
      </c>
      <c r="AJ4" s="1">
        <v>80.4</v>
      </c>
      <c r="AK4" s="1"/>
      <c r="AL4" s="1" t="s">
        <v>163</v>
      </c>
      <c r="AM4" s="1" t="s">
        <v>164</v>
      </c>
      <c r="AN4" s="1" t="s">
        <v>165</v>
      </c>
      <c r="AO4" s="1" t="s">
        <v>166</v>
      </c>
      <c r="AP4" s="1">
        <v>51.54</v>
      </c>
      <c r="AQ4" s="1"/>
      <c r="AR4" s="1" t="s">
        <v>167</v>
      </c>
      <c r="AS4" s="1" t="s">
        <v>168</v>
      </c>
      <c r="AT4" s="1" t="s">
        <v>169</v>
      </c>
      <c r="AU4" s="1" t="s">
        <v>170</v>
      </c>
      <c r="AV4" s="1">
        <v>83.89</v>
      </c>
      <c r="AW4" s="1"/>
      <c r="AX4" s="1" t="s">
        <v>171</v>
      </c>
      <c r="AY4" s="1" t="s">
        <v>172</v>
      </c>
      <c r="AZ4" s="1" t="s">
        <v>173</v>
      </c>
      <c r="BA4" s="1" t="s">
        <v>174</v>
      </c>
      <c r="BB4" s="1">
        <v>79.18</v>
      </c>
      <c r="BC4" s="1">
        <v>9.17</v>
      </c>
      <c r="BD4" s="1"/>
      <c r="BE4" s="1"/>
      <c r="BF4" s="1"/>
      <c r="BG4" s="1"/>
      <c r="BH4" s="1"/>
      <c r="BI4" s="1"/>
      <c r="BJ4" s="1" t="s">
        <v>175</v>
      </c>
      <c r="BK4" s="1"/>
      <c r="BL4" s="1"/>
      <c r="BM4" s="1" t="s">
        <v>176</v>
      </c>
      <c r="BN4" s="1">
        <v>8</v>
      </c>
      <c r="BO4" s="1" t="s">
        <v>177</v>
      </c>
      <c r="BP4" s="1" t="str">
        <f>HYPERLINK("https://nconnect.nicmar.ac.in/storage/profile/6a1ad19432c21.png","Download")</f>
        <v>0</v>
      </c>
      <c r="BQ4" s="3"/>
      <c r="BR4" s="3"/>
    </row>
    <row r="5" spans="1:70">
      <c r="A5" s="1" t="s">
        <v>70</v>
      </c>
      <c r="B5" s="1" t="s">
        <v>71</v>
      </c>
      <c r="C5" s="1" t="s">
        <v>178</v>
      </c>
      <c r="D5" s="1" t="s">
        <v>179</v>
      </c>
      <c r="E5" s="1" t="s">
        <v>180</v>
      </c>
      <c r="F5" s="1" t="s">
        <v>181</v>
      </c>
      <c r="G5" s="1" t="s">
        <v>182</v>
      </c>
      <c r="H5" s="1" t="s">
        <v>183</v>
      </c>
      <c r="I5" s="1" t="s">
        <v>183</v>
      </c>
      <c r="J5" s="1">
        <v>9765175253</v>
      </c>
      <c r="K5" s="1" t="s">
        <v>79</v>
      </c>
      <c r="L5" s="1" t="s">
        <v>184</v>
      </c>
      <c r="M5" s="1" t="s">
        <v>81</v>
      </c>
      <c r="N5" s="1" t="s">
        <v>185</v>
      </c>
      <c r="O5" s="1" t="s">
        <v>186</v>
      </c>
      <c r="P5" s="1" t="s">
        <v>84</v>
      </c>
      <c r="Q5" s="1" t="s">
        <v>187</v>
      </c>
      <c r="R5" s="1" t="s">
        <v>188</v>
      </c>
      <c r="S5" s="1">
        <v>9890083484</v>
      </c>
      <c r="T5" s="1" t="s">
        <v>154</v>
      </c>
      <c r="U5" s="1" t="s">
        <v>189</v>
      </c>
      <c r="V5" s="1">
        <v>9890083484</v>
      </c>
      <c r="W5" s="1" t="s">
        <v>156</v>
      </c>
      <c r="X5" s="1" t="s">
        <v>190</v>
      </c>
      <c r="Y5" s="1" t="s">
        <v>191</v>
      </c>
      <c r="Z5" s="1" t="s">
        <v>92</v>
      </c>
      <c r="AA5" s="1" t="s">
        <v>192</v>
      </c>
      <c r="AB5" s="1" t="s">
        <v>191</v>
      </c>
      <c r="AC5" s="1" t="s">
        <v>92</v>
      </c>
      <c r="AD5" s="1" t="s">
        <v>93</v>
      </c>
      <c r="AE5" s="1" t="s">
        <v>93</v>
      </c>
      <c r="AF5" s="1" t="s">
        <v>193</v>
      </c>
      <c r="AG5" s="1" t="s">
        <v>194</v>
      </c>
      <c r="AH5" s="1" t="s">
        <v>162</v>
      </c>
      <c r="AI5" s="1" t="s">
        <v>195</v>
      </c>
      <c r="AJ5" s="1">
        <v>85.8</v>
      </c>
      <c r="AK5" s="1"/>
      <c r="AL5" s="1" t="s">
        <v>196</v>
      </c>
      <c r="AM5" s="1" t="s">
        <v>197</v>
      </c>
      <c r="AN5" s="1" t="s">
        <v>101</v>
      </c>
      <c r="AO5" s="1" t="s">
        <v>198</v>
      </c>
      <c r="AP5" s="1">
        <v>62.92</v>
      </c>
      <c r="AQ5" s="1"/>
      <c r="AR5" s="1"/>
      <c r="AS5" s="1"/>
      <c r="AT5" s="1"/>
      <c r="AU5" s="1"/>
      <c r="AV5" s="1"/>
      <c r="AW5" s="1"/>
      <c r="AX5" s="1" t="s">
        <v>199</v>
      </c>
      <c r="AY5" s="1" t="s">
        <v>200</v>
      </c>
      <c r="AZ5" s="1" t="s">
        <v>201</v>
      </c>
      <c r="BA5" s="1" t="s">
        <v>202</v>
      </c>
      <c r="BB5" s="1">
        <v>68.8</v>
      </c>
      <c r="BC5" s="1">
        <v>7.63</v>
      </c>
      <c r="BD5" s="1"/>
      <c r="BE5" s="1"/>
      <c r="BF5" s="1"/>
      <c r="BG5" s="1"/>
      <c r="BH5" s="1"/>
      <c r="BI5" s="1"/>
      <c r="BJ5" s="1" t="s">
        <v>203</v>
      </c>
      <c r="BK5" s="1"/>
      <c r="BL5" s="1"/>
      <c r="BM5" s="1" t="s">
        <v>204</v>
      </c>
      <c r="BN5" s="1">
        <v>40</v>
      </c>
      <c r="BO5" s="1" t="s">
        <v>205</v>
      </c>
      <c r="BP5" s="1" t="str">
        <f>HYPERLINK("https://nconnect.nicmar.ac.in/storage/profile/6a1d16cec8cd8.png","Download")</f>
        <v>0</v>
      </c>
      <c r="BQ5" s="3"/>
      <c r="BR5" s="3"/>
    </row>
    <row r="6" spans="1:70">
      <c r="A6" s="1" t="s">
        <v>70</v>
      </c>
      <c r="B6" s="1" t="s">
        <v>71</v>
      </c>
      <c r="C6" s="1" t="s">
        <v>206</v>
      </c>
      <c r="D6" s="1" t="s">
        <v>207</v>
      </c>
      <c r="E6" s="1" t="s">
        <v>208</v>
      </c>
      <c r="F6" s="1" t="s">
        <v>209</v>
      </c>
      <c r="G6" s="1" t="s">
        <v>210</v>
      </c>
      <c r="H6" s="1" t="s">
        <v>211</v>
      </c>
      <c r="I6" s="1" t="s">
        <v>211</v>
      </c>
      <c r="J6" s="1">
        <v>9545075998</v>
      </c>
      <c r="K6" s="1" t="s">
        <v>79</v>
      </c>
      <c r="L6" s="1" t="s">
        <v>212</v>
      </c>
      <c r="M6" s="1" t="s">
        <v>81</v>
      </c>
      <c r="N6" s="1" t="s">
        <v>213</v>
      </c>
      <c r="O6" s="1" t="s">
        <v>186</v>
      </c>
      <c r="P6" s="1" t="s">
        <v>214</v>
      </c>
      <c r="Q6" s="1" t="s">
        <v>215</v>
      </c>
      <c r="R6" s="1" t="s">
        <v>208</v>
      </c>
      <c r="S6" s="1">
        <v>9890983062</v>
      </c>
      <c r="T6" s="1" t="s">
        <v>216</v>
      </c>
      <c r="U6" s="1" t="s">
        <v>217</v>
      </c>
      <c r="V6" s="1">
        <v>8888661835</v>
      </c>
      <c r="W6" s="1" t="s">
        <v>216</v>
      </c>
      <c r="X6" s="1" t="s">
        <v>218</v>
      </c>
      <c r="Y6" s="1" t="s">
        <v>219</v>
      </c>
      <c r="Z6" s="1" t="s">
        <v>92</v>
      </c>
      <c r="AA6" s="1" t="s">
        <v>220</v>
      </c>
      <c r="AB6" s="1" t="s">
        <v>191</v>
      </c>
      <c r="AC6" s="1" t="s">
        <v>92</v>
      </c>
      <c r="AD6" s="1" t="s">
        <v>93</v>
      </c>
      <c r="AE6" s="1" t="s">
        <v>93</v>
      </c>
      <c r="AF6" s="1" t="s">
        <v>221</v>
      </c>
      <c r="AG6" s="1" t="s">
        <v>222</v>
      </c>
      <c r="AH6" s="1" t="s">
        <v>162</v>
      </c>
      <c r="AI6" s="1" t="s">
        <v>165</v>
      </c>
      <c r="AJ6" s="1">
        <v>81.8</v>
      </c>
      <c r="AK6" s="1"/>
      <c r="AL6" s="1"/>
      <c r="AM6" s="1"/>
      <c r="AN6" s="1"/>
      <c r="AO6" s="1"/>
      <c r="AP6" s="1"/>
      <c r="AQ6" s="1"/>
      <c r="AR6" s="1" t="s">
        <v>223</v>
      </c>
      <c r="AS6" s="1" t="s">
        <v>224</v>
      </c>
      <c r="AT6" s="1" t="s">
        <v>225</v>
      </c>
      <c r="AU6" s="1" t="s">
        <v>170</v>
      </c>
      <c r="AV6" s="1">
        <v>86.95</v>
      </c>
      <c r="AW6" s="1"/>
      <c r="AX6" s="1" t="s">
        <v>226</v>
      </c>
      <c r="AY6" s="1" t="s">
        <v>227</v>
      </c>
      <c r="AZ6" s="1" t="s">
        <v>228</v>
      </c>
      <c r="BA6" s="1" t="s">
        <v>229</v>
      </c>
      <c r="BB6" s="1">
        <v>80.66</v>
      </c>
      <c r="BC6" s="1">
        <v>9.36</v>
      </c>
      <c r="BD6" s="1"/>
      <c r="BE6" s="1"/>
      <c r="BF6" s="1"/>
      <c r="BG6" s="1"/>
      <c r="BH6" s="1"/>
      <c r="BI6" s="1"/>
      <c r="BJ6" s="1" t="s">
        <v>230</v>
      </c>
      <c r="BK6" s="1"/>
      <c r="BL6" s="1"/>
      <c r="BM6" s="1" t="s">
        <v>231</v>
      </c>
      <c r="BN6" s="1">
        <v>79</v>
      </c>
      <c r="BO6" s="1" t="s">
        <v>232</v>
      </c>
      <c r="BP6" s="1" t="str">
        <f>HYPERLINK("https://nconnect.nicmar.ac.in/storage/profile/6a1d1c679672f.png","Download")</f>
        <v>0</v>
      </c>
      <c r="BQ6" s="3"/>
      <c r="BR6" s="3"/>
    </row>
    <row r="7" spans="1:70">
      <c r="A7" s="1" t="s">
        <v>70</v>
      </c>
      <c r="B7" s="1" t="s">
        <v>71</v>
      </c>
      <c r="C7" s="1" t="s">
        <v>233</v>
      </c>
      <c r="D7" s="1" t="s">
        <v>234</v>
      </c>
      <c r="E7" s="1" t="s">
        <v>235</v>
      </c>
      <c r="F7" s="1" t="s">
        <v>236</v>
      </c>
      <c r="G7" s="1" t="s">
        <v>237</v>
      </c>
      <c r="H7" s="1" t="s">
        <v>238</v>
      </c>
      <c r="I7" s="1" t="s">
        <v>239</v>
      </c>
      <c r="J7" s="1">
        <v>8390278328</v>
      </c>
      <c r="K7" s="1" t="s">
        <v>79</v>
      </c>
      <c r="L7" s="1" t="s">
        <v>240</v>
      </c>
      <c r="M7" s="1" t="s">
        <v>81</v>
      </c>
      <c r="N7" s="1" t="s">
        <v>241</v>
      </c>
      <c r="O7" s="1" t="s">
        <v>152</v>
      </c>
      <c r="P7" s="1" t="s">
        <v>214</v>
      </c>
      <c r="Q7" s="1" t="s">
        <v>242</v>
      </c>
      <c r="R7" s="1" t="s">
        <v>243</v>
      </c>
      <c r="S7" s="1">
        <v>9604519865</v>
      </c>
      <c r="T7" s="1" t="s">
        <v>154</v>
      </c>
      <c r="U7" s="1" t="s">
        <v>244</v>
      </c>
      <c r="V7" s="1">
        <v>9370154343</v>
      </c>
      <c r="W7" s="1" t="s">
        <v>156</v>
      </c>
      <c r="X7" s="1" t="s">
        <v>245</v>
      </c>
      <c r="Y7" s="1" t="s">
        <v>246</v>
      </c>
      <c r="Z7" s="1" t="s">
        <v>92</v>
      </c>
      <c r="AA7" s="1" t="s">
        <v>245</v>
      </c>
      <c r="AB7" s="1" t="s">
        <v>246</v>
      </c>
      <c r="AC7" s="1" t="s">
        <v>92</v>
      </c>
      <c r="AD7" s="1" t="s">
        <v>93</v>
      </c>
      <c r="AE7" s="1" t="s">
        <v>93</v>
      </c>
      <c r="AF7" s="1" t="s">
        <v>247</v>
      </c>
      <c r="AG7" s="1" t="s">
        <v>248</v>
      </c>
      <c r="AH7" s="1" t="s">
        <v>249</v>
      </c>
      <c r="AI7" s="1" t="s">
        <v>96</v>
      </c>
      <c r="AJ7" s="1">
        <v>76</v>
      </c>
      <c r="AK7" s="1"/>
      <c r="AL7" s="1"/>
      <c r="AM7" s="1"/>
      <c r="AN7" s="1"/>
      <c r="AO7" s="1"/>
      <c r="AP7" s="1"/>
      <c r="AQ7" s="1"/>
      <c r="AR7" s="1" t="s">
        <v>250</v>
      </c>
      <c r="AS7" s="1" t="s">
        <v>251</v>
      </c>
      <c r="AT7" s="1" t="s">
        <v>252</v>
      </c>
      <c r="AU7" s="1" t="s">
        <v>165</v>
      </c>
      <c r="AV7" s="1">
        <v>77.53</v>
      </c>
      <c r="AW7" s="1"/>
      <c r="AX7" s="1" t="s">
        <v>253</v>
      </c>
      <c r="AY7" s="1" t="s">
        <v>254</v>
      </c>
      <c r="AZ7" s="1" t="s">
        <v>225</v>
      </c>
      <c r="BA7" s="1" t="s">
        <v>170</v>
      </c>
      <c r="BB7" s="1">
        <v>71.9</v>
      </c>
      <c r="BC7" s="1"/>
      <c r="BD7" s="1"/>
      <c r="BE7" s="1"/>
      <c r="BF7" s="1"/>
      <c r="BG7" s="1"/>
      <c r="BH7" s="1"/>
      <c r="BI7" s="1"/>
      <c r="BJ7" s="1" t="s">
        <v>255</v>
      </c>
      <c r="BK7" s="1" t="s">
        <v>256</v>
      </c>
      <c r="BL7" s="1" t="s">
        <v>138</v>
      </c>
      <c r="BM7" s="1" t="s">
        <v>257</v>
      </c>
      <c r="BN7" s="1">
        <v>17</v>
      </c>
      <c r="BO7" s="1" t="s">
        <v>258</v>
      </c>
      <c r="BP7" s="1" t="str">
        <f>HYPERLINK("https://nconnect.nicmar.ac.in/storage/profile/6a1b1b9e21425.png","Download")</f>
        <v>0</v>
      </c>
      <c r="BQ7" s="3"/>
      <c r="BR7" s="3"/>
    </row>
    <row r="8" spans="1:70">
      <c r="A8" s="1" t="s">
        <v>70</v>
      </c>
      <c r="B8" s="1" t="s">
        <v>71</v>
      </c>
      <c r="C8" s="1" t="s">
        <v>259</v>
      </c>
      <c r="D8" s="1" t="s">
        <v>260</v>
      </c>
      <c r="E8" s="1" t="s">
        <v>261</v>
      </c>
      <c r="F8" s="1" t="s">
        <v>262</v>
      </c>
      <c r="G8" s="1" t="s">
        <v>263</v>
      </c>
      <c r="H8" s="1" t="s">
        <v>264</v>
      </c>
      <c r="I8" s="1" t="s">
        <v>265</v>
      </c>
      <c r="J8" s="1">
        <v>6304174925</v>
      </c>
      <c r="K8" s="1" t="s">
        <v>79</v>
      </c>
      <c r="L8" s="1" t="s">
        <v>266</v>
      </c>
      <c r="M8" s="1" t="s">
        <v>81</v>
      </c>
      <c r="N8" s="1" t="s">
        <v>267</v>
      </c>
      <c r="O8" s="1" t="s">
        <v>268</v>
      </c>
      <c r="P8" s="1" t="s">
        <v>214</v>
      </c>
      <c r="Q8" s="1" t="s">
        <v>269</v>
      </c>
      <c r="R8" s="1" t="s">
        <v>270</v>
      </c>
      <c r="S8" s="1">
        <v>9949131676</v>
      </c>
      <c r="T8" s="1" t="s">
        <v>271</v>
      </c>
      <c r="U8" s="1" t="s">
        <v>272</v>
      </c>
      <c r="V8" s="1">
        <v>9133954535</v>
      </c>
      <c r="W8" s="1" t="s">
        <v>273</v>
      </c>
      <c r="X8" s="1" t="s">
        <v>274</v>
      </c>
      <c r="Y8" s="1" t="s">
        <v>275</v>
      </c>
      <c r="Z8" s="1" t="s">
        <v>276</v>
      </c>
      <c r="AA8" s="1" t="s">
        <v>274</v>
      </c>
      <c r="AB8" s="1" t="s">
        <v>275</v>
      </c>
      <c r="AC8" s="1" t="s">
        <v>276</v>
      </c>
      <c r="AD8" s="1" t="s">
        <v>93</v>
      </c>
      <c r="AE8" s="1" t="s">
        <v>93</v>
      </c>
      <c r="AF8" s="1" t="s">
        <v>277</v>
      </c>
      <c r="AG8" s="1" t="s">
        <v>278</v>
      </c>
      <c r="AH8" s="1" t="s">
        <v>161</v>
      </c>
      <c r="AI8" s="1" t="s">
        <v>279</v>
      </c>
      <c r="AJ8" s="1">
        <v>93.0</v>
      </c>
      <c r="AK8" s="1">
        <v>9.3</v>
      </c>
      <c r="AL8" s="1" t="s">
        <v>280</v>
      </c>
      <c r="AM8" s="1" t="s">
        <v>278</v>
      </c>
      <c r="AN8" s="1" t="s">
        <v>162</v>
      </c>
      <c r="AO8" s="1" t="s">
        <v>281</v>
      </c>
      <c r="AP8" s="1">
        <v>92.6</v>
      </c>
      <c r="AQ8" s="1"/>
      <c r="AR8" s="1"/>
      <c r="AS8" s="1"/>
      <c r="AT8" s="1"/>
      <c r="AU8" s="1"/>
      <c r="AV8" s="1"/>
      <c r="AW8" s="1"/>
      <c r="AX8" s="1" t="s">
        <v>282</v>
      </c>
      <c r="AY8" s="1" t="s">
        <v>283</v>
      </c>
      <c r="AZ8" s="1" t="s">
        <v>169</v>
      </c>
      <c r="BA8" s="1" t="s">
        <v>284</v>
      </c>
      <c r="BB8" s="1">
        <v>68.0</v>
      </c>
      <c r="BC8" s="1">
        <v>6.8</v>
      </c>
      <c r="BD8" s="1"/>
      <c r="BE8" s="1"/>
      <c r="BF8" s="1"/>
      <c r="BG8" s="1"/>
      <c r="BH8" s="1"/>
      <c r="BI8" s="1"/>
      <c r="BJ8" s="1" t="s">
        <v>285</v>
      </c>
      <c r="BK8" s="1" t="s">
        <v>286</v>
      </c>
      <c r="BL8" s="1" t="s">
        <v>287</v>
      </c>
      <c r="BM8" s="1" t="s">
        <v>288</v>
      </c>
      <c r="BN8" s="1">
        <v>8</v>
      </c>
      <c r="BO8" s="1" t="s">
        <v>289</v>
      </c>
      <c r="BP8" s="1" t="str">
        <f>HYPERLINK("https://nconnect.nicmar.ac.in/storage/profile/6a1bc2191055c.png","Download")</f>
        <v>0</v>
      </c>
      <c r="BQ8" s="3"/>
      <c r="BR8" s="3"/>
    </row>
    <row r="9" spans="1:70">
      <c r="A9" s="1" t="s">
        <v>70</v>
      </c>
      <c r="B9" s="1" t="s">
        <v>71</v>
      </c>
      <c r="C9" s="1" t="s">
        <v>290</v>
      </c>
      <c r="D9" s="1" t="s">
        <v>291</v>
      </c>
      <c r="E9" s="1"/>
      <c r="F9" s="1" t="s">
        <v>292</v>
      </c>
      <c r="G9" s="1" t="s">
        <v>293</v>
      </c>
      <c r="H9" s="1" t="s">
        <v>294</v>
      </c>
      <c r="I9" s="1" t="s">
        <v>295</v>
      </c>
      <c r="J9" s="1">
        <v>7666585576</v>
      </c>
      <c r="K9" s="1" t="s">
        <v>79</v>
      </c>
      <c r="L9" s="1" t="s">
        <v>296</v>
      </c>
      <c r="M9" s="1" t="s">
        <v>81</v>
      </c>
      <c r="N9" s="1" t="s">
        <v>297</v>
      </c>
      <c r="O9" s="1" t="s">
        <v>152</v>
      </c>
      <c r="P9" s="1" t="s">
        <v>214</v>
      </c>
      <c r="Q9" s="1" t="s">
        <v>298</v>
      </c>
      <c r="R9" s="1" t="s">
        <v>299</v>
      </c>
      <c r="S9" s="1">
        <v>8459914145</v>
      </c>
      <c r="T9" s="1" t="s">
        <v>300</v>
      </c>
      <c r="U9" s="1" t="s">
        <v>301</v>
      </c>
      <c r="V9" s="1">
        <v>9422974725</v>
      </c>
      <c r="W9" s="1" t="s">
        <v>302</v>
      </c>
      <c r="X9" s="1" t="s">
        <v>303</v>
      </c>
      <c r="Y9" s="1" t="s">
        <v>304</v>
      </c>
      <c r="Z9" s="1" t="s">
        <v>92</v>
      </c>
      <c r="AA9" s="1" t="s">
        <v>305</v>
      </c>
      <c r="AB9" s="1" t="s">
        <v>191</v>
      </c>
      <c r="AC9" s="1" t="s">
        <v>92</v>
      </c>
      <c r="AD9" s="1" t="s">
        <v>93</v>
      </c>
      <c r="AE9" s="1" t="s">
        <v>93</v>
      </c>
      <c r="AF9" s="1" t="s">
        <v>306</v>
      </c>
      <c r="AG9" s="1" t="s">
        <v>307</v>
      </c>
      <c r="AH9" s="1" t="s">
        <v>162</v>
      </c>
      <c r="AI9" s="1" t="s">
        <v>165</v>
      </c>
      <c r="AJ9" s="1">
        <v>84.8</v>
      </c>
      <c r="AK9" s="1">
        <v>9.2</v>
      </c>
      <c r="AL9" s="1" t="s">
        <v>306</v>
      </c>
      <c r="AM9" s="1" t="s">
        <v>307</v>
      </c>
      <c r="AN9" s="1" t="s">
        <v>101</v>
      </c>
      <c r="AO9" s="1" t="s">
        <v>308</v>
      </c>
      <c r="AP9" s="1">
        <v>71.8</v>
      </c>
      <c r="AQ9" s="1"/>
      <c r="AR9" s="1"/>
      <c r="AS9" s="1"/>
      <c r="AT9" s="1"/>
      <c r="AU9" s="1"/>
      <c r="AV9" s="1"/>
      <c r="AW9" s="1"/>
      <c r="AX9" s="1" t="s">
        <v>199</v>
      </c>
      <c r="AY9" s="1" t="s">
        <v>309</v>
      </c>
      <c r="AZ9" s="1" t="s">
        <v>310</v>
      </c>
      <c r="BA9" s="1" t="s">
        <v>202</v>
      </c>
      <c r="BB9" s="1">
        <v>63.81</v>
      </c>
      <c r="BC9" s="1">
        <v>7.17</v>
      </c>
      <c r="BD9" s="1"/>
      <c r="BE9" s="1"/>
      <c r="BF9" s="1"/>
      <c r="BG9" s="1"/>
      <c r="BH9" s="1"/>
      <c r="BI9" s="1"/>
      <c r="BJ9" s="1" t="s">
        <v>311</v>
      </c>
      <c r="BK9" s="1"/>
      <c r="BL9" s="1"/>
      <c r="BM9" s="1" t="s">
        <v>312</v>
      </c>
      <c r="BN9" s="1">
        <v>33</v>
      </c>
      <c r="BO9" s="1"/>
      <c r="BP9" s="1" t="str">
        <f>HYPERLINK("https://nconnect.nicmar.ac.in/storage/profile/6a1bc683727f9.png","Download")</f>
        <v>0</v>
      </c>
      <c r="BQ9" s="3"/>
      <c r="BR9" s="3"/>
    </row>
    <row r="10" spans="1:70">
      <c r="A10" s="1" t="s">
        <v>70</v>
      </c>
      <c r="B10" s="1" t="s">
        <v>71</v>
      </c>
      <c r="C10" s="1" t="s">
        <v>313</v>
      </c>
      <c r="D10" s="1" t="s">
        <v>314</v>
      </c>
      <c r="E10" s="1" t="s">
        <v>315</v>
      </c>
      <c r="F10" s="1" t="s">
        <v>316</v>
      </c>
      <c r="G10" s="1" t="s">
        <v>317</v>
      </c>
      <c r="H10" s="1" t="s">
        <v>318</v>
      </c>
      <c r="I10" s="1" t="s">
        <v>319</v>
      </c>
      <c r="J10" s="1">
        <v>8830758744</v>
      </c>
      <c r="K10" s="1" t="s">
        <v>79</v>
      </c>
      <c r="L10" s="1" t="s">
        <v>320</v>
      </c>
      <c r="M10" s="1" t="s">
        <v>81</v>
      </c>
      <c r="N10" s="1" t="s">
        <v>321</v>
      </c>
      <c r="O10" s="1" t="s">
        <v>322</v>
      </c>
      <c r="P10" s="1" t="s">
        <v>117</v>
      </c>
      <c r="Q10" s="1" t="s">
        <v>323</v>
      </c>
      <c r="R10" s="1" t="s">
        <v>324</v>
      </c>
      <c r="S10" s="1">
        <v>9579766668</v>
      </c>
      <c r="T10" s="1" t="s">
        <v>325</v>
      </c>
      <c r="U10" s="1" t="s">
        <v>326</v>
      </c>
      <c r="V10" s="1">
        <v>9579766668</v>
      </c>
      <c r="W10" s="1" t="s">
        <v>156</v>
      </c>
      <c r="X10" s="1" t="s">
        <v>327</v>
      </c>
      <c r="Y10" s="1" t="s">
        <v>328</v>
      </c>
      <c r="Z10" s="1" t="s">
        <v>92</v>
      </c>
      <c r="AA10" s="1" t="s">
        <v>327</v>
      </c>
      <c r="AB10" s="1" t="s">
        <v>328</v>
      </c>
      <c r="AC10" s="1" t="s">
        <v>92</v>
      </c>
      <c r="AD10" s="1" t="s">
        <v>93</v>
      </c>
      <c r="AE10" s="1" t="s">
        <v>93</v>
      </c>
      <c r="AF10" s="1" t="s">
        <v>329</v>
      </c>
      <c r="AG10" s="1" t="s">
        <v>330</v>
      </c>
      <c r="AH10" s="1" t="s">
        <v>331</v>
      </c>
      <c r="AI10" s="1" t="s">
        <v>332</v>
      </c>
      <c r="AJ10" s="1">
        <v>69.82</v>
      </c>
      <c r="AK10" s="1"/>
      <c r="AL10" s="1"/>
      <c r="AM10" s="1"/>
      <c r="AN10" s="1"/>
      <c r="AO10" s="1"/>
      <c r="AP10" s="1"/>
      <c r="AQ10" s="1"/>
      <c r="AR10" s="1" t="s">
        <v>98</v>
      </c>
      <c r="AS10" s="1" t="s">
        <v>333</v>
      </c>
      <c r="AT10" s="1" t="s">
        <v>334</v>
      </c>
      <c r="AU10" s="1" t="s">
        <v>161</v>
      </c>
      <c r="AV10" s="1">
        <v>60.68</v>
      </c>
      <c r="AW10" s="1"/>
      <c r="AX10" s="1" t="s">
        <v>335</v>
      </c>
      <c r="AY10" s="1" t="s">
        <v>336</v>
      </c>
      <c r="AZ10" s="1" t="s">
        <v>337</v>
      </c>
      <c r="BA10" s="1" t="s">
        <v>228</v>
      </c>
      <c r="BB10" s="1">
        <v>84.88</v>
      </c>
      <c r="BC10" s="1"/>
      <c r="BD10" s="1"/>
      <c r="BE10" s="1"/>
      <c r="BF10" s="1"/>
      <c r="BG10" s="1"/>
      <c r="BH10" s="1"/>
      <c r="BI10" s="1"/>
      <c r="BJ10" s="1" t="s">
        <v>338</v>
      </c>
      <c r="BK10" s="1" t="s">
        <v>339</v>
      </c>
      <c r="BL10" s="1" t="s">
        <v>340</v>
      </c>
      <c r="BM10" s="1" t="s">
        <v>341</v>
      </c>
      <c r="BN10" s="1">
        <v>8</v>
      </c>
      <c r="BO10" s="1"/>
      <c r="BP10" s="1" t="str">
        <f>HYPERLINK("https://nconnect.nicmar.ac.in/storage/profile/6a1c1d386b69b.png","Download")</f>
        <v>0</v>
      </c>
      <c r="BQ10" s="3"/>
      <c r="BR10" s="3"/>
    </row>
    <row r="11" spans="1:70">
      <c r="A11" s="1" t="s">
        <v>70</v>
      </c>
      <c r="B11" s="1" t="s">
        <v>71</v>
      </c>
      <c r="C11" s="1" t="s">
        <v>342</v>
      </c>
      <c r="D11" s="1" t="s">
        <v>343</v>
      </c>
      <c r="E11" s="1" t="s">
        <v>344</v>
      </c>
      <c r="F11" s="1" t="s">
        <v>345</v>
      </c>
      <c r="G11" s="1" t="s">
        <v>346</v>
      </c>
      <c r="H11" s="1" t="s">
        <v>347</v>
      </c>
      <c r="I11" s="1" t="s">
        <v>348</v>
      </c>
      <c r="J11" s="1">
        <v>9156060835</v>
      </c>
      <c r="K11" s="1" t="s">
        <v>79</v>
      </c>
      <c r="L11" s="1" t="s">
        <v>349</v>
      </c>
      <c r="M11" s="1" t="s">
        <v>81</v>
      </c>
      <c r="N11" s="1" t="s">
        <v>350</v>
      </c>
      <c r="O11" s="1" t="s">
        <v>152</v>
      </c>
      <c r="P11" s="1" t="s">
        <v>351</v>
      </c>
      <c r="Q11" s="1" t="s">
        <v>352</v>
      </c>
      <c r="R11" s="1" t="s">
        <v>344</v>
      </c>
      <c r="S11" s="1">
        <v>9766563605</v>
      </c>
      <c r="T11" s="1" t="s">
        <v>154</v>
      </c>
      <c r="U11" s="1" t="s">
        <v>353</v>
      </c>
      <c r="V11" s="1">
        <v>8308962991</v>
      </c>
      <c r="W11" s="1" t="s">
        <v>156</v>
      </c>
      <c r="X11" s="1" t="s">
        <v>354</v>
      </c>
      <c r="Y11" s="1" t="s">
        <v>158</v>
      </c>
      <c r="Z11" s="1" t="s">
        <v>92</v>
      </c>
      <c r="AA11" s="1" t="s">
        <v>354</v>
      </c>
      <c r="AB11" s="1" t="s">
        <v>158</v>
      </c>
      <c r="AC11" s="1" t="s">
        <v>92</v>
      </c>
      <c r="AD11" s="1" t="s">
        <v>93</v>
      </c>
      <c r="AE11" s="1" t="s">
        <v>93</v>
      </c>
      <c r="AF11" s="1" t="s">
        <v>355</v>
      </c>
      <c r="AG11" s="1" t="s">
        <v>356</v>
      </c>
      <c r="AH11" s="1" t="s">
        <v>165</v>
      </c>
      <c r="AI11" s="1" t="s">
        <v>281</v>
      </c>
      <c r="AJ11" s="1">
        <v>86.0</v>
      </c>
      <c r="AK11" s="1"/>
      <c r="AL11" s="1" t="s">
        <v>357</v>
      </c>
      <c r="AM11" s="1" t="s">
        <v>358</v>
      </c>
      <c r="AN11" s="1" t="s">
        <v>359</v>
      </c>
      <c r="AO11" s="1" t="s">
        <v>360</v>
      </c>
      <c r="AP11" s="1">
        <v>78.77</v>
      </c>
      <c r="AQ11" s="1"/>
      <c r="AR11" s="1"/>
      <c r="AS11" s="1"/>
      <c r="AT11" s="1"/>
      <c r="AU11" s="1"/>
      <c r="AV11" s="1"/>
      <c r="AW11" s="1"/>
      <c r="AX11" s="1" t="s">
        <v>361</v>
      </c>
      <c r="AY11" s="1" t="s">
        <v>362</v>
      </c>
      <c r="AZ11" s="1" t="s">
        <v>363</v>
      </c>
      <c r="BA11" s="1" t="s">
        <v>202</v>
      </c>
      <c r="BB11" s="1">
        <v>63.7</v>
      </c>
      <c r="BC11" s="1">
        <v>7.12</v>
      </c>
      <c r="BD11" s="1"/>
      <c r="BE11" s="1"/>
      <c r="BF11" s="1"/>
      <c r="BG11" s="1"/>
      <c r="BH11" s="1"/>
      <c r="BI11" s="1"/>
      <c r="BJ11" s="1" t="s">
        <v>364</v>
      </c>
      <c r="BK11" s="1"/>
      <c r="BL11" s="1"/>
      <c r="BM11" s="1" t="s">
        <v>365</v>
      </c>
      <c r="BN11" s="1">
        <v>8</v>
      </c>
      <c r="BO11" s="1"/>
      <c r="BP11" s="1" t="str">
        <f>HYPERLINK("https://nconnect.nicmar.ac.in/storage/profile/6a1c40dde72e1.png","Download")</f>
        <v>0</v>
      </c>
      <c r="BQ11" s="3"/>
      <c r="BR11" s="3"/>
    </row>
    <row r="12" spans="1:70">
      <c r="A12" s="1" t="s">
        <v>70</v>
      </c>
      <c r="B12" s="1" t="s">
        <v>71</v>
      </c>
      <c r="C12" s="1" t="s">
        <v>366</v>
      </c>
      <c r="D12" s="1" t="s">
        <v>367</v>
      </c>
      <c r="E12" s="1" t="s">
        <v>368</v>
      </c>
      <c r="F12" s="1" t="s">
        <v>369</v>
      </c>
      <c r="G12" s="1" t="s">
        <v>370</v>
      </c>
      <c r="H12" s="1" t="s">
        <v>371</v>
      </c>
      <c r="I12" s="1" t="s">
        <v>372</v>
      </c>
      <c r="J12" s="1">
        <v>8830517806</v>
      </c>
      <c r="K12" s="1" t="s">
        <v>79</v>
      </c>
      <c r="L12" s="1" t="s">
        <v>373</v>
      </c>
      <c r="M12" s="1" t="s">
        <v>81</v>
      </c>
      <c r="N12" s="1" t="s">
        <v>374</v>
      </c>
      <c r="O12" s="1" t="s">
        <v>375</v>
      </c>
      <c r="P12" s="1" t="s">
        <v>117</v>
      </c>
      <c r="Q12" s="1" t="s">
        <v>376</v>
      </c>
      <c r="R12" s="1" t="s">
        <v>368</v>
      </c>
      <c r="S12" s="1">
        <v>8208685186</v>
      </c>
      <c r="T12" s="1" t="s">
        <v>377</v>
      </c>
      <c r="U12" s="1" t="s">
        <v>217</v>
      </c>
      <c r="V12" s="1">
        <v>9767132068</v>
      </c>
      <c r="W12" s="1" t="s">
        <v>273</v>
      </c>
      <c r="X12" s="1" t="s">
        <v>378</v>
      </c>
      <c r="Y12" s="1" t="s">
        <v>379</v>
      </c>
      <c r="Z12" s="1" t="s">
        <v>92</v>
      </c>
      <c r="AA12" s="1" t="s">
        <v>378</v>
      </c>
      <c r="AB12" s="1" t="s">
        <v>379</v>
      </c>
      <c r="AC12" s="1" t="s">
        <v>92</v>
      </c>
      <c r="AD12" s="1" t="s">
        <v>93</v>
      </c>
      <c r="AE12" s="1" t="s">
        <v>93</v>
      </c>
      <c r="AF12" s="1" t="s">
        <v>380</v>
      </c>
      <c r="AG12" s="1" t="s">
        <v>381</v>
      </c>
      <c r="AH12" s="1" t="s">
        <v>162</v>
      </c>
      <c r="AI12" s="1" t="s">
        <v>165</v>
      </c>
      <c r="AJ12" s="1">
        <v>68.6</v>
      </c>
      <c r="AK12" s="1">
        <v>7.6</v>
      </c>
      <c r="AL12" s="1"/>
      <c r="AM12" s="1"/>
      <c r="AN12" s="1"/>
      <c r="AO12" s="1"/>
      <c r="AP12" s="1"/>
      <c r="AQ12" s="1"/>
      <c r="AR12" s="1" t="s">
        <v>223</v>
      </c>
      <c r="AS12" s="1" t="s">
        <v>382</v>
      </c>
      <c r="AT12" s="1" t="s">
        <v>383</v>
      </c>
      <c r="AU12" s="1" t="s">
        <v>173</v>
      </c>
      <c r="AV12" s="1">
        <v>85.32</v>
      </c>
      <c r="AW12" s="1"/>
      <c r="AX12" s="1" t="s">
        <v>384</v>
      </c>
      <c r="AY12" s="1" t="s">
        <v>385</v>
      </c>
      <c r="AZ12" s="1" t="s">
        <v>173</v>
      </c>
      <c r="BA12" s="1" t="s">
        <v>386</v>
      </c>
      <c r="BB12" s="1">
        <v>78.3</v>
      </c>
      <c r="BC12" s="1">
        <v>8.33</v>
      </c>
      <c r="BD12" s="1"/>
      <c r="BE12" s="1"/>
      <c r="BF12" s="1"/>
      <c r="BG12" s="1"/>
      <c r="BH12" s="1"/>
      <c r="BI12" s="1"/>
      <c r="BJ12" s="1" t="s">
        <v>387</v>
      </c>
      <c r="BK12" s="1"/>
      <c r="BL12" s="1"/>
      <c r="BM12" s="1" t="s">
        <v>388</v>
      </c>
      <c r="BN12" s="1">
        <v>60</v>
      </c>
      <c r="BO12" s="1" t="s">
        <v>389</v>
      </c>
      <c r="BP12" s="1" t="str">
        <f>HYPERLINK("https://nconnect.nicmar.ac.in/storage/profile/6a1c46dc90bab.png","Download")</f>
        <v>0</v>
      </c>
      <c r="BQ12" s="3"/>
      <c r="BR12" s="3"/>
    </row>
    <row r="13" spans="1:70">
      <c r="A13" s="1" t="s">
        <v>70</v>
      </c>
      <c r="B13" s="1" t="s">
        <v>71</v>
      </c>
      <c r="C13" s="1" t="s">
        <v>390</v>
      </c>
      <c r="D13" s="1" t="s">
        <v>391</v>
      </c>
      <c r="E13" s="1" t="s">
        <v>392</v>
      </c>
      <c r="F13" s="1" t="s">
        <v>393</v>
      </c>
      <c r="G13" s="1" t="s">
        <v>394</v>
      </c>
      <c r="H13" s="1" t="s">
        <v>395</v>
      </c>
      <c r="I13" s="1" t="s">
        <v>396</v>
      </c>
      <c r="J13" s="1">
        <v>8237843172</v>
      </c>
      <c r="K13" s="1" t="s">
        <v>79</v>
      </c>
      <c r="L13" s="1" t="s">
        <v>397</v>
      </c>
      <c r="M13" s="1" t="s">
        <v>81</v>
      </c>
      <c r="N13" s="1" t="s">
        <v>398</v>
      </c>
      <c r="O13" s="1" t="s">
        <v>399</v>
      </c>
      <c r="P13" s="1" t="s">
        <v>84</v>
      </c>
      <c r="Q13" s="1" t="s">
        <v>400</v>
      </c>
      <c r="R13" s="1" t="s">
        <v>401</v>
      </c>
      <c r="S13" s="1">
        <v>9822204403</v>
      </c>
      <c r="T13" s="1" t="s">
        <v>402</v>
      </c>
      <c r="U13" s="1" t="s">
        <v>403</v>
      </c>
      <c r="V13" s="1">
        <v>9822429888</v>
      </c>
      <c r="W13" s="1" t="s">
        <v>156</v>
      </c>
      <c r="X13" s="1" t="s">
        <v>404</v>
      </c>
      <c r="Y13" s="1" t="s">
        <v>405</v>
      </c>
      <c r="Z13" s="1" t="s">
        <v>92</v>
      </c>
      <c r="AA13" s="1" t="s">
        <v>404</v>
      </c>
      <c r="AB13" s="1" t="s">
        <v>405</v>
      </c>
      <c r="AC13" s="1" t="s">
        <v>92</v>
      </c>
      <c r="AD13" s="1" t="s">
        <v>93</v>
      </c>
      <c r="AE13" s="1" t="s">
        <v>93</v>
      </c>
      <c r="AF13" s="1" t="s">
        <v>406</v>
      </c>
      <c r="AG13" s="1" t="s">
        <v>407</v>
      </c>
      <c r="AH13" s="1" t="s">
        <v>195</v>
      </c>
      <c r="AI13" s="1" t="s">
        <v>281</v>
      </c>
      <c r="AJ13" s="1">
        <v>74.8</v>
      </c>
      <c r="AK13" s="1"/>
      <c r="AL13" s="1" t="s">
        <v>408</v>
      </c>
      <c r="AM13" s="1" t="s">
        <v>407</v>
      </c>
      <c r="AN13" s="1" t="s">
        <v>409</v>
      </c>
      <c r="AO13" s="1" t="s">
        <v>360</v>
      </c>
      <c r="AP13" s="1">
        <v>71.8</v>
      </c>
      <c r="AQ13" s="1"/>
      <c r="AR13" s="1"/>
      <c r="AS13" s="1"/>
      <c r="AT13" s="1"/>
      <c r="AU13" s="1"/>
      <c r="AV13" s="1"/>
      <c r="AW13" s="1"/>
      <c r="AX13" s="1" t="s">
        <v>410</v>
      </c>
      <c r="AY13" s="1" t="s">
        <v>411</v>
      </c>
      <c r="AZ13" s="1" t="s">
        <v>412</v>
      </c>
      <c r="BA13" s="1" t="s">
        <v>413</v>
      </c>
      <c r="BB13" s="1">
        <v>64.4</v>
      </c>
      <c r="BC13" s="1">
        <v>7.19</v>
      </c>
      <c r="BD13" s="1"/>
      <c r="BE13" s="1"/>
      <c r="BF13" s="1"/>
      <c r="BG13" s="1"/>
      <c r="BH13" s="1"/>
      <c r="BI13" s="1"/>
      <c r="BJ13" s="1" t="s">
        <v>414</v>
      </c>
      <c r="BK13" s="1"/>
      <c r="BL13" s="1"/>
      <c r="BM13" s="1" t="s">
        <v>415</v>
      </c>
      <c r="BN13" s="1">
        <v>24</v>
      </c>
      <c r="BO13" s="1"/>
      <c r="BP13" s="1" t="str">
        <f>HYPERLINK("https://nconnect.nicmar.ac.in/storage/profile/6a1c4c4fce923.png","Download")</f>
        <v>0</v>
      </c>
      <c r="BQ13" s="3"/>
      <c r="BR13" s="3"/>
    </row>
    <row r="14" spans="1:70">
      <c r="A14" s="1" t="s">
        <v>70</v>
      </c>
      <c r="B14" s="1" t="s">
        <v>71</v>
      </c>
      <c r="C14" s="1" t="s">
        <v>416</v>
      </c>
      <c r="D14" s="1" t="s">
        <v>417</v>
      </c>
      <c r="E14" s="1" t="s">
        <v>418</v>
      </c>
      <c r="F14" s="1" t="s">
        <v>419</v>
      </c>
      <c r="G14" s="1" t="s">
        <v>420</v>
      </c>
      <c r="H14" s="1" t="s">
        <v>421</v>
      </c>
      <c r="I14" s="1" t="s">
        <v>422</v>
      </c>
      <c r="J14" s="1">
        <v>9422720171</v>
      </c>
      <c r="K14" s="1" t="s">
        <v>148</v>
      </c>
      <c r="L14" s="1" t="s">
        <v>423</v>
      </c>
      <c r="M14" s="1" t="s">
        <v>81</v>
      </c>
      <c r="N14" s="1" t="s">
        <v>151</v>
      </c>
      <c r="O14" s="1" t="s">
        <v>424</v>
      </c>
      <c r="P14" s="1" t="s">
        <v>117</v>
      </c>
      <c r="Q14" s="1" t="s">
        <v>425</v>
      </c>
      <c r="R14" s="1" t="s">
        <v>426</v>
      </c>
      <c r="S14" s="1">
        <v>9404623871</v>
      </c>
      <c r="T14" s="1" t="s">
        <v>122</v>
      </c>
      <c r="U14" s="1" t="s">
        <v>427</v>
      </c>
      <c r="V14" s="1">
        <v>7972398377</v>
      </c>
      <c r="W14" s="1" t="s">
        <v>273</v>
      </c>
      <c r="X14" s="1" t="s">
        <v>428</v>
      </c>
      <c r="Y14" s="1" t="s">
        <v>429</v>
      </c>
      <c r="Z14" s="1" t="s">
        <v>92</v>
      </c>
      <c r="AA14" s="1" t="s">
        <v>428</v>
      </c>
      <c r="AB14" s="1" t="s">
        <v>429</v>
      </c>
      <c r="AC14" s="1" t="s">
        <v>92</v>
      </c>
      <c r="AD14" s="1" t="s">
        <v>93</v>
      </c>
      <c r="AE14" s="1" t="s">
        <v>93</v>
      </c>
      <c r="AF14" s="1" t="s">
        <v>430</v>
      </c>
      <c r="AG14" s="1" t="s">
        <v>431</v>
      </c>
      <c r="AH14" s="1" t="s">
        <v>162</v>
      </c>
      <c r="AI14" s="1" t="s">
        <v>165</v>
      </c>
      <c r="AJ14" s="1">
        <v>64.4</v>
      </c>
      <c r="AK14" s="1"/>
      <c r="AL14" s="1" t="s">
        <v>432</v>
      </c>
      <c r="AM14" s="1" t="s">
        <v>431</v>
      </c>
      <c r="AN14" s="1" t="s">
        <v>101</v>
      </c>
      <c r="AO14" s="1" t="s">
        <v>433</v>
      </c>
      <c r="AP14" s="1">
        <v>48.62</v>
      </c>
      <c r="AQ14" s="1"/>
      <c r="AR14" s="1" t="s">
        <v>434</v>
      </c>
      <c r="AS14" s="1" t="s">
        <v>435</v>
      </c>
      <c r="AT14" s="1" t="s">
        <v>310</v>
      </c>
      <c r="AU14" s="1" t="s">
        <v>436</v>
      </c>
      <c r="AV14" s="1">
        <v>91.42</v>
      </c>
      <c r="AW14" s="1"/>
      <c r="AX14" s="1" t="s">
        <v>437</v>
      </c>
      <c r="AY14" s="1" t="s">
        <v>438</v>
      </c>
      <c r="AZ14" s="1" t="s">
        <v>436</v>
      </c>
      <c r="BA14" s="1" t="s">
        <v>202</v>
      </c>
      <c r="BB14" s="1">
        <v>72.8</v>
      </c>
      <c r="BC14" s="1">
        <v>8.58</v>
      </c>
      <c r="BD14" s="1"/>
      <c r="BE14" s="1"/>
      <c r="BF14" s="1"/>
      <c r="BG14" s="1"/>
      <c r="BH14" s="1"/>
      <c r="BI14" s="1"/>
      <c r="BJ14" s="1" t="s">
        <v>439</v>
      </c>
      <c r="BK14" s="1"/>
      <c r="BL14" s="1"/>
      <c r="BM14" s="1" t="s">
        <v>440</v>
      </c>
      <c r="BN14" s="1">
        <v>10</v>
      </c>
      <c r="BO14" s="1"/>
      <c r="BP14" s="1" t="str">
        <f>HYPERLINK("https://nconnect.nicmar.ac.in/storage/profile/6a1c4ef70c260.png","Download")</f>
        <v>0</v>
      </c>
      <c r="BQ14" s="3"/>
      <c r="BR14" s="3"/>
    </row>
    <row r="15" spans="1:70">
      <c r="A15" s="1" t="s">
        <v>70</v>
      </c>
      <c r="B15" s="1" t="s">
        <v>441</v>
      </c>
      <c r="C15" s="1" t="s">
        <v>442</v>
      </c>
      <c r="D15" s="1" t="s">
        <v>443</v>
      </c>
      <c r="E15" s="1"/>
      <c r="F15" s="1" t="s">
        <v>444</v>
      </c>
      <c r="G15" s="1" t="s">
        <v>445</v>
      </c>
      <c r="H15" s="1" t="s">
        <v>446</v>
      </c>
      <c r="I15" s="1" t="s">
        <v>447</v>
      </c>
      <c r="J15" s="1">
        <v>9346561296</v>
      </c>
      <c r="K15" s="1" t="s">
        <v>79</v>
      </c>
      <c r="L15" s="1" t="s">
        <v>448</v>
      </c>
      <c r="M15" s="1" t="s">
        <v>81</v>
      </c>
      <c r="N15" s="1" t="s">
        <v>449</v>
      </c>
      <c r="O15" s="1"/>
      <c r="P15" s="1" t="s">
        <v>450</v>
      </c>
      <c r="Q15" s="1" t="s">
        <v>451</v>
      </c>
      <c r="R15" s="1" t="s">
        <v>452</v>
      </c>
      <c r="S15" s="1">
        <v>9963721767</v>
      </c>
      <c r="T15" s="1" t="s">
        <v>154</v>
      </c>
      <c r="U15" s="1" t="s">
        <v>453</v>
      </c>
      <c r="V15" s="1">
        <v>9963721767</v>
      </c>
      <c r="W15" s="1" t="s">
        <v>154</v>
      </c>
      <c r="X15" s="1" t="s">
        <v>454</v>
      </c>
      <c r="Y15" s="1" t="s">
        <v>455</v>
      </c>
      <c r="Z15" s="1" t="s">
        <v>456</v>
      </c>
      <c r="AA15" s="1" t="s">
        <v>454</v>
      </c>
      <c r="AB15" s="1" t="s">
        <v>455</v>
      </c>
      <c r="AC15" s="1" t="s">
        <v>456</v>
      </c>
      <c r="AD15" s="1">
        <v>9.1</v>
      </c>
      <c r="AE15" s="1" t="s">
        <v>93</v>
      </c>
      <c r="AF15" s="1" t="s">
        <v>457</v>
      </c>
      <c r="AG15" s="1" t="s">
        <v>458</v>
      </c>
      <c r="AH15" s="1" t="s">
        <v>161</v>
      </c>
      <c r="AI15" s="1" t="s">
        <v>281</v>
      </c>
      <c r="AJ15" s="1">
        <v>98</v>
      </c>
      <c r="AK15" s="1">
        <v>9.8</v>
      </c>
      <c r="AL15" s="1" t="s">
        <v>459</v>
      </c>
      <c r="AM15" s="1" t="s">
        <v>459</v>
      </c>
      <c r="AN15" s="1" t="s">
        <v>169</v>
      </c>
      <c r="AO15" s="1" t="s">
        <v>412</v>
      </c>
      <c r="AP15" s="1">
        <v>89.9</v>
      </c>
      <c r="AQ15" s="1">
        <v>8.99</v>
      </c>
      <c r="AR15" s="1"/>
      <c r="AS15" s="1"/>
      <c r="AT15" s="1"/>
      <c r="AU15" s="1"/>
      <c r="AV15" s="1"/>
      <c r="AW15" s="1"/>
      <c r="AX15" s="1" t="s">
        <v>459</v>
      </c>
      <c r="AY15" s="1" t="s">
        <v>459</v>
      </c>
      <c r="AZ15" s="1" t="s">
        <v>460</v>
      </c>
      <c r="BA15" s="1" t="s">
        <v>413</v>
      </c>
      <c r="BB15" s="1">
        <v>82</v>
      </c>
      <c r="BC15" s="1">
        <v>8.2</v>
      </c>
      <c r="BD15" s="1"/>
      <c r="BE15" s="1"/>
      <c r="BF15" s="1"/>
      <c r="BG15" s="1"/>
      <c r="BH15" s="1"/>
      <c r="BI15" s="1"/>
      <c r="BJ15" s="1" t="s">
        <v>461</v>
      </c>
      <c r="BK15" s="1" t="s">
        <v>462</v>
      </c>
      <c r="BL15" s="1" t="s">
        <v>463</v>
      </c>
      <c r="BM15" s="1" t="s">
        <v>464</v>
      </c>
      <c r="BN15" s="1">
        <v>14</v>
      </c>
      <c r="BO15" s="1"/>
      <c r="BP15" s="1" t="str">
        <f>HYPERLINK("https://nconnect.nicmar.ac.in/storage/profile/6a6b1a7f10660.png","Download")</f>
        <v>0</v>
      </c>
      <c r="BQ15" s="3"/>
      <c r="BR15" s="3"/>
    </row>
    <row r="16" spans="1:70">
      <c r="A16" s="1" t="s">
        <v>70</v>
      </c>
      <c r="B16" s="1" t="s">
        <v>441</v>
      </c>
      <c r="C16" s="1" t="s">
        <v>465</v>
      </c>
      <c r="D16" s="1" t="s">
        <v>466</v>
      </c>
      <c r="E16" s="1"/>
      <c r="F16" s="1" t="s">
        <v>467</v>
      </c>
      <c r="G16" s="1" t="s">
        <v>468</v>
      </c>
      <c r="H16" s="1" t="s">
        <v>469</v>
      </c>
      <c r="I16" s="1" t="s">
        <v>470</v>
      </c>
      <c r="J16" s="1">
        <v>7671817459</v>
      </c>
      <c r="K16" s="1" t="s">
        <v>148</v>
      </c>
      <c r="L16" s="1" t="s">
        <v>471</v>
      </c>
      <c r="M16" s="1" t="s">
        <v>81</v>
      </c>
      <c r="N16" s="1" t="s">
        <v>449</v>
      </c>
      <c r="O16" s="1"/>
      <c r="P16" s="1" t="s">
        <v>472</v>
      </c>
      <c r="Q16" s="1" t="s">
        <v>473</v>
      </c>
      <c r="R16" s="1" t="s">
        <v>474</v>
      </c>
      <c r="S16" s="1">
        <v>9491170937</v>
      </c>
      <c r="T16" s="1" t="s">
        <v>475</v>
      </c>
      <c r="U16" s="1" t="s">
        <v>476</v>
      </c>
      <c r="V16" s="1">
        <v>8919283213</v>
      </c>
      <c r="W16" s="1" t="s">
        <v>475</v>
      </c>
      <c r="X16" s="1" t="s">
        <v>477</v>
      </c>
      <c r="Y16" s="1" t="s">
        <v>478</v>
      </c>
      <c r="Z16" s="1" t="s">
        <v>276</v>
      </c>
      <c r="AA16" s="1" t="s">
        <v>477</v>
      </c>
      <c r="AB16" s="1" t="s">
        <v>478</v>
      </c>
      <c r="AC16" s="1" t="s">
        <v>276</v>
      </c>
      <c r="AD16" s="1">
        <v>8.34</v>
      </c>
      <c r="AE16" s="1" t="s">
        <v>93</v>
      </c>
      <c r="AF16" s="1" t="s">
        <v>479</v>
      </c>
      <c r="AG16" s="1" t="s">
        <v>480</v>
      </c>
      <c r="AH16" s="1" t="s">
        <v>165</v>
      </c>
      <c r="AI16" s="1" t="s">
        <v>481</v>
      </c>
      <c r="AJ16" s="1">
        <v>100</v>
      </c>
      <c r="AK16" s="1">
        <v>10</v>
      </c>
      <c r="AL16" s="1" t="s">
        <v>482</v>
      </c>
      <c r="AM16" s="1" t="s">
        <v>483</v>
      </c>
      <c r="AN16" s="1" t="s">
        <v>101</v>
      </c>
      <c r="AO16" s="1" t="s">
        <v>460</v>
      </c>
      <c r="AP16" s="1">
        <v>89.9</v>
      </c>
      <c r="AQ16" s="1">
        <v>9.38</v>
      </c>
      <c r="AR16" s="1"/>
      <c r="AS16" s="1"/>
      <c r="AT16" s="1"/>
      <c r="AU16" s="1"/>
      <c r="AV16" s="1"/>
      <c r="AW16" s="1"/>
      <c r="AX16" s="1" t="s">
        <v>484</v>
      </c>
      <c r="AY16" s="1" t="s">
        <v>485</v>
      </c>
      <c r="AZ16" s="1" t="s">
        <v>460</v>
      </c>
      <c r="BA16" s="1" t="s">
        <v>202</v>
      </c>
      <c r="BB16" s="1">
        <v>74.67</v>
      </c>
      <c r="BC16" s="1">
        <v>7.86</v>
      </c>
      <c r="BD16" s="1"/>
      <c r="BE16" s="1"/>
      <c r="BF16" s="1"/>
      <c r="BG16" s="1"/>
      <c r="BH16" s="1"/>
      <c r="BI16" s="1"/>
      <c r="BJ16" s="1" t="s">
        <v>486</v>
      </c>
      <c r="BK16" s="1"/>
      <c r="BL16" s="1"/>
      <c r="BM16" s="1" t="s">
        <v>487</v>
      </c>
      <c r="BN16" s="1">
        <v>25</v>
      </c>
      <c r="BO16" s="1"/>
      <c r="BP16" s="1" t="str">
        <f>HYPERLINK("https://nconnect.nicmar.ac.in/storage/profile/ProfilePhoto_P25700556_563978.jpg","Download")</f>
        <v>0</v>
      </c>
      <c r="BQ16" s="3"/>
      <c r="BR16" s="3"/>
    </row>
    <row r="17" spans="1:70">
      <c r="A17" s="1" t="s">
        <v>70</v>
      </c>
      <c r="B17" s="1" t="s">
        <v>441</v>
      </c>
      <c r="C17" s="1" t="s">
        <v>488</v>
      </c>
      <c r="D17" s="1" t="s">
        <v>489</v>
      </c>
      <c r="E17" s="1" t="s">
        <v>490</v>
      </c>
      <c r="F17" s="1" t="s">
        <v>491</v>
      </c>
      <c r="G17" s="1" t="s">
        <v>492</v>
      </c>
      <c r="H17" s="1" t="s">
        <v>493</v>
      </c>
      <c r="I17" s="1" t="s">
        <v>494</v>
      </c>
      <c r="J17" s="1">
        <v>9284394773</v>
      </c>
      <c r="K17" s="1" t="s">
        <v>148</v>
      </c>
      <c r="L17" s="1" t="s">
        <v>495</v>
      </c>
      <c r="M17" s="1" t="s">
        <v>81</v>
      </c>
      <c r="N17" s="1" t="s">
        <v>496</v>
      </c>
      <c r="O17" s="1"/>
      <c r="P17" s="1" t="s">
        <v>497</v>
      </c>
      <c r="Q17" s="1" t="s">
        <v>498</v>
      </c>
      <c r="R17" s="1" t="s">
        <v>499</v>
      </c>
      <c r="S17" s="1">
        <v>9356181017</v>
      </c>
      <c r="T17" s="1" t="s">
        <v>500</v>
      </c>
      <c r="U17" s="1" t="s">
        <v>501</v>
      </c>
      <c r="V17" s="1">
        <v>9850076954</v>
      </c>
      <c r="W17" s="1" t="s">
        <v>122</v>
      </c>
      <c r="X17" s="1" t="s">
        <v>502</v>
      </c>
      <c r="Y17" s="1" t="s">
        <v>328</v>
      </c>
      <c r="Z17" s="1" t="s">
        <v>92</v>
      </c>
      <c r="AA17" s="1" t="s">
        <v>502</v>
      </c>
      <c r="AB17" s="1" t="s">
        <v>328</v>
      </c>
      <c r="AC17" s="1" t="s">
        <v>92</v>
      </c>
      <c r="AD17" s="1">
        <v>8.34</v>
      </c>
      <c r="AE17" s="1" t="s">
        <v>93</v>
      </c>
      <c r="AF17" s="1" t="s">
        <v>503</v>
      </c>
      <c r="AG17" s="1" t="s">
        <v>504</v>
      </c>
      <c r="AH17" s="1" t="s">
        <v>505</v>
      </c>
      <c r="AI17" s="1" t="s">
        <v>97</v>
      </c>
      <c r="AJ17" s="1">
        <v>88</v>
      </c>
      <c r="AK17" s="1"/>
      <c r="AL17" s="1" t="s">
        <v>506</v>
      </c>
      <c r="AM17" s="1" t="s">
        <v>504</v>
      </c>
      <c r="AN17" s="1" t="s">
        <v>507</v>
      </c>
      <c r="AO17" s="1" t="s">
        <v>508</v>
      </c>
      <c r="AP17" s="1">
        <v>65.54</v>
      </c>
      <c r="AQ17" s="1"/>
      <c r="AR17" s="1"/>
      <c r="AS17" s="1"/>
      <c r="AT17" s="1"/>
      <c r="AU17" s="1"/>
      <c r="AV17" s="1"/>
      <c r="AW17" s="1"/>
      <c r="AX17" s="1" t="s">
        <v>509</v>
      </c>
      <c r="AY17" s="1" t="s">
        <v>510</v>
      </c>
      <c r="AZ17" s="1" t="s">
        <v>165</v>
      </c>
      <c r="BA17" s="1" t="s">
        <v>511</v>
      </c>
      <c r="BB17" s="1">
        <v>73.64</v>
      </c>
      <c r="BC17" s="1"/>
      <c r="BD17" s="1"/>
      <c r="BE17" s="1"/>
      <c r="BF17" s="1"/>
      <c r="BG17" s="1"/>
      <c r="BH17" s="1"/>
      <c r="BI17" s="1"/>
      <c r="BJ17" s="1" t="s">
        <v>512</v>
      </c>
      <c r="BK17" s="1" t="s">
        <v>513</v>
      </c>
      <c r="BL17" s="1" t="s">
        <v>514</v>
      </c>
      <c r="BM17" s="1" t="s">
        <v>515</v>
      </c>
      <c r="BN17" s="1">
        <v>32</v>
      </c>
      <c r="BO17" s="1" t="s">
        <v>516</v>
      </c>
      <c r="BP17" s="1" t="str">
        <f>HYPERLINK("https://nconnect.nicmar.ac.in/storage/profile/6a6b587484d66.png","Download")</f>
        <v>0</v>
      </c>
      <c r="BQ17" s="3"/>
      <c r="BR17" s="3"/>
    </row>
    <row r="18" spans="1:70">
      <c r="A18" s="1" t="s">
        <v>70</v>
      </c>
      <c r="B18" s="1" t="s">
        <v>441</v>
      </c>
      <c r="C18" s="1" t="s">
        <v>517</v>
      </c>
      <c r="D18" s="1" t="s">
        <v>518</v>
      </c>
      <c r="E18" s="1" t="s">
        <v>519</v>
      </c>
      <c r="F18" s="1" t="s">
        <v>520</v>
      </c>
      <c r="G18" s="1" t="s">
        <v>521</v>
      </c>
      <c r="H18" s="1" t="s">
        <v>522</v>
      </c>
      <c r="I18" s="1" t="s">
        <v>523</v>
      </c>
      <c r="J18" s="1">
        <v>8004741658</v>
      </c>
      <c r="K18" s="1" t="s">
        <v>79</v>
      </c>
      <c r="L18" s="1" t="s">
        <v>524</v>
      </c>
      <c r="M18" s="1" t="s">
        <v>81</v>
      </c>
      <c r="N18" s="1" t="s">
        <v>525</v>
      </c>
      <c r="O18" s="1" t="s">
        <v>526</v>
      </c>
      <c r="P18" s="1" t="s">
        <v>497</v>
      </c>
      <c r="Q18" s="1" t="s">
        <v>527</v>
      </c>
      <c r="R18" s="1" t="s">
        <v>528</v>
      </c>
      <c r="S18" s="1">
        <v>9451690052</v>
      </c>
      <c r="T18" s="1" t="s">
        <v>529</v>
      </c>
      <c r="U18" s="1" t="s">
        <v>530</v>
      </c>
      <c r="V18" s="1">
        <v>8874470303</v>
      </c>
      <c r="W18" s="1" t="s">
        <v>531</v>
      </c>
      <c r="X18" s="1" t="s">
        <v>532</v>
      </c>
      <c r="Y18" s="1" t="s">
        <v>533</v>
      </c>
      <c r="Z18" s="1" t="s">
        <v>534</v>
      </c>
      <c r="AA18" s="1" t="s">
        <v>532</v>
      </c>
      <c r="AB18" s="1" t="s">
        <v>533</v>
      </c>
      <c r="AC18" s="1" t="s">
        <v>534</v>
      </c>
      <c r="AD18" s="1">
        <v>8.55</v>
      </c>
      <c r="AE18" s="1" t="s">
        <v>93</v>
      </c>
      <c r="AF18" s="1" t="s">
        <v>535</v>
      </c>
      <c r="AG18" s="1" t="s">
        <v>536</v>
      </c>
      <c r="AH18" s="1" t="s">
        <v>481</v>
      </c>
      <c r="AI18" s="1" t="s">
        <v>537</v>
      </c>
      <c r="AJ18" s="1">
        <v>89</v>
      </c>
      <c r="AK18" s="1"/>
      <c r="AL18" s="1" t="s">
        <v>538</v>
      </c>
      <c r="AM18" s="1" t="s">
        <v>536</v>
      </c>
      <c r="AN18" s="1" t="s">
        <v>537</v>
      </c>
      <c r="AO18" s="1" t="s">
        <v>539</v>
      </c>
      <c r="AP18" s="1">
        <v>80.8</v>
      </c>
      <c r="AQ18" s="1"/>
      <c r="AR18" s="1"/>
      <c r="AS18" s="1"/>
      <c r="AT18" s="1"/>
      <c r="AU18" s="1"/>
      <c r="AV18" s="1"/>
      <c r="AW18" s="1"/>
      <c r="AX18" s="1" t="s">
        <v>540</v>
      </c>
      <c r="AY18" s="1" t="s">
        <v>541</v>
      </c>
      <c r="AZ18" s="1" t="s">
        <v>542</v>
      </c>
      <c r="BA18" s="1" t="s">
        <v>543</v>
      </c>
      <c r="BB18" s="1">
        <v>84.2</v>
      </c>
      <c r="BC18" s="1">
        <v>8.42</v>
      </c>
      <c r="BD18" s="1"/>
      <c r="BE18" s="1"/>
      <c r="BF18" s="1"/>
      <c r="BG18" s="1"/>
      <c r="BH18" s="1"/>
      <c r="BI18" s="1"/>
      <c r="BJ18" s="1" t="s">
        <v>544</v>
      </c>
      <c r="BK18" s="1"/>
      <c r="BL18" s="1"/>
      <c r="BM18" s="1" t="s">
        <v>545</v>
      </c>
      <c r="BN18" s="1">
        <v>20</v>
      </c>
      <c r="BO18" s="1"/>
      <c r="BP18" s="1" t="str">
        <f>HYPERLINK("https://nconnect.nicmar.ac.in/storage/profile/6a6b570c6c6f9.png","Download")</f>
        <v>0</v>
      </c>
      <c r="BQ18" s="3"/>
      <c r="BR18" s="3"/>
    </row>
    <row r="19" spans="1:70">
      <c r="A19" s="1" t="s">
        <v>70</v>
      </c>
      <c r="B19" s="1" t="s">
        <v>441</v>
      </c>
      <c r="C19" s="1" t="s">
        <v>546</v>
      </c>
      <c r="D19" s="1" t="s">
        <v>547</v>
      </c>
      <c r="E19" s="1"/>
      <c r="F19" s="1" t="s">
        <v>548</v>
      </c>
      <c r="G19" s="1" t="s">
        <v>549</v>
      </c>
      <c r="H19" s="1" t="s">
        <v>550</v>
      </c>
      <c r="I19" s="1" t="s">
        <v>551</v>
      </c>
      <c r="J19" s="1">
        <v>9025856149</v>
      </c>
      <c r="K19" s="1" t="s">
        <v>79</v>
      </c>
      <c r="L19" s="1" t="s">
        <v>552</v>
      </c>
      <c r="M19" s="1" t="s">
        <v>81</v>
      </c>
      <c r="N19" s="1" t="s">
        <v>553</v>
      </c>
      <c r="O19" s="1"/>
      <c r="P19" s="1" t="s">
        <v>450</v>
      </c>
      <c r="Q19" s="1" t="s">
        <v>554</v>
      </c>
      <c r="R19" s="1" t="s">
        <v>555</v>
      </c>
      <c r="S19" s="1">
        <v>9942265081</v>
      </c>
      <c r="T19" s="1" t="s">
        <v>154</v>
      </c>
      <c r="U19" s="1" t="s">
        <v>556</v>
      </c>
      <c r="V19" s="1">
        <v>9942750330</v>
      </c>
      <c r="W19" s="1" t="s">
        <v>273</v>
      </c>
      <c r="X19" s="1" t="s">
        <v>557</v>
      </c>
      <c r="Y19" s="1" t="s">
        <v>558</v>
      </c>
      <c r="Z19" s="1" t="s">
        <v>559</v>
      </c>
      <c r="AA19" s="1" t="s">
        <v>557</v>
      </c>
      <c r="AB19" s="1" t="s">
        <v>558</v>
      </c>
      <c r="AC19" s="1" t="s">
        <v>559</v>
      </c>
      <c r="AD19" s="1">
        <v>8.6</v>
      </c>
      <c r="AE19" s="1" t="s">
        <v>93</v>
      </c>
      <c r="AF19" s="1" t="s">
        <v>560</v>
      </c>
      <c r="AG19" s="1" t="s">
        <v>561</v>
      </c>
      <c r="AH19" s="1" t="s">
        <v>161</v>
      </c>
      <c r="AI19" s="1" t="s">
        <v>562</v>
      </c>
      <c r="AJ19" s="1">
        <v>90</v>
      </c>
      <c r="AK19" s="1"/>
      <c r="AL19" s="1" t="s">
        <v>563</v>
      </c>
      <c r="AM19" s="1" t="s">
        <v>561</v>
      </c>
      <c r="AN19" s="1" t="s">
        <v>481</v>
      </c>
      <c r="AO19" s="1" t="s">
        <v>537</v>
      </c>
      <c r="AP19" s="1">
        <v>71.5</v>
      </c>
      <c r="AQ19" s="1"/>
      <c r="AR19" s="1"/>
      <c r="AS19" s="1"/>
      <c r="AT19" s="1"/>
      <c r="AU19" s="1"/>
      <c r="AV19" s="1"/>
      <c r="AW19" s="1"/>
      <c r="AX19" s="1" t="s">
        <v>564</v>
      </c>
      <c r="AY19" s="1" t="s">
        <v>565</v>
      </c>
      <c r="AZ19" s="1" t="s">
        <v>433</v>
      </c>
      <c r="BA19" s="1" t="s">
        <v>566</v>
      </c>
      <c r="BB19" s="1">
        <v>82.3</v>
      </c>
      <c r="BC19" s="1">
        <v>8.23</v>
      </c>
      <c r="BD19" s="1"/>
      <c r="BE19" s="1"/>
      <c r="BF19" s="1"/>
      <c r="BG19" s="1"/>
      <c r="BH19" s="1"/>
      <c r="BI19" s="1"/>
      <c r="BJ19" s="1" t="s">
        <v>567</v>
      </c>
      <c r="BK19" s="1" t="s">
        <v>568</v>
      </c>
      <c r="BL19" s="1" t="s">
        <v>569</v>
      </c>
      <c r="BM19" s="1" t="s">
        <v>570</v>
      </c>
      <c r="BN19" s="1">
        <v>9</v>
      </c>
      <c r="BO19" s="1" t="s">
        <v>571</v>
      </c>
      <c r="BP19" s="1" t="str">
        <f>HYPERLINK("https://nconnect.nicmar.ac.in/storage/profile/ProfilePhoto_P25700226_217845.jpg","Download")</f>
        <v>0</v>
      </c>
      <c r="BQ19" s="3"/>
      <c r="BR19" s="3"/>
    </row>
    <row r="20" spans="1:70">
      <c r="A20" s="1" t="s">
        <v>70</v>
      </c>
      <c r="B20" s="1" t="s">
        <v>441</v>
      </c>
      <c r="C20" s="1" t="s">
        <v>572</v>
      </c>
      <c r="D20" s="1" t="s">
        <v>573</v>
      </c>
      <c r="E20" s="1"/>
      <c r="F20" s="1" t="s">
        <v>574</v>
      </c>
      <c r="G20" s="1" t="s">
        <v>575</v>
      </c>
      <c r="H20" s="1" t="s">
        <v>576</v>
      </c>
      <c r="I20" s="1" t="s">
        <v>577</v>
      </c>
      <c r="J20" s="1">
        <v>8304941139</v>
      </c>
      <c r="K20" s="1" t="s">
        <v>79</v>
      </c>
      <c r="L20" s="1" t="s">
        <v>578</v>
      </c>
      <c r="M20" s="1" t="s">
        <v>81</v>
      </c>
      <c r="N20" s="1" t="s">
        <v>579</v>
      </c>
      <c r="O20" s="1" t="s">
        <v>580</v>
      </c>
      <c r="P20" s="1" t="s">
        <v>84</v>
      </c>
      <c r="Q20" s="1" t="s">
        <v>581</v>
      </c>
      <c r="R20" s="1" t="s">
        <v>582</v>
      </c>
      <c r="S20" s="1">
        <v>9496901548</v>
      </c>
      <c r="T20" s="1" t="s">
        <v>583</v>
      </c>
      <c r="U20" s="1" t="s">
        <v>584</v>
      </c>
      <c r="V20" s="1">
        <v>8281087139</v>
      </c>
      <c r="W20" s="1" t="s">
        <v>156</v>
      </c>
      <c r="X20" s="1" t="s">
        <v>585</v>
      </c>
      <c r="Y20" s="1" t="s">
        <v>586</v>
      </c>
      <c r="Z20" s="1" t="s">
        <v>125</v>
      </c>
      <c r="AA20" s="1" t="s">
        <v>585</v>
      </c>
      <c r="AB20" s="1" t="s">
        <v>586</v>
      </c>
      <c r="AC20" s="1" t="s">
        <v>125</v>
      </c>
      <c r="AD20" s="1">
        <v>8.74</v>
      </c>
      <c r="AE20" s="1" t="s">
        <v>93</v>
      </c>
      <c r="AF20" s="1" t="s">
        <v>587</v>
      </c>
      <c r="AG20" s="1" t="s">
        <v>588</v>
      </c>
      <c r="AH20" s="1" t="s">
        <v>165</v>
      </c>
      <c r="AI20" s="1" t="s">
        <v>281</v>
      </c>
      <c r="AJ20" s="1">
        <v>97.84</v>
      </c>
      <c r="AK20" s="1"/>
      <c r="AL20" s="1" t="s">
        <v>587</v>
      </c>
      <c r="AM20" s="1" t="s">
        <v>589</v>
      </c>
      <c r="AN20" s="1" t="s">
        <v>101</v>
      </c>
      <c r="AO20" s="1" t="s">
        <v>590</v>
      </c>
      <c r="AP20" s="1">
        <v>96.5</v>
      </c>
      <c r="AQ20" s="1"/>
      <c r="AR20" s="1"/>
      <c r="AS20" s="1"/>
      <c r="AT20" s="1"/>
      <c r="AU20" s="1"/>
      <c r="AV20" s="1"/>
      <c r="AW20" s="1"/>
      <c r="AX20" s="1" t="s">
        <v>591</v>
      </c>
      <c r="AY20" s="1" t="s">
        <v>592</v>
      </c>
      <c r="AZ20" s="1" t="s">
        <v>593</v>
      </c>
      <c r="BA20" s="1" t="s">
        <v>594</v>
      </c>
      <c r="BB20" s="1">
        <v>75.8</v>
      </c>
      <c r="BC20" s="1">
        <v>7.58</v>
      </c>
      <c r="BD20" s="1"/>
      <c r="BE20" s="1"/>
      <c r="BF20" s="1"/>
      <c r="BG20" s="1"/>
      <c r="BH20" s="1"/>
      <c r="BI20" s="1"/>
      <c r="BJ20" s="1" t="s">
        <v>595</v>
      </c>
      <c r="BK20" s="1"/>
      <c r="BL20" s="1"/>
      <c r="BM20" s="1" t="s">
        <v>596</v>
      </c>
      <c r="BN20" s="1">
        <v>10</v>
      </c>
      <c r="BO20" s="1" t="s">
        <v>597</v>
      </c>
      <c r="BP20" s="1" t="str">
        <f>HYPERLINK("https://nconnect.nicmar.ac.in/storage/profile/ProfilePhoto_P25700221_715863.jpg","Download")</f>
        <v>0</v>
      </c>
      <c r="BQ20" s="3"/>
      <c r="BR20" s="3"/>
    </row>
    <row r="21" spans="1:70">
      <c r="A21" s="1" t="s">
        <v>70</v>
      </c>
      <c r="B21" s="1" t="s">
        <v>441</v>
      </c>
      <c r="C21" s="1" t="s">
        <v>598</v>
      </c>
      <c r="D21" s="1" t="s">
        <v>599</v>
      </c>
      <c r="E21" s="1"/>
      <c r="F21" s="1" t="s">
        <v>600</v>
      </c>
      <c r="G21" s="1" t="s">
        <v>601</v>
      </c>
      <c r="H21" s="1" t="s">
        <v>602</v>
      </c>
      <c r="I21" s="1" t="s">
        <v>603</v>
      </c>
      <c r="J21" s="1">
        <v>9130396516</v>
      </c>
      <c r="K21" s="1" t="s">
        <v>79</v>
      </c>
      <c r="L21" s="1" t="s">
        <v>604</v>
      </c>
      <c r="M21" s="1" t="s">
        <v>81</v>
      </c>
      <c r="N21" s="1" t="s">
        <v>605</v>
      </c>
      <c r="O21" s="1"/>
      <c r="P21" s="1" t="s">
        <v>450</v>
      </c>
      <c r="Q21" s="1" t="s">
        <v>606</v>
      </c>
      <c r="R21" s="1" t="s">
        <v>607</v>
      </c>
      <c r="S21" s="1">
        <v>7218113381</v>
      </c>
      <c r="T21" s="1" t="s">
        <v>608</v>
      </c>
      <c r="U21" s="1" t="s">
        <v>609</v>
      </c>
      <c r="V21" s="1">
        <v>9823594106</v>
      </c>
      <c r="W21" s="1" t="s">
        <v>531</v>
      </c>
      <c r="X21" s="1" t="s">
        <v>610</v>
      </c>
      <c r="Y21" s="1" t="s">
        <v>611</v>
      </c>
      <c r="Z21" s="1" t="s">
        <v>92</v>
      </c>
      <c r="AA21" s="1" t="s">
        <v>610</v>
      </c>
      <c r="AB21" s="1" t="s">
        <v>611</v>
      </c>
      <c r="AC21" s="1" t="s">
        <v>92</v>
      </c>
      <c r="AD21" s="1">
        <v>7.96</v>
      </c>
      <c r="AE21" s="1" t="s">
        <v>93</v>
      </c>
      <c r="AF21" s="1" t="s">
        <v>612</v>
      </c>
      <c r="AG21" s="1" t="s">
        <v>613</v>
      </c>
      <c r="AH21" s="1" t="s">
        <v>161</v>
      </c>
      <c r="AI21" s="1" t="s">
        <v>614</v>
      </c>
      <c r="AJ21" s="1">
        <v>77.9</v>
      </c>
      <c r="AK21" s="1">
        <v>8.2</v>
      </c>
      <c r="AL21" s="1" t="s">
        <v>615</v>
      </c>
      <c r="AM21" s="1" t="s">
        <v>616</v>
      </c>
      <c r="AN21" s="1" t="s">
        <v>165</v>
      </c>
      <c r="AO21" s="1" t="s">
        <v>166</v>
      </c>
      <c r="AP21" s="1">
        <v>73.08</v>
      </c>
      <c r="AQ21" s="1"/>
      <c r="AR21" s="1"/>
      <c r="AS21" s="1"/>
      <c r="AT21" s="1"/>
      <c r="AU21" s="1"/>
      <c r="AV21" s="1"/>
      <c r="AW21" s="1"/>
      <c r="AX21" s="1" t="s">
        <v>617</v>
      </c>
      <c r="AY21" s="1" t="s">
        <v>618</v>
      </c>
      <c r="AZ21" s="1" t="s">
        <v>101</v>
      </c>
      <c r="BA21" s="1" t="s">
        <v>619</v>
      </c>
      <c r="BB21" s="1">
        <v>74.3</v>
      </c>
      <c r="BC21" s="1">
        <v>8.18</v>
      </c>
      <c r="BD21" s="1"/>
      <c r="BE21" s="1"/>
      <c r="BF21" s="1"/>
      <c r="BG21" s="1"/>
      <c r="BH21" s="1"/>
      <c r="BI21" s="1"/>
      <c r="BJ21" s="1" t="s">
        <v>620</v>
      </c>
      <c r="BK21" s="1"/>
      <c r="BL21" s="1"/>
      <c r="BM21" s="1" t="s">
        <v>621</v>
      </c>
      <c r="BN21" s="1">
        <v>9</v>
      </c>
      <c r="BO21" s="1" t="s">
        <v>622</v>
      </c>
      <c r="BP21" s="1" t="str">
        <f>HYPERLINK("https://nconnect.nicmar.ac.in/storage/profile/6a6b562a9bb97.png","Download")</f>
        <v>0</v>
      </c>
      <c r="BQ21" s="3"/>
      <c r="BR21" s="3"/>
    </row>
    <row r="22" spans="1:70">
      <c r="A22" s="1" t="s">
        <v>70</v>
      </c>
      <c r="B22" s="1" t="s">
        <v>441</v>
      </c>
      <c r="C22" s="1" t="s">
        <v>623</v>
      </c>
      <c r="D22" s="1" t="s">
        <v>624</v>
      </c>
      <c r="E22" s="1"/>
      <c r="F22" s="1" t="s">
        <v>625</v>
      </c>
      <c r="G22" s="1" t="s">
        <v>626</v>
      </c>
      <c r="H22" s="1" t="s">
        <v>627</v>
      </c>
      <c r="I22" s="1" t="s">
        <v>628</v>
      </c>
      <c r="J22" s="1">
        <v>7091398455</v>
      </c>
      <c r="K22" s="1" t="s">
        <v>79</v>
      </c>
      <c r="L22" s="1" t="s">
        <v>629</v>
      </c>
      <c r="M22" s="1" t="s">
        <v>81</v>
      </c>
      <c r="N22" s="1" t="s">
        <v>350</v>
      </c>
      <c r="O22" s="1"/>
      <c r="P22" s="1" t="s">
        <v>497</v>
      </c>
      <c r="Q22" s="1" t="s">
        <v>630</v>
      </c>
      <c r="R22" s="1" t="s">
        <v>631</v>
      </c>
      <c r="S22" s="1">
        <v>9507681915</v>
      </c>
      <c r="T22" s="1" t="s">
        <v>632</v>
      </c>
      <c r="U22" s="1" t="s">
        <v>633</v>
      </c>
      <c r="V22" s="1">
        <v>8987034045</v>
      </c>
      <c r="W22" s="1" t="s">
        <v>632</v>
      </c>
      <c r="X22" s="1" t="s">
        <v>634</v>
      </c>
      <c r="Y22" s="1" t="s">
        <v>635</v>
      </c>
      <c r="Z22" s="1" t="s">
        <v>636</v>
      </c>
      <c r="AA22" s="1" t="s">
        <v>634</v>
      </c>
      <c r="AB22" s="1" t="s">
        <v>635</v>
      </c>
      <c r="AC22" s="1" t="s">
        <v>636</v>
      </c>
      <c r="AD22" s="1">
        <v>8.54</v>
      </c>
      <c r="AE22" s="1" t="s">
        <v>93</v>
      </c>
      <c r="AF22" s="1" t="s">
        <v>637</v>
      </c>
      <c r="AG22" s="1" t="s">
        <v>638</v>
      </c>
      <c r="AH22" s="1" t="s">
        <v>131</v>
      </c>
      <c r="AI22" s="1" t="s">
        <v>614</v>
      </c>
      <c r="AJ22" s="1">
        <v>95</v>
      </c>
      <c r="AK22" s="1">
        <v>10</v>
      </c>
      <c r="AL22" s="1" t="s">
        <v>639</v>
      </c>
      <c r="AM22" s="1" t="s">
        <v>640</v>
      </c>
      <c r="AN22" s="1" t="s">
        <v>166</v>
      </c>
      <c r="AO22" s="1" t="s">
        <v>308</v>
      </c>
      <c r="AP22" s="1">
        <v>61.8</v>
      </c>
      <c r="AQ22" s="1"/>
      <c r="AR22" s="1"/>
      <c r="AS22" s="1"/>
      <c r="AT22" s="1"/>
      <c r="AU22" s="1"/>
      <c r="AV22" s="1"/>
      <c r="AW22" s="1"/>
      <c r="AX22" s="1" t="s">
        <v>641</v>
      </c>
      <c r="AY22" s="1" t="s">
        <v>642</v>
      </c>
      <c r="AZ22" s="1" t="s">
        <v>310</v>
      </c>
      <c r="BA22" s="1" t="s">
        <v>229</v>
      </c>
      <c r="BB22" s="1">
        <v>81.3</v>
      </c>
      <c r="BC22" s="1">
        <v>8.13</v>
      </c>
      <c r="BD22" s="1"/>
      <c r="BE22" s="1"/>
      <c r="BF22" s="1"/>
      <c r="BG22" s="1"/>
      <c r="BH22" s="1"/>
      <c r="BI22" s="1"/>
      <c r="BJ22" s="1" t="s">
        <v>643</v>
      </c>
      <c r="BK22" s="1" t="s">
        <v>644</v>
      </c>
      <c r="BL22" s="1" t="s">
        <v>645</v>
      </c>
      <c r="BM22" s="1" t="s">
        <v>646</v>
      </c>
      <c r="BN22" s="1">
        <v>91</v>
      </c>
      <c r="BO22" s="1"/>
      <c r="BP22" s="1" t="str">
        <f>HYPERLINK("https://nconnect.nicmar.ac.in/storage/profile/ProfilePhoto_P25700377_893524.jpg","Download")</f>
        <v>0</v>
      </c>
      <c r="BQ22" s="3"/>
      <c r="BR22" s="3"/>
    </row>
    <row r="23" spans="1:70">
      <c r="A23" s="1" t="s">
        <v>70</v>
      </c>
      <c r="B23" s="1" t="s">
        <v>441</v>
      </c>
      <c r="C23" s="1" t="s">
        <v>647</v>
      </c>
      <c r="D23" s="1" t="s">
        <v>648</v>
      </c>
      <c r="E23" s="1" t="s">
        <v>649</v>
      </c>
      <c r="F23" s="1" t="s">
        <v>650</v>
      </c>
      <c r="G23" s="1" t="s">
        <v>651</v>
      </c>
      <c r="H23" s="1" t="s">
        <v>652</v>
      </c>
      <c r="I23" s="1" t="s">
        <v>653</v>
      </c>
      <c r="J23" s="1">
        <v>9925116713</v>
      </c>
      <c r="K23" s="1" t="s">
        <v>79</v>
      </c>
      <c r="L23" s="1" t="s">
        <v>654</v>
      </c>
      <c r="M23" s="1" t="s">
        <v>81</v>
      </c>
      <c r="N23" s="1" t="s">
        <v>655</v>
      </c>
      <c r="O23" s="1"/>
      <c r="P23" s="1" t="s">
        <v>656</v>
      </c>
      <c r="Q23" s="1" t="s">
        <v>657</v>
      </c>
      <c r="R23" s="1" t="s">
        <v>649</v>
      </c>
      <c r="S23" s="1">
        <v>9825116713</v>
      </c>
      <c r="T23" s="1" t="s">
        <v>658</v>
      </c>
      <c r="U23" s="1" t="s">
        <v>659</v>
      </c>
      <c r="V23" s="1">
        <v>9925016713</v>
      </c>
      <c r="W23" s="1" t="s">
        <v>156</v>
      </c>
      <c r="X23" s="1" t="s">
        <v>660</v>
      </c>
      <c r="Y23" s="1" t="s">
        <v>661</v>
      </c>
      <c r="Z23" s="1" t="s">
        <v>662</v>
      </c>
      <c r="AA23" s="1" t="s">
        <v>660</v>
      </c>
      <c r="AB23" s="1" t="s">
        <v>661</v>
      </c>
      <c r="AC23" s="1" t="s">
        <v>662</v>
      </c>
      <c r="AD23" s="1">
        <v>8.29</v>
      </c>
      <c r="AE23" s="1" t="s">
        <v>93</v>
      </c>
      <c r="AF23" s="1" t="s">
        <v>663</v>
      </c>
      <c r="AG23" s="1" t="s">
        <v>664</v>
      </c>
      <c r="AH23" s="1" t="s">
        <v>162</v>
      </c>
      <c r="AI23" s="1" t="s">
        <v>562</v>
      </c>
      <c r="AJ23" s="1">
        <v>73.2</v>
      </c>
      <c r="AK23" s="1"/>
      <c r="AL23" s="1" t="s">
        <v>663</v>
      </c>
      <c r="AM23" s="1" t="s">
        <v>665</v>
      </c>
      <c r="AN23" s="1" t="s">
        <v>101</v>
      </c>
      <c r="AO23" s="1" t="s">
        <v>308</v>
      </c>
      <c r="AP23" s="1">
        <v>71.25</v>
      </c>
      <c r="AQ23" s="1"/>
      <c r="AR23" s="1"/>
      <c r="AS23" s="1"/>
      <c r="AT23" s="1"/>
      <c r="AU23" s="1"/>
      <c r="AV23" s="1"/>
      <c r="AW23" s="1"/>
      <c r="AX23" s="1" t="s">
        <v>666</v>
      </c>
      <c r="AY23" s="1" t="s">
        <v>667</v>
      </c>
      <c r="AZ23" s="1" t="s">
        <v>433</v>
      </c>
      <c r="BA23" s="1" t="s">
        <v>413</v>
      </c>
      <c r="BB23" s="1">
        <v>75.9</v>
      </c>
      <c r="BC23" s="1">
        <v>7.59</v>
      </c>
      <c r="BD23" s="1"/>
      <c r="BE23" s="1"/>
      <c r="BF23" s="1"/>
      <c r="BG23" s="1"/>
      <c r="BH23" s="1"/>
      <c r="BI23" s="1"/>
      <c r="BJ23" s="1" t="s">
        <v>668</v>
      </c>
      <c r="BK23" s="1" t="s">
        <v>669</v>
      </c>
      <c r="BL23" s="1" t="s">
        <v>670</v>
      </c>
      <c r="BM23" s="1" t="s">
        <v>671</v>
      </c>
      <c r="BN23" s="1">
        <v>49</v>
      </c>
      <c r="BO23" s="1" t="s">
        <v>672</v>
      </c>
      <c r="BP23" s="1" t="str">
        <f>HYPERLINK("https://nconnect.nicmar.ac.in/storage/profile/6a6b19edaa669.png","Download")</f>
        <v>0</v>
      </c>
      <c r="BQ23" s="3"/>
      <c r="BR23" s="3"/>
    </row>
    <row r="24" spans="1:70">
      <c r="A24" s="1" t="s">
        <v>70</v>
      </c>
      <c r="B24" s="1" t="s">
        <v>441</v>
      </c>
      <c r="C24" s="1" t="s">
        <v>673</v>
      </c>
      <c r="D24" s="1" t="s">
        <v>674</v>
      </c>
      <c r="E24" s="1"/>
      <c r="F24" s="1" t="s">
        <v>675</v>
      </c>
      <c r="G24" s="1" t="s">
        <v>676</v>
      </c>
      <c r="H24" s="1" t="s">
        <v>677</v>
      </c>
      <c r="I24" s="1" t="s">
        <v>678</v>
      </c>
      <c r="J24" s="1">
        <v>8921956185</v>
      </c>
      <c r="K24" s="1" t="s">
        <v>148</v>
      </c>
      <c r="L24" s="1" t="s">
        <v>679</v>
      </c>
      <c r="M24" s="1" t="s">
        <v>81</v>
      </c>
      <c r="N24" s="1" t="s">
        <v>680</v>
      </c>
      <c r="O24" s="1"/>
      <c r="P24" s="1" t="s">
        <v>656</v>
      </c>
      <c r="Q24" s="1" t="s">
        <v>681</v>
      </c>
      <c r="R24" s="1" t="s">
        <v>682</v>
      </c>
      <c r="S24" s="1">
        <v>9446934807</v>
      </c>
      <c r="T24" s="1" t="s">
        <v>683</v>
      </c>
      <c r="U24" s="1" t="s">
        <v>684</v>
      </c>
      <c r="V24" s="1">
        <v>9497414807</v>
      </c>
      <c r="W24" s="1" t="s">
        <v>531</v>
      </c>
      <c r="X24" s="1" t="s">
        <v>685</v>
      </c>
      <c r="Y24" s="1" t="s">
        <v>686</v>
      </c>
      <c r="Z24" s="1" t="s">
        <v>125</v>
      </c>
      <c r="AA24" s="1" t="s">
        <v>685</v>
      </c>
      <c r="AB24" s="1" t="s">
        <v>686</v>
      </c>
      <c r="AC24" s="1" t="s">
        <v>125</v>
      </c>
      <c r="AD24" s="1">
        <v>8.79</v>
      </c>
      <c r="AE24" s="1" t="s">
        <v>93</v>
      </c>
      <c r="AF24" s="1" t="s">
        <v>687</v>
      </c>
      <c r="AG24" s="1" t="s">
        <v>688</v>
      </c>
      <c r="AH24" s="1" t="s">
        <v>162</v>
      </c>
      <c r="AI24" s="1" t="s">
        <v>689</v>
      </c>
      <c r="AJ24" s="1">
        <v>87.4</v>
      </c>
      <c r="AK24" s="1">
        <v>9.2</v>
      </c>
      <c r="AL24" s="1" t="s">
        <v>687</v>
      </c>
      <c r="AM24" s="1" t="s">
        <v>690</v>
      </c>
      <c r="AN24" s="1" t="s">
        <v>101</v>
      </c>
      <c r="AO24" s="1" t="s">
        <v>537</v>
      </c>
      <c r="AP24" s="1">
        <v>93.4</v>
      </c>
      <c r="AQ24" s="1"/>
      <c r="AR24" s="1"/>
      <c r="AS24" s="1"/>
      <c r="AT24" s="1"/>
      <c r="AU24" s="1"/>
      <c r="AV24" s="1"/>
      <c r="AW24" s="1"/>
      <c r="AX24" s="1" t="s">
        <v>691</v>
      </c>
      <c r="AY24" s="1" t="s">
        <v>692</v>
      </c>
      <c r="AZ24" s="1" t="s">
        <v>201</v>
      </c>
      <c r="BA24" s="1" t="s">
        <v>229</v>
      </c>
      <c r="BB24" s="1">
        <v>80.6</v>
      </c>
      <c r="BC24" s="1">
        <v>8.06</v>
      </c>
      <c r="BD24" s="1"/>
      <c r="BE24" s="1"/>
      <c r="BF24" s="1"/>
      <c r="BG24" s="1"/>
      <c r="BH24" s="1"/>
      <c r="BI24" s="1"/>
      <c r="BJ24" s="1" t="s">
        <v>693</v>
      </c>
      <c r="BK24" s="1" t="s">
        <v>694</v>
      </c>
      <c r="BL24" s="1" t="s">
        <v>695</v>
      </c>
      <c r="BM24" s="1" t="s">
        <v>696</v>
      </c>
      <c r="BN24" s="1">
        <v>12</v>
      </c>
      <c r="BO24" s="1" t="s">
        <v>697</v>
      </c>
      <c r="BP24" s="1" t="str">
        <f>HYPERLINK("https://nconnect.nicmar.ac.in/storage/profile/ProfilePhoto_P25700003_859234.jpg","Download")</f>
        <v>0</v>
      </c>
      <c r="BQ24" s="3"/>
      <c r="BR24" s="3"/>
    </row>
    <row r="25" spans="1:70">
      <c r="A25" s="1" t="s">
        <v>70</v>
      </c>
      <c r="B25" s="1" t="s">
        <v>441</v>
      </c>
      <c r="C25" s="1" t="s">
        <v>698</v>
      </c>
      <c r="D25" s="1" t="s">
        <v>699</v>
      </c>
      <c r="E25" s="1"/>
      <c r="F25" s="1" t="s">
        <v>700</v>
      </c>
      <c r="G25" s="1" t="s">
        <v>701</v>
      </c>
      <c r="H25" s="1" t="s">
        <v>702</v>
      </c>
      <c r="I25" s="1" t="s">
        <v>703</v>
      </c>
      <c r="J25" s="1">
        <v>7829440576</v>
      </c>
      <c r="K25" s="1" t="s">
        <v>79</v>
      </c>
      <c r="L25" s="1" t="s">
        <v>704</v>
      </c>
      <c r="M25" s="1" t="s">
        <v>81</v>
      </c>
      <c r="N25" s="1" t="s">
        <v>705</v>
      </c>
      <c r="O25" s="1"/>
      <c r="P25" s="1" t="s">
        <v>497</v>
      </c>
      <c r="Q25" s="1" t="s">
        <v>706</v>
      </c>
      <c r="R25" s="1" t="s">
        <v>707</v>
      </c>
      <c r="S25" s="1">
        <v>9741597469</v>
      </c>
      <c r="T25" s="1" t="s">
        <v>708</v>
      </c>
      <c r="U25" s="1" t="s">
        <v>709</v>
      </c>
      <c r="V25" s="1">
        <v>8105736319</v>
      </c>
      <c r="W25" s="1" t="s">
        <v>156</v>
      </c>
      <c r="X25" s="1" t="s">
        <v>710</v>
      </c>
      <c r="Y25" s="1" t="s">
        <v>711</v>
      </c>
      <c r="Z25" s="1" t="s">
        <v>276</v>
      </c>
      <c r="AA25" s="1" t="s">
        <v>710</v>
      </c>
      <c r="AB25" s="1" t="s">
        <v>711</v>
      </c>
      <c r="AC25" s="1" t="s">
        <v>276</v>
      </c>
      <c r="AD25" s="1">
        <v>8.51</v>
      </c>
      <c r="AE25" s="1" t="s">
        <v>93</v>
      </c>
      <c r="AF25" s="1" t="s">
        <v>712</v>
      </c>
      <c r="AG25" s="1" t="s">
        <v>713</v>
      </c>
      <c r="AH25" s="1" t="s">
        <v>714</v>
      </c>
      <c r="AI25" s="1" t="s">
        <v>131</v>
      </c>
      <c r="AJ25" s="1">
        <v>83.68</v>
      </c>
      <c r="AK25" s="1"/>
      <c r="AL25" s="1" t="s">
        <v>715</v>
      </c>
      <c r="AM25" s="1" t="s">
        <v>716</v>
      </c>
      <c r="AN25" s="1" t="s">
        <v>131</v>
      </c>
      <c r="AO25" s="1" t="s">
        <v>562</v>
      </c>
      <c r="AP25" s="1">
        <v>61</v>
      </c>
      <c r="AQ25" s="1"/>
      <c r="AR25" s="1"/>
      <c r="AS25" s="1"/>
      <c r="AT25" s="1"/>
      <c r="AU25" s="1"/>
      <c r="AV25" s="1"/>
      <c r="AW25" s="1"/>
      <c r="AX25" s="1" t="s">
        <v>717</v>
      </c>
      <c r="AY25" s="1" t="s">
        <v>718</v>
      </c>
      <c r="AZ25" s="1" t="s">
        <v>225</v>
      </c>
      <c r="BA25" s="1" t="s">
        <v>436</v>
      </c>
      <c r="BB25" s="1">
        <v>69.9</v>
      </c>
      <c r="BC25" s="1"/>
      <c r="BD25" s="1"/>
      <c r="BE25" s="1"/>
      <c r="BF25" s="1"/>
      <c r="BG25" s="1"/>
      <c r="BH25" s="1"/>
      <c r="BI25" s="1"/>
      <c r="BJ25" s="1" t="s">
        <v>719</v>
      </c>
      <c r="BK25" s="1" t="s">
        <v>720</v>
      </c>
      <c r="BL25" s="1" t="s">
        <v>721</v>
      </c>
      <c r="BM25" s="1" t="s">
        <v>722</v>
      </c>
      <c r="BN25" s="1">
        <v>32</v>
      </c>
      <c r="BO25" s="1"/>
      <c r="BP25" s="1" t="str">
        <f>HYPERLINK("https://nconnect.nicmar.ac.in/storage/profile/ProfilePhoto_P25700112_517384.jpg","Download")</f>
        <v>0</v>
      </c>
      <c r="BQ25" s="3"/>
      <c r="BR25" s="3"/>
    </row>
    <row r="26" spans="1:70">
      <c r="A26" s="1" t="s">
        <v>70</v>
      </c>
      <c r="B26" s="1" t="s">
        <v>441</v>
      </c>
      <c r="C26" s="1" t="s">
        <v>723</v>
      </c>
      <c r="D26" s="1" t="s">
        <v>724</v>
      </c>
      <c r="E26" s="1"/>
      <c r="F26" s="1" t="s">
        <v>725</v>
      </c>
      <c r="G26" s="1" t="s">
        <v>726</v>
      </c>
      <c r="H26" s="1" t="s">
        <v>727</v>
      </c>
      <c r="I26" s="1" t="s">
        <v>728</v>
      </c>
      <c r="J26" s="1">
        <v>8010109972</v>
      </c>
      <c r="K26" s="1" t="s">
        <v>148</v>
      </c>
      <c r="L26" s="1" t="s">
        <v>729</v>
      </c>
      <c r="M26" s="1" t="s">
        <v>81</v>
      </c>
      <c r="N26" s="1" t="s">
        <v>730</v>
      </c>
      <c r="O26" s="1"/>
      <c r="P26" s="1" t="s">
        <v>497</v>
      </c>
      <c r="Q26" s="1" t="s">
        <v>731</v>
      </c>
      <c r="R26" s="1" t="s">
        <v>732</v>
      </c>
      <c r="S26" s="1">
        <v>7972618864</v>
      </c>
      <c r="T26" s="1" t="s">
        <v>154</v>
      </c>
      <c r="U26" s="1" t="s">
        <v>733</v>
      </c>
      <c r="V26" s="1">
        <v>9146099675</v>
      </c>
      <c r="W26" s="1" t="s">
        <v>89</v>
      </c>
      <c r="X26" s="1" t="s">
        <v>734</v>
      </c>
      <c r="Y26" s="1" t="s">
        <v>191</v>
      </c>
      <c r="Z26" s="1" t="s">
        <v>92</v>
      </c>
      <c r="AA26" s="1" t="s">
        <v>735</v>
      </c>
      <c r="AB26" s="1" t="s">
        <v>191</v>
      </c>
      <c r="AC26" s="1" t="s">
        <v>92</v>
      </c>
      <c r="AD26" s="1">
        <v>8.24</v>
      </c>
      <c r="AE26" s="1" t="s">
        <v>93</v>
      </c>
      <c r="AF26" s="1" t="s">
        <v>736</v>
      </c>
      <c r="AG26" s="1" t="s">
        <v>737</v>
      </c>
      <c r="AH26" s="1" t="s">
        <v>279</v>
      </c>
      <c r="AI26" s="1" t="s">
        <v>165</v>
      </c>
      <c r="AJ26" s="1">
        <v>84.7</v>
      </c>
      <c r="AK26" s="1">
        <v>8.8</v>
      </c>
      <c r="AL26" s="1" t="s">
        <v>736</v>
      </c>
      <c r="AM26" s="1" t="s">
        <v>737</v>
      </c>
      <c r="AN26" s="1" t="s">
        <v>481</v>
      </c>
      <c r="AO26" s="1" t="s">
        <v>308</v>
      </c>
      <c r="AP26" s="1">
        <v>71.8</v>
      </c>
      <c r="AQ26" s="1"/>
      <c r="AR26" s="1"/>
      <c r="AS26" s="1"/>
      <c r="AT26" s="1"/>
      <c r="AU26" s="1"/>
      <c r="AV26" s="1"/>
      <c r="AW26" s="1"/>
      <c r="AX26" s="1" t="s">
        <v>361</v>
      </c>
      <c r="AY26" s="1" t="s">
        <v>738</v>
      </c>
      <c r="AZ26" s="1" t="s">
        <v>310</v>
      </c>
      <c r="BA26" s="1" t="s">
        <v>174</v>
      </c>
      <c r="BB26" s="1">
        <v>79.75</v>
      </c>
      <c r="BC26" s="1">
        <v>8.38</v>
      </c>
      <c r="BD26" s="1"/>
      <c r="BE26" s="1"/>
      <c r="BF26" s="1"/>
      <c r="BG26" s="1"/>
      <c r="BH26" s="1"/>
      <c r="BI26" s="1"/>
      <c r="BJ26" s="1" t="s">
        <v>739</v>
      </c>
      <c r="BK26" s="1" t="s">
        <v>740</v>
      </c>
      <c r="BL26" s="1" t="s">
        <v>741</v>
      </c>
      <c r="BM26" s="1" t="s">
        <v>742</v>
      </c>
      <c r="BN26" s="1">
        <v>13</v>
      </c>
      <c r="BO26" s="1"/>
      <c r="BP26" s="1" t="str">
        <f>HYPERLINK("https://nconnect.nicmar.ac.in/storage/profile/6a78e18c6997a.png","Download")</f>
        <v>0</v>
      </c>
      <c r="BQ26" s="3"/>
      <c r="BR26" s="3"/>
    </row>
    <row r="27" spans="1:70">
      <c r="A27" s="1" t="s">
        <v>70</v>
      </c>
      <c r="B27" s="1" t="s">
        <v>441</v>
      </c>
      <c r="C27" s="1" t="s">
        <v>743</v>
      </c>
      <c r="D27" s="1" t="s">
        <v>744</v>
      </c>
      <c r="E27" s="1" t="s">
        <v>745</v>
      </c>
      <c r="F27" s="1" t="s">
        <v>746</v>
      </c>
      <c r="G27" s="1" t="s">
        <v>747</v>
      </c>
      <c r="H27" s="1" t="s">
        <v>748</v>
      </c>
      <c r="I27" s="1" t="s">
        <v>749</v>
      </c>
      <c r="J27" s="1">
        <v>7775970740</v>
      </c>
      <c r="K27" s="1" t="s">
        <v>79</v>
      </c>
      <c r="L27" s="1" t="s">
        <v>750</v>
      </c>
      <c r="M27" s="1" t="s">
        <v>81</v>
      </c>
      <c r="N27" s="1" t="s">
        <v>751</v>
      </c>
      <c r="O27" s="1"/>
      <c r="P27" s="1" t="s">
        <v>497</v>
      </c>
      <c r="Q27" s="1" t="s">
        <v>752</v>
      </c>
      <c r="R27" s="1" t="s">
        <v>753</v>
      </c>
      <c r="S27" s="1">
        <v>9850353870</v>
      </c>
      <c r="T27" s="1" t="s">
        <v>754</v>
      </c>
      <c r="U27" s="1" t="s">
        <v>755</v>
      </c>
      <c r="V27" s="1">
        <v>9011917642</v>
      </c>
      <c r="W27" s="1" t="s">
        <v>156</v>
      </c>
      <c r="X27" s="1" t="s">
        <v>756</v>
      </c>
      <c r="Y27" s="1" t="s">
        <v>611</v>
      </c>
      <c r="Z27" s="1" t="s">
        <v>92</v>
      </c>
      <c r="AA27" s="1" t="s">
        <v>756</v>
      </c>
      <c r="AB27" s="1" t="s">
        <v>611</v>
      </c>
      <c r="AC27" s="1" t="s">
        <v>92</v>
      </c>
      <c r="AD27" s="1">
        <v>8.28</v>
      </c>
      <c r="AE27" s="1" t="s">
        <v>93</v>
      </c>
      <c r="AF27" s="1" t="s">
        <v>757</v>
      </c>
      <c r="AG27" s="1" t="s">
        <v>758</v>
      </c>
      <c r="AH27" s="1" t="s">
        <v>161</v>
      </c>
      <c r="AI27" s="1" t="s">
        <v>614</v>
      </c>
      <c r="AJ27" s="1">
        <v>95</v>
      </c>
      <c r="AK27" s="1">
        <v>10</v>
      </c>
      <c r="AL27" s="1" t="s">
        <v>759</v>
      </c>
      <c r="AM27" s="1" t="s">
        <v>160</v>
      </c>
      <c r="AN27" s="1" t="s">
        <v>165</v>
      </c>
      <c r="AO27" s="1" t="s">
        <v>481</v>
      </c>
      <c r="AP27" s="1">
        <v>93.85</v>
      </c>
      <c r="AQ27" s="1"/>
      <c r="AR27" s="1"/>
      <c r="AS27" s="1"/>
      <c r="AT27" s="1"/>
      <c r="AU27" s="1"/>
      <c r="AV27" s="1"/>
      <c r="AW27" s="1"/>
      <c r="AX27" s="1" t="s">
        <v>361</v>
      </c>
      <c r="AY27" s="1" t="s">
        <v>760</v>
      </c>
      <c r="AZ27" s="1" t="s">
        <v>101</v>
      </c>
      <c r="BA27" s="1" t="s">
        <v>284</v>
      </c>
      <c r="BB27" s="1">
        <v>81.92</v>
      </c>
      <c r="BC27" s="1">
        <v>8.91</v>
      </c>
      <c r="BD27" s="1"/>
      <c r="BE27" s="1"/>
      <c r="BF27" s="1"/>
      <c r="BG27" s="1"/>
      <c r="BH27" s="1"/>
      <c r="BI27" s="1"/>
      <c r="BJ27" s="1" t="s">
        <v>364</v>
      </c>
      <c r="BK27" s="1" t="s">
        <v>761</v>
      </c>
      <c r="BL27" s="1" t="s">
        <v>762</v>
      </c>
      <c r="BM27" s="1" t="s">
        <v>763</v>
      </c>
      <c r="BN27" s="1">
        <v>33</v>
      </c>
      <c r="BO27" s="1"/>
      <c r="BP27" s="1" t="str">
        <f>HYPERLINK("https://nconnect.nicmar.ac.in/storage/profile/ProfilePhoto_P25700584_287936.jpg","Download")</f>
        <v>0</v>
      </c>
      <c r="BQ27" s="3"/>
      <c r="BR27" s="3"/>
    </row>
    <row r="28" spans="1:70">
      <c r="A28" s="1" t="s">
        <v>70</v>
      </c>
      <c r="B28" s="1" t="s">
        <v>441</v>
      </c>
      <c r="C28" s="1" t="s">
        <v>764</v>
      </c>
      <c r="D28" s="1" t="s">
        <v>765</v>
      </c>
      <c r="E28" s="1"/>
      <c r="F28" s="1" t="s">
        <v>520</v>
      </c>
      <c r="G28" s="1" t="s">
        <v>766</v>
      </c>
      <c r="H28" s="1" t="s">
        <v>767</v>
      </c>
      <c r="I28" s="1" t="s">
        <v>768</v>
      </c>
      <c r="J28" s="1">
        <v>9368948950</v>
      </c>
      <c r="K28" s="1" t="s">
        <v>79</v>
      </c>
      <c r="L28" s="1" t="s">
        <v>769</v>
      </c>
      <c r="M28" s="1" t="s">
        <v>81</v>
      </c>
      <c r="N28" s="1" t="s">
        <v>770</v>
      </c>
      <c r="O28" s="1"/>
      <c r="P28" s="1" t="s">
        <v>450</v>
      </c>
      <c r="Q28" s="1" t="s">
        <v>771</v>
      </c>
      <c r="R28" s="1" t="s">
        <v>772</v>
      </c>
      <c r="S28" s="1">
        <v>9149634667</v>
      </c>
      <c r="T28" s="1" t="s">
        <v>754</v>
      </c>
      <c r="U28" s="1" t="s">
        <v>773</v>
      </c>
      <c r="V28" s="1">
        <v>9149634667</v>
      </c>
      <c r="W28" s="1" t="s">
        <v>156</v>
      </c>
      <c r="X28" s="1" t="s">
        <v>774</v>
      </c>
      <c r="Y28" s="1" t="s">
        <v>775</v>
      </c>
      <c r="Z28" s="1" t="s">
        <v>534</v>
      </c>
      <c r="AA28" s="1" t="s">
        <v>774</v>
      </c>
      <c r="AB28" s="1" t="s">
        <v>775</v>
      </c>
      <c r="AC28" s="1" t="s">
        <v>534</v>
      </c>
      <c r="AD28" s="1" t="s">
        <v>93</v>
      </c>
      <c r="AE28" s="1" t="s">
        <v>93</v>
      </c>
      <c r="AF28" s="1" t="s">
        <v>776</v>
      </c>
      <c r="AG28" s="1" t="s">
        <v>777</v>
      </c>
      <c r="AH28" s="1" t="s">
        <v>778</v>
      </c>
      <c r="AI28" s="1" t="s">
        <v>779</v>
      </c>
      <c r="AJ28" s="1">
        <v>64.8</v>
      </c>
      <c r="AK28" s="1">
        <v>0</v>
      </c>
      <c r="AL28" s="1" t="s">
        <v>776</v>
      </c>
      <c r="AM28" s="1" t="s">
        <v>777</v>
      </c>
      <c r="AN28" s="1" t="s">
        <v>780</v>
      </c>
      <c r="AO28" s="1" t="s">
        <v>332</v>
      </c>
      <c r="AP28" s="1">
        <v>58.2</v>
      </c>
      <c r="AQ28" s="1">
        <v>0</v>
      </c>
      <c r="AR28" s="1" t="s">
        <v>98</v>
      </c>
      <c r="AS28" s="1" t="s">
        <v>781</v>
      </c>
      <c r="AT28" s="1" t="s">
        <v>782</v>
      </c>
      <c r="AU28" s="1" t="s">
        <v>129</v>
      </c>
      <c r="AV28" s="1">
        <v>66.94</v>
      </c>
      <c r="AW28" s="1">
        <v>0</v>
      </c>
      <c r="AX28" s="1" t="s">
        <v>783</v>
      </c>
      <c r="AY28" s="1" t="s">
        <v>784</v>
      </c>
      <c r="AZ28" s="1" t="s">
        <v>785</v>
      </c>
      <c r="BA28" s="1" t="s">
        <v>614</v>
      </c>
      <c r="BB28" s="1">
        <v>65.73</v>
      </c>
      <c r="BC28" s="1">
        <v>0</v>
      </c>
      <c r="BD28" s="1"/>
      <c r="BE28" s="1"/>
      <c r="BF28" s="1"/>
      <c r="BG28" s="1"/>
      <c r="BH28" s="1"/>
      <c r="BI28" s="1"/>
      <c r="BJ28" s="1" t="s">
        <v>786</v>
      </c>
      <c r="BK28" s="1" t="s">
        <v>787</v>
      </c>
      <c r="BL28" s="1" t="s">
        <v>788</v>
      </c>
      <c r="BM28" s="1" t="s">
        <v>789</v>
      </c>
      <c r="BN28" s="1">
        <v>8</v>
      </c>
      <c r="BO28" s="1" t="s">
        <v>790</v>
      </c>
      <c r="BP28" s="1" t="str">
        <f>HYPERLINK("https://nconnect.nicmar.ac.in/storage/profile/6a658926a6983.png","Download")</f>
        <v>0</v>
      </c>
      <c r="BQ28" s="3"/>
      <c r="BR28" s="3"/>
    </row>
    <row r="29" spans="1:70">
      <c r="A29" s="1" t="s">
        <v>70</v>
      </c>
      <c r="B29" s="1" t="s">
        <v>441</v>
      </c>
      <c r="C29" s="1" t="s">
        <v>791</v>
      </c>
      <c r="D29" s="1" t="s">
        <v>792</v>
      </c>
      <c r="E29" s="1"/>
      <c r="F29" s="1" t="s">
        <v>793</v>
      </c>
      <c r="G29" s="1" t="s">
        <v>794</v>
      </c>
      <c r="H29" s="1" t="s">
        <v>795</v>
      </c>
      <c r="I29" s="1" t="s">
        <v>796</v>
      </c>
      <c r="J29" s="1">
        <v>9487829008</v>
      </c>
      <c r="K29" s="1" t="s">
        <v>79</v>
      </c>
      <c r="L29" s="1" t="s">
        <v>797</v>
      </c>
      <c r="M29" s="1" t="s">
        <v>81</v>
      </c>
      <c r="N29" s="1" t="s">
        <v>798</v>
      </c>
      <c r="O29" s="1"/>
      <c r="P29" s="1" t="s">
        <v>497</v>
      </c>
      <c r="Q29" s="1" t="s">
        <v>799</v>
      </c>
      <c r="R29" s="1" t="s">
        <v>800</v>
      </c>
      <c r="S29" s="1">
        <v>9443435008</v>
      </c>
      <c r="T29" s="1" t="s">
        <v>87</v>
      </c>
      <c r="U29" s="1" t="s">
        <v>801</v>
      </c>
      <c r="V29" s="1">
        <v>9597963693</v>
      </c>
      <c r="W29" s="1" t="s">
        <v>531</v>
      </c>
      <c r="X29" s="1" t="s">
        <v>802</v>
      </c>
      <c r="Y29" s="1" t="s">
        <v>803</v>
      </c>
      <c r="Z29" s="1" t="s">
        <v>559</v>
      </c>
      <c r="AA29" s="1" t="s">
        <v>802</v>
      </c>
      <c r="AB29" s="1" t="s">
        <v>803</v>
      </c>
      <c r="AC29" s="1" t="s">
        <v>559</v>
      </c>
      <c r="AD29" s="1">
        <v>8.23</v>
      </c>
      <c r="AE29" s="1" t="s">
        <v>93</v>
      </c>
      <c r="AF29" s="1" t="s">
        <v>804</v>
      </c>
      <c r="AG29" s="1" t="s">
        <v>805</v>
      </c>
      <c r="AH29" s="1" t="s">
        <v>101</v>
      </c>
      <c r="AI29" s="1" t="s">
        <v>537</v>
      </c>
      <c r="AJ29" s="1">
        <v>70.4</v>
      </c>
      <c r="AK29" s="1"/>
      <c r="AL29" s="1" t="s">
        <v>804</v>
      </c>
      <c r="AM29" s="1" t="s">
        <v>805</v>
      </c>
      <c r="AN29" s="1" t="s">
        <v>460</v>
      </c>
      <c r="AO29" s="1" t="s">
        <v>539</v>
      </c>
      <c r="AP29" s="1">
        <v>77.99</v>
      </c>
      <c r="AQ29" s="1"/>
      <c r="AR29" s="1"/>
      <c r="AS29" s="1"/>
      <c r="AT29" s="1"/>
      <c r="AU29" s="1"/>
      <c r="AV29" s="1"/>
      <c r="AW29" s="1"/>
      <c r="AX29" s="1" t="s">
        <v>564</v>
      </c>
      <c r="AY29" s="1" t="s">
        <v>806</v>
      </c>
      <c r="AZ29" s="1" t="s">
        <v>135</v>
      </c>
      <c r="BA29" s="1" t="s">
        <v>594</v>
      </c>
      <c r="BB29" s="1">
        <v>78.6</v>
      </c>
      <c r="BC29" s="1">
        <v>7.86</v>
      </c>
      <c r="BD29" s="1"/>
      <c r="BE29" s="1"/>
      <c r="BF29" s="1"/>
      <c r="BG29" s="1"/>
      <c r="BH29" s="1"/>
      <c r="BI29" s="1"/>
      <c r="BJ29" s="1" t="s">
        <v>807</v>
      </c>
      <c r="BK29" s="1"/>
      <c r="BL29" s="1"/>
      <c r="BM29" s="1" t="s">
        <v>808</v>
      </c>
      <c r="BN29" s="1">
        <v>16</v>
      </c>
      <c r="BO29" s="1"/>
      <c r="BP29" s="1" t="str">
        <f>HYPERLINK("https://nconnect.nicmar.ac.in/storage/profile/ProfilePhoto_P25700001_756293.jpg","Download")</f>
        <v>0</v>
      </c>
      <c r="BQ29" s="3"/>
      <c r="BR29" s="3"/>
    </row>
    <row r="30" spans="1:70">
      <c r="A30" s="1" t="s">
        <v>70</v>
      </c>
      <c r="B30" s="1" t="s">
        <v>441</v>
      </c>
      <c r="C30" s="1" t="s">
        <v>809</v>
      </c>
      <c r="D30" s="1" t="s">
        <v>810</v>
      </c>
      <c r="E30" s="1" t="s">
        <v>811</v>
      </c>
      <c r="F30" s="1" t="s">
        <v>812</v>
      </c>
      <c r="G30" s="1" t="s">
        <v>813</v>
      </c>
      <c r="H30" s="1" t="s">
        <v>814</v>
      </c>
      <c r="I30" s="1" t="s">
        <v>815</v>
      </c>
      <c r="J30" s="1">
        <v>8668621095</v>
      </c>
      <c r="K30" s="1" t="s">
        <v>79</v>
      </c>
      <c r="L30" s="1" t="s">
        <v>816</v>
      </c>
      <c r="M30" s="1" t="s">
        <v>81</v>
      </c>
      <c r="N30" s="1" t="s">
        <v>817</v>
      </c>
      <c r="O30" s="1"/>
      <c r="P30" s="1" t="s">
        <v>472</v>
      </c>
      <c r="Q30" s="1" t="s">
        <v>818</v>
      </c>
      <c r="R30" s="1" t="s">
        <v>819</v>
      </c>
      <c r="S30" s="1">
        <v>9890094393</v>
      </c>
      <c r="T30" s="1" t="s">
        <v>820</v>
      </c>
      <c r="U30" s="1" t="s">
        <v>821</v>
      </c>
      <c r="V30" s="1">
        <v>9923291602</v>
      </c>
      <c r="W30" s="1" t="s">
        <v>156</v>
      </c>
      <c r="X30" s="1" t="s">
        <v>822</v>
      </c>
      <c r="Y30" s="1" t="s">
        <v>191</v>
      </c>
      <c r="Z30" s="1" t="s">
        <v>92</v>
      </c>
      <c r="AA30" s="1" t="s">
        <v>822</v>
      </c>
      <c r="AB30" s="1" t="s">
        <v>191</v>
      </c>
      <c r="AC30" s="1" t="s">
        <v>92</v>
      </c>
      <c r="AD30" s="1">
        <v>8.29</v>
      </c>
      <c r="AE30" s="1" t="s">
        <v>93</v>
      </c>
      <c r="AF30" s="1" t="s">
        <v>823</v>
      </c>
      <c r="AG30" s="1" t="s">
        <v>824</v>
      </c>
      <c r="AH30" s="1" t="s">
        <v>101</v>
      </c>
      <c r="AI30" s="1" t="s">
        <v>308</v>
      </c>
      <c r="AJ30" s="1">
        <v>86.6</v>
      </c>
      <c r="AK30" s="1"/>
      <c r="AL30" s="1" t="s">
        <v>825</v>
      </c>
      <c r="AM30" s="1" t="s">
        <v>160</v>
      </c>
      <c r="AN30" s="1" t="s">
        <v>460</v>
      </c>
      <c r="AO30" s="1" t="s">
        <v>826</v>
      </c>
      <c r="AP30" s="1">
        <v>78</v>
      </c>
      <c r="AQ30" s="1"/>
      <c r="AR30" s="1"/>
      <c r="AS30" s="1"/>
      <c r="AT30" s="1"/>
      <c r="AU30" s="1"/>
      <c r="AV30" s="1"/>
      <c r="AW30" s="1"/>
      <c r="AX30" s="1" t="s">
        <v>361</v>
      </c>
      <c r="AY30" s="1" t="s">
        <v>827</v>
      </c>
      <c r="AZ30" s="1" t="s">
        <v>828</v>
      </c>
      <c r="BA30" s="1" t="s">
        <v>829</v>
      </c>
      <c r="BB30" s="1">
        <v>65.7</v>
      </c>
      <c r="BC30" s="1">
        <v>7.32</v>
      </c>
      <c r="BD30" s="1"/>
      <c r="BE30" s="1"/>
      <c r="BF30" s="1"/>
      <c r="BG30" s="1"/>
      <c r="BH30" s="1"/>
      <c r="BI30" s="1"/>
      <c r="BJ30" s="1" t="s">
        <v>830</v>
      </c>
      <c r="BK30" s="1"/>
      <c r="BL30" s="1"/>
      <c r="BM30" s="1" t="s">
        <v>831</v>
      </c>
      <c r="BN30" s="1">
        <v>37</v>
      </c>
      <c r="BO30" s="1"/>
      <c r="BP30" s="1" t="str">
        <f>HYPERLINK("https://nconnect.nicmar.ac.in/storage/profile/ProfilePhoto_P25700002_549178.jpg","Download")</f>
        <v>0</v>
      </c>
      <c r="BQ30" s="3"/>
      <c r="BR30" s="3"/>
    </row>
    <row r="31" spans="1:70">
      <c r="A31" s="1" t="s">
        <v>70</v>
      </c>
      <c r="B31" s="1" t="s">
        <v>441</v>
      </c>
      <c r="C31" s="1" t="s">
        <v>832</v>
      </c>
      <c r="D31" s="1" t="s">
        <v>833</v>
      </c>
      <c r="E31" s="1"/>
      <c r="F31" s="1" t="s">
        <v>834</v>
      </c>
      <c r="G31" s="1" t="s">
        <v>835</v>
      </c>
      <c r="H31" s="1" t="s">
        <v>836</v>
      </c>
      <c r="I31" s="1" t="s">
        <v>837</v>
      </c>
      <c r="J31" s="1">
        <v>7326972273</v>
      </c>
      <c r="K31" s="1" t="s">
        <v>148</v>
      </c>
      <c r="L31" s="1" t="s">
        <v>838</v>
      </c>
      <c r="M31" s="1" t="s">
        <v>81</v>
      </c>
      <c r="N31" s="1" t="s">
        <v>839</v>
      </c>
      <c r="O31" s="1"/>
      <c r="P31" s="1" t="s">
        <v>497</v>
      </c>
      <c r="Q31" s="1" t="s">
        <v>840</v>
      </c>
      <c r="R31" s="1" t="s">
        <v>841</v>
      </c>
      <c r="S31" s="1">
        <v>7978169041</v>
      </c>
      <c r="T31" s="1" t="s">
        <v>842</v>
      </c>
      <c r="U31" s="1" t="s">
        <v>843</v>
      </c>
      <c r="V31" s="1">
        <v>9348052260</v>
      </c>
      <c r="W31" s="1" t="s">
        <v>531</v>
      </c>
      <c r="X31" s="1" t="s">
        <v>844</v>
      </c>
      <c r="Y31" s="1" t="s">
        <v>845</v>
      </c>
      <c r="Z31" s="1" t="s">
        <v>846</v>
      </c>
      <c r="AA31" s="1" t="s">
        <v>844</v>
      </c>
      <c r="AB31" s="1" t="s">
        <v>845</v>
      </c>
      <c r="AC31" s="1" t="s">
        <v>846</v>
      </c>
      <c r="AD31" s="1">
        <v>8.29</v>
      </c>
      <c r="AE31" s="1" t="s">
        <v>93</v>
      </c>
      <c r="AF31" s="1" t="s">
        <v>847</v>
      </c>
      <c r="AG31" s="1" t="s">
        <v>848</v>
      </c>
      <c r="AH31" s="1" t="s">
        <v>281</v>
      </c>
      <c r="AI31" s="1" t="s">
        <v>308</v>
      </c>
      <c r="AJ31" s="1">
        <v>85.8</v>
      </c>
      <c r="AK31" s="1"/>
      <c r="AL31" s="1" t="s">
        <v>847</v>
      </c>
      <c r="AM31" s="1" t="s">
        <v>849</v>
      </c>
      <c r="AN31" s="1" t="s">
        <v>590</v>
      </c>
      <c r="AO31" s="1" t="s">
        <v>539</v>
      </c>
      <c r="AP31" s="1">
        <v>83.6</v>
      </c>
      <c r="AQ31" s="1"/>
      <c r="AR31" s="1"/>
      <c r="AS31" s="1"/>
      <c r="AT31" s="1"/>
      <c r="AU31" s="1"/>
      <c r="AV31" s="1"/>
      <c r="AW31" s="1"/>
      <c r="AX31" s="1" t="s">
        <v>850</v>
      </c>
      <c r="AY31" s="1" t="s">
        <v>851</v>
      </c>
      <c r="AZ31" s="1" t="s">
        <v>852</v>
      </c>
      <c r="BA31" s="1" t="s">
        <v>594</v>
      </c>
      <c r="BB31" s="1">
        <v>83.6</v>
      </c>
      <c r="BC31" s="1">
        <v>8.86</v>
      </c>
      <c r="BD31" s="1"/>
      <c r="BE31" s="1"/>
      <c r="BF31" s="1"/>
      <c r="BG31" s="1"/>
      <c r="BH31" s="1"/>
      <c r="BI31" s="1"/>
      <c r="BJ31" s="1" t="s">
        <v>853</v>
      </c>
      <c r="BK31" s="1"/>
      <c r="BL31" s="1"/>
      <c r="BM31" s="1" t="s">
        <v>854</v>
      </c>
      <c r="BN31" s="1">
        <v>17</v>
      </c>
      <c r="BO31" s="1"/>
      <c r="BP31" s="1" t="str">
        <f>HYPERLINK("https://nconnect.nicmar.ac.in/storage/profile/ProfilePhoto_P25700004_129356.jpg","Download")</f>
        <v>0</v>
      </c>
      <c r="BQ31" s="3"/>
      <c r="BR31" s="3"/>
    </row>
    <row r="32" spans="1:70">
      <c r="A32" s="1" t="s">
        <v>70</v>
      </c>
      <c r="B32" s="1" t="s">
        <v>441</v>
      </c>
      <c r="C32" s="1" t="s">
        <v>855</v>
      </c>
      <c r="D32" s="1" t="s">
        <v>856</v>
      </c>
      <c r="E32" s="1"/>
      <c r="F32" s="1" t="s">
        <v>857</v>
      </c>
      <c r="G32" s="1" t="s">
        <v>858</v>
      </c>
      <c r="H32" s="1" t="s">
        <v>859</v>
      </c>
      <c r="I32" s="1" t="s">
        <v>860</v>
      </c>
      <c r="J32" s="1">
        <v>8908092210</v>
      </c>
      <c r="K32" s="1" t="s">
        <v>79</v>
      </c>
      <c r="L32" s="1" t="s">
        <v>861</v>
      </c>
      <c r="M32" s="1" t="s">
        <v>81</v>
      </c>
      <c r="N32" s="1" t="s">
        <v>862</v>
      </c>
      <c r="O32" s="1"/>
      <c r="P32" s="1" t="s">
        <v>450</v>
      </c>
      <c r="Q32" s="1" t="s">
        <v>863</v>
      </c>
      <c r="R32" s="1" t="s">
        <v>864</v>
      </c>
      <c r="S32" s="1">
        <v>9437130525</v>
      </c>
      <c r="T32" s="1" t="s">
        <v>820</v>
      </c>
      <c r="U32" s="1" t="s">
        <v>865</v>
      </c>
      <c r="V32" s="1">
        <v>9668523777</v>
      </c>
      <c r="W32" s="1" t="s">
        <v>89</v>
      </c>
      <c r="X32" s="1" t="s">
        <v>866</v>
      </c>
      <c r="Y32" s="1" t="s">
        <v>867</v>
      </c>
      <c r="Z32" s="1" t="s">
        <v>846</v>
      </c>
      <c r="AA32" s="1" t="s">
        <v>866</v>
      </c>
      <c r="AB32" s="1" t="s">
        <v>867</v>
      </c>
      <c r="AC32" s="1" t="s">
        <v>846</v>
      </c>
      <c r="AD32" s="1">
        <v>8.75</v>
      </c>
      <c r="AE32" s="1" t="s">
        <v>93</v>
      </c>
      <c r="AF32" s="1" t="s">
        <v>868</v>
      </c>
      <c r="AG32" s="1" t="s">
        <v>869</v>
      </c>
      <c r="AH32" s="1" t="s">
        <v>562</v>
      </c>
      <c r="AI32" s="1" t="s">
        <v>166</v>
      </c>
      <c r="AJ32" s="1">
        <v>69.66</v>
      </c>
      <c r="AK32" s="1"/>
      <c r="AL32" s="1" t="s">
        <v>868</v>
      </c>
      <c r="AM32" s="1" t="s">
        <v>869</v>
      </c>
      <c r="AN32" s="1" t="s">
        <v>310</v>
      </c>
      <c r="AO32" s="1" t="s">
        <v>173</v>
      </c>
      <c r="AP32" s="1">
        <v>67.16</v>
      </c>
      <c r="AQ32" s="1"/>
      <c r="AR32" s="1"/>
      <c r="AS32" s="1"/>
      <c r="AT32" s="1"/>
      <c r="AU32" s="1"/>
      <c r="AV32" s="1"/>
      <c r="AW32" s="1"/>
      <c r="AX32" s="1" t="s">
        <v>870</v>
      </c>
      <c r="AY32" s="1" t="s">
        <v>870</v>
      </c>
      <c r="AZ32" s="1" t="s">
        <v>871</v>
      </c>
      <c r="BA32" s="1" t="s">
        <v>202</v>
      </c>
      <c r="BB32" s="1">
        <v>75.2</v>
      </c>
      <c r="BC32" s="1">
        <v>8.02</v>
      </c>
      <c r="BD32" s="1"/>
      <c r="BE32" s="1"/>
      <c r="BF32" s="1"/>
      <c r="BG32" s="1"/>
      <c r="BH32" s="1"/>
      <c r="BI32" s="1"/>
      <c r="BJ32" s="1" t="s">
        <v>567</v>
      </c>
      <c r="BK32" s="1" t="s">
        <v>872</v>
      </c>
      <c r="BL32" s="1" t="s">
        <v>873</v>
      </c>
      <c r="BM32" s="1" t="s">
        <v>874</v>
      </c>
      <c r="BN32" s="1">
        <v>13</v>
      </c>
      <c r="BO32" s="1"/>
      <c r="BP32" s="1" t="str">
        <f>HYPERLINK("https://nconnect.nicmar.ac.in/storage/profile/ProfilePhoto_P25700005_154637.jpg","Download")</f>
        <v>0</v>
      </c>
      <c r="BQ32" s="3"/>
      <c r="BR32" s="3"/>
    </row>
    <row r="33" spans="1:70">
      <c r="A33" s="1" t="s">
        <v>70</v>
      </c>
      <c r="B33" s="1" t="s">
        <v>441</v>
      </c>
      <c r="C33" s="1" t="s">
        <v>875</v>
      </c>
      <c r="D33" s="1" t="s">
        <v>876</v>
      </c>
      <c r="E33" s="1" t="s">
        <v>877</v>
      </c>
      <c r="F33" s="1" t="s">
        <v>878</v>
      </c>
      <c r="G33" s="1" t="s">
        <v>879</v>
      </c>
      <c r="H33" s="1" t="s">
        <v>880</v>
      </c>
      <c r="I33" s="1" t="s">
        <v>881</v>
      </c>
      <c r="J33" s="1">
        <v>9146795457</v>
      </c>
      <c r="K33" s="1" t="s">
        <v>79</v>
      </c>
      <c r="L33" s="1" t="s">
        <v>882</v>
      </c>
      <c r="M33" s="1" t="s">
        <v>81</v>
      </c>
      <c r="N33" s="1" t="s">
        <v>883</v>
      </c>
      <c r="O33" s="1" t="s">
        <v>152</v>
      </c>
      <c r="P33" s="1" t="s">
        <v>351</v>
      </c>
      <c r="Q33" s="1" t="s">
        <v>884</v>
      </c>
      <c r="R33" s="1" t="s">
        <v>885</v>
      </c>
      <c r="S33" s="1">
        <v>9422765760</v>
      </c>
      <c r="T33" s="1" t="s">
        <v>886</v>
      </c>
      <c r="U33" s="1" t="s">
        <v>887</v>
      </c>
      <c r="V33" s="1">
        <v>8208766402</v>
      </c>
      <c r="W33" s="1" t="s">
        <v>888</v>
      </c>
      <c r="X33" s="1" t="s">
        <v>889</v>
      </c>
      <c r="Y33" s="1" t="s">
        <v>890</v>
      </c>
      <c r="Z33" s="1" t="s">
        <v>92</v>
      </c>
      <c r="AA33" s="1" t="s">
        <v>889</v>
      </c>
      <c r="AB33" s="1" t="s">
        <v>890</v>
      </c>
      <c r="AC33" s="1" t="s">
        <v>92</v>
      </c>
      <c r="AD33" s="1">
        <v>7.74</v>
      </c>
      <c r="AE33" s="1" t="s">
        <v>93</v>
      </c>
      <c r="AF33" s="1" t="s">
        <v>891</v>
      </c>
      <c r="AG33" s="1" t="s">
        <v>892</v>
      </c>
      <c r="AH33" s="1" t="s">
        <v>165</v>
      </c>
      <c r="AI33" s="1" t="s">
        <v>166</v>
      </c>
      <c r="AJ33" s="1">
        <v>89.6</v>
      </c>
      <c r="AK33" s="1">
        <v>0</v>
      </c>
      <c r="AL33" s="1" t="s">
        <v>893</v>
      </c>
      <c r="AM33" s="1" t="s">
        <v>892</v>
      </c>
      <c r="AN33" s="1" t="s">
        <v>310</v>
      </c>
      <c r="AO33" s="1" t="s">
        <v>412</v>
      </c>
      <c r="AP33" s="1">
        <v>82.31</v>
      </c>
      <c r="AQ33" s="1">
        <v>0</v>
      </c>
      <c r="AR33" s="1"/>
      <c r="AS33" s="1"/>
      <c r="AT33" s="1"/>
      <c r="AU33" s="1"/>
      <c r="AV33" s="1"/>
      <c r="AW33" s="1"/>
      <c r="AX33" s="1" t="s">
        <v>361</v>
      </c>
      <c r="AY33" s="1" t="s">
        <v>894</v>
      </c>
      <c r="AZ33" s="1" t="s">
        <v>828</v>
      </c>
      <c r="BA33" s="1" t="s">
        <v>202</v>
      </c>
      <c r="BB33" s="1">
        <v>70.2</v>
      </c>
      <c r="BC33" s="1">
        <v>7.77</v>
      </c>
      <c r="BD33" s="1"/>
      <c r="BE33" s="1"/>
      <c r="BF33" s="1"/>
      <c r="BG33" s="1"/>
      <c r="BH33" s="1"/>
      <c r="BI33" s="1"/>
      <c r="BJ33" s="1" t="s">
        <v>895</v>
      </c>
      <c r="BK33" s="1" t="s">
        <v>896</v>
      </c>
      <c r="BL33" s="1" t="s">
        <v>873</v>
      </c>
      <c r="BM33" s="1" t="s">
        <v>897</v>
      </c>
      <c r="BN33" s="1">
        <v>14</v>
      </c>
      <c r="BO33" s="1"/>
      <c r="BP33" s="1" t="str">
        <f>HYPERLINK("https://nconnect.nicmar.ac.in/storage/profile/ProfilePhoto_P25700006_264513.jpg","Download")</f>
        <v>0</v>
      </c>
      <c r="BQ33" s="3"/>
      <c r="BR33" s="3"/>
    </row>
    <row r="34" spans="1:70">
      <c r="A34" s="1" t="s">
        <v>70</v>
      </c>
      <c r="B34" s="1" t="s">
        <v>441</v>
      </c>
      <c r="C34" s="1" t="s">
        <v>898</v>
      </c>
      <c r="D34" s="1" t="s">
        <v>899</v>
      </c>
      <c r="E34" s="1"/>
      <c r="F34" s="1" t="s">
        <v>520</v>
      </c>
      <c r="G34" s="1" t="s">
        <v>900</v>
      </c>
      <c r="H34" s="1" t="s">
        <v>901</v>
      </c>
      <c r="I34" s="1" t="s">
        <v>902</v>
      </c>
      <c r="J34" s="1">
        <v>7054367148</v>
      </c>
      <c r="K34" s="1" t="s">
        <v>79</v>
      </c>
      <c r="L34" s="1" t="s">
        <v>903</v>
      </c>
      <c r="M34" s="1" t="s">
        <v>81</v>
      </c>
      <c r="N34" s="1" t="s">
        <v>241</v>
      </c>
      <c r="O34" s="1"/>
      <c r="P34" s="1" t="s">
        <v>472</v>
      </c>
      <c r="Q34" s="1" t="s">
        <v>904</v>
      </c>
      <c r="R34" s="1" t="s">
        <v>905</v>
      </c>
      <c r="S34" s="1">
        <v>9415286161</v>
      </c>
      <c r="T34" s="1" t="s">
        <v>906</v>
      </c>
      <c r="U34" s="1" t="s">
        <v>907</v>
      </c>
      <c r="V34" s="1">
        <v>6393880769</v>
      </c>
      <c r="W34" s="1" t="s">
        <v>156</v>
      </c>
      <c r="X34" s="1" t="s">
        <v>908</v>
      </c>
      <c r="Y34" s="1" t="s">
        <v>909</v>
      </c>
      <c r="Z34" s="1" t="s">
        <v>534</v>
      </c>
      <c r="AA34" s="1" t="s">
        <v>908</v>
      </c>
      <c r="AB34" s="1" t="s">
        <v>909</v>
      </c>
      <c r="AC34" s="1" t="s">
        <v>534</v>
      </c>
      <c r="AD34" s="1">
        <v>8.36</v>
      </c>
      <c r="AE34" s="1" t="s">
        <v>93</v>
      </c>
      <c r="AF34" s="1" t="s">
        <v>910</v>
      </c>
      <c r="AG34" s="1" t="s">
        <v>911</v>
      </c>
      <c r="AH34" s="1" t="s">
        <v>131</v>
      </c>
      <c r="AI34" s="1" t="s">
        <v>614</v>
      </c>
      <c r="AJ34" s="1">
        <v>85.5</v>
      </c>
      <c r="AK34" s="1">
        <v>9</v>
      </c>
      <c r="AL34" s="1" t="s">
        <v>910</v>
      </c>
      <c r="AM34" s="1" t="s">
        <v>912</v>
      </c>
      <c r="AN34" s="1" t="s">
        <v>562</v>
      </c>
      <c r="AO34" s="1" t="s">
        <v>166</v>
      </c>
      <c r="AP34" s="1">
        <v>67.6</v>
      </c>
      <c r="AQ34" s="1"/>
      <c r="AR34" s="1"/>
      <c r="AS34" s="1"/>
      <c r="AT34" s="1"/>
      <c r="AU34" s="1"/>
      <c r="AV34" s="1"/>
      <c r="AW34" s="1"/>
      <c r="AX34" s="1" t="s">
        <v>913</v>
      </c>
      <c r="AY34" s="1" t="s">
        <v>914</v>
      </c>
      <c r="AZ34" s="1" t="s">
        <v>201</v>
      </c>
      <c r="BA34" s="1" t="s">
        <v>915</v>
      </c>
      <c r="BB34" s="1">
        <v>69.1</v>
      </c>
      <c r="BC34" s="1">
        <v>6.91</v>
      </c>
      <c r="BD34" s="1"/>
      <c r="BE34" s="1"/>
      <c r="BF34" s="1"/>
      <c r="BG34" s="1"/>
      <c r="BH34" s="1"/>
      <c r="BI34" s="1"/>
      <c r="BJ34" s="1" t="s">
        <v>916</v>
      </c>
      <c r="BK34" s="1"/>
      <c r="BL34" s="1"/>
      <c r="BM34" s="1" t="s">
        <v>917</v>
      </c>
      <c r="BN34" s="1">
        <v>9</v>
      </c>
      <c r="BO34" s="1" t="s">
        <v>918</v>
      </c>
      <c r="BP34" s="1" t="str">
        <f>HYPERLINK("https://nconnect.nicmar.ac.in/storage/profile/ProfilePhoto_P25700007_897142.jpg","Download")</f>
        <v>0</v>
      </c>
      <c r="BQ34" s="3"/>
      <c r="BR34" s="3"/>
    </row>
    <row r="35" spans="1:70">
      <c r="A35" s="1" t="s">
        <v>70</v>
      </c>
      <c r="B35" s="1" t="s">
        <v>441</v>
      </c>
      <c r="C35" s="1" t="s">
        <v>919</v>
      </c>
      <c r="D35" s="1" t="s">
        <v>920</v>
      </c>
      <c r="E35" s="1" t="s">
        <v>921</v>
      </c>
      <c r="F35" s="1" t="s">
        <v>922</v>
      </c>
      <c r="G35" s="1" t="s">
        <v>923</v>
      </c>
      <c r="H35" s="1" t="s">
        <v>924</v>
      </c>
      <c r="I35" s="1" t="s">
        <v>925</v>
      </c>
      <c r="J35" s="1">
        <v>9404977653</v>
      </c>
      <c r="K35" s="1" t="s">
        <v>79</v>
      </c>
      <c r="L35" s="1" t="s">
        <v>926</v>
      </c>
      <c r="M35" s="1" t="s">
        <v>81</v>
      </c>
      <c r="N35" s="1" t="s">
        <v>927</v>
      </c>
      <c r="O35" s="1"/>
      <c r="P35" s="1" t="s">
        <v>472</v>
      </c>
      <c r="Q35" s="1" t="s">
        <v>928</v>
      </c>
      <c r="R35" s="1" t="s">
        <v>921</v>
      </c>
      <c r="S35" s="1">
        <v>9850350800</v>
      </c>
      <c r="T35" s="1" t="s">
        <v>154</v>
      </c>
      <c r="U35" s="1" t="s">
        <v>929</v>
      </c>
      <c r="V35" s="1">
        <v>9822236604</v>
      </c>
      <c r="W35" s="1" t="s">
        <v>156</v>
      </c>
      <c r="X35" s="1" t="s">
        <v>930</v>
      </c>
      <c r="Y35" s="1" t="s">
        <v>191</v>
      </c>
      <c r="Z35" s="1" t="s">
        <v>92</v>
      </c>
      <c r="AA35" s="1" t="s">
        <v>931</v>
      </c>
      <c r="AB35" s="1" t="s">
        <v>158</v>
      </c>
      <c r="AC35" s="1" t="s">
        <v>92</v>
      </c>
      <c r="AD35" s="1">
        <v>7.25</v>
      </c>
      <c r="AE35" s="1" t="s">
        <v>93</v>
      </c>
      <c r="AF35" s="1" t="s">
        <v>932</v>
      </c>
      <c r="AG35" s="1" t="s">
        <v>160</v>
      </c>
      <c r="AH35" s="1" t="s">
        <v>162</v>
      </c>
      <c r="AI35" s="1" t="s">
        <v>195</v>
      </c>
      <c r="AJ35" s="1">
        <v>82</v>
      </c>
      <c r="AK35" s="1"/>
      <c r="AL35" s="1" t="s">
        <v>933</v>
      </c>
      <c r="AM35" s="1" t="s">
        <v>160</v>
      </c>
      <c r="AN35" s="1" t="s">
        <v>101</v>
      </c>
      <c r="AO35" s="1" t="s">
        <v>198</v>
      </c>
      <c r="AP35" s="1">
        <v>60</v>
      </c>
      <c r="AQ35" s="1"/>
      <c r="AR35" s="1"/>
      <c r="AS35" s="1"/>
      <c r="AT35" s="1"/>
      <c r="AU35" s="1"/>
      <c r="AV35" s="1"/>
      <c r="AW35" s="1"/>
      <c r="AX35" s="1" t="s">
        <v>361</v>
      </c>
      <c r="AY35" s="1" t="s">
        <v>934</v>
      </c>
      <c r="AZ35" s="1" t="s">
        <v>201</v>
      </c>
      <c r="BA35" s="1" t="s">
        <v>935</v>
      </c>
      <c r="BB35" s="1">
        <v>68.1</v>
      </c>
      <c r="BC35" s="1">
        <v>7.56</v>
      </c>
      <c r="BD35" s="1"/>
      <c r="BE35" s="1"/>
      <c r="BF35" s="1"/>
      <c r="BG35" s="1"/>
      <c r="BH35" s="1"/>
      <c r="BI35" s="1"/>
      <c r="BJ35" s="1" t="s">
        <v>364</v>
      </c>
      <c r="BK35" s="1" t="s">
        <v>936</v>
      </c>
      <c r="BL35" s="1" t="s">
        <v>762</v>
      </c>
      <c r="BM35" s="1" t="s">
        <v>937</v>
      </c>
      <c r="BN35" s="1">
        <v>13</v>
      </c>
      <c r="BO35" s="1"/>
      <c r="BP35" s="1" t="str">
        <f>HYPERLINK("https://nconnect.nicmar.ac.in/storage/profile/ProfilePhoto_P25700008_976184.jpg","Download")</f>
        <v>0</v>
      </c>
      <c r="BQ35" s="3"/>
      <c r="BR35" s="3"/>
    </row>
    <row r="36" spans="1:70">
      <c r="A36" s="1" t="s">
        <v>70</v>
      </c>
      <c r="B36" s="1" t="s">
        <v>441</v>
      </c>
      <c r="C36" s="1" t="s">
        <v>938</v>
      </c>
      <c r="D36" s="1" t="s">
        <v>939</v>
      </c>
      <c r="E36" s="1"/>
      <c r="F36" s="1" t="s">
        <v>940</v>
      </c>
      <c r="G36" s="1" t="s">
        <v>941</v>
      </c>
      <c r="H36" s="1" t="s">
        <v>942</v>
      </c>
      <c r="I36" s="1" t="s">
        <v>943</v>
      </c>
      <c r="J36" s="1">
        <v>9006389544</v>
      </c>
      <c r="K36" s="1" t="s">
        <v>79</v>
      </c>
      <c r="L36" s="1" t="s">
        <v>944</v>
      </c>
      <c r="M36" s="1" t="s">
        <v>81</v>
      </c>
      <c r="N36" s="1" t="s">
        <v>945</v>
      </c>
      <c r="O36" s="1"/>
      <c r="P36" s="1" t="s">
        <v>450</v>
      </c>
      <c r="Q36" s="1" t="s">
        <v>946</v>
      </c>
      <c r="R36" s="1" t="s">
        <v>947</v>
      </c>
      <c r="S36" s="1">
        <v>7488584196</v>
      </c>
      <c r="T36" s="1" t="s">
        <v>87</v>
      </c>
      <c r="U36" s="1" t="s">
        <v>948</v>
      </c>
      <c r="V36" s="1">
        <v>9006389544</v>
      </c>
      <c r="W36" s="1" t="s">
        <v>156</v>
      </c>
      <c r="X36" s="1" t="s">
        <v>949</v>
      </c>
      <c r="Y36" s="1" t="s">
        <v>950</v>
      </c>
      <c r="Z36" s="1" t="s">
        <v>951</v>
      </c>
      <c r="AA36" s="1" t="s">
        <v>949</v>
      </c>
      <c r="AB36" s="1" t="s">
        <v>950</v>
      </c>
      <c r="AC36" s="1" t="s">
        <v>951</v>
      </c>
      <c r="AD36" s="1">
        <v>8.44</v>
      </c>
      <c r="AE36" s="1" t="s">
        <v>93</v>
      </c>
      <c r="AF36" s="1" t="s">
        <v>952</v>
      </c>
      <c r="AG36" s="1" t="s">
        <v>953</v>
      </c>
      <c r="AH36" s="1" t="s">
        <v>481</v>
      </c>
      <c r="AI36" s="1" t="s">
        <v>308</v>
      </c>
      <c r="AJ36" s="1">
        <v>75.2</v>
      </c>
      <c r="AK36" s="1">
        <v>7.5</v>
      </c>
      <c r="AL36" s="1" t="s">
        <v>954</v>
      </c>
      <c r="AM36" s="1" t="s">
        <v>955</v>
      </c>
      <c r="AN36" s="1" t="s">
        <v>956</v>
      </c>
      <c r="AO36" s="1" t="s">
        <v>539</v>
      </c>
      <c r="AP36" s="1">
        <v>84</v>
      </c>
      <c r="AQ36" s="1">
        <v>8.4</v>
      </c>
      <c r="AR36" s="1"/>
      <c r="AS36" s="1"/>
      <c r="AT36" s="1"/>
      <c r="AU36" s="1"/>
      <c r="AV36" s="1"/>
      <c r="AW36" s="1"/>
      <c r="AX36" s="1" t="s">
        <v>957</v>
      </c>
      <c r="AY36" s="1" t="s">
        <v>958</v>
      </c>
      <c r="AZ36" s="1" t="s">
        <v>539</v>
      </c>
      <c r="BA36" s="1" t="s">
        <v>829</v>
      </c>
      <c r="BB36" s="1">
        <v>77</v>
      </c>
      <c r="BC36" s="1">
        <v>7.77</v>
      </c>
      <c r="BD36" s="1"/>
      <c r="BE36" s="1"/>
      <c r="BF36" s="1"/>
      <c r="BG36" s="1"/>
      <c r="BH36" s="1"/>
      <c r="BI36" s="1"/>
      <c r="BJ36" s="1" t="s">
        <v>959</v>
      </c>
      <c r="BK36" s="1"/>
      <c r="BL36" s="1"/>
      <c r="BM36" s="1" t="s">
        <v>960</v>
      </c>
      <c r="BN36" s="1">
        <v>15</v>
      </c>
      <c r="BO36" s="1"/>
      <c r="BP36" s="1" t="str">
        <f>HYPERLINK("https://nconnect.nicmar.ac.in/storage/profile/ProfilePhoto_P25700009_213976.jpg","Download")</f>
        <v>0</v>
      </c>
      <c r="BQ36" s="3"/>
      <c r="BR36" s="3"/>
    </row>
    <row r="37" spans="1:70">
      <c r="A37" s="1" t="s">
        <v>70</v>
      </c>
      <c r="B37" s="1" t="s">
        <v>441</v>
      </c>
      <c r="C37" s="1" t="s">
        <v>961</v>
      </c>
      <c r="D37" s="1" t="s">
        <v>962</v>
      </c>
      <c r="E37" s="1" t="s">
        <v>963</v>
      </c>
      <c r="F37" s="1" t="s">
        <v>964</v>
      </c>
      <c r="G37" s="1" t="s">
        <v>965</v>
      </c>
      <c r="H37" s="1" t="s">
        <v>966</v>
      </c>
      <c r="I37" s="1" t="s">
        <v>967</v>
      </c>
      <c r="J37" s="1">
        <v>9527992237</v>
      </c>
      <c r="K37" s="1" t="s">
        <v>79</v>
      </c>
      <c r="L37" s="1" t="s">
        <v>968</v>
      </c>
      <c r="M37" s="1" t="s">
        <v>81</v>
      </c>
      <c r="N37" s="1" t="s">
        <v>969</v>
      </c>
      <c r="O37" s="1"/>
      <c r="P37" s="1" t="s">
        <v>497</v>
      </c>
      <c r="Q37" s="1" t="s">
        <v>970</v>
      </c>
      <c r="R37" s="1" t="s">
        <v>971</v>
      </c>
      <c r="S37" s="1">
        <v>9850829798</v>
      </c>
      <c r="T37" s="1" t="s">
        <v>632</v>
      </c>
      <c r="U37" s="1" t="s">
        <v>972</v>
      </c>
      <c r="V37" s="1">
        <v>9850081714</v>
      </c>
      <c r="W37" s="1" t="s">
        <v>156</v>
      </c>
      <c r="X37" s="1" t="s">
        <v>973</v>
      </c>
      <c r="Y37" s="1" t="s">
        <v>405</v>
      </c>
      <c r="Z37" s="1" t="s">
        <v>92</v>
      </c>
      <c r="AA37" s="1" t="s">
        <v>973</v>
      </c>
      <c r="AB37" s="1" t="s">
        <v>405</v>
      </c>
      <c r="AC37" s="1" t="s">
        <v>92</v>
      </c>
      <c r="AD37" s="1">
        <v>8.3</v>
      </c>
      <c r="AE37" s="1" t="s">
        <v>93</v>
      </c>
      <c r="AF37" s="1" t="s">
        <v>974</v>
      </c>
      <c r="AG37" s="1" t="s">
        <v>975</v>
      </c>
      <c r="AH37" s="1" t="s">
        <v>165</v>
      </c>
      <c r="AI37" s="1" t="s">
        <v>101</v>
      </c>
      <c r="AJ37" s="1">
        <v>80.6</v>
      </c>
      <c r="AK37" s="1"/>
      <c r="AL37" s="1" t="s">
        <v>974</v>
      </c>
      <c r="AM37" s="1" t="s">
        <v>975</v>
      </c>
      <c r="AN37" s="1" t="s">
        <v>433</v>
      </c>
      <c r="AO37" s="1" t="s">
        <v>460</v>
      </c>
      <c r="AP37" s="1">
        <v>69.38</v>
      </c>
      <c r="AQ37" s="1"/>
      <c r="AR37" s="1"/>
      <c r="AS37" s="1"/>
      <c r="AT37" s="1"/>
      <c r="AU37" s="1"/>
      <c r="AV37" s="1"/>
      <c r="AW37" s="1"/>
      <c r="AX37" s="1" t="s">
        <v>976</v>
      </c>
      <c r="AY37" s="1" t="s">
        <v>977</v>
      </c>
      <c r="AZ37" s="1" t="s">
        <v>363</v>
      </c>
      <c r="BA37" s="1" t="s">
        <v>413</v>
      </c>
      <c r="BB37" s="1">
        <v>64.3</v>
      </c>
      <c r="BC37" s="1">
        <v>7.18</v>
      </c>
      <c r="BD37" s="1"/>
      <c r="BE37" s="1"/>
      <c r="BF37" s="1"/>
      <c r="BG37" s="1"/>
      <c r="BH37" s="1"/>
      <c r="BI37" s="1"/>
      <c r="BJ37" s="1" t="s">
        <v>364</v>
      </c>
      <c r="BK37" s="1"/>
      <c r="BL37" s="1"/>
      <c r="BM37" s="1" t="s">
        <v>978</v>
      </c>
      <c r="BN37" s="1">
        <v>26</v>
      </c>
      <c r="BO37" s="1"/>
      <c r="BP37" s="1" t="str">
        <f>HYPERLINK("https://nconnect.nicmar.ac.in/storage/profile/ProfilePhoto_P25700010_176259.jpg","Download")</f>
        <v>0</v>
      </c>
      <c r="BQ37" s="3"/>
      <c r="BR37" s="3"/>
    </row>
    <row r="38" spans="1:70">
      <c r="A38" s="1" t="s">
        <v>70</v>
      </c>
      <c r="B38" s="1" t="s">
        <v>441</v>
      </c>
      <c r="C38" s="1" t="s">
        <v>979</v>
      </c>
      <c r="D38" s="1" t="s">
        <v>980</v>
      </c>
      <c r="E38" s="1"/>
      <c r="F38" s="1" t="s">
        <v>981</v>
      </c>
      <c r="G38" s="1" t="s">
        <v>982</v>
      </c>
      <c r="H38" s="1" t="s">
        <v>983</v>
      </c>
      <c r="I38" s="1" t="s">
        <v>984</v>
      </c>
      <c r="J38" s="1">
        <v>9588491747</v>
      </c>
      <c r="K38" s="1" t="s">
        <v>148</v>
      </c>
      <c r="L38" s="1" t="s">
        <v>985</v>
      </c>
      <c r="M38" s="1" t="s">
        <v>81</v>
      </c>
      <c r="N38" s="1" t="s">
        <v>986</v>
      </c>
      <c r="O38" s="1"/>
      <c r="P38" s="1" t="s">
        <v>450</v>
      </c>
      <c r="Q38" s="1" t="s">
        <v>987</v>
      </c>
      <c r="R38" s="1" t="s">
        <v>988</v>
      </c>
      <c r="S38" s="1">
        <v>9823283222</v>
      </c>
      <c r="T38" s="1" t="s">
        <v>632</v>
      </c>
      <c r="U38" s="1" t="s">
        <v>989</v>
      </c>
      <c r="V38" s="1">
        <v>7447771437</v>
      </c>
      <c r="W38" s="1" t="s">
        <v>89</v>
      </c>
      <c r="X38" s="1" t="s">
        <v>990</v>
      </c>
      <c r="Y38" s="1" t="s">
        <v>991</v>
      </c>
      <c r="Z38" s="1" t="s">
        <v>92</v>
      </c>
      <c r="AA38" s="1" t="s">
        <v>990</v>
      </c>
      <c r="AB38" s="1" t="s">
        <v>991</v>
      </c>
      <c r="AC38" s="1" t="s">
        <v>92</v>
      </c>
      <c r="AD38" s="1">
        <v>9.21</v>
      </c>
      <c r="AE38" s="1" t="s">
        <v>93</v>
      </c>
      <c r="AF38" s="1" t="s">
        <v>992</v>
      </c>
      <c r="AG38" s="1" t="s">
        <v>160</v>
      </c>
      <c r="AH38" s="1" t="s">
        <v>165</v>
      </c>
      <c r="AI38" s="1" t="s">
        <v>281</v>
      </c>
      <c r="AJ38" s="1">
        <v>96.2</v>
      </c>
      <c r="AK38" s="1"/>
      <c r="AL38" s="1" t="s">
        <v>993</v>
      </c>
      <c r="AM38" s="1" t="s">
        <v>160</v>
      </c>
      <c r="AN38" s="1" t="s">
        <v>433</v>
      </c>
      <c r="AO38" s="1" t="s">
        <v>360</v>
      </c>
      <c r="AP38" s="1">
        <v>80.62</v>
      </c>
      <c r="AQ38" s="1"/>
      <c r="AR38" s="1"/>
      <c r="AS38" s="1"/>
      <c r="AT38" s="1"/>
      <c r="AU38" s="1"/>
      <c r="AV38" s="1"/>
      <c r="AW38" s="1"/>
      <c r="AX38" s="1" t="s">
        <v>253</v>
      </c>
      <c r="AY38" s="1" t="s">
        <v>994</v>
      </c>
      <c r="AZ38" s="1" t="s">
        <v>173</v>
      </c>
      <c r="BA38" s="1" t="s">
        <v>594</v>
      </c>
      <c r="BB38" s="1">
        <v>75.93</v>
      </c>
      <c r="BC38" s="1">
        <v>8.64</v>
      </c>
      <c r="BD38" s="1"/>
      <c r="BE38" s="1"/>
      <c r="BF38" s="1"/>
      <c r="BG38" s="1"/>
      <c r="BH38" s="1"/>
      <c r="BI38" s="1"/>
      <c r="BJ38" s="1" t="s">
        <v>995</v>
      </c>
      <c r="BK38" s="1"/>
      <c r="BL38" s="1"/>
      <c r="BM38" s="1" t="s">
        <v>996</v>
      </c>
      <c r="BN38" s="1">
        <v>30</v>
      </c>
      <c r="BO38" s="1" t="s">
        <v>997</v>
      </c>
      <c r="BP38" s="1" t="str">
        <f>HYPERLINK("https://nconnect.nicmar.ac.in/storage/profile/ProfilePhoto_P25700011_739251.jpg","Download")</f>
        <v>0</v>
      </c>
      <c r="BQ38" s="3"/>
      <c r="BR38" s="3"/>
    </row>
    <row r="39" spans="1:70">
      <c r="A39" s="1" t="s">
        <v>70</v>
      </c>
      <c r="B39" s="1" t="s">
        <v>441</v>
      </c>
      <c r="C39" s="1" t="s">
        <v>998</v>
      </c>
      <c r="D39" s="1" t="s">
        <v>999</v>
      </c>
      <c r="E39" s="1" t="s">
        <v>1000</v>
      </c>
      <c r="F39" s="1" t="s">
        <v>1001</v>
      </c>
      <c r="G39" s="1" t="s">
        <v>1002</v>
      </c>
      <c r="H39" s="1" t="s">
        <v>1003</v>
      </c>
      <c r="I39" s="1" t="s">
        <v>1004</v>
      </c>
      <c r="J39" s="1">
        <v>8010918142</v>
      </c>
      <c r="K39" s="1" t="s">
        <v>79</v>
      </c>
      <c r="L39" s="1" t="s">
        <v>1005</v>
      </c>
      <c r="M39" s="1" t="s">
        <v>81</v>
      </c>
      <c r="N39" s="1" t="s">
        <v>1006</v>
      </c>
      <c r="O39" s="1"/>
      <c r="P39" s="1" t="s">
        <v>1007</v>
      </c>
      <c r="Q39" s="1" t="s">
        <v>1008</v>
      </c>
      <c r="R39" s="1" t="s">
        <v>1009</v>
      </c>
      <c r="S39" s="1">
        <v>9823149756</v>
      </c>
      <c r="T39" s="1" t="s">
        <v>820</v>
      </c>
      <c r="U39" s="1" t="s">
        <v>1010</v>
      </c>
      <c r="V39" s="1">
        <v>9028418958</v>
      </c>
      <c r="W39" s="1" t="s">
        <v>156</v>
      </c>
      <c r="X39" s="1" t="s">
        <v>1011</v>
      </c>
      <c r="Y39" s="1" t="s">
        <v>1012</v>
      </c>
      <c r="Z39" s="1" t="s">
        <v>92</v>
      </c>
      <c r="AA39" s="1" t="s">
        <v>1011</v>
      </c>
      <c r="AB39" s="1" t="s">
        <v>1012</v>
      </c>
      <c r="AC39" s="1" t="s">
        <v>92</v>
      </c>
      <c r="AD39" s="1">
        <v>8.62</v>
      </c>
      <c r="AE39" s="1" t="s">
        <v>93</v>
      </c>
      <c r="AF39" s="1" t="s">
        <v>1013</v>
      </c>
      <c r="AG39" s="1" t="s">
        <v>1014</v>
      </c>
      <c r="AH39" s="1" t="s">
        <v>165</v>
      </c>
      <c r="AI39" s="1" t="s">
        <v>281</v>
      </c>
      <c r="AJ39" s="1">
        <v>93.8</v>
      </c>
      <c r="AK39" s="1"/>
      <c r="AL39" s="1" t="s">
        <v>1015</v>
      </c>
      <c r="AM39" s="1" t="s">
        <v>1016</v>
      </c>
      <c r="AN39" s="1" t="s">
        <v>537</v>
      </c>
      <c r="AO39" s="1" t="s">
        <v>360</v>
      </c>
      <c r="AP39" s="1">
        <v>70.31</v>
      </c>
      <c r="AQ39" s="1"/>
      <c r="AR39" s="1"/>
      <c r="AS39" s="1"/>
      <c r="AT39" s="1"/>
      <c r="AU39" s="1"/>
      <c r="AV39" s="1"/>
      <c r="AW39" s="1"/>
      <c r="AX39" s="1" t="s">
        <v>1017</v>
      </c>
      <c r="AY39" s="1" t="s">
        <v>1018</v>
      </c>
      <c r="AZ39" s="1" t="s">
        <v>1019</v>
      </c>
      <c r="BA39" s="1" t="s">
        <v>413</v>
      </c>
      <c r="BB39" s="1">
        <v>65.6</v>
      </c>
      <c r="BC39" s="1">
        <v>7.31</v>
      </c>
      <c r="BD39" s="1"/>
      <c r="BE39" s="1"/>
      <c r="BF39" s="1"/>
      <c r="BG39" s="1"/>
      <c r="BH39" s="1"/>
      <c r="BI39" s="1"/>
      <c r="BJ39" s="1" t="s">
        <v>1020</v>
      </c>
      <c r="BK39" s="1" t="s">
        <v>1021</v>
      </c>
      <c r="BL39" s="1" t="s">
        <v>1022</v>
      </c>
      <c r="BM39" s="1" t="s">
        <v>1023</v>
      </c>
      <c r="BN39" s="1">
        <v>14</v>
      </c>
      <c r="BO39" s="1"/>
      <c r="BP39" s="1" t="str">
        <f>HYPERLINK("https://nconnect.nicmar.ac.in/storage/profile/ProfilePhoto_P25700012_849315.jpg","Download")</f>
        <v>0</v>
      </c>
      <c r="BQ39" s="3"/>
      <c r="BR39" s="3"/>
    </row>
    <row r="40" spans="1:70">
      <c r="A40" s="1" t="s">
        <v>70</v>
      </c>
      <c r="B40" s="1" t="s">
        <v>441</v>
      </c>
      <c r="C40" s="1" t="s">
        <v>1024</v>
      </c>
      <c r="D40" s="1" t="s">
        <v>1025</v>
      </c>
      <c r="E40" s="1"/>
      <c r="F40" s="1" t="s">
        <v>1026</v>
      </c>
      <c r="G40" s="1" t="s">
        <v>1027</v>
      </c>
      <c r="H40" s="1" t="s">
        <v>1028</v>
      </c>
      <c r="I40" s="1" t="s">
        <v>1029</v>
      </c>
      <c r="J40" s="1">
        <v>7275960888</v>
      </c>
      <c r="K40" s="1" t="s">
        <v>79</v>
      </c>
      <c r="L40" s="1" t="s">
        <v>1030</v>
      </c>
      <c r="M40" s="1" t="s">
        <v>81</v>
      </c>
      <c r="N40" s="1" t="s">
        <v>1031</v>
      </c>
      <c r="O40" s="1" t="s">
        <v>1032</v>
      </c>
      <c r="P40" s="1" t="s">
        <v>351</v>
      </c>
      <c r="Q40" s="1" t="s">
        <v>1033</v>
      </c>
      <c r="R40" s="1" t="s">
        <v>1034</v>
      </c>
      <c r="S40" s="1">
        <v>9936918443</v>
      </c>
      <c r="T40" s="1" t="s">
        <v>271</v>
      </c>
      <c r="U40" s="1" t="s">
        <v>1035</v>
      </c>
      <c r="V40" s="1">
        <v>9936918443</v>
      </c>
      <c r="W40" s="1" t="s">
        <v>1036</v>
      </c>
      <c r="X40" s="1" t="s">
        <v>1037</v>
      </c>
      <c r="Y40" s="1" t="s">
        <v>191</v>
      </c>
      <c r="Z40" s="1" t="s">
        <v>92</v>
      </c>
      <c r="AA40" s="1" t="s">
        <v>1037</v>
      </c>
      <c r="AB40" s="1" t="s">
        <v>1038</v>
      </c>
      <c r="AC40" s="1" t="s">
        <v>534</v>
      </c>
      <c r="AD40" s="1">
        <v>8.13</v>
      </c>
      <c r="AE40" s="1" t="s">
        <v>93</v>
      </c>
      <c r="AF40" s="1" t="s">
        <v>1039</v>
      </c>
      <c r="AG40" s="1" t="s">
        <v>1040</v>
      </c>
      <c r="AH40" s="1" t="s">
        <v>162</v>
      </c>
      <c r="AI40" s="1" t="s">
        <v>165</v>
      </c>
      <c r="AJ40" s="1">
        <v>79.8</v>
      </c>
      <c r="AK40" s="1">
        <v>8.4</v>
      </c>
      <c r="AL40" s="1"/>
      <c r="AM40" s="1"/>
      <c r="AN40" s="1"/>
      <c r="AO40" s="1"/>
      <c r="AP40" s="1"/>
      <c r="AQ40" s="1"/>
      <c r="AR40" s="1" t="s">
        <v>1041</v>
      </c>
      <c r="AS40" s="1" t="s">
        <v>1042</v>
      </c>
      <c r="AT40" s="1" t="s">
        <v>1043</v>
      </c>
      <c r="AU40" s="1" t="s">
        <v>542</v>
      </c>
      <c r="AV40" s="1">
        <v>73.18</v>
      </c>
      <c r="AW40" s="1"/>
      <c r="AX40" s="1" t="s">
        <v>1044</v>
      </c>
      <c r="AY40" s="1" t="s">
        <v>1045</v>
      </c>
      <c r="AZ40" s="1" t="s">
        <v>539</v>
      </c>
      <c r="BA40" s="1" t="s">
        <v>202</v>
      </c>
      <c r="BB40" s="1">
        <v>83.98</v>
      </c>
      <c r="BC40" s="1"/>
      <c r="BD40" s="1"/>
      <c r="BE40" s="1"/>
      <c r="BF40" s="1"/>
      <c r="BG40" s="1"/>
      <c r="BH40" s="1"/>
      <c r="BI40" s="1"/>
      <c r="BJ40" s="1" t="s">
        <v>1046</v>
      </c>
      <c r="BK40" s="1" t="s">
        <v>1047</v>
      </c>
      <c r="BL40" s="1" t="s">
        <v>1048</v>
      </c>
      <c r="BM40" s="1" t="s">
        <v>1049</v>
      </c>
      <c r="BN40" s="1">
        <v>21</v>
      </c>
      <c r="BO40" s="1"/>
      <c r="BP40" s="1" t="str">
        <f>HYPERLINK("https://nconnect.nicmar.ac.in/storage/profile/ProfilePhoto_P25700013_135872.jpg","Download")</f>
        <v>0</v>
      </c>
      <c r="BQ40" s="3"/>
      <c r="BR40" s="3"/>
    </row>
    <row r="41" spans="1:70">
      <c r="A41" s="1" t="s">
        <v>70</v>
      </c>
      <c r="B41" s="1" t="s">
        <v>441</v>
      </c>
      <c r="C41" s="1" t="s">
        <v>1050</v>
      </c>
      <c r="D41" s="1" t="s">
        <v>1051</v>
      </c>
      <c r="E41" s="1" t="s">
        <v>1052</v>
      </c>
      <c r="F41" s="1" t="s">
        <v>1053</v>
      </c>
      <c r="G41" s="1" t="s">
        <v>1054</v>
      </c>
      <c r="H41" s="1" t="s">
        <v>1055</v>
      </c>
      <c r="I41" s="1" t="s">
        <v>1056</v>
      </c>
      <c r="J41" s="1">
        <v>8793859482</v>
      </c>
      <c r="K41" s="1" t="s">
        <v>79</v>
      </c>
      <c r="L41" s="1" t="s">
        <v>1057</v>
      </c>
      <c r="M41" s="1" t="s">
        <v>81</v>
      </c>
      <c r="N41" s="1" t="s">
        <v>1058</v>
      </c>
      <c r="O41" s="1"/>
      <c r="P41" s="1" t="s">
        <v>497</v>
      </c>
      <c r="Q41" s="1" t="s">
        <v>1059</v>
      </c>
      <c r="R41" s="1" t="s">
        <v>1060</v>
      </c>
      <c r="S41" s="1">
        <v>8983188171</v>
      </c>
      <c r="T41" s="1" t="s">
        <v>632</v>
      </c>
      <c r="U41" s="1" t="s">
        <v>1061</v>
      </c>
      <c r="V41" s="1">
        <v>9850425366</v>
      </c>
      <c r="W41" s="1" t="s">
        <v>156</v>
      </c>
      <c r="X41" s="1" t="s">
        <v>1062</v>
      </c>
      <c r="Y41" s="1" t="s">
        <v>405</v>
      </c>
      <c r="Z41" s="1" t="s">
        <v>92</v>
      </c>
      <c r="AA41" s="1" t="s">
        <v>1062</v>
      </c>
      <c r="AB41" s="1" t="s">
        <v>405</v>
      </c>
      <c r="AC41" s="1" t="s">
        <v>92</v>
      </c>
      <c r="AD41" s="1">
        <v>8.02</v>
      </c>
      <c r="AE41" s="1" t="s">
        <v>93</v>
      </c>
      <c r="AF41" s="1" t="s">
        <v>1063</v>
      </c>
      <c r="AG41" s="1" t="s">
        <v>1064</v>
      </c>
      <c r="AH41" s="1" t="s">
        <v>195</v>
      </c>
      <c r="AI41" s="1" t="s">
        <v>281</v>
      </c>
      <c r="AJ41" s="1">
        <v>78.2</v>
      </c>
      <c r="AK41" s="1"/>
      <c r="AL41" s="1" t="s">
        <v>1065</v>
      </c>
      <c r="AM41" s="1" t="s">
        <v>1064</v>
      </c>
      <c r="AN41" s="1" t="s">
        <v>198</v>
      </c>
      <c r="AO41" s="1" t="s">
        <v>360</v>
      </c>
      <c r="AP41" s="1">
        <v>69.54</v>
      </c>
      <c r="AQ41" s="1"/>
      <c r="AR41" s="1"/>
      <c r="AS41" s="1"/>
      <c r="AT41" s="1"/>
      <c r="AU41" s="1"/>
      <c r="AV41" s="1"/>
      <c r="AW41" s="1"/>
      <c r="AX41" s="1" t="s">
        <v>410</v>
      </c>
      <c r="AY41" s="1" t="s">
        <v>1066</v>
      </c>
      <c r="AZ41" s="1" t="s">
        <v>173</v>
      </c>
      <c r="BA41" s="1" t="s">
        <v>1067</v>
      </c>
      <c r="BB41" s="1">
        <v>65.3</v>
      </c>
      <c r="BC41" s="1">
        <v>7.28</v>
      </c>
      <c r="BD41" s="1"/>
      <c r="BE41" s="1"/>
      <c r="BF41" s="1"/>
      <c r="BG41" s="1"/>
      <c r="BH41" s="1"/>
      <c r="BI41" s="1"/>
      <c r="BJ41" s="1" t="s">
        <v>1068</v>
      </c>
      <c r="BK41" s="1" t="s">
        <v>1069</v>
      </c>
      <c r="BL41" s="1" t="s">
        <v>670</v>
      </c>
      <c r="BM41" s="1" t="s">
        <v>1070</v>
      </c>
      <c r="BN41" s="1">
        <v>41</v>
      </c>
      <c r="BO41" s="1" t="s">
        <v>1071</v>
      </c>
      <c r="BP41" s="1" t="str">
        <f>HYPERLINK("https://nconnect.nicmar.ac.in/storage/profile/ProfilePhoto_P25700014_935186.jpg","Download")</f>
        <v>0</v>
      </c>
      <c r="BQ41" s="3"/>
      <c r="BR41" s="3"/>
    </row>
    <row r="42" spans="1:70">
      <c r="A42" s="1" t="s">
        <v>70</v>
      </c>
      <c r="B42" s="1" t="s">
        <v>441</v>
      </c>
      <c r="C42" s="1" t="s">
        <v>1072</v>
      </c>
      <c r="D42" s="1" t="s">
        <v>1073</v>
      </c>
      <c r="E42" s="1"/>
      <c r="F42" s="1" t="s">
        <v>1074</v>
      </c>
      <c r="G42" s="1" t="s">
        <v>1075</v>
      </c>
      <c r="H42" s="1" t="s">
        <v>1076</v>
      </c>
      <c r="I42" s="1" t="s">
        <v>1077</v>
      </c>
      <c r="J42" s="1">
        <v>8860236608</v>
      </c>
      <c r="K42" s="1" t="s">
        <v>79</v>
      </c>
      <c r="L42" s="1" t="s">
        <v>1078</v>
      </c>
      <c r="M42" s="1" t="s">
        <v>81</v>
      </c>
      <c r="N42" s="1" t="s">
        <v>1079</v>
      </c>
      <c r="O42" s="1"/>
      <c r="P42" s="1" t="s">
        <v>497</v>
      </c>
      <c r="Q42" s="1" t="s">
        <v>1080</v>
      </c>
      <c r="R42" s="1" t="s">
        <v>1081</v>
      </c>
      <c r="S42" s="1">
        <v>9717787805</v>
      </c>
      <c r="T42" s="1" t="s">
        <v>1082</v>
      </c>
      <c r="U42" s="1" t="s">
        <v>1083</v>
      </c>
      <c r="V42" s="1">
        <v>9971748647</v>
      </c>
      <c r="W42" s="1" t="s">
        <v>156</v>
      </c>
      <c r="X42" s="1" t="s">
        <v>1084</v>
      </c>
      <c r="Y42" s="1" t="s">
        <v>1085</v>
      </c>
      <c r="Z42" s="1" t="s">
        <v>534</v>
      </c>
      <c r="AA42" s="1" t="s">
        <v>1084</v>
      </c>
      <c r="AB42" s="1" t="s">
        <v>1085</v>
      </c>
      <c r="AC42" s="1" t="s">
        <v>534</v>
      </c>
      <c r="AD42" s="1">
        <v>7.39</v>
      </c>
      <c r="AE42" s="1" t="s">
        <v>93</v>
      </c>
      <c r="AF42" s="1" t="s">
        <v>1086</v>
      </c>
      <c r="AG42" s="1" t="s">
        <v>1087</v>
      </c>
      <c r="AH42" s="1" t="s">
        <v>1088</v>
      </c>
      <c r="AI42" s="1" t="s">
        <v>1089</v>
      </c>
      <c r="AJ42" s="1">
        <v>77.9</v>
      </c>
      <c r="AK42" s="1">
        <v>8.2</v>
      </c>
      <c r="AL42" s="1" t="s">
        <v>1086</v>
      </c>
      <c r="AM42" s="1" t="s">
        <v>1087</v>
      </c>
      <c r="AN42" s="1" t="s">
        <v>689</v>
      </c>
      <c r="AO42" s="1" t="s">
        <v>281</v>
      </c>
      <c r="AP42" s="1">
        <v>75.8</v>
      </c>
      <c r="AQ42" s="1"/>
      <c r="AR42" s="1"/>
      <c r="AS42" s="1"/>
      <c r="AT42" s="1"/>
      <c r="AU42" s="1"/>
      <c r="AV42" s="1"/>
      <c r="AW42" s="1"/>
      <c r="AX42" s="1" t="s">
        <v>1090</v>
      </c>
      <c r="AY42" s="1" t="s">
        <v>1091</v>
      </c>
      <c r="AZ42" s="1" t="s">
        <v>169</v>
      </c>
      <c r="BA42" s="1" t="s">
        <v>284</v>
      </c>
      <c r="BB42" s="1">
        <v>67.2</v>
      </c>
      <c r="BC42" s="1">
        <v>6.72</v>
      </c>
      <c r="BD42" s="1"/>
      <c r="BE42" s="1"/>
      <c r="BF42" s="1"/>
      <c r="BG42" s="1"/>
      <c r="BH42" s="1"/>
      <c r="BI42" s="1"/>
      <c r="BJ42" s="1" t="s">
        <v>567</v>
      </c>
      <c r="BK42" s="1" t="s">
        <v>1092</v>
      </c>
      <c r="BL42" s="1" t="s">
        <v>463</v>
      </c>
      <c r="BM42" s="1" t="s">
        <v>1093</v>
      </c>
      <c r="BN42" s="1">
        <v>34</v>
      </c>
      <c r="BO42" s="1"/>
      <c r="BP42" s="1" t="str">
        <f>HYPERLINK("https://nconnect.nicmar.ac.in/storage/profile/ProfilePhoto_P25700015_562978.jpg","Download")</f>
        <v>0</v>
      </c>
      <c r="BQ42" s="3"/>
      <c r="BR42" s="3"/>
    </row>
    <row r="43" spans="1:70">
      <c r="A43" s="1" t="s">
        <v>70</v>
      </c>
      <c r="B43" s="1" t="s">
        <v>441</v>
      </c>
      <c r="C43" s="1" t="s">
        <v>1094</v>
      </c>
      <c r="D43" s="1" t="s">
        <v>1095</v>
      </c>
      <c r="E43" s="1" t="s">
        <v>1096</v>
      </c>
      <c r="F43" s="1" t="s">
        <v>1097</v>
      </c>
      <c r="G43" s="1" t="s">
        <v>1098</v>
      </c>
      <c r="H43" s="1" t="s">
        <v>1099</v>
      </c>
      <c r="I43" s="1" t="s">
        <v>1100</v>
      </c>
      <c r="J43" s="1">
        <v>9156686578</v>
      </c>
      <c r="K43" s="1" t="s">
        <v>79</v>
      </c>
      <c r="L43" s="1" t="s">
        <v>1101</v>
      </c>
      <c r="M43" s="1" t="s">
        <v>81</v>
      </c>
      <c r="N43" s="1" t="s">
        <v>751</v>
      </c>
      <c r="O43" s="1"/>
      <c r="P43" s="1" t="s">
        <v>450</v>
      </c>
      <c r="Q43" s="1" t="s">
        <v>1102</v>
      </c>
      <c r="R43" s="1" t="s">
        <v>1096</v>
      </c>
      <c r="S43" s="1">
        <v>9922381754</v>
      </c>
      <c r="T43" s="1" t="s">
        <v>820</v>
      </c>
      <c r="U43" s="1" t="s">
        <v>1103</v>
      </c>
      <c r="V43" s="1">
        <v>9284156494</v>
      </c>
      <c r="W43" s="1" t="s">
        <v>273</v>
      </c>
      <c r="X43" s="1" t="s">
        <v>1104</v>
      </c>
      <c r="Y43" s="1" t="s">
        <v>158</v>
      </c>
      <c r="Z43" s="1" t="s">
        <v>92</v>
      </c>
      <c r="AA43" s="1" t="s">
        <v>1104</v>
      </c>
      <c r="AB43" s="1" t="s">
        <v>158</v>
      </c>
      <c r="AC43" s="1" t="s">
        <v>92</v>
      </c>
      <c r="AD43" s="1">
        <v>6.48</v>
      </c>
      <c r="AE43" s="1" t="s">
        <v>93</v>
      </c>
      <c r="AF43" s="1" t="s">
        <v>1105</v>
      </c>
      <c r="AG43" s="1" t="s">
        <v>1106</v>
      </c>
      <c r="AH43" s="1" t="s">
        <v>165</v>
      </c>
      <c r="AI43" s="1" t="s">
        <v>281</v>
      </c>
      <c r="AJ43" s="1">
        <v>62.2</v>
      </c>
      <c r="AK43" s="1"/>
      <c r="AL43" s="1" t="s">
        <v>1107</v>
      </c>
      <c r="AM43" s="1" t="s">
        <v>1106</v>
      </c>
      <c r="AN43" s="1" t="s">
        <v>433</v>
      </c>
      <c r="AO43" s="1" t="s">
        <v>360</v>
      </c>
      <c r="AP43" s="1">
        <v>65.23</v>
      </c>
      <c r="AQ43" s="1"/>
      <c r="AR43" s="1"/>
      <c r="AS43" s="1"/>
      <c r="AT43" s="1"/>
      <c r="AU43" s="1"/>
      <c r="AV43" s="1"/>
      <c r="AW43" s="1"/>
      <c r="AX43" s="1" t="s">
        <v>361</v>
      </c>
      <c r="AY43" s="1" t="s">
        <v>1108</v>
      </c>
      <c r="AZ43" s="1" t="s">
        <v>826</v>
      </c>
      <c r="BA43" s="1" t="s">
        <v>1109</v>
      </c>
      <c r="BB43" s="1">
        <v>63.02</v>
      </c>
      <c r="BC43" s="1">
        <v>7.08</v>
      </c>
      <c r="BD43" s="1"/>
      <c r="BE43" s="1"/>
      <c r="BF43" s="1"/>
      <c r="BG43" s="1"/>
      <c r="BH43" s="1"/>
      <c r="BI43" s="1"/>
      <c r="BJ43" s="1" t="s">
        <v>255</v>
      </c>
      <c r="BK43" s="1"/>
      <c r="BL43" s="1"/>
      <c r="BM43" s="1" t="s">
        <v>1110</v>
      </c>
      <c r="BN43" s="1">
        <v>25</v>
      </c>
      <c r="BO43" s="1"/>
      <c r="BP43" s="1" t="str">
        <f>HYPERLINK("https://nconnect.nicmar.ac.in/storage/profile/ProfilePhoto_P25700016_175486.jpg","Download")</f>
        <v>0</v>
      </c>
      <c r="BQ43" s="3"/>
      <c r="BR43" s="3"/>
    </row>
    <row r="44" spans="1:70">
      <c r="A44" s="1" t="s">
        <v>70</v>
      </c>
      <c r="B44" s="1" t="s">
        <v>441</v>
      </c>
      <c r="C44" s="1" t="s">
        <v>1111</v>
      </c>
      <c r="D44" s="1" t="s">
        <v>1112</v>
      </c>
      <c r="E44" s="1" t="s">
        <v>1113</v>
      </c>
      <c r="F44" s="1" t="s">
        <v>142</v>
      </c>
      <c r="G44" s="1" t="s">
        <v>1114</v>
      </c>
      <c r="H44" s="1" t="s">
        <v>1115</v>
      </c>
      <c r="I44" s="1" t="s">
        <v>1116</v>
      </c>
      <c r="J44" s="1">
        <v>7666173714</v>
      </c>
      <c r="K44" s="1" t="s">
        <v>79</v>
      </c>
      <c r="L44" s="1" t="s">
        <v>1117</v>
      </c>
      <c r="M44" s="1" t="s">
        <v>81</v>
      </c>
      <c r="N44" s="1" t="s">
        <v>751</v>
      </c>
      <c r="O44" s="1" t="s">
        <v>152</v>
      </c>
      <c r="P44" s="1" t="s">
        <v>351</v>
      </c>
      <c r="Q44" s="1" t="s">
        <v>1118</v>
      </c>
      <c r="R44" s="1" t="s">
        <v>1119</v>
      </c>
      <c r="S44" s="1">
        <v>9890697361</v>
      </c>
      <c r="T44" s="1" t="s">
        <v>122</v>
      </c>
      <c r="U44" s="1" t="s">
        <v>1120</v>
      </c>
      <c r="V44" s="1">
        <v>9561877051</v>
      </c>
      <c r="W44" s="1" t="s">
        <v>156</v>
      </c>
      <c r="X44" s="1" t="s">
        <v>1121</v>
      </c>
      <c r="Y44" s="1" t="s">
        <v>1122</v>
      </c>
      <c r="Z44" s="1" t="s">
        <v>92</v>
      </c>
      <c r="AA44" s="1" t="s">
        <v>1123</v>
      </c>
      <c r="AB44" s="1" t="s">
        <v>191</v>
      </c>
      <c r="AC44" s="1" t="s">
        <v>92</v>
      </c>
      <c r="AD44" s="1">
        <v>9.08</v>
      </c>
      <c r="AE44" s="1" t="s">
        <v>93</v>
      </c>
      <c r="AF44" s="1" t="s">
        <v>1124</v>
      </c>
      <c r="AG44" s="1" t="s">
        <v>160</v>
      </c>
      <c r="AH44" s="1" t="s">
        <v>162</v>
      </c>
      <c r="AI44" s="1" t="s">
        <v>195</v>
      </c>
      <c r="AJ44" s="1">
        <v>94.4</v>
      </c>
      <c r="AK44" s="1"/>
      <c r="AL44" s="1" t="s">
        <v>1125</v>
      </c>
      <c r="AM44" s="1" t="s">
        <v>160</v>
      </c>
      <c r="AN44" s="1" t="s">
        <v>101</v>
      </c>
      <c r="AO44" s="1" t="s">
        <v>198</v>
      </c>
      <c r="AP44" s="1">
        <v>65.38</v>
      </c>
      <c r="AQ44" s="1"/>
      <c r="AR44" s="1"/>
      <c r="AS44" s="1"/>
      <c r="AT44" s="1"/>
      <c r="AU44" s="1"/>
      <c r="AV44" s="1"/>
      <c r="AW44" s="1"/>
      <c r="AX44" s="1" t="s">
        <v>361</v>
      </c>
      <c r="AY44" s="1" t="s">
        <v>1126</v>
      </c>
      <c r="AZ44" s="1" t="s">
        <v>201</v>
      </c>
      <c r="BA44" s="1" t="s">
        <v>229</v>
      </c>
      <c r="BB44" s="1">
        <v>79.6</v>
      </c>
      <c r="BC44" s="1">
        <v>8.71</v>
      </c>
      <c r="BD44" s="1"/>
      <c r="BE44" s="1"/>
      <c r="BF44" s="1"/>
      <c r="BG44" s="1"/>
      <c r="BH44" s="1"/>
      <c r="BI44" s="1"/>
      <c r="BJ44" s="1" t="s">
        <v>1127</v>
      </c>
      <c r="BK44" s="1" t="s">
        <v>1128</v>
      </c>
      <c r="BL44" s="1" t="s">
        <v>1129</v>
      </c>
      <c r="BM44" s="1" t="s">
        <v>1130</v>
      </c>
      <c r="BN44" s="1">
        <v>20</v>
      </c>
      <c r="BO44" s="1" t="s">
        <v>1131</v>
      </c>
      <c r="BP44" s="1" t="str">
        <f>HYPERLINK("https://nconnect.nicmar.ac.in/storage/profile/ProfilePhoto_P25700017_325687.jpg","Download")</f>
        <v>0</v>
      </c>
      <c r="BQ44" s="3"/>
      <c r="BR44" s="3"/>
    </row>
    <row r="45" spans="1:70">
      <c r="A45" s="1" t="s">
        <v>70</v>
      </c>
      <c r="B45" s="1" t="s">
        <v>441</v>
      </c>
      <c r="C45" s="1" t="s">
        <v>1132</v>
      </c>
      <c r="D45" s="1" t="s">
        <v>1133</v>
      </c>
      <c r="E45" s="1" t="s">
        <v>1134</v>
      </c>
      <c r="F45" s="1" t="s">
        <v>1135</v>
      </c>
      <c r="G45" s="1" t="s">
        <v>1136</v>
      </c>
      <c r="H45" s="1" t="s">
        <v>1137</v>
      </c>
      <c r="I45" s="1" t="s">
        <v>1138</v>
      </c>
      <c r="J45" s="1">
        <v>9284135423</v>
      </c>
      <c r="K45" s="1" t="s">
        <v>79</v>
      </c>
      <c r="L45" s="1" t="s">
        <v>1139</v>
      </c>
      <c r="M45" s="1" t="s">
        <v>81</v>
      </c>
      <c r="N45" s="1" t="s">
        <v>1140</v>
      </c>
      <c r="O45" s="1"/>
      <c r="P45" s="1" t="s">
        <v>450</v>
      </c>
      <c r="Q45" s="1" t="s">
        <v>1141</v>
      </c>
      <c r="R45" s="1" t="s">
        <v>1142</v>
      </c>
      <c r="S45" s="1">
        <v>9975721584</v>
      </c>
      <c r="T45" s="1" t="s">
        <v>632</v>
      </c>
      <c r="U45" s="1" t="s">
        <v>1143</v>
      </c>
      <c r="V45" s="1">
        <v>9960097816</v>
      </c>
      <c r="W45" s="1" t="s">
        <v>632</v>
      </c>
      <c r="X45" s="1" t="s">
        <v>1144</v>
      </c>
      <c r="Y45" s="1" t="s">
        <v>158</v>
      </c>
      <c r="Z45" s="1" t="s">
        <v>92</v>
      </c>
      <c r="AA45" s="1" t="s">
        <v>1144</v>
      </c>
      <c r="AB45" s="1" t="s">
        <v>158</v>
      </c>
      <c r="AC45" s="1" t="s">
        <v>92</v>
      </c>
      <c r="AD45" s="1">
        <v>8.39</v>
      </c>
      <c r="AE45" s="1" t="s">
        <v>93</v>
      </c>
      <c r="AF45" s="1" t="s">
        <v>1145</v>
      </c>
      <c r="AG45" s="1" t="s">
        <v>160</v>
      </c>
      <c r="AH45" s="1" t="s">
        <v>165</v>
      </c>
      <c r="AI45" s="1" t="s">
        <v>281</v>
      </c>
      <c r="AJ45" s="1">
        <v>88.6</v>
      </c>
      <c r="AK45" s="1"/>
      <c r="AL45" s="1" t="s">
        <v>1146</v>
      </c>
      <c r="AM45" s="1" t="s">
        <v>160</v>
      </c>
      <c r="AN45" s="1" t="s">
        <v>433</v>
      </c>
      <c r="AO45" s="1" t="s">
        <v>360</v>
      </c>
      <c r="AP45" s="1">
        <v>78.77</v>
      </c>
      <c r="AQ45" s="1"/>
      <c r="AR45" s="1"/>
      <c r="AS45" s="1"/>
      <c r="AT45" s="1"/>
      <c r="AU45" s="1"/>
      <c r="AV45" s="1"/>
      <c r="AW45" s="1"/>
      <c r="AX45" s="1" t="s">
        <v>1017</v>
      </c>
      <c r="AY45" s="1" t="s">
        <v>1147</v>
      </c>
      <c r="AZ45" s="1" t="s">
        <v>1148</v>
      </c>
      <c r="BA45" s="1" t="s">
        <v>413</v>
      </c>
      <c r="BB45" s="1">
        <v>65</v>
      </c>
      <c r="BC45" s="1">
        <v>7.25</v>
      </c>
      <c r="BD45" s="1"/>
      <c r="BE45" s="1"/>
      <c r="BF45" s="1"/>
      <c r="BG45" s="1"/>
      <c r="BH45" s="1"/>
      <c r="BI45" s="1"/>
      <c r="BJ45" s="1" t="s">
        <v>1149</v>
      </c>
      <c r="BK45" s="1" t="s">
        <v>1150</v>
      </c>
      <c r="BL45" s="1" t="s">
        <v>1151</v>
      </c>
      <c r="BM45" s="1" t="s">
        <v>1152</v>
      </c>
      <c r="BN45" s="1">
        <v>18</v>
      </c>
      <c r="BO45" s="1"/>
      <c r="BP45" s="1" t="str">
        <f>HYPERLINK("https://nconnect.nicmar.ac.in/storage/profile/ProfilePhoto_P25700018_349268.jpg","Download")</f>
        <v>0</v>
      </c>
      <c r="BQ45" s="3"/>
      <c r="BR45" s="3"/>
    </row>
    <row r="46" spans="1:70">
      <c r="A46" s="1" t="s">
        <v>70</v>
      </c>
      <c r="B46" s="1" t="s">
        <v>441</v>
      </c>
      <c r="C46" s="1" t="s">
        <v>1153</v>
      </c>
      <c r="D46" s="1" t="s">
        <v>1154</v>
      </c>
      <c r="E46" s="1" t="s">
        <v>1155</v>
      </c>
      <c r="F46" s="1" t="s">
        <v>1156</v>
      </c>
      <c r="G46" s="1" t="s">
        <v>1157</v>
      </c>
      <c r="H46" s="1" t="s">
        <v>1158</v>
      </c>
      <c r="I46" s="1" t="s">
        <v>1159</v>
      </c>
      <c r="J46" s="1">
        <v>7385339761</v>
      </c>
      <c r="K46" s="1" t="s">
        <v>79</v>
      </c>
      <c r="L46" s="1" t="s">
        <v>1160</v>
      </c>
      <c r="M46" s="1" t="s">
        <v>81</v>
      </c>
      <c r="N46" s="1" t="s">
        <v>1161</v>
      </c>
      <c r="O46" s="1"/>
      <c r="P46" s="1" t="s">
        <v>450</v>
      </c>
      <c r="Q46" s="1" t="s">
        <v>1162</v>
      </c>
      <c r="R46" s="1" t="s">
        <v>1163</v>
      </c>
      <c r="S46" s="1">
        <v>9004969014</v>
      </c>
      <c r="T46" s="1" t="s">
        <v>820</v>
      </c>
      <c r="U46" s="1" t="s">
        <v>1164</v>
      </c>
      <c r="V46" s="1">
        <v>9004969014</v>
      </c>
      <c r="W46" s="1" t="s">
        <v>156</v>
      </c>
      <c r="X46" s="1" t="s">
        <v>1165</v>
      </c>
      <c r="Y46" s="1" t="s">
        <v>1166</v>
      </c>
      <c r="Z46" s="1" t="s">
        <v>92</v>
      </c>
      <c r="AA46" s="1" t="s">
        <v>1165</v>
      </c>
      <c r="AB46" s="1" t="s">
        <v>1166</v>
      </c>
      <c r="AC46" s="1" t="s">
        <v>92</v>
      </c>
      <c r="AD46" s="1">
        <v>8.43</v>
      </c>
      <c r="AE46" s="1" t="s">
        <v>93</v>
      </c>
      <c r="AF46" s="1" t="s">
        <v>1167</v>
      </c>
      <c r="AG46" s="1" t="s">
        <v>616</v>
      </c>
      <c r="AH46" s="1" t="s">
        <v>281</v>
      </c>
      <c r="AI46" s="1" t="s">
        <v>409</v>
      </c>
      <c r="AJ46" s="1">
        <v>73.4</v>
      </c>
      <c r="AK46" s="1"/>
      <c r="AL46" s="1" t="s">
        <v>1168</v>
      </c>
      <c r="AM46" s="1" t="s">
        <v>616</v>
      </c>
      <c r="AN46" s="1" t="s">
        <v>590</v>
      </c>
      <c r="AO46" s="1" t="s">
        <v>1169</v>
      </c>
      <c r="AP46" s="1">
        <v>86.83</v>
      </c>
      <c r="AQ46" s="1"/>
      <c r="AR46" s="1"/>
      <c r="AS46" s="1"/>
      <c r="AT46" s="1"/>
      <c r="AU46" s="1"/>
      <c r="AV46" s="1"/>
      <c r="AW46" s="1"/>
      <c r="AX46" s="1" t="s">
        <v>253</v>
      </c>
      <c r="AY46" s="1" t="s">
        <v>1170</v>
      </c>
      <c r="AZ46" s="1" t="s">
        <v>1169</v>
      </c>
      <c r="BA46" s="1" t="s">
        <v>543</v>
      </c>
      <c r="BB46" s="1">
        <v>69.18</v>
      </c>
      <c r="BC46" s="1">
        <v>7.67</v>
      </c>
      <c r="BD46" s="1"/>
      <c r="BE46" s="1"/>
      <c r="BF46" s="1"/>
      <c r="BG46" s="1"/>
      <c r="BH46" s="1"/>
      <c r="BI46" s="1"/>
      <c r="BJ46" s="1" t="s">
        <v>255</v>
      </c>
      <c r="BK46" s="1"/>
      <c r="BL46" s="1"/>
      <c r="BM46" s="1" t="s">
        <v>1171</v>
      </c>
      <c r="BN46" s="1">
        <v>21</v>
      </c>
      <c r="BO46" s="1" t="s">
        <v>1172</v>
      </c>
      <c r="BP46" s="1" t="str">
        <f>HYPERLINK("https://nconnect.nicmar.ac.in/storage/profile/ProfilePhoto_P25700019_693821.jpg","Download")</f>
        <v>0</v>
      </c>
      <c r="BQ46" s="3"/>
      <c r="BR46" s="3"/>
    </row>
    <row r="47" spans="1:70">
      <c r="A47" s="1" t="s">
        <v>70</v>
      </c>
      <c r="B47" s="1" t="s">
        <v>441</v>
      </c>
      <c r="C47" s="1" t="s">
        <v>1173</v>
      </c>
      <c r="D47" s="1" t="s">
        <v>1174</v>
      </c>
      <c r="E47" s="1"/>
      <c r="F47" s="1" t="s">
        <v>1175</v>
      </c>
      <c r="G47" s="1" t="s">
        <v>1176</v>
      </c>
      <c r="H47" s="1" t="s">
        <v>1177</v>
      </c>
      <c r="I47" s="1" t="s">
        <v>1178</v>
      </c>
      <c r="J47" s="1">
        <v>7975576963</v>
      </c>
      <c r="K47" s="1" t="s">
        <v>148</v>
      </c>
      <c r="L47" s="1" t="s">
        <v>1179</v>
      </c>
      <c r="M47" s="1" t="s">
        <v>81</v>
      </c>
      <c r="N47" s="1" t="s">
        <v>1180</v>
      </c>
      <c r="O47" s="1"/>
      <c r="P47" s="1" t="s">
        <v>450</v>
      </c>
      <c r="Q47" s="1" t="s">
        <v>1181</v>
      </c>
      <c r="R47" s="1" t="s">
        <v>1182</v>
      </c>
      <c r="S47" s="1">
        <v>9986859394</v>
      </c>
      <c r="T47" s="1" t="s">
        <v>1183</v>
      </c>
      <c r="U47" s="1" t="s">
        <v>1184</v>
      </c>
      <c r="V47" s="1">
        <v>9916281122</v>
      </c>
      <c r="W47" s="1" t="s">
        <v>531</v>
      </c>
      <c r="X47" s="1" t="s">
        <v>1185</v>
      </c>
      <c r="Y47" s="1" t="s">
        <v>1186</v>
      </c>
      <c r="Z47" s="1" t="s">
        <v>1187</v>
      </c>
      <c r="AA47" s="1" t="s">
        <v>1185</v>
      </c>
      <c r="AB47" s="1" t="s">
        <v>1186</v>
      </c>
      <c r="AC47" s="1" t="s">
        <v>1187</v>
      </c>
      <c r="AD47" s="1">
        <v>8.3</v>
      </c>
      <c r="AE47" s="1" t="s">
        <v>93</v>
      </c>
      <c r="AF47" s="1" t="s">
        <v>1188</v>
      </c>
      <c r="AG47" s="1" t="s">
        <v>1189</v>
      </c>
      <c r="AH47" s="1" t="s">
        <v>1190</v>
      </c>
      <c r="AI47" s="1" t="s">
        <v>1191</v>
      </c>
      <c r="AJ47" s="1">
        <v>92.32</v>
      </c>
      <c r="AK47" s="1">
        <v>9.71</v>
      </c>
      <c r="AL47" s="1" t="s">
        <v>1192</v>
      </c>
      <c r="AM47" s="1" t="s">
        <v>1193</v>
      </c>
      <c r="AN47" s="1" t="s">
        <v>1088</v>
      </c>
      <c r="AO47" s="1" t="s">
        <v>614</v>
      </c>
      <c r="AP47" s="1">
        <v>82.34</v>
      </c>
      <c r="AQ47" s="1">
        <v>8.66</v>
      </c>
      <c r="AR47" s="1"/>
      <c r="AS47" s="1"/>
      <c r="AT47" s="1"/>
      <c r="AU47" s="1"/>
      <c r="AV47" s="1"/>
      <c r="AW47" s="1"/>
      <c r="AX47" s="1" t="s">
        <v>1194</v>
      </c>
      <c r="AY47" s="1" t="s">
        <v>1195</v>
      </c>
      <c r="AZ47" s="1" t="s">
        <v>134</v>
      </c>
      <c r="BA47" s="1" t="s">
        <v>1019</v>
      </c>
      <c r="BB47" s="1">
        <v>65.3</v>
      </c>
      <c r="BC47" s="1">
        <v>7.28</v>
      </c>
      <c r="BD47" s="1"/>
      <c r="BE47" s="1"/>
      <c r="BF47" s="1"/>
      <c r="BG47" s="1"/>
      <c r="BH47" s="1"/>
      <c r="BI47" s="1"/>
      <c r="BJ47" s="1" t="s">
        <v>1196</v>
      </c>
      <c r="BK47" s="1"/>
      <c r="BL47" s="1"/>
      <c r="BM47" s="1" t="s">
        <v>1197</v>
      </c>
      <c r="BN47" s="1">
        <v>99</v>
      </c>
      <c r="BO47" s="1"/>
      <c r="BP47" s="1" t="str">
        <f>HYPERLINK("https://nconnect.nicmar.ac.in/storage/profile/ProfilePhoto_P25700020_954273.jpg","Download")</f>
        <v>0</v>
      </c>
      <c r="BQ47" s="3"/>
      <c r="BR47" s="3"/>
    </row>
    <row r="48" spans="1:70">
      <c r="A48" s="1" t="s">
        <v>70</v>
      </c>
      <c r="B48" s="1" t="s">
        <v>441</v>
      </c>
      <c r="C48" s="1" t="s">
        <v>1198</v>
      </c>
      <c r="D48" s="1" t="s">
        <v>1199</v>
      </c>
      <c r="E48" s="1"/>
      <c r="F48" s="1" t="s">
        <v>1200</v>
      </c>
      <c r="G48" s="1" t="s">
        <v>1201</v>
      </c>
      <c r="H48" s="1" t="s">
        <v>1202</v>
      </c>
      <c r="I48" s="1" t="s">
        <v>1203</v>
      </c>
      <c r="J48" s="1">
        <v>7003977682</v>
      </c>
      <c r="K48" s="1" t="s">
        <v>79</v>
      </c>
      <c r="L48" s="1" t="s">
        <v>1204</v>
      </c>
      <c r="M48" s="1" t="s">
        <v>81</v>
      </c>
      <c r="N48" s="1" t="s">
        <v>1205</v>
      </c>
      <c r="O48" s="1"/>
      <c r="P48" s="1" t="s">
        <v>497</v>
      </c>
      <c r="Q48" s="1" t="s">
        <v>1206</v>
      </c>
      <c r="R48" s="1" t="s">
        <v>1207</v>
      </c>
      <c r="S48" s="1">
        <v>9874494195</v>
      </c>
      <c r="T48" s="1" t="s">
        <v>820</v>
      </c>
      <c r="U48" s="1" t="s">
        <v>1208</v>
      </c>
      <c r="V48" s="1">
        <v>7686960438</v>
      </c>
      <c r="W48" s="1" t="s">
        <v>156</v>
      </c>
      <c r="X48" s="1" t="s">
        <v>1209</v>
      </c>
      <c r="Y48" s="1" t="s">
        <v>1210</v>
      </c>
      <c r="Z48" s="1" t="s">
        <v>1211</v>
      </c>
      <c r="AA48" s="1" t="s">
        <v>1209</v>
      </c>
      <c r="AB48" s="1" t="s">
        <v>1210</v>
      </c>
      <c r="AC48" s="1" t="s">
        <v>1211</v>
      </c>
      <c r="AD48" s="1">
        <v>8.69</v>
      </c>
      <c r="AE48" s="1" t="s">
        <v>93</v>
      </c>
      <c r="AF48" s="1" t="s">
        <v>1212</v>
      </c>
      <c r="AG48" s="1" t="s">
        <v>1213</v>
      </c>
      <c r="AH48" s="1" t="s">
        <v>1214</v>
      </c>
      <c r="AI48" s="1" t="s">
        <v>614</v>
      </c>
      <c r="AJ48" s="1">
        <v>85</v>
      </c>
      <c r="AK48" s="1"/>
      <c r="AL48" s="1" t="s">
        <v>1212</v>
      </c>
      <c r="AM48" s="1" t="s">
        <v>1215</v>
      </c>
      <c r="AN48" s="1" t="s">
        <v>562</v>
      </c>
      <c r="AO48" s="1" t="s">
        <v>101</v>
      </c>
      <c r="AP48" s="1">
        <v>72.4</v>
      </c>
      <c r="AQ48" s="1"/>
      <c r="AR48" s="1" t="s">
        <v>434</v>
      </c>
      <c r="AS48" s="1" t="s">
        <v>1216</v>
      </c>
      <c r="AT48" s="1" t="s">
        <v>1043</v>
      </c>
      <c r="AU48" s="1" t="s">
        <v>542</v>
      </c>
      <c r="AV48" s="1">
        <v>84.7</v>
      </c>
      <c r="AW48" s="1"/>
      <c r="AX48" s="1" t="s">
        <v>1217</v>
      </c>
      <c r="AY48" s="1" t="s">
        <v>1218</v>
      </c>
      <c r="AZ48" s="1" t="s">
        <v>542</v>
      </c>
      <c r="BA48" s="1" t="s">
        <v>1219</v>
      </c>
      <c r="BB48" s="1">
        <v>84</v>
      </c>
      <c r="BC48" s="1"/>
      <c r="BD48" s="1"/>
      <c r="BE48" s="1"/>
      <c r="BF48" s="1"/>
      <c r="BG48" s="1"/>
      <c r="BH48" s="1"/>
      <c r="BI48" s="1"/>
      <c r="BJ48" s="1" t="s">
        <v>1220</v>
      </c>
      <c r="BK48" s="1"/>
      <c r="BL48" s="1"/>
      <c r="BM48" s="1" t="s">
        <v>1221</v>
      </c>
      <c r="BN48" s="1">
        <v>13</v>
      </c>
      <c r="BO48" s="1" t="s">
        <v>1222</v>
      </c>
      <c r="BP48" s="1" t="str">
        <f>HYPERLINK("https://nconnect.nicmar.ac.in/storage/profile/ProfilePhoto_P25700021_349526.jpg","Download")</f>
        <v>0</v>
      </c>
      <c r="BQ48" s="3"/>
      <c r="BR48" s="3"/>
    </row>
    <row r="49" spans="1:70">
      <c r="A49" s="1" t="s">
        <v>70</v>
      </c>
      <c r="B49" s="1" t="s">
        <v>441</v>
      </c>
      <c r="C49" s="1" t="s">
        <v>1223</v>
      </c>
      <c r="D49" s="1" t="s">
        <v>1224</v>
      </c>
      <c r="E49" s="1" t="s">
        <v>1225</v>
      </c>
      <c r="F49" s="1" t="s">
        <v>1226</v>
      </c>
      <c r="G49" s="1" t="s">
        <v>1227</v>
      </c>
      <c r="H49" s="1" t="s">
        <v>1228</v>
      </c>
      <c r="I49" s="1" t="s">
        <v>1229</v>
      </c>
      <c r="J49" s="1">
        <v>8895290519</v>
      </c>
      <c r="K49" s="1" t="s">
        <v>79</v>
      </c>
      <c r="L49" s="1" t="s">
        <v>1230</v>
      </c>
      <c r="M49" s="1" t="s">
        <v>81</v>
      </c>
      <c r="N49" s="1" t="s">
        <v>862</v>
      </c>
      <c r="O49" s="1"/>
      <c r="P49" s="1" t="s">
        <v>472</v>
      </c>
      <c r="Q49" s="1" t="s">
        <v>1231</v>
      </c>
      <c r="R49" s="1" t="s">
        <v>1232</v>
      </c>
      <c r="S49" s="1">
        <v>7978767607</v>
      </c>
      <c r="T49" s="1" t="s">
        <v>820</v>
      </c>
      <c r="U49" s="1" t="s">
        <v>1233</v>
      </c>
      <c r="V49" s="1">
        <v>9437190177</v>
      </c>
      <c r="W49" s="1" t="s">
        <v>1234</v>
      </c>
      <c r="X49" s="1" t="s">
        <v>1235</v>
      </c>
      <c r="Y49" s="1" t="s">
        <v>1236</v>
      </c>
      <c r="Z49" s="1" t="s">
        <v>846</v>
      </c>
      <c r="AA49" s="1" t="s">
        <v>1235</v>
      </c>
      <c r="AB49" s="1" t="s">
        <v>1236</v>
      </c>
      <c r="AC49" s="1" t="s">
        <v>846</v>
      </c>
      <c r="AD49" s="1">
        <v>8.02</v>
      </c>
      <c r="AE49" s="1" t="s">
        <v>93</v>
      </c>
      <c r="AF49" s="1" t="s">
        <v>1237</v>
      </c>
      <c r="AG49" s="1" t="s">
        <v>1238</v>
      </c>
      <c r="AH49" s="1" t="s">
        <v>1239</v>
      </c>
      <c r="AI49" s="1" t="s">
        <v>131</v>
      </c>
      <c r="AJ49" s="1">
        <v>85.5</v>
      </c>
      <c r="AK49" s="1">
        <v>9</v>
      </c>
      <c r="AL49" s="1" t="s">
        <v>1240</v>
      </c>
      <c r="AM49" s="1" t="s">
        <v>1238</v>
      </c>
      <c r="AN49" s="1" t="s">
        <v>614</v>
      </c>
      <c r="AO49" s="1" t="s">
        <v>562</v>
      </c>
      <c r="AP49" s="1">
        <v>73.4</v>
      </c>
      <c r="AQ49" s="1"/>
      <c r="AR49" s="1"/>
      <c r="AS49" s="1"/>
      <c r="AT49" s="1"/>
      <c r="AU49" s="1"/>
      <c r="AV49" s="1"/>
      <c r="AW49" s="1"/>
      <c r="AX49" s="1" t="s">
        <v>1241</v>
      </c>
      <c r="AY49" s="1" t="s">
        <v>1242</v>
      </c>
      <c r="AZ49" s="1" t="s">
        <v>169</v>
      </c>
      <c r="BA49" s="1" t="s">
        <v>619</v>
      </c>
      <c r="BB49" s="1">
        <v>79.5</v>
      </c>
      <c r="BC49" s="1">
        <v>8.45</v>
      </c>
      <c r="BD49" s="1" t="s">
        <v>1243</v>
      </c>
      <c r="BE49" s="1" t="s">
        <v>1244</v>
      </c>
      <c r="BF49" s="1" t="s">
        <v>1245</v>
      </c>
      <c r="BG49" s="1" t="s">
        <v>1246</v>
      </c>
      <c r="BH49" s="1">
        <v>50</v>
      </c>
      <c r="BI49" s="1"/>
      <c r="BJ49" s="1" t="s">
        <v>1247</v>
      </c>
      <c r="BK49" s="1"/>
      <c r="BL49" s="1"/>
      <c r="BM49" s="1" t="s">
        <v>1248</v>
      </c>
      <c r="BN49" s="1">
        <v>48</v>
      </c>
      <c r="BO49" s="1" t="s">
        <v>1249</v>
      </c>
      <c r="BP49" s="1" t="str">
        <f>HYPERLINK("https://nconnect.nicmar.ac.in/storage/profile/ProfilePhoto_P25700022_164257.jpg","Download")</f>
        <v>0</v>
      </c>
      <c r="BQ49" s="3"/>
      <c r="BR49" s="3"/>
    </row>
    <row r="50" spans="1:70">
      <c r="A50" s="1" t="s">
        <v>70</v>
      </c>
      <c r="B50" s="1" t="s">
        <v>441</v>
      </c>
      <c r="C50" s="1" t="s">
        <v>1250</v>
      </c>
      <c r="D50" s="1" t="s">
        <v>1251</v>
      </c>
      <c r="E50" s="1"/>
      <c r="F50" s="1" t="s">
        <v>1252</v>
      </c>
      <c r="G50" s="1" t="s">
        <v>1253</v>
      </c>
      <c r="H50" s="1" t="s">
        <v>1254</v>
      </c>
      <c r="I50" s="1" t="s">
        <v>1255</v>
      </c>
      <c r="J50" s="1">
        <v>9207286609</v>
      </c>
      <c r="K50" s="1" t="s">
        <v>79</v>
      </c>
      <c r="L50" s="1" t="s">
        <v>1256</v>
      </c>
      <c r="M50" s="1" t="s">
        <v>81</v>
      </c>
      <c r="N50" s="1" t="s">
        <v>579</v>
      </c>
      <c r="O50" s="1"/>
      <c r="P50" s="1" t="s">
        <v>450</v>
      </c>
      <c r="Q50" s="1" t="s">
        <v>1257</v>
      </c>
      <c r="R50" s="1" t="s">
        <v>1258</v>
      </c>
      <c r="S50" s="1">
        <v>9496155865</v>
      </c>
      <c r="T50" s="1" t="s">
        <v>120</v>
      </c>
      <c r="U50" s="1" t="s">
        <v>1259</v>
      </c>
      <c r="V50" s="1">
        <v>9400636849</v>
      </c>
      <c r="W50" s="1" t="s">
        <v>120</v>
      </c>
      <c r="X50" s="1" t="s">
        <v>1260</v>
      </c>
      <c r="Y50" s="1" t="s">
        <v>1261</v>
      </c>
      <c r="Z50" s="1" t="s">
        <v>125</v>
      </c>
      <c r="AA50" s="1" t="s">
        <v>1260</v>
      </c>
      <c r="AB50" s="1" t="s">
        <v>1261</v>
      </c>
      <c r="AC50" s="1" t="s">
        <v>125</v>
      </c>
      <c r="AD50" s="1">
        <v>8.61</v>
      </c>
      <c r="AE50" s="1" t="s">
        <v>93</v>
      </c>
      <c r="AF50" s="1" t="s">
        <v>1262</v>
      </c>
      <c r="AG50" s="1" t="s">
        <v>588</v>
      </c>
      <c r="AH50" s="1" t="s">
        <v>162</v>
      </c>
      <c r="AI50" s="1" t="s">
        <v>195</v>
      </c>
      <c r="AJ50" s="1">
        <v>94</v>
      </c>
      <c r="AK50" s="1">
        <v>9</v>
      </c>
      <c r="AL50" s="1" t="s">
        <v>1263</v>
      </c>
      <c r="AM50" s="1" t="s">
        <v>1264</v>
      </c>
      <c r="AN50" s="1" t="s">
        <v>101</v>
      </c>
      <c r="AO50" s="1" t="s">
        <v>409</v>
      </c>
      <c r="AP50" s="1">
        <v>92.33</v>
      </c>
      <c r="AQ50" s="1"/>
      <c r="AR50" s="1"/>
      <c r="AS50" s="1"/>
      <c r="AT50" s="1"/>
      <c r="AU50" s="1"/>
      <c r="AV50" s="1"/>
      <c r="AW50" s="1"/>
      <c r="AX50" s="1" t="s">
        <v>1265</v>
      </c>
      <c r="AY50" s="1" t="s">
        <v>1266</v>
      </c>
      <c r="AZ50" s="1" t="s">
        <v>201</v>
      </c>
      <c r="BA50" s="1" t="s">
        <v>386</v>
      </c>
      <c r="BB50" s="1">
        <v>82</v>
      </c>
      <c r="BC50" s="1">
        <v>8.2</v>
      </c>
      <c r="BD50" s="1"/>
      <c r="BE50" s="1"/>
      <c r="BF50" s="1"/>
      <c r="BG50" s="1"/>
      <c r="BH50" s="1"/>
      <c r="BI50" s="1"/>
      <c r="BJ50" s="1" t="s">
        <v>1267</v>
      </c>
      <c r="BK50" s="1" t="s">
        <v>1268</v>
      </c>
      <c r="BL50" s="1" t="s">
        <v>1048</v>
      </c>
      <c r="BM50" s="1" t="s">
        <v>1269</v>
      </c>
      <c r="BN50" s="1">
        <v>55</v>
      </c>
      <c r="BO50" s="1" t="s">
        <v>1270</v>
      </c>
      <c r="BP50" s="1" t="str">
        <f>HYPERLINK("https://nconnect.nicmar.ac.in/storage/profile/ProfilePhoto_P25700023_836724.jpg","Download")</f>
        <v>0</v>
      </c>
      <c r="BQ50" s="3"/>
      <c r="BR50" s="3"/>
    </row>
    <row r="51" spans="1:70">
      <c r="A51" s="1" t="s">
        <v>70</v>
      </c>
      <c r="B51" s="1" t="s">
        <v>441</v>
      </c>
      <c r="C51" s="1" t="s">
        <v>1271</v>
      </c>
      <c r="D51" s="1" t="s">
        <v>1272</v>
      </c>
      <c r="E51" s="1" t="s">
        <v>1273</v>
      </c>
      <c r="F51" s="1" t="s">
        <v>452</v>
      </c>
      <c r="G51" s="1" t="s">
        <v>1274</v>
      </c>
      <c r="H51" s="1" t="s">
        <v>1275</v>
      </c>
      <c r="I51" s="1" t="s">
        <v>1276</v>
      </c>
      <c r="J51" s="1">
        <v>9747558878</v>
      </c>
      <c r="K51" s="1" t="s">
        <v>79</v>
      </c>
      <c r="L51" s="1" t="s">
        <v>1277</v>
      </c>
      <c r="M51" s="1" t="s">
        <v>81</v>
      </c>
      <c r="N51" s="1" t="s">
        <v>1278</v>
      </c>
      <c r="O51" s="1" t="s">
        <v>1279</v>
      </c>
      <c r="P51" s="1" t="s">
        <v>84</v>
      </c>
      <c r="Q51" s="1" t="s">
        <v>1280</v>
      </c>
      <c r="R51" s="1" t="s">
        <v>1281</v>
      </c>
      <c r="S51" s="1">
        <v>9446519121</v>
      </c>
      <c r="T51" s="1" t="s">
        <v>1282</v>
      </c>
      <c r="U51" s="1" t="s">
        <v>1283</v>
      </c>
      <c r="V51" s="1">
        <v>9447619121</v>
      </c>
      <c r="W51" s="1" t="s">
        <v>273</v>
      </c>
      <c r="X51" s="1" t="s">
        <v>1284</v>
      </c>
      <c r="Y51" s="1" t="s">
        <v>1285</v>
      </c>
      <c r="Z51" s="1" t="s">
        <v>125</v>
      </c>
      <c r="AA51" s="1" t="s">
        <v>1286</v>
      </c>
      <c r="AB51" s="1" t="s">
        <v>1285</v>
      </c>
      <c r="AC51" s="1" t="s">
        <v>125</v>
      </c>
      <c r="AD51" s="1">
        <v>8.56</v>
      </c>
      <c r="AE51" s="1" t="s">
        <v>93</v>
      </c>
      <c r="AF51" s="1" t="s">
        <v>1287</v>
      </c>
      <c r="AG51" s="1" t="s">
        <v>1288</v>
      </c>
      <c r="AH51" s="1" t="s">
        <v>165</v>
      </c>
      <c r="AI51" s="1" t="s">
        <v>281</v>
      </c>
      <c r="AJ51" s="1">
        <v>73</v>
      </c>
      <c r="AK51" s="1"/>
      <c r="AL51" s="1" t="s">
        <v>1289</v>
      </c>
      <c r="AM51" s="1" t="s">
        <v>1290</v>
      </c>
      <c r="AN51" s="1" t="s">
        <v>310</v>
      </c>
      <c r="AO51" s="1" t="s">
        <v>412</v>
      </c>
      <c r="AP51" s="1">
        <v>76.6</v>
      </c>
      <c r="AQ51" s="1"/>
      <c r="AR51" s="1"/>
      <c r="AS51" s="1"/>
      <c r="AT51" s="1"/>
      <c r="AU51" s="1"/>
      <c r="AV51" s="1"/>
      <c r="AW51" s="1"/>
      <c r="AX51" s="1" t="s">
        <v>132</v>
      </c>
      <c r="AY51" s="1" t="s">
        <v>1291</v>
      </c>
      <c r="AZ51" s="1" t="s">
        <v>173</v>
      </c>
      <c r="BA51" s="1" t="s">
        <v>1292</v>
      </c>
      <c r="BB51" s="1">
        <v>77.8</v>
      </c>
      <c r="BC51" s="1">
        <v>7.78</v>
      </c>
      <c r="BD51" s="1"/>
      <c r="BE51" s="1"/>
      <c r="BF51" s="1"/>
      <c r="BG51" s="1"/>
      <c r="BH51" s="1"/>
      <c r="BI51" s="1"/>
      <c r="BJ51" s="1" t="s">
        <v>1293</v>
      </c>
      <c r="BK51" s="1"/>
      <c r="BL51" s="1"/>
      <c r="BM51" s="1" t="s">
        <v>1294</v>
      </c>
      <c r="BN51" s="1">
        <v>13</v>
      </c>
      <c r="BO51" s="1" t="s">
        <v>1295</v>
      </c>
      <c r="BP51" s="1" t="str">
        <f>HYPERLINK("https://nconnect.nicmar.ac.in/storage/profile/ProfilePhoto_P25700024_183579.jpg","Download")</f>
        <v>0</v>
      </c>
      <c r="BQ51" s="3"/>
      <c r="BR51" s="3"/>
    </row>
    <row r="52" spans="1:70">
      <c r="A52" s="1" t="s">
        <v>70</v>
      </c>
      <c r="B52" s="1" t="s">
        <v>441</v>
      </c>
      <c r="C52" s="1" t="s">
        <v>1296</v>
      </c>
      <c r="D52" s="1" t="s">
        <v>1297</v>
      </c>
      <c r="E52" s="1" t="s">
        <v>1298</v>
      </c>
      <c r="F52" s="1" t="s">
        <v>1299</v>
      </c>
      <c r="G52" s="1" t="s">
        <v>1300</v>
      </c>
      <c r="H52" s="1" t="s">
        <v>1301</v>
      </c>
      <c r="I52" s="1" t="s">
        <v>1302</v>
      </c>
      <c r="J52" s="1">
        <v>7488920327</v>
      </c>
      <c r="K52" s="1" t="s">
        <v>79</v>
      </c>
      <c r="L52" s="1" t="s">
        <v>1303</v>
      </c>
      <c r="M52" s="1" t="s">
        <v>81</v>
      </c>
      <c r="N52" s="1" t="s">
        <v>350</v>
      </c>
      <c r="O52" s="1"/>
      <c r="P52" s="1" t="s">
        <v>450</v>
      </c>
      <c r="Q52" s="1" t="s">
        <v>1304</v>
      </c>
      <c r="R52" s="1" t="s">
        <v>1305</v>
      </c>
      <c r="S52" s="1">
        <v>9472959639</v>
      </c>
      <c r="T52" s="1" t="s">
        <v>216</v>
      </c>
      <c r="U52" s="1" t="s">
        <v>1306</v>
      </c>
      <c r="V52" s="1">
        <v>7277669632</v>
      </c>
      <c r="W52" s="1" t="s">
        <v>156</v>
      </c>
      <c r="X52" s="1" t="s">
        <v>1307</v>
      </c>
      <c r="Y52" s="1" t="s">
        <v>635</v>
      </c>
      <c r="Z52" s="1" t="s">
        <v>636</v>
      </c>
      <c r="AA52" s="1" t="s">
        <v>1307</v>
      </c>
      <c r="AB52" s="1" t="s">
        <v>635</v>
      </c>
      <c r="AC52" s="1" t="s">
        <v>636</v>
      </c>
      <c r="AD52" s="1">
        <v>7.79</v>
      </c>
      <c r="AE52" s="1" t="s">
        <v>93</v>
      </c>
      <c r="AF52" s="1" t="s">
        <v>1308</v>
      </c>
      <c r="AG52" s="1" t="s">
        <v>1309</v>
      </c>
      <c r="AH52" s="1" t="s">
        <v>689</v>
      </c>
      <c r="AI52" s="1" t="s">
        <v>166</v>
      </c>
      <c r="AJ52" s="1">
        <v>67.6</v>
      </c>
      <c r="AK52" s="1"/>
      <c r="AL52" s="1" t="s">
        <v>1310</v>
      </c>
      <c r="AM52" s="1" t="s">
        <v>1309</v>
      </c>
      <c r="AN52" s="1" t="s">
        <v>101</v>
      </c>
      <c r="AO52" s="1" t="s">
        <v>173</v>
      </c>
      <c r="AP52" s="1">
        <v>70.8</v>
      </c>
      <c r="AQ52" s="1"/>
      <c r="AR52" s="1"/>
      <c r="AS52" s="1"/>
      <c r="AT52" s="1"/>
      <c r="AU52" s="1"/>
      <c r="AV52" s="1"/>
      <c r="AW52" s="1"/>
      <c r="AX52" s="1" t="s">
        <v>1311</v>
      </c>
      <c r="AY52" s="1" t="s">
        <v>1312</v>
      </c>
      <c r="AZ52" s="1" t="s">
        <v>871</v>
      </c>
      <c r="BA52" s="1" t="s">
        <v>413</v>
      </c>
      <c r="BB52" s="1">
        <v>84.3</v>
      </c>
      <c r="BC52" s="1">
        <v>8.43</v>
      </c>
      <c r="BD52" s="1"/>
      <c r="BE52" s="1"/>
      <c r="BF52" s="1"/>
      <c r="BG52" s="1"/>
      <c r="BH52" s="1"/>
      <c r="BI52" s="1"/>
      <c r="BJ52" s="1" t="s">
        <v>567</v>
      </c>
      <c r="BK52" s="1"/>
      <c r="BL52" s="1"/>
      <c r="BM52" s="1" t="s">
        <v>1313</v>
      </c>
      <c r="BN52" s="1">
        <v>18</v>
      </c>
      <c r="BO52" s="1"/>
      <c r="BP52" s="1" t="str">
        <f>HYPERLINK("https://nconnect.nicmar.ac.in/storage/profile/ProfilePhoto_P25700026_164829.jpg","Download")</f>
        <v>0</v>
      </c>
      <c r="BQ52" s="3"/>
      <c r="BR52" s="3"/>
    </row>
    <row r="53" spans="1:70">
      <c r="A53" s="1" t="s">
        <v>70</v>
      </c>
      <c r="B53" s="1" t="s">
        <v>441</v>
      </c>
      <c r="C53" s="1" t="s">
        <v>1314</v>
      </c>
      <c r="D53" s="1" t="s">
        <v>1315</v>
      </c>
      <c r="E53" s="1"/>
      <c r="F53" s="1" t="s">
        <v>1316</v>
      </c>
      <c r="G53" s="1" t="s">
        <v>1317</v>
      </c>
      <c r="H53" s="1" t="s">
        <v>1318</v>
      </c>
      <c r="I53" s="1" t="s">
        <v>1319</v>
      </c>
      <c r="J53" s="1">
        <v>8660484703</v>
      </c>
      <c r="K53" s="1" t="s">
        <v>79</v>
      </c>
      <c r="L53" s="1" t="s">
        <v>1320</v>
      </c>
      <c r="M53" s="1" t="s">
        <v>81</v>
      </c>
      <c r="N53" s="1" t="s">
        <v>1321</v>
      </c>
      <c r="O53" s="1"/>
      <c r="P53" s="1" t="s">
        <v>472</v>
      </c>
      <c r="Q53" s="1" t="s">
        <v>1322</v>
      </c>
      <c r="R53" s="1" t="s">
        <v>1323</v>
      </c>
      <c r="S53" s="1">
        <v>8867120724</v>
      </c>
      <c r="T53" s="1" t="s">
        <v>1324</v>
      </c>
      <c r="U53" s="1" t="s">
        <v>1325</v>
      </c>
      <c r="V53" s="1">
        <v>9448341389</v>
      </c>
      <c r="W53" s="1" t="s">
        <v>273</v>
      </c>
      <c r="X53" s="1" t="s">
        <v>1326</v>
      </c>
      <c r="Y53" s="1" t="s">
        <v>1327</v>
      </c>
      <c r="Z53" s="1" t="s">
        <v>1187</v>
      </c>
      <c r="AA53" s="1" t="s">
        <v>1328</v>
      </c>
      <c r="AB53" s="1" t="s">
        <v>1327</v>
      </c>
      <c r="AC53" s="1" t="s">
        <v>1187</v>
      </c>
      <c r="AD53" s="1">
        <v>8.96</v>
      </c>
      <c r="AE53" s="1" t="s">
        <v>93</v>
      </c>
      <c r="AF53" s="1" t="s">
        <v>1329</v>
      </c>
      <c r="AG53" s="1" t="s">
        <v>1330</v>
      </c>
      <c r="AH53" s="1" t="s">
        <v>162</v>
      </c>
      <c r="AI53" s="1" t="s">
        <v>165</v>
      </c>
      <c r="AJ53" s="1">
        <v>95</v>
      </c>
      <c r="AK53" s="1">
        <v>10</v>
      </c>
      <c r="AL53" s="1" t="s">
        <v>1331</v>
      </c>
      <c r="AM53" s="1" t="s">
        <v>1193</v>
      </c>
      <c r="AN53" s="1" t="s">
        <v>101</v>
      </c>
      <c r="AO53" s="1" t="s">
        <v>537</v>
      </c>
      <c r="AP53" s="1">
        <v>89.66</v>
      </c>
      <c r="AQ53" s="1">
        <v>0</v>
      </c>
      <c r="AR53" s="1"/>
      <c r="AS53" s="1"/>
      <c r="AT53" s="1"/>
      <c r="AU53" s="1"/>
      <c r="AV53" s="1"/>
      <c r="AW53" s="1"/>
      <c r="AX53" s="1" t="s">
        <v>1332</v>
      </c>
      <c r="AY53" s="1" t="s">
        <v>1333</v>
      </c>
      <c r="AZ53" s="1" t="s">
        <v>201</v>
      </c>
      <c r="BA53" s="1" t="s">
        <v>386</v>
      </c>
      <c r="BB53" s="1">
        <v>72.7</v>
      </c>
      <c r="BC53" s="1">
        <v>8.02</v>
      </c>
      <c r="BD53" s="1"/>
      <c r="BE53" s="1"/>
      <c r="BF53" s="1"/>
      <c r="BG53" s="1"/>
      <c r="BH53" s="1"/>
      <c r="BI53" s="1"/>
      <c r="BJ53" s="1" t="s">
        <v>364</v>
      </c>
      <c r="BK53" s="1" t="s">
        <v>1334</v>
      </c>
      <c r="BL53" s="1" t="s">
        <v>1335</v>
      </c>
      <c r="BM53" s="1" t="s">
        <v>1336</v>
      </c>
      <c r="BN53" s="1">
        <v>13</v>
      </c>
      <c r="BO53" s="1"/>
      <c r="BP53" s="1" t="str">
        <f>HYPERLINK("https://nconnect.nicmar.ac.in/storage/profile/ProfilePhoto_P25700027_837251.jpg","Download")</f>
        <v>0</v>
      </c>
      <c r="BQ53" s="3"/>
      <c r="BR53" s="3"/>
    </row>
    <row r="54" spans="1:70">
      <c r="A54" s="1" t="s">
        <v>70</v>
      </c>
      <c r="B54" s="1" t="s">
        <v>441</v>
      </c>
      <c r="C54" s="1" t="s">
        <v>1337</v>
      </c>
      <c r="D54" s="1" t="s">
        <v>1338</v>
      </c>
      <c r="E54" s="1" t="s">
        <v>1339</v>
      </c>
      <c r="F54" s="1" t="s">
        <v>1340</v>
      </c>
      <c r="G54" s="1" t="s">
        <v>1341</v>
      </c>
      <c r="H54" s="1" t="s">
        <v>1342</v>
      </c>
      <c r="I54" s="1" t="s">
        <v>1343</v>
      </c>
      <c r="J54" s="1">
        <v>9447191968</v>
      </c>
      <c r="K54" s="1" t="s">
        <v>79</v>
      </c>
      <c r="L54" s="1" t="s">
        <v>296</v>
      </c>
      <c r="M54" s="1" t="s">
        <v>81</v>
      </c>
      <c r="N54" s="1" t="s">
        <v>579</v>
      </c>
      <c r="O54" s="1"/>
      <c r="P54" s="1" t="s">
        <v>472</v>
      </c>
      <c r="Q54" s="1" t="s">
        <v>1344</v>
      </c>
      <c r="R54" s="1" t="s">
        <v>1345</v>
      </c>
      <c r="S54" s="1">
        <v>9446102694</v>
      </c>
      <c r="T54" s="1" t="s">
        <v>1346</v>
      </c>
      <c r="U54" s="1" t="s">
        <v>1347</v>
      </c>
      <c r="V54" s="1">
        <v>9446749400</v>
      </c>
      <c r="W54" s="1" t="s">
        <v>122</v>
      </c>
      <c r="X54" s="1" t="s">
        <v>1348</v>
      </c>
      <c r="Y54" s="1" t="s">
        <v>686</v>
      </c>
      <c r="Z54" s="1" t="s">
        <v>125</v>
      </c>
      <c r="AA54" s="1" t="s">
        <v>1348</v>
      </c>
      <c r="AB54" s="1" t="s">
        <v>686</v>
      </c>
      <c r="AC54" s="1" t="s">
        <v>125</v>
      </c>
      <c r="AD54" s="1">
        <v>8.62</v>
      </c>
      <c r="AE54" s="1" t="s">
        <v>93</v>
      </c>
      <c r="AF54" s="1" t="s">
        <v>1349</v>
      </c>
      <c r="AG54" s="1" t="s">
        <v>1350</v>
      </c>
      <c r="AH54" s="1" t="s">
        <v>161</v>
      </c>
      <c r="AI54" s="1" t="s">
        <v>614</v>
      </c>
      <c r="AJ54" s="1">
        <v>95</v>
      </c>
      <c r="AK54" s="1">
        <v>10</v>
      </c>
      <c r="AL54" s="1" t="s">
        <v>1349</v>
      </c>
      <c r="AM54" s="1" t="s">
        <v>1350</v>
      </c>
      <c r="AN54" s="1" t="s">
        <v>165</v>
      </c>
      <c r="AO54" s="1" t="s">
        <v>166</v>
      </c>
      <c r="AP54" s="1">
        <v>90.4</v>
      </c>
      <c r="AQ54" s="1">
        <v>0</v>
      </c>
      <c r="AR54" s="1"/>
      <c r="AS54" s="1"/>
      <c r="AT54" s="1"/>
      <c r="AU54" s="1"/>
      <c r="AV54" s="1"/>
      <c r="AW54" s="1"/>
      <c r="AX54" s="1" t="s">
        <v>132</v>
      </c>
      <c r="AY54" s="1" t="s">
        <v>1351</v>
      </c>
      <c r="AZ54" s="1" t="s">
        <v>1043</v>
      </c>
      <c r="BA54" s="1" t="s">
        <v>1292</v>
      </c>
      <c r="BB54" s="1">
        <v>65.4</v>
      </c>
      <c r="BC54" s="1">
        <v>6.54</v>
      </c>
      <c r="BD54" s="1"/>
      <c r="BE54" s="1"/>
      <c r="BF54" s="1"/>
      <c r="BG54" s="1"/>
      <c r="BH54" s="1"/>
      <c r="BI54" s="1"/>
      <c r="BJ54" s="1" t="s">
        <v>1352</v>
      </c>
      <c r="BK54" s="1" t="s">
        <v>1353</v>
      </c>
      <c r="BL54" s="1" t="s">
        <v>762</v>
      </c>
      <c r="BM54" s="1" t="s">
        <v>1354</v>
      </c>
      <c r="BN54" s="1">
        <v>8</v>
      </c>
      <c r="BO54" s="1" t="s">
        <v>1355</v>
      </c>
      <c r="BP54" s="1" t="str">
        <f>HYPERLINK("https://nconnect.nicmar.ac.in/storage/profile/ProfilePhoto_P25700029_659732.jpg","Download")</f>
        <v>0</v>
      </c>
      <c r="BQ54" s="3"/>
      <c r="BR54" s="3"/>
    </row>
    <row r="55" spans="1:70">
      <c r="A55" s="1" t="s">
        <v>70</v>
      </c>
      <c r="B55" s="1" t="s">
        <v>441</v>
      </c>
      <c r="C55" s="1" t="s">
        <v>1356</v>
      </c>
      <c r="D55" s="1" t="s">
        <v>1357</v>
      </c>
      <c r="E55" s="1"/>
      <c r="F55" s="1" t="s">
        <v>1358</v>
      </c>
      <c r="G55" s="1" t="s">
        <v>1359</v>
      </c>
      <c r="H55" s="1" t="s">
        <v>1360</v>
      </c>
      <c r="I55" s="1" t="s">
        <v>1361</v>
      </c>
      <c r="J55" s="1">
        <v>9680573729</v>
      </c>
      <c r="K55" s="1" t="s">
        <v>79</v>
      </c>
      <c r="L55" s="1" t="s">
        <v>1362</v>
      </c>
      <c r="M55" s="1" t="s">
        <v>81</v>
      </c>
      <c r="N55" s="1" t="s">
        <v>1363</v>
      </c>
      <c r="O55" s="1"/>
      <c r="P55" s="1" t="s">
        <v>1007</v>
      </c>
      <c r="Q55" s="1" t="s">
        <v>1364</v>
      </c>
      <c r="R55" s="1" t="s">
        <v>1365</v>
      </c>
      <c r="S55" s="1">
        <v>9815744370</v>
      </c>
      <c r="T55" s="1" t="s">
        <v>906</v>
      </c>
      <c r="U55" s="1" t="s">
        <v>1366</v>
      </c>
      <c r="V55" s="1">
        <v>8288071500</v>
      </c>
      <c r="W55" s="1" t="s">
        <v>273</v>
      </c>
      <c r="X55" s="1" t="s">
        <v>1367</v>
      </c>
      <c r="Y55" s="1" t="s">
        <v>1368</v>
      </c>
      <c r="Z55" s="1" t="s">
        <v>951</v>
      </c>
      <c r="AA55" s="1" t="s">
        <v>1367</v>
      </c>
      <c r="AB55" s="1" t="s">
        <v>1368</v>
      </c>
      <c r="AC55" s="1" t="s">
        <v>951</v>
      </c>
      <c r="AD55" s="1">
        <v>8.07</v>
      </c>
      <c r="AE55" s="1" t="s">
        <v>93</v>
      </c>
      <c r="AF55" s="1" t="s">
        <v>1369</v>
      </c>
      <c r="AG55" s="1" t="s">
        <v>1370</v>
      </c>
      <c r="AH55" s="1" t="s">
        <v>1371</v>
      </c>
      <c r="AI55" s="1" t="s">
        <v>162</v>
      </c>
      <c r="AJ55" s="1">
        <v>80.33</v>
      </c>
      <c r="AK55" s="1">
        <v>0</v>
      </c>
      <c r="AL55" s="1" t="s">
        <v>1372</v>
      </c>
      <c r="AM55" s="1" t="s">
        <v>1373</v>
      </c>
      <c r="AN55" s="1" t="s">
        <v>1374</v>
      </c>
      <c r="AO55" s="1" t="s">
        <v>166</v>
      </c>
      <c r="AP55" s="1">
        <v>75.4</v>
      </c>
      <c r="AQ55" s="1">
        <v>0</v>
      </c>
      <c r="AR55" s="1" t="s">
        <v>1375</v>
      </c>
      <c r="AS55" s="1" t="s">
        <v>1370</v>
      </c>
      <c r="AT55" s="1" t="s">
        <v>173</v>
      </c>
      <c r="AU55" s="1" t="s">
        <v>284</v>
      </c>
      <c r="AV55" s="1">
        <v>84</v>
      </c>
      <c r="AW55" s="1"/>
      <c r="AX55" s="1" t="s">
        <v>1376</v>
      </c>
      <c r="AY55" s="1" t="s">
        <v>1377</v>
      </c>
      <c r="AZ55" s="1" t="s">
        <v>1378</v>
      </c>
      <c r="BA55" s="1" t="s">
        <v>1379</v>
      </c>
      <c r="BB55" s="1">
        <v>77.2</v>
      </c>
      <c r="BC55" s="1">
        <v>7.72</v>
      </c>
      <c r="BD55" s="1"/>
      <c r="BE55" s="1"/>
      <c r="BF55" s="1"/>
      <c r="BG55" s="1"/>
      <c r="BH55" s="1"/>
      <c r="BI55" s="1"/>
      <c r="BJ55" s="1" t="s">
        <v>364</v>
      </c>
      <c r="BK55" s="1"/>
      <c r="BL55" s="1"/>
      <c r="BM55" s="1" t="s">
        <v>1380</v>
      </c>
      <c r="BN55" s="1">
        <v>34</v>
      </c>
      <c r="BO55" s="1"/>
      <c r="BP55" s="1" t="str">
        <f>HYPERLINK("https://nconnect.nicmar.ac.in/storage/profile/ProfilePhoto_P25700030_527831.jpg","Download")</f>
        <v>0</v>
      </c>
      <c r="BQ55" s="3"/>
      <c r="BR55" s="3"/>
    </row>
    <row r="56" spans="1:70">
      <c r="A56" s="1" t="s">
        <v>70</v>
      </c>
      <c r="B56" s="1" t="s">
        <v>441</v>
      </c>
      <c r="C56" s="1" t="s">
        <v>1381</v>
      </c>
      <c r="D56" s="1" t="s">
        <v>1382</v>
      </c>
      <c r="E56" s="1" t="s">
        <v>262</v>
      </c>
      <c r="F56" s="1" t="s">
        <v>1383</v>
      </c>
      <c r="G56" s="1" t="s">
        <v>1384</v>
      </c>
      <c r="H56" s="1" t="s">
        <v>1385</v>
      </c>
      <c r="I56" s="1" t="s">
        <v>1386</v>
      </c>
      <c r="J56" s="1">
        <v>9949077030</v>
      </c>
      <c r="K56" s="1" t="s">
        <v>79</v>
      </c>
      <c r="L56" s="1" t="s">
        <v>1387</v>
      </c>
      <c r="M56" s="1" t="s">
        <v>81</v>
      </c>
      <c r="N56" s="1" t="s">
        <v>1388</v>
      </c>
      <c r="O56" s="1"/>
      <c r="P56" s="1" t="s">
        <v>450</v>
      </c>
      <c r="Q56" s="1" t="s">
        <v>1389</v>
      </c>
      <c r="R56" s="1" t="s">
        <v>1390</v>
      </c>
      <c r="S56" s="1">
        <v>8500236810</v>
      </c>
      <c r="T56" s="1" t="s">
        <v>1391</v>
      </c>
      <c r="U56" s="1" t="s">
        <v>1392</v>
      </c>
      <c r="V56" s="1">
        <v>9293926810</v>
      </c>
      <c r="W56" s="1" t="s">
        <v>156</v>
      </c>
      <c r="X56" s="1" t="s">
        <v>1393</v>
      </c>
      <c r="Y56" s="1" t="s">
        <v>1394</v>
      </c>
      <c r="Z56" s="1" t="s">
        <v>276</v>
      </c>
      <c r="AA56" s="1" t="s">
        <v>1393</v>
      </c>
      <c r="AB56" s="1" t="s">
        <v>1394</v>
      </c>
      <c r="AC56" s="1" t="s">
        <v>276</v>
      </c>
      <c r="AD56" s="1">
        <v>8.38</v>
      </c>
      <c r="AE56" s="1" t="s">
        <v>93</v>
      </c>
      <c r="AF56" s="1" t="s">
        <v>1395</v>
      </c>
      <c r="AG56" s="1" t="s">
        <v>1396</v>
      </c>
      <c r="AH56" s="1" t="s">
        <v>101</v>
      </c>
      <c r="AI56" s="1" t="s">
        <v>409</v>
      </c>
      <c r="AJ56" s="1">
        <v>100</v>
      </c>
      <c r="AK56" s="1">
        <v>10</v>
      </c>
      <c r="AL56" s="1" t="s">
        <v>1397</v>
      </c>
      <c r="AM56" s="1" t="s">
        <v>1398</v>
      </c>
      <c r="AN56" s="1" t="s">
        <v>433</v>
      </c>
      <c r="AO56" s="1" t="s">
        <v>1169</v>
      </c>
      <c r="AP56" s="1">
        <v>92.6</v>
      </c>
      <c r="AQ56" s="1">
        <v>0</v>
      </c>
      <c r="AR56" s="1"/>
      <c r="AS56" s="1"/>
      <c r="AT56" s="1"/>
      <c r="AU56" s="1"/>
      <c r="AV56" s="1"/>
      <c r="AW56" s="1"/>
      <c r="AX56" s="1" t="s">
        <v>282</v>
      </c>
      <c r="AY56" s="1" t="s">
        <v>1399</v>
      </c>
      <c r="AZ56" s="1" t="s">
        <v>828</v>
      </c>
      <c r="BA56" s="1" t="s">
        <v>594</v>
      </c>
      <c r="BB56" s="1">
        <v>70.5</v>
      </c>
      <c r="BC56" s="1">
        <v>7.8</v>
      </c>
      <c r="BD56" s="1"/>
      <c r="BE56" s="1"/>
      <c r="BF56" s="1"/>
      <c r="BG56" s="1"/>
      <c r="BH56" s="1"/>
      <c r="BI56" s="1"/>
      <c r="BJ56" s="1" t="s">
        <v>1400</v>
      </c>
      <c r="BK56" s="1"/>
      <c r="BL56" s="1"/>
      <c r="BM56" s="1" t="s">
        <v>1401</v>
      </c>
      <c r="BN56" s="1">
        <v>39</v>
      </c>
      <c r="BO56" s="1"/>
      <c r="BP56" s="1" t="str">
        <f>HYPERLINK("https://nconnect.nicmar.ac.in/storage/profile/ProfilePhoto_P25700032_169785.jpg","Download")</f>
        <v>0</v>
      </c>
      <c r="BQ56" s="3"/>
      <c r="BR56" s="3"/>
    </row>
    <row r="57" spans="1:70">
      <c r="A57" s="1" t="s">
        <v>70</v>
      </c>
      <c r="B57" s="1" t="s">
        <v>441</v>
      </c>
      <c r="C57" s="1" t="s">
        <v>1402</v>
      </c>
      <c r="D57" s="1" t="s">
        <v>1403</v>
      </c>
      <c r="E57" s="1" t="s">
        <v>1298</v>
      </c>
      <c r="F57" s="1" t="s">
        <v>1404</v>
      </c>
      <c r="G57" s="1" t="s">
        <v>1405</v>
      </c>
      <c r="H57" s="1" t="s">
        <v>1406</v>
      </c>
      <c r="I57" s="1" t="s">
        <v>1407</v>
      </c>
      <c r="J57" s="1">
        <v>7093268002</v>
      </c>
      <c r="K57" s="1" t="s">
        <v>79</v>
      </c>
      <c r="L57" s="1" t="s">
        <v>1408</v>
      </c>
      <c r="M57" s="1" t="s">
        <v>81</v>
      </c>
      <c r="N57" s="1" t="s">
        <v>1409</v>
      </c>
      <c r="O57" s="1" t="s">
        <v>152</v>
      </c>
      <c r="P57" s="1" t="s">
        <v>84</v>
      </c>
      <c r="Q57" s="1" t="s">
        <v>1410</v>
      </c>
      <c r="R57" s="1" t="s">
        <v>1411</v>
      </c>
      <c r="S57" s="1">
        <v>8247872975</v>
      </c>
      <c r="T57" s="1" t="s">
        <v>122</v>
      </c>
      <c r="U57" s="1" t="s">
        <v>1412</v>
      </c>
      <c r="V57" s="1">
        <v>7093268802</v>
      </c>
      <c r="W57" s="1" t="s">
        <v>273</v>
      </c>
      <c r="X57" s="1" t="s">
        <v>1413</v>
      </c>
      <c r="Y57" s="1" t="s">
        <v>1414</v>
      </c>
      <c r="Z57" s="1" t="s">
        <v>276</v>
      </c>
      <c r="AA57" s="1" t="s">
        <v>1413</v>
      </c>
      <c r="AB57" s="1" t="s">
        <v>1414</v>
      </c>
      <c r="AC57" s="1" t="s">
        <v>276</v>
      </c>
      <c r="AD57" s="1">
        <v>6.94</v>
      </c>
      <c r="AE57" s="1" t="s">
        <v>93</v>
      </c>
      <c r="AF57" s="1" t="s">
        <v>1415</v>
      </c>
      <c r="AG57" s="1" t="s">
        <v>1416</v>
      </c>
      <c r="AH57" s="1" t="s">
        <v>481</v>
      </c>
      <c r="AI57" s="1" t="s">
        <v>409</v>
      </c>
      <c r="AJ57" s="1">
        <v>83</v>
      </c>
      <c r="AK57" s="1"/>
      <c r="AL57" s="1" t="s">
        <v>1417</v>
      </c>
      <c r="AM57" s="1" t="s">
        <v>1416</v>
      </c>
      <c r="AN57" s="1" t="s">
        <v>433</v>
      </c>
      <c r="AO57" s="1" t="s">
        <v>539</v>
      </c>
      <c r="AP57" s="1">
        <v>68.9</v>
      </c>
      <c r="AQ57" s="1"/>
      <c r="AR57" s="1"/>
      <c r="AS57" s="1"/>
      <c r="AT57" s="1"/>
      <c r="AU57" s="1"/>
      <c r="AV57" s="1"/>
      <c r="AW57" s="1"/>
      <c r="AX57" s="1" t="s">
        <v>1418</v>
      </c>
      <c r="AY57" s="1" t="s">
        <v>1419</v>
      </c>
      <c r="AZ57" s="1" t="s">
        <v>135</v>
      </c>
      <c r="BA57" s="1" t="s">
        <v>543</v>
      </c>
      <c r="BB57" s="1">
        <v>60.13</v>
      </c>
      <c r="BC57" s="1">
        <v>6.33</v>
      </c>
      <c r="BD57" s="1"/>
      <c r="BE57" s="1"/>
      <c r="BF57" s="1"/>
      <c r="BG57" s="1"/>
      <c r="BH57" s="1"/>
      <c r="BI57" s="1"/>
      <c r="BJ57" s="1" t="s">
        <v>567</v>
      </c>
      <c r="BK57" s="1"/>
      <c r="BL57" s="1"/>
      <c r="BM57" s="1" t="s">
        <v>1420</v>
      </c>
      <c r="BN57" s="1">
        <v>13</v>
      </c>
      <c r="BO57" s="1"/>
      <c r="BP57" s="1" t="str">
        <f>HYPERLINK("https://nconnect.nicmar.ac.in/storage/profile/ProfilePhoto_P25700033_798215.jpg","Download")</f>
        <v>0</v>
      </c>
      <c r="BQ57" s="3"/>
      <c r="BR57" s="3"/>
    </row>
    <row r="58" spans="1:70">
      <c r="A58" s="1" t="s">
        <v>70</v>
      </c>
      <c r="B58" s="1" t="s">
        <v>441</v>
      </c>
      <c r="C58" s="1" t="s">
        <v>1421</v>
      </c>
      <c r="D58" s="1" t="s">
        <v>1422</v>
      </c>
      <c r="E58" s="1"/>
      <c r="F58" s="1" t="s">
        <v>1423</v>
      </c>
      <c r="G58" s="1" t="s">
        <v>1424</v>
      </c>
      <c r="H58" s="1" t="s">
        <v>1425</v>
      </c>
      <c r="I58" s="1" t="s">
        <v>1425</v>
      </c>
      <c r="J58" s="1">
        <v>8096844639</v>
      </c>
      <c r="K58" s="1" t="s">
        <v>79</v>
      </c>
      <c r="L58" s="1" t="s">
        <v>1426</v>
      </c>
      <c r="M58" s="1" t="s">
        <v>81</v>
      </c>
      <c r="N58" s="1" t="s">
        <v>1427</v>
      </c>
      <c r="O58" s="1"/>
      <c r="P58" s="1" t="s">
        <v>450</v>
      </c>
      <c r="Q58" s="1" t="s">
        <v>1428</v>
      </c>
      <c r="R58" s="1" t="s">
        <v>1429</v>
      </c>
      <c r="S58" s="1">
        <v>7093092339</v>
      </c>
      <c r="T58" s="1" t="s">
        <v>154</v>
      </c>
      <c r="U58" s="1" t="s">
        <v>1430</v>
      </c>
      <c r="V58" s="1">
        <v>9133224388</v>
      </c>
      <c r="W58" s="1" t="s">
        <v>273</v>
      </c>
      <c r="X58" s="1" t="s">
        <v>1431</v>
      </c>
      <c r="Y58" s="1" t="s">
        <v>1432</v>
      </c>
      <c r="Z58" s="1" t="s">
        <v>276</v>
      </c>
      <c r="AA58" s="1" t="s">
        <v>1431</v>
      </c>
      <c r="AB58" s="1" t="s">
        <v>1432</v>
      </c>
      <c r="AC58" s="1" t="s">
        <v>276</v>
      </c>
      <c r="AD58" s="1">
        <v>7.95</v>
      </c>
      <c r="AE58" s="1" t="s">
        <v>93</v>
      </c>
      <c r="AF58" s="1" t="s">
        <v>1433</v>
      </c>
      <c r="AG58" s="1" t="s">
        <v>1434</v>
      </c>
      <c r="AH58" s="1" t="s">
        <v>1435</v>
      </c>
      <c r="AI58" s="1" t="s">
        <v>308</v>
      </c>
      <c r="AJ58" s="1">
        <v>81.8</v>
      </c>
      <c r="AK58" s="1"/>
      <c r="AL58" s="1" t="s">
        <v>1436</v>
      </c>
      <c r="AM58" s="1" t="s">
        <v>1437</v>
      </c>
      <c r="AN58" s="1" t="s">
        <v>433</v>
      </c>
      <c r="AO58" s="1" t="s">
        <v>539</v>
      </c>
      <c r="AP58" s="1">
        <v>81.9</v>
      </c>
      <c r="AQ58" s="1"/>
      <c r="AR58" s="1"/>
      <c r="AS58" s="1"/>
      <c r="AT58" s="1"/>
      <c r="AU58" s="1"/>
      <c r="AV58" s="1"/>
      <c r="AW58" s="1"/>
      <c r="AX58" s="1" t="s">
        <v>1418</v>
      </c>
      <c r="AY58" s="1" t="s">
        <v>1419</v>
      </c>
      <c r="AZ58" s="1" t="s">
        <v>135</v>
      </c>
      <c r="BA58" s="1" t="s">
        <v>543</v>
      </c>
      <c r="BB58" s="1">
        <v>68.78</v>
      </c>
      <c r="BC58" s="1"/>
      <c r="BD58" s="1"/>
      <c r="BE58" s="1"/>
      <c r="BF58" s="1"/>
      <c r="BG58" s="1"/>
      <c r="BH58" s="1"/>
      <c r="BI58" s="1"/>
      <c r="BJ58" s="1" t="s">
        <v>1438</v>
      </c>
      <c r="BK58" s="1"/>
      <c r="BL58" s="1"/>
      <c r="BM58" s="1" t="s">
        <v>1439</v>
      </c>
      <c r="BN58" s="1">
        <v>13</v>
      </c>
      <c r="BO58" s="1"/>
      <c r="BP58" s="1" t="str">
        <f>HYPERLINK("https://nconnect.nicmar.ac.in/storage/profile/ProfilePhoto_P25700034_597426.jpg","Download")</f>
        <v>0</v>
      </c>
      <c r="BQ58" s="3"/>
      <c r="BR58" s="3"/>
    </row>
    <row r="59" spans="1:70">
      <c r="A59" s="1" t="s">
        <v>70</v>
      </c>
      <c r="B59" s="1" t="s">
        <v>441</v>
      </c>
      <c r="C59" s="1" t="s">
        <v>1440</v>
      </c>
      <c r="D59" s="1" t="s">
        <v>1441</v>
      </c>
      <c r="E59" s="1" t="s">
        <v>1442</v>
      </c>
      <c r="F59" s="1" t="s">
        <v>1443</v>
      </c>
      <c r="G59" s="1" t="s">
        <v>1444</v>
      </c>
      <c r="H59" s="1" t="s">
        <v>1445</v>
      </c>
      <c r="I59" s="1" t="s">
        <v>1446</v>
      </c>
      <c r="J59" s="1">
        <v>8830930460</v>
      </c>
      <c r="K59" s="1" t="s">
        <v>148</v>
      </c>
      <c r="L59" s="1" t="s">
        <v>1447</v>
      </c>
      <c r="M59" s="1" t="s">
        <v>81</v>
      </c>
      <c r="N59" s="1" t="s">
        <v>1448</v>
      </c>
      <c r="O59" s="1"/>
      <c r="P59" s="1" t="s">
        <v>450</v>
      </c>
      <c r="Q59" s="1" t="s">
        <v>1449</v>
      </c>
      <c r="R59" s="1" t="s">
        <v>1450</v>
      </c>
      <c r="S59" s="1">
        <v>9890128044</v>
      </c>
      <c r="T59" s="1" t="s">
        <v>120</v>
      </c>
      <c r="U59" s="1" t="s">
        <v>1451</v>
      </c>
      <c r="V59" s="1">
        <v>9673177796</v>
      </c>
      <c r="W59" s="1" t="s">
        <v>156</v>
      </c>
      <c r="X59" s="1" t="s">
        <v>1452</v>
      </c>
      <c r="Y59" s="1" t="s">
        <v>405</v>
      </c>
      <c r="Z59" s="1" t="s">
        <v>92</v>
      </c>
      <c r="AA59" s="1" t="s">
        <v>1452</v>
      </c>
      <c r="AB59" s="1" t="s">
        <v>405</v>
      </c>
      <c r="AC59" s="1" t="s">
        <v>92</v>
      </c>
      <c r="AD59" s="1">
        <v>7.99</v>
      </c>
      <c r="AE59" s="1" t="s">
        <v>93</v>
      </c>
      <c r="AF59" s="1" t="s">
        <v>1453</v>
      </c>
      <c r="AG59" s="1" t="s">
        <v>160</v>
      </c>
      <c r="AH59" s="1" t="s">
        <v>161</v>
      </c>
      <c r="AI59" s="1" t="s">
        <v>1089</v>
      </c>
      <c r="AJ59" s="1">
        <v>89.2</v>
      </c>
      <c r="AK59" s="1"/>
      <c r="AL59" s="1" t="s">
        <v>1454</v>
      </c>
      <c r="AM59" s="1" t="s">
        <v>160</v>
      </c>
      <c r="AN59" s="1" t="s">
        <v>165</v>
      </c>
      <c r="AO59" s="1" t="s">
        <v>1455</v>
      </c>
      <c r="AP59" s="1">
        <v>74.62</v>
      </c>
      <c r="AQ59" s="1"/>
      <c r="AR59" s="1"/>
      <c r="AS59" s="1"/>
      <c r="AT59" s="1"/>
      <c r="AU59" s="1"/>
      <c r="AV59" s="1"/>
      <c r="AW59" s="1"/>
      <c r="AX59" s="1" t="s">
        <v>410</v>
      </c>
      <c r="AY59" s="1" t="s">
        <v>1456</v>
      </c>
      <c r="AZ59" s="1" t="s">
        <v>1043</v>
      </c>
      <c r="BA59" s="1" t="s">
        <v>229</v>
      </c>
      <c r="BB59" s="1">
        <v>74.2</v>
      </c>
      <c r="BC59" s="1">
        <v>8.17</v>
      </c>
      <c r="BD59" s="1"/>
      <c r="BE59" s="1"/>
      <c r="BF59" s="1"/>
      <c r="BG59" s="1"/>
      <c r="BH59" s="1"/>
      <c r="BI59" s="1"/>
      <c r="BJ59" s="1" t="s">
        <v>1457</v>
      </c>
      <c r="BK59" s="1" t="s">
        <v>1458</v>
      </c>
      <c r="BL59" s="1" t="s">
        <v>1459</v>
      </c>
      <c r="BM59" s="1" t="s">
        <v>1460</v>
      </c>
      <c r="BN59" s="1">
        <v>42</v>
      </c>
      <c r="BO59" s="1"/>
      <c r="BP59" s="1" t="str">
        <f>HYPERLINK("https://nconnect.nicmar.ac.in/storage/profile/ProfilePhoto_P25700035_724139.jpg","Download")</f>
        <v>0</v>
      </c>
      <c r="BQ59" s="3"/>
      <c r="BR59" s="3"/>
    </row>
    <row r="60" spans="1:70">
      <c r="A60" s="1" t="s">
        <v>70</v>
      </c>
      <c r="B60" s="1" t="s">
        <v>441</v>
      </c>
      <c r="C60" s="1" t="s">
        <v>1461</v>
      </c>
      <c r="D60" s="1" t="s">
        <v>1462</v>
      </c>
      <c r="E60" s="1" t="s">
        <v>1463</v>
      </c>
      <c r="F60" s="1" t="s">
        <v>1464</v>
      </c>
      <c r="G60" s="1" t="s">
        <v>1465</v>
      </c>
      <c r="H60" s="1" t="s">
        <v>1466</v>
      </c>
      <c r="I60" s="1" t="s">
        <v>1467</v>
      </c>
      <c r="J60" s="1">
        <v>9443459000</v>
      </c>
      <c r="K60" s="1" t="s">
        <v>148</v>
      </c>
      <c r="L60" s="1" t="s">
        <v>1468</v>
      </c>
      <c r="M60" s="1" t="s">
        <v>81</v>
      </c>
      <c r="N60" s="1" t="s">
        <v>1469</v>
      </c>
      <c r="O60" s="1"/>
      <c r="P60" s="1" t="s">
        <v>497</v>
      </c>
      <c r="Q60" s="1" t="s">
        <v>1470</v>
      </c>
      <c r="R60" s="1" t="s">
        <v>1471</v>
      </c>
      <c r="S60" s="1">
        <v>9840608107</v>
      </c>
      <c r="T60" s="1" t="s">
        <v>1472</v>
      </c>
      <c r="U60" s="1" t="s">
        <v>1473</v>
      </c>
      <c r="V60" s="1">
        <v>9944222210</v>
      </c>
      <c r="W60" s="1" t="s">
        <v>89</v>
      </c>
      <c r="X60" s="1" t="s">
        <v>1474</v>
      </c>
      <c r="Y60" s="1" t="s">
        <v>1475</v>
      </c>
      <c r="Z60" s="1" t="s">
        <v>559</v>
      </c>
      <c r="AA60" s="1" t="s">
        <v>1474</v>
      </c>
      <c r="AB60" s="1" t="s">
        <v>1475</v>
      </c>
      <c r="AC60" s="1" t="s">
        <v>559</v>
      </c>
      <c r="AD60" s="1">
        <v>8.43</v>
      </c>
      <c r="AE60" s="1" t="s">
        <v>93</v>
      </c>
      <c r="AF60" s="1" t="s">
        <v>1476</v>
      </c>
      <c r="AG60" s="1" t="s">
        <v>1476</v>
      </c>
      <c r="AH60" s="1" t="s">
        <v>101</v>
      </c>
      <c r="AI60" s="1" t="s">
        <v>409</v>
      </c>
      <c r="AJ60" s="1">
        <v>79.2</v>
      </c>
      <c r="AK60" s="1"/>
      <c r="AL60" s="1" t="s">
        <v>1476</v>
      </c>
      <c r="AM60" s="1" t="s">
        <v>1476</v>
      </c>
      <c r="AN60" s="1" t="s">
        <v>173</v>
      </c>
      <c r="AO60" s="1" t="s">
        <v>1169</v>
      </c>
      <c r="AP60" s="1">
        <v>84.83</v>
      </c>
      <c r="AQ60" s="1"/>
      <c r="AR60" s="1"/>
      <c r="AS60" s="1"/>
      <c r="AT60" s="1"/>
      <c r="AU60" s="1"/>
      <c r="AV60" s="1"/>
      <c r="AW60" s="1"/>
      <c r="AX60" s="1" t="s">
        <v>564</v>
      </c>
      <c r="AY60" s="1" t="s">
        <v>1477</v>
      </c>
      <c r="AZ60" s="1" t="s">
        <v>593</v>
      </c>
      <c r="BA60" s="1" t="s">
        <v>543</v>
      </c>
      <c r="BB60" s="1">
        <v>75.1</v>
      </c>
      <c r="BC60" s="1"/>
      <c r="BD60" s="1"/>
      <c r="BE60" s="1"/>
      <c r="BF60" s="1"/>
      <c r="BG60" s="1"/>
      <c r="BH60" s="1"/>
      <c r="BI60" s="1"/>
      <c r="BJ60" s="1" t="s">
        <v>1478</v>
      </c>
      <c r="BK60" s="1"/>
      <c r="BL60" s="1"/>
      <c r="BM60" s="1" t="s">
        <v>1479</v>
      </c>
      <c r="BN60" s="1">
        <v>12</v>
      </c>
      <c r="BO60" s="1" t="s">
        <v>1480</v>
      </c>
      <c r="BP60" s="1" t="str">
        <f>HYPERLINK("https://nconnect.nicmar.ac.in/storage/profile/ProfilePhoto_P25700036_987541.jpg","Download")</f>
        <v>0</v>
      </c>
      <c r="BQ60" s="3"/>
      <c r="BR60" s="3"/>
    </row>
    <row r="61" spans="1:70">
      <c r="A61" s="1" t="s">
        <v>70</v>
      </c>
      <c r="B61" s="1" t="s">
        <v>441</v>
      </c>
      <c r="C61" s="1" t="s">
        <v>1481</v>
      </c>
      <c r="D61" s="1" t="s">
        <v>1482</v>
      </c>
      <c r="E61" s="1" t="s">
        <v>1483</v>
      </c>
      <c r="F61" s="1" t="s">
        <v>1484</v>
      </c>
      <c r="G61" s="1" t="s">
        <v>1485</v>
      </c>
      <c r="H61" s="1" t="s">
        <v>1486</v>
      </c>
      <c r="I61" s="1" t="s">
        <v>1487</v>
      </c>
      <c r="J61" s="1">
        <v>9325957968</v>
      </c>
      <c r="K61" s="1" t="s">
        <v>79</v>
      </c>
      <c r="L61" s="1" t="s">
        <v>1488</v>
      </c>
      <c r="M61" s="1" t="s">
        <v>81</v>
      </c>
      <c r="N61" s="1" t="s">
        <v>883</v>
      </c>
      <c r="O61" s="1"/>
      <c r="P61" s="1" t="s">
        <v>450</v>
      </c>
      <c r="Q61" s="1" t="s">
        <v>1489</v>
      </c>
      <c r="R61" s="1" t="s">
        <v>1483</v>
      </c>
      <c r="S61" s="1">
        <v>8767123108</v>
      </c>
      <c r="T61" s="1" t="s">
        <v>1490</v>
      </c>
      <c r="U61" s="1" t="s">
        <v>1491</v>
      </c>
      <c r="V61" s="1">
        <v>9665373615</v>
      </c>
      <c r="W61" s="1" t="s">
        <v>156</v>
      </c>
      <c r="X61" s="1" t="s">
        <v>1492</v>
      </c>
      <c r="Y61" s="1" t="s">
        <v>379</v>
      </c>
      <c r="Z61" s="1" t="s">
        <v>92</v>
      </c>
      <c r="AA61" s="1" t="s">
        <v>1492</v>
      </c>
      <c r="AB61" s="1" t="s">
        <v>379</v>
      </c>
      <c r="AC61" s="1" t="s">
        <v>92</v>
      </c>
      <c r="AD61" s="1" t="s">
        <v>93</v>
      </c>
      <c r="AE61" s="1" t="s">
        <v>93</v>
      </c>
      <c r="AF61" s="1" t="s">
        <v>1493</v>
      </c>
      <c r="AG61" s="1" t="s">
        <v>1494</v>
      </c>
      <c r="AH61" s="1" t="s">
        <v>161</v>
      </c>
      <c r="AI61" s="1" t="s">
        <v>1089</v>
      </c>
      <c r="AJ61" s="1">
        <v>85.2</v>
      </c>
      <c r="AK61" s="1"/>
      <c r="AL61" s="1" t="s">
        <v>1495</v>
      </c>
      <c r="AM61" s="1" t="s">
        <v>1496</v>
      </c>
      <c r="AN61" s="1" t="s">
        <v>383</v>
      </c>
      <c r="AO61" s="1" t="s">
        <v>1455</v>
      </c>
      <c r="AP61" s="1">
        <v>72.15</v>
      </c>
      <c r="AQ61" s="1"/>
      <c r="AR61" s="1"/>
      <c r="AS61" s="1"/>
      <c r="AT61" s="1"/>
      <c r="AU61" s="1"/>
      <c r="AV61" s="1"/>
      <c r="AW61" s="1"/>
      <c r="AX61" s="1" t="s">
        <v>1497</v>
      </c>
      <c r="AY61" s="1" t="s">
        <v>1498</v>
      </c>
      <c r="AZ61" s="1" t="s">
        <v>169</v>
      </c>
      <c r="BA61" s="1" t="s">
        <v>105</v>
      </c>
      <c r="BB61" s="1">
        <v>74.2</v>
      </c>
      <c r="BC61" s="1">
        <v>7.92</v>
      </c>
      <c r="BD61" s="1"/>
      <c r="BE61" s="1"/>
      <c r="BF61" s="1"/>
      <c r="BG61" s="1"/>
      <c r="BH61" s="1"/>
      <c r="BI61" s="1"/>
      <c r="BJ61" s="1" t="s">
        <v>1499</v>
      </c>
      <c r="BK61" s="1"/>
      <c r="BL61" s="1"/>
      <c r="BM61" s="1" t="s">
        <v>1500</v>
      </c>
      <c r="BN61" s="1">
        <v>34</v>
      </c>
      <c r="BO61" s="1"/>
      <c r="BP61" s="1" t="str">
        <f>HYPERLINK("https://nconnect.nicmar.ac.in/storage/profile/ProfilePhoto_P25700037_381245.jpg","Download")</f>
        <v>0</v>
      </c>
      <c r="BQ61" s="3"/>
      <c r="BR61" s="3"/>
    </row>
    <row r="62" spans="1:70">
      <c r="A62" s="1" t="s">
        <v>70</v>
      </c>
      <c r="B62" s="1" t="s">
        <v>441</v>
      </c>
      <c r="C62" s="1" t="s">
        <v>1501</v>
      </c>
      <c r="D62" s="1" t="s">
        <v>1502</v>
      </c>
      <c r="E62" s="1" t="s">
        <v>392</v>
      </c>
      <c r="F62" s="1" t="s">
        <v>1503</v>
      </c>
      <c r="G62" s="1" t="s">
        <v>1504</v>
      </c>
      <c r="H62" s="1" t="s">
        <v>1505</v>
      </c>
      <c r="I62" s="1" t="s">
        <v>1506</v>
      </c>
      <c r="J62" s="1">
        <v>9503975050</v>
      </c>
      <c r="K62" s="1" t="s">
        <v>79</v>
      </c>
      <c r="L62" s="1" t="s">
        <v>1507</v>
      </c>
      <c r="M62" s="1" t="s">
        <v>81</v>
      </c>
      <c r="N62" s="1" t="s">
        <v>605</v>
      </c>
      <c r="O62" s="1"/>
      <c r="P62" s="1" t="s">
        <v>472</v>
      </c>
      <c r="Q62" s="1" t="s">
        <v>1508</v>
      </c>
      <c r="R62" s="1" t="s">
        <v>1509</v>
      </c>
      <c r="S62" s="1">
        <v>9822941138</v>
      </c>
      <c r="T62" s="1" t="s">
        <v>216</v>
      </c>
      <c r="U62" s="1" t="s">
        <v>1510</v>
      </c>
      <c r="V62" s="1">
        <v>9767223937</v>
      </c>
      <c r="W62" s="1" t="s">
        <v>216</v>
      </c>
      <c r="X62" s="1" t="s">
        <v>1511</v>
      </c>
      <c r="Y62" s="1" t="s">
        <v>405</v>
      </c>
      <c r="Z62" s="1" t="s">
        <v>92</v>
      </c>
      <c r="AA62" s="1" t="s">
        <v>1511</v>
      </c>
      <c r="AB62" s="1" t="s">
        <v>405</v>
      </c>
      <c r="AC62" s="1" t="s">
        <v>92</v>
      </c>
      <c r="AD62" s="1">
        <v>7.82</v>
      </c>
      <c r="AE62" s="1" t="s">
        <v>93</v>
      </c>
      <c r="AF62" s="1" t="s">
        <v>1512</v>
      </c>
      <c r="AG62" s="1" t="s">
        <v>1513</v>
      </c>
      <c r="AH62" s="1" t="s">
        <v>481</v>
      </c>
      <c r="AI62" s="1" t="s">
        <v>433</v>
      </c>
      <c r="AJ62" s="1">
        <v>75.8</v>
      </c>
      <c r="AK62" s="1"/>
      <c r="AL62" s="1" t="s">
        <v>1514</v>
      </c>
      <c r="AM62" s="1" t="s">
        <v>1515</v>
      </c>
      <c r="AN62" s="1" t="s">
        <v>460</v>
      </c>
      <c r="AO62" s="1" t="s">
        <v>826</v>
      </c>
      <c r="AP62" s="1">
        <v>90.33</v>
      </c>
      <c r="AQ62" s="1"/>
      <c r="AR62" s="1"/>
      <c r="AS62" s="1"/>
      <c r="AT62" s="1"/>
      <c r="AU62" s="1"/>
      <c r="AV62" s="1"/>
      <c r="AW62" s="1"/>
      <c r="AX62" s="1" t="s">
        <v>410</v>
      </c>
      <c r="AY62" s="1" t="s">
        <v>1516</v>
      </c>
      <c r="AZ62" s="1" t="s">
        <v>828</v>
      </c>
      <c r="BA62" s="1" t="s">
        <v>829</v>
      </c>
      <c r="BB62" s="1">
        <v>68.62</v>
      </c>
      <c r="BC62" s="1">
        <v>7.61</v>
      </c>
      <c r="BD62" s="1"/>
      <c r="BE62" s="1"/>
      <c r="BF62" s="1"/>
      <c r="BG62" s="1"/>
      <c r="BH62" s="1"/>
      <c r="BI62" s="1"/>
      <c r="BJ62" s="1" t="s">
        <v>1517</v>
      </c>
      <c r="BK62" s="1"/>
      <c r="BL62" s="1"/>
      <c r="BM62" s="1" t="s">
        <v>1518</v>
      </c>
      <c r="BN62" s="1">
        <v>24</v>
      </c>
      <c r="BO62" s="1"/>
      <c r="BP62" s="1" t="str">
        <f>HYPERLINK("https://nconnect.nicmar.ac.in/storage/profile/ProfilePhoto_P25700038_471395.jpg","Download")</f>
        <v>0</v>
      </c>
      <c r="BQ62" s="3"/>
      <c r="BR62" s="3"/>
    </row>
    <row r="63" spans="1:70">
      <c r="A63" s="1" t="s">
        <v>70</v>
      </c>
      <c r="B63" s="1" t="s">
        <v>441</v>
      </c>
      <c r="C63" s="1" t="s">
        <v>1519</v>
      </c>
      <c r="D63" s="1" t="s">
        <v>1252</v>
      </c>
      <c r="E63" s="1" t="s">
        <v>1520</v>
      </c>
      <c r="F63" s="1" t="s">
        <v>1521</v>
      </c>
      <c r="G63" s="1" t="s">
        <v>1522</v>
      </c>
      <c r="H63" s="1" t="s">
        <v>1523</v>
      </c>
      <c r="I63" s="1" t="s">
        <v>1524</v>
      </c>
      <c r="J63" s="1">
        <v>9401658598</v>
      </c>
      <c r="K63" s="1" t="s">
        <v>79</v>
      </c>
      <c r="L63" s="1" t="s">
        <v>1525</v>
      </c>
      <c r="M63" s="1" t="s">
        <v>81</v>
      </c>
      <c r="N63" s="1" t="s">
        <v>1526</v>
      </c>
      <c r="O63" s="1"/>
      <c r="P63" s="1" t="s">
        <v>450</v>
      </c>
      <c r="Q63" s="1" t="s">
        <v>1527</v>
      </c>
      <c r="R63" s="1" t="s">
        <v>1528</v>
      </c>
      <c r="S63" s="1">
        <v>9706049288</v>
      </c>
      <c r="T63" s="1" t="s">
        <v>1529</v>
      </c>
      <c r="U63" s="1" t="s">
        <v>1530</v>
      </c>
      <c r="V63" s="1">
        <v>9435149288</v>
      </c>
      <c r="W63" s="1" t="s">
        <v>89</v>
      </c>
      <c r="X63" s="1" t="s">
        <v>1531</v>
      </c>
      <c r="Y63" s="1" t="s">
        <v>1532</v>
      </c>
      <c r="Z63" s="1" t="s">
        <v>1533</v>
      </c>
      <c r="AA63" s="1" t="s">
        <v>1531</v>
      </c>
      <c r="AB63" s="1" t="s">
        <v>1532</v>
      </c>
      <c r="AC63" s="1" t="s">
        <v>1533</v>
      </c>
      <c r="AD63" s="1">
        <v>8.84</v>
      </c>
      <c r="AE63" s="1" t="s">
        <v>93</v>
      </c>
      <c r="AF63" s="1" t="s">
        <v>1534</v>
      </c>
      <c r="AG63" s="1" t="s">
        <v>1535</v>
      </c>
      <c r="AH63" s="1" t="s">
        <v>1239</v>
      </c>
      <c r="AI63" s="1" t="s">
        <v>131</v>
      </c>
      <c r="AJ63" s="1">
        <v>81.7</v>
      </c>
      <c r="AK63" s="1">
        <v>8.6</v>
      </c>
      <c r="AL63" s="1" t="s">
        <v>1534</v>
      </c>
      <c r="AM63" s="1" t="s">
        <v>1535</v>
      </c>
      <c r="AN63" s="1" t="s">
        <v>614</v>
      </c>
      <c r="AO63" s="1" t="s">
        <v>562</v>
      </c>
      <c r="AP63" s="1">
        <v>83.33</v>
      </c>
      <c r="AQ63" s="1">
        <v>0</v>
      </c>
      <c r="AR63" s="1"/>
      <c r="AS63" s="1"/>
      <c r="AT63" s="1"/>
      <c r="AU63" s="1"/>
      <c r="AV63" s="1"/>
      <c r="AW63" s="1"/>
      <c r="AX63" s="1" t="s">
        <v>1536</v>
      </c>
      <c r="AY63" s="1" t="s">
        <v>1537</v>
      </c>
      <c r="AZ63" s="1" t="s">
        <v>225</v>
      </c>
      <c r="BA63" s="1" t="s">
        <v>619</v>
      </c>
      <c r="BB63" s="1">
        <v>80.9</v>
      </c>
      <c r="BC63" s="1">
        <v>8.09</v>
      </c>
      <c r="BD63" s="1"/>
      <c r="BE63" s="1"/>
      <c r="BF63" s="1"/>
      <c r="BG63" s="1"/>
      <c r="BH63" s="1"/>
      <c r="BI63" s="1"/>
      <c r="BJ63" s="1" t="s">
        <v>1538</v>
      </c>
      <c r="BK63" s="1" t="s">
        <v>1539</v>
      </c>
      <c r="BL63" s="1" t="s">
        <v>1540</v>
      </c>
      <c r="BM63" s="1" t="s">
        <v>1541</v>
      </c>
      <c r="BN63" s="1">
        <v>34</v>
      </c>
      <c r="BO63" s="1"/>
      <c r="BP63" s="1" t="str">
        <f>HYPERLINK("https://nconnect.nicmar.ac.in/storage/profile/ProfilePhoto_P25700039_852764.jpg","Download")</f>
        <v>0</v>
      </c>
      <c r="BQ63" s="3"/>
      <c r="BR63" s="3"/>
    </row>
    <row r="64" spans="1:70">
      <c r="A64" s="1" t="s">
        <v>70</v>
      </c>
      <c r="B64" s="1" t="s">
        <v>441</v>
      </c>
      <c r="C64" s="1" t="s">
        <v>1542</v>
      </c>
      <c r="D64" s="1" t="s">
        <v>1543</v>
      </c>
      <c r="E64" s="1"/>
      <c r="F64" s="1" t="s">
        <v>1544</v>
      </c>
      <c r="G64" s="1" t="s">
        <v>1545</v>
      </c>
      <c r="H64" s="1" t="s">
        <v>1546</v>
      </c>
      <c r="I64" s="1" t="s">
        <v>1547</v>
      </c>
      <c r="J64" s="1">
        <v>8908946303</v>
      </c>
      <c r="K64" s="1" t="s">
        <v>148</v>
      </c>
      <c r="L64" s="1" t="s">
        <v>1548</v>
      </c>
      <c r="M64" s="1" t="s">
        <v>81</v>
      </c>
      <c r="N64" s="1" t="s">
        <v>1549</v>
      </c>
      <c r="O64" s="1"/>
      <c r="P64" s="1" t="s">
        <v>472</v>
      </c>
      <c r="Q64" s="1" t="s">
        <v>1550</v>
      </c>
      <c r="R64" s="1" t="s">
        <v>1551</v>
      </c>
      <c r="S64" s="1">
        <v>9938577168</v>
      </c>
      <c r="T64" s="1" t="s">
        <v>120</v>
      </c>
      <c r="U64" s="1" t="s">
        <v>1552</v>
      </c>
      <c r="V64" s="1">
        <v>9938139502</v>
      </c>
      <c r="W64" s="1" t="s">
        <v>1553</v>
      </c>
      <c r="X64" s="1" t="s">
        <v>1554</v>
      </c>
      <c r="Y64" s="1" t="s">
        <v>1236</v>
      </c>
      <c r="Z64" s="1" t="s">
        <v>846</v>
      </c>
      <c r="AA64" s="1" t="s">
        <v>1554</v>
      </c>
      <c r="AB64" s="1" t="s">
        <v>1236</v>
      </c>
      <c r="AC64" s="1" t="s">
        <v>846</v>
      </c>
      <c r="AD64" s="1">
        <v>8.63</v>
      </c>
      <c r="AE64" s="1" t="s">
        <v>93</v>
      </c>
      <c r="AF64" s="1" t="s">
        <v>1555</v>
      </c>
      <c r="AG64" s="1" t="s">
        <v>1556</v>
      </c>
      <c r="AH64" s="1" t="s">
        <v>128</v>
      </c>
      <c r="AI64" s="1" t="s">
        <v>129</v>
      </c>
      <c r="AJ64" s="1">
        <v>91.2</v>
      </c>
      <c r="AK64" s="1">
        <v>9.6</v>
      </c>
      <c r="AL64" s="1" t="s">
        <v>1557</v>
      </c>
      <c r="AM64" s="1" t="s">
        <v>1558</v>
      </c>
      <c r="AN64" s="1" t="s">
        <v>1559</v>
      </c>
      <c r="AO64" s="1" t="s">
        <v>161</v>
      </c>
      <c r="AP64" s="1">
        <v>68.33</v>
      </c>
      <c r="AQ64" s="1"/>
      <c r="AR64" s="1"/>
      <c r="AS64" s="1"/>
      <c r="AT64" s="1"/>
      <c r="AU64" s="1"/>
      <c r="AV64" s="1"/>
      <c r="AW64" s="1"/>
      <c r="AX64" s="1" t="s">
        <v>1560</v>
      </c>
      <c r="AY64" s="1" t="s">
        <v>1560</v>
      </c>
      <c r="AZ64" s="1" t="s">
        <v>225</v>
      </c>
      <c r="BA64" s="1" t="s">
        <v>1378</v>
      </c>
      <c r="BB64" s="1">
        <v>62.5</v>
      </c>
      <c r="BC64" s="1">
        <v>6.75</v>
      </c>
      <c r="BD64" s="1" t="s">
        <v>1560</v>
      </c>
      <c r="BE64" s="1" t="s">
        <v>1561</v>
      </c>
      <c r="BF64" s="1" t="s">
        <v>225</v>
      </c>
      <c r="BG64" s="1" t="s">
        <v>1378</v>
      </c>
      <c r="BH64" s="1">
        <v>79.8</v>
      </c>
      <c r="BI64" s="1">
        <v>8.39</v>
      </c>
      <c r="BJ64" s="1" t="s">
        <v>1562</v>
      </c>
      <c r="BK64" s="1"/>
      <c r="BL64" s="1"/>
      <c r="BM64" s="1" t="s">
        <v>1563</v>
      </c>
      <c r="BN64" s="1">
        <v>70</v>
      </c>
      <c r="BO64" s="1"/>
      <c r="BP64" s="1" t="str">
        <f>HYPERLINK("https://nconnect.nicmar.ac.in/storage/profile/ProfilePhoto_P25700041_954768.jpg","Download")</f>
        <v>0</v>
      </c>
      <c r="BQ64" s="3"/>
      <c r="BR64" s="3"/>
    </row>
    <row r="65" spans="1:70">
      <c r="A65" s="1" t="s">
        <v>70</v>
      </c>
      <c r="B65" s="1" t="s">
        <v>441</v>
      </c>
      <c r="C65" s="1" t="s">
        <v>1564</v>
      </c>
      <c r="D65" s="1" t="s">
        <v>1565</v>
      </c>
      <c r="E65" s="1"/>
      <c r="F65" s="1" t="s">
        <v>111</v>
      </c>
      <c r="G65" s="1" t="s">
        <v>1566</v>
      </c>
      <c r="H65" s="1" t="s">
        <v>1567</v>
      </c>
      <c r="I65" s="1" t="s">
        <v>1568</v>
      </c>
      <c r="J65" s="1">
        <v>9422648317</v>
      </c>
      <c r="K65" s="1" t="s">
        <v>148</v>
      </c>
      <c r="L65" s="1" t="s">
        <v>1569</v>
      </c>
      <c r="M65" s="1" t="s">
        <v>81</v>
      </c>
      <c r="N65" s="1" t="s">
        <v>1570</v>
      </c>
      <c r="O65" s="1"/>
      <c r="P65" s="1" t="s">
        <v>472</v>
      </c>
      <c r="Q65" s="1" t="s">
        <v>1571</v>
      </c>
      <c r="R65" s="1" t="s">
        <v>1572</v>
      </c>
      <c r="S65" s="1">
        <v>8446177702</v>
      </c>
      <c r="T65" s="1" t="s">
        <v>632</v>
      </c>
      <c r="U65" s="1" t="s">
        <v>1573</v>
      </c>
      <c r="V65" s="1">
        <v>9404289015</v>
      </c>
      <c r="W65" s="1" t="s">
        <v>531</v>
      </c>
      <c r="X65" s="1" t="s">
        <v>1574</v>
      </c>
      <c r="Y65" s="1" t="s">
        <v>158</v>
      </c>
      <c r="Z65" s="1" t="s">
        <v>92</v>
      </c>
      <c r="AA65" s="1" t="s">
        <v>1574</v>
      </c>
      <c r="AB65" s="1" t="s">
        <v>158</v>
      </c>
      <c r="AC65" s="1" t="s">
        <v>92</v>
      </c>
      <c r="AD65" s="1">
        <v>8.79</v>
      </c>
      <c r="AE65" s="1" t="s">
        <v>93</v>
      </c>
      <c r="AF65" s="1" t="s">
        <v>1575</v>
      </c>
      <c r="AG65" s="1" t="s">
        <v>1576</v>
      </c>
      <c r="AH65" s="1" t="s">
        <v>1577</v>
      </c>
      <c r="AI65" s="1" t="s">
        <v>161</v>
      </c>
      <c r="AJ65" s="1">
        <v>94</v>
      </c>
      <c r="AK65" s="1"/>
      <c r="AL65" s="1" t="s">
        <v>1578</v>
      </c>
      <c r="AM65" s="1" t="s">
        <v>1576</v>
      </c>
      <c r="AN65" s="1" t="s">
        <v>161</v>
      </c>
      <c r="AO65" s="1" t="s">
        <v>562</v>
      </c>
      <c r="AP65" s="1">
        <v>91.1</v>
      </c>
      <c r="AQ65" s="1"/>
      <c r="AR65" s="1"/>
      <c r="AS65" s="1"/>
      <c r="AT65" s="1"/>
      <c r="AU65" s="1"/>
      <c r="AV65" s="1"/>
      <c r="AW65" s="1"/>
      <c r="AX65" s="1" t="s">
        <v>1579</v>
      </c>
      <c r="AY65" s="1" t="s">
        <v>1580</v>
      </c>
      <c r="AZ65" s="1" t="s">
        <v>225</v>
      </c>
      <c r="BA65" s="1" t="s">
        <v>828</v>
      </c>
      <c r="BB65" s="1">
        <v>75.09</v>
      </c>
      <c r="BC65" s="1">
        <v>8.91</v>
      </c>
      <c r="BD65" s="1" t="s">
        <v>1581</v>
      </c>
      <c r="BE65" s="1" t="s">
        <v>1561</v>
      </c>
      <c r="BF65" s="1" t="s">
        <v>436</v>
      </c>
      <c r="BG65" s="1" t="s">
        <v>174</v>
      </c>
      <c r="BH65" s="1">
        <v>81.57</v>
      </c>
      <c r="BI65" s="1">
        <v>9.08</v>
      </c>
      <c r="BJ65" s="1" t="s">
        <v>1582</v>
      </c>
      <c r="BK65" s="1" t="s">
        <v>1583</v>
      </c>
      <c r="BL65" s="1" t="s">
        <v>1151</v>
      </c>
      <c r="BM65" s="1" t="s">
        <v>1584</v>
      </c>
      <c r="BN65" s="1">
        <v>60</v>
      </c>
      <c r="BO65" s="1"/>
      <c r="BP65" s="1" t="str">
        <f>HYPERLINK("https://nconnect.nicmar.ac.in/storage/profile/ProfilePhoto_P25700042_851493.jpg","Download")</f>
        <v>0</v>
      </c>
      <c r="BQ65" s="3"/>
      <c r="BR65" s="3"/>
    </row>
    <row r="66" spans="1:70">
      <c r="A66" s="1" t="s">
        <v>70</v>
      </c>
      <c r="B66" s="1" t="s">
        <v>441</v>
      </c>
      <c r="C66" s="1" t="s">
        <v>1585</v>
      </c>
      <c r="D66" s="1" t="s">
        <v>1586</v>
      </c>
      <c r="E66" s="1" t="s">
        <v>1587</v>
      </c>
      <c r="F66" s="1" t="s">
        <v>1156</v>
      </c>
      <c r="G66" s="1" t="s">
        <v>1588</v>
      </c>
      <c r="H66" s="1" t="s">
        <v>1589</v>
      </c>
      <c r="I66" s="1" t="s">
        <v>1590</v>
      </c>
      <c r="J66" s="1">
        <v>9019547321</v>
      </c>
      <c r="K66" s="1" t="s">
        <v>148</v>
      </c>
      <c r="L66" s="1" t="s">
        <v>1591</v>
      </c>
      <c r="M66" s="1" t="s">
        <v>81</v>
      </c>
      <c r="N66" s="1" t="s">
        <v>1592</v>
      </c>
      <c r="O66" s="1"/>
      <c r="P66" s="1" t="s">
        <v>497</v>
      </c>
      <c r="Q66" s="1" t="s">
        <v>1593</v>
      </c>
      <c r="R66" s="1" t="s">
        <v>1594</v>
      </c>
      <c r="S66" s="1">
        <v>9845254251</v>
      </c>
      <c r="T66" s="1" t="s">
        <v>1595</v>
      </c>
      <c r="U66" s="1" t="s">
        <v>1596</v>
      </c>
      <c r="V66" s="1">
        <v>9880954991</v>
      </c>
      <c r="W66" s="1" t="s">
        <v>531</v>
      </c>
      <c r="X66" s="1" t="s">
        <v>1597</v>
      </c>
      <c r="Y66" s="1" t="s">
        <v>1598</v>
      </c>
      <c r="Z66" s="1" t="s">
        <v>1187</v>
      </c>
      <c r="AA66" s="1" t="s">
        <v>1597</v>
      </c>
      <c r="AB66" s="1" t="s">
        <v>1598</v>
      </c>
      <c r="AC66" s="1" t="s">
        <v>1187</v>
      </c>
      <c r="AD66" s="1">
        <v>8.92</v>
      </c>
      <c r="AE66" s="1" t="s">
        <v>93</v>
      </c>
      <c r="AF66" s="1" t="s">
        <v>1599</v>
      </c>
      <c r="AG66" s="1" t="s">
        <v>307</v>
      </c>
      <c r="AH66" s="1" t="s">
        <v>131</v>
      </c>
      <c r="AI66" s="1" t="s">
        <v>1089</v>
      </c>
      <c r="AJ66" s="1">
        <v>87.4</v>
      </c>
      <c r="AK66" s="1"/>
      <c r="AL66" s="1" t="s">
        <v>1600</v>
      </c>
      <c r="AM66" s="1" t="s">
        <v>1601</v>
      </c>
      <c r="AN66" s="1" t="s">
        <v>162</v>
      </c>
      <c r="AO66" s="1" t="s">
        <v>101</v>
      </c>
      <c r="AP66" s="1">
        <v>70.66</v>
      </c>
      <c r="AQ66" s="1"/>
      <c r="AR66" s="1"/>
      <c r="AS66" s="1"/>
      <c r="AT66" s="1"/>
      <c r="AU66" s="1"/>
      <c r="AV66" s="1"/>
      <c r="AW66" s="1"/>
      <c r="AX66" s="1" t="s">
        <v>1602</v>
      </c>
      <c r="AY66" s="1" t="s">
        <v>1603</v>
      </c>
      <c r="AZ66" s="1" t="s">
        <v>169</v>
      </c>
      <c r="BA66" s="1" t="s">
        <v>229</v>
      </c>
      <c r="BB66" s="1">
        <v>66.9</v>
      </c>
      <c r="BC66" s="1"/>
      <c r="BD66" s="1"/>
      <c r="BE66" s="1"/>
      <c r="BF66" s="1"/>
      <c r="BG66" s="1"/>
      <c r="BH66" s="1"/>
      <c r="BI66" s="1"/>
      <c r="BJ66" s="1" t="s">
        <v>1604</v>
      </c>
      <c r="BK66" s="1" t="s">
        <v>1605</v>
      </c>
      <c r="BL66" s="1" t="s">
        <v>1151</v>
      </c>
      <c r="BM66" s="1" t="s">
        <v>1606</v>
      </c>
      <c r="BN66" s="1">
        <v>25</v>
      </c>
      <c r="BO66" s="1"/>
      <c r="BP66" s="1" t="str">
        <f>HYPERLINK("https://nconnect.nicmar.ac.in/storage/profile/ProfilePhoto_P25700043_197362.jpg","Download")</f>
        <v>0</v>
      </c>
      <c r="BQ66" s="3"/>
      <c r="BR66" s="3"/>
    </row>
    <row r="67" spans="1:70">
      <c r="A67" s="1" t="s">
        <v>70</v>
      </c>
      <c r="B67" s="1" t="s">
        <v>441</v>
      </c>
      <c r="C67" s="1" t="s">
        <v>1607</v>
      </c>
      <c r="D67" s="1" t="s">
        <v>1608</v>
      </c>
      <c r="E67" s="1" t="s">
        <v>1464</v>
      </c>
      <c r="F67" s="1" t="s">
        <v>1609</v>
      </c>
      <c r="G67" s="1" t="s">
        <v>1610</v>
      </c>
      <c r="H67" s="1" t="s">
        <v>1611</v>
      </c>
      <c r="I67" s="1" t="s">
        <v>1612</v>
      </c>
      <c r="J67" s="1">
        <v>9447652134</v>
      </c>
      <c r="K67" s="1" t="s">
        <v>79</v>
      </c>
      <c r="L67" s="1" t="s">
        <v>1613</v>
      </c>
      <c r="M67" s="1" t="s">
        <v>81</v>
      </c>
      <c r="N67" s="1" t="s">
        <v>1614</v>
      </c>
      <c r="O67" s="1"/>
      <c r="P67" s="1" t="s">
        <v>450</v>
      </c>
      <c r="Q67" s="1" t="s">
        <v>1615</v>
      </c>
      <c r="R67" s="1" t="s">
        <v>1616</v>
      </c>
      <c r="S67" s="1">
        <v>9447396900</v>
      </c>
      <c r="T67" s="1" t="s">
        <v>906</v>
      </c>
      <c r="U67" s="1" t="s">
        <v>1617</v>
      </c>
      <c r="V67" s="1">
        <v>9207595826</v>
      </c>
      <c r="W67" s="1" t="s">
        <v>122</v>
      </c>
      <c r="X67" s="1" t="s">
        <v>1618</v>
      </c>
      <c r="Y67" s="1" t="s">
        <v>686</v>
      </c>
      <c r="Z67" s="1" t="s">
        <v>125</v>
      </c>
      <c r="AA67" s="1" t="s">
        <v>1618</v>
      </c>
      <c r="AB67" s="1" t="s">
        <v>686</v>
      </c>
      <c r="AC67" s="1" t="s">
        <v>125</v>
      </c>
      <c r="AD67" s="1">
        <v>8.57</v>
      </c>
      <c r="AE67" s="1" t="s">
        <v>93</v>
      </c>
      <c r="AF67" s="1" t="s">
        <v>1619</v>
      </c>
      <c r="AG67" s="1" t="s">
        <v>690</v>
      </c>
      <c r="AH67" s="1" t="s">
        <v>165</v>
      </c>
      <c r="AI67" s="1" t="s">
        <v>166</v>
      </c>
      <c r="AJ67" s="1">
        <v>91</v>
      </c>
      <c r="AK67" s="1"/>
      <c r="AL67" s="1" t="s">
        <v>1619</v>
      </c>
      <c r="AM67" s="1" t="s">
        <v>690</v>
      </c>
      <c r="AN67" s="1" t="s">
        <v>433</v>
      </c>
      <c r="AO67" s="1" t="s">
        <v>173</v>
      </c>
      <c r="AP67" s="1">
        <v>89.2</v>
      </c>
      <c r="AQ67" s="1"/>
      <c r="AR67" s="1"/>
      <c r="AS67" s="1"/>
      <c r="AT67" s="1"/>
      <c r="AU67" s="1"/>
      <c r="AV67" s="1"/>
      <c r="AW67" s="1"/>
      <c r="AX67" s="1" t="s">
        <v>1620</v>
      </c>
      <c r="AY67" s="1" t="s">
        <v>1621</v>
      </c>
      <c r="AZ67" s="1" t="s">
        <v>1622</v>
      </c>
      <c r="BA67" s="1" t="s">
        <v>1067</v>
      </c>
      <c r="BB67" s="1">
        <v>76.6</v>
      </c>
      <c r="BC67" s="1"/>
      <c r="BD67" s="1"/>
      <c r="BE67" s="1"/>
      <c r="BF67" s="1"/>
      <c r="BG67" s="1"/>
      <c r="BH67" s="1"/>
      <c r="BI67" s="1"/>
      <c r="BJ67" s="1" t="s">
        <v>567</v>
      </c>
      <c r="BK67" s="1"/>
      <c r="BL67" s="1"/>
      <c r="BM67" s="1" t="s">
        <v>1623</v>
      </c>
      <c r="BN67" s="1">
        <v>9</v>
      </c>
      <c r="BO67" s="1"/>
      <c r="BP67" s="1" t="str">
        <f>HYPERLINK("https://nconnect.nicmar.ac.in/storage/profile/ProfilePhoto_P25700044_489275.jpg","Download")</f>
        <v>0</v>
      </c>
      <c r="BQ67" s="3"/>
      <c r="BR67" s="3"/>
    </row>
    <row r="68" spans="1:70">
      <c r="A68" s="1" t="s">
        <v>70</v>
      </c>
      <c r="B68" s="1" t="s">
        <v>441</v>
      </c>
      <c r="C68" s="1" t="s">
        <v>1624</v>
      </c>
      <c r="D68" s="1" t="s">
        <v>1625</v>
      </c>
      <c r="E68" s="1"/>
      <c r="F68" s="1" t="s">
        <v>1626</v>
      </c>
      <c r="G68" s="1" t="s">
        <v>1627</v>
      </c>
      <c r="H68" s="1" t="s">
        <v>1628</v>
      </c>
      <c r="I68" s="1" t="s">
        <v>1629</v>
      </c>
      <c r="J68" s="1">
        <v>9746445008</v>
      </c>
      <c r="K68" s="1" t="s">
        <v>79</v>
      </c>
      <c r="L68" s="1" t="s">
        <v>1630</v>
      </c>
      <c r="M68" s="1" t="s">
        <v>81</v>
      </c>
      <c r="N68" s="1" t="s">
        <v>1631</v>
      </c>
      <c r="O68" s="1"/>
      <c r="P68" s="1" t="s">
        <v>450</v>
      </c>
      <c r="Q68" s="1" t="s">
        <v>1632</v>
      </c>
      <c r="R68" s="1" t="s">
        <v>1633</v>
      </c>
      <c r="S68" s="1">
        <v>9744517376</v>
      </c>
      <c r="T68" s="1" t="s">
        <v>820</v>
      </c>
      <c r="U68" s="1" t="s">
        <v>1634</v>
      </c>
      <c r="V68" s="1">
        <v>9744517376</v>
      </c>
      <c r="W68" s="1" t="s">
        <v>156</v>
      </c>
      <c r="X68" s="1" t="s">
        <v>1635</v>
      </c>
      <c r="Y68" s="1" t="s">
        <v>124</v>
      </c>
      <c r="Z68" s="1" t="s">
        <v>125</v>
      </c>
      <c r="AA68" s="1" t="s">
        <v>1635</v>
      </c>
      <c r="AB68" s="1" t="s">
        <v>124</v>
      </c>
      <c r="AC68" s="1" t="s">
        <v>125</v>
      </c>
      <c r="AD68" s="1">
        <v>8.26</v>
      </c>
      <c r="AE68" s="1" t="s">
        <v>93</v>
      </c>
      <c r="AF68" s="1" t="s">
        <v>1636</v>
      </c>
      <c r="AG68" s="1" t="s">
        <v>1637</v>
      </c>
      <c r="AH68" s="1" t="s">
        <v>162</v>
      </c>
      <c r="AI68" s="1" t="s">
        <v>165</v>
      </c>
      <c r="AJ68" s="1">
        <v>91.2</v>
      </c>
      <c r="AK68" s="1">
        <v>9.6</v>
      </c>
      <c r="AL68" s="1" t="s">
        <v>1636</v>
      </c>
      <c r="AM68" s="1" t="s">
        <v>1637</v>
      </c>
      <c r="AN68" s="1" t="s">
        <v>166</v>
      </c>
      <c r="AO68" s="1" t="s">
        <v>308</v>
      </c>
      <c r="AP68" s="1">
        <v>77.6</v>
      </c>
      <c r="AQ68" s="1">
        <v>8.17</v>
      </c>
      <c r="AR68" s="1"/>
      <c r="AS68" s="1"/>
      <c r="AT68" s="1"/>
      <c r="AU68" s="1"/>
      <c r="AV68" s="1"/>
      <c r="AW68" s="1"/>
      <c r="AX68" s="1" t="s">
        <v>1638</v>
      </c>
      <c r="AY68" s="1" t="s">
        <v>1639</v>
      </c>
      <c r="AZ68" s="1" t="s">
        <v>412</v>
      </c>
      <c r="BA68" s="1" t="s">
        <v>413</v>
      </c>
      <c r="BB68" s="1">
        <v>71.3</v>
      </c>
      <c r="BC68" s="1">
        <v>7.13</v>
      </c>
      <c r="BD68" s="1"/>
      <c r="BE68" s="1"/>
      <c r="BF68" s="1"/>
      <c r="BG68" s="1"/>
      <c r="BH68" s="1"/>
      <c r="BI68" s="1"/>
      <c r="BJ68" s="1" t="s">
        <v>255</v>
      </c>
      <c r="BK68" s="1"/>
      <c r="BL68" s="1"/>
      <c r="BM68" s="1" t="s">
        <v>1640</v>
      </c>
      <c r="BN68" s="1">
        <v>8</v>
      </c>
      <c r="BO68" s="1" t="s">
        <v>1641</v>
      </c>
      <c r="BP68" s="1" t="str">
        <f>HYPERLINK("https://nconnect.nicmar.ac.in/storage/profile/ProfilePhoto_P25700045_159487.jpg","Download")</f>
        <v>0</v>
      </c>
      <c r="BQ68" s="3"/>
      <c r="BR68" s="3"/>
    </row>
    <row r="69" spans="1:70">
      <c r="A69" s="1" t="s">
        <v>70</v>
      </c>
      <c r="B69" s="1" t="s">
        <v>441</v>
      </c>
      <c r="C69" s="1" t="s">
        <v>1642</v>
      </c>
      <c r="D69" s="1" t="s">
        <v>1643</v>
      </c>
      <c r="E69" s="1" t="s">
        <v>1644</v>
      </c>
      <c r="F69" s="1" t="s">
        <v>1645</v>
      </c>
      <c r="G69" s="1" t="s">
        <v>1646</v>
      </c>
      <c r="H69" s="1" t="s">
        <v>1647</v>
      </c>
      <c r="I69" s="1" t="s">
        <v>1648</v>
      </c>
      <c r="J69" s="1">
        <v>9545927573</v>
      </c>
      <c r="K69" s="1" t="s">
        <v>148</v>
      </c>
      <c r="L69" s="1" t="s">
        <v>1649</v>
      </c>
      <c r="M69" s="1" t="s">
        <v>81</v>
      </c>
      <c r="N69" s="1" t="s">
        <v>1140</v>
      </c>
      <c r="O69" s="1"/>
      <c r="P69" s="1" t="s">
        <v>497</v>
      </c>
      <c r="Q69" s="1" t="s">
        <v>1650</v>
      </c>
      <c r="R69" s="1" t="s">
        <v>1651</v>
      </c>
      <c r="S69" s="1">
        <v>9579424990</v>
      </c>
      <c r="T69" s="1" t="s">
        <v>820</v>
      </c>
      <c r="U69" s="1" t="s">
        <v>1652</v>
      </c>
      <c r="V69" s="1">
        <v>9673653672</v>
      </c>
      <c r="W69" s="1" t="s">
        <v>1653</v>
      </c>
      <c r="X69" s="1" t="s">
        <v>1654</v>
      </c>
      <c r="Y69" s="1" t="s">
        <v>191</v>
      </c>
      <c r="Z69" s="1" t="s">
        <v>92</v>
      </c>
      <c r="AA69" s="1" t="s">
        <v>1654</v>
      </c>
      <c r="AB69" s="1" t="s">
        <v>191</v>
      </c>
      <c r="AC69" s="1" t="s">
        <v>92</v>
      </c>
      <c r="AD69" s="1">
        <v>8.59</v>
      </c>
      <c r="AE69" s="1" t="s">
        <v>93</v>
      </c>
      <c r="AF69" s="1" t="s">
        <v>1655</v>
      </c>
      <c r="AG69" s="1" t="s">
        <v>1656</v>
      </c>
      <c r="AH69" s="1" t="s">
        <v>162</v>
      </c>
      <c r="AI69" s="1" t="s">
        <v>195</v>
      </c>
      <c r="AJ69" s="1">
        <v>86.6</v>
      </c>
      <c r="AK69" s="1"/>
      <c r="AL69" s="1"/>
      <c r="AM69" s="1"/>
      <c r="AN69" s="1"/>
      <c r="AO69" s="1"/>
      <c r="AP69" s="1"/>
      <c r="AQ69" s="1"/>
      <c r="AR69" s="1" t="s">
        <v>98</v>
      </c>
      <c r="AS69" s="1" t="s">
        <v>1657</v>
      </c>
      <c r="AT69" s="1" t="s">
        <v>225</v>
      </c>
      <c r="AU69" s="1" t="s">
        <v>412</v>
      </c>
      <c r="AV69" s="1">
        <v>84.38</v>
      </c>
      <c r="AW69" s="1">
        <v>8.9</v>
      </c>
      <c r="AX69" s="1" t="s">
        <v>361</v>
      </c>
      <c r="AY69" s="1" t="s">
        <v>1658</v>
      </c>
      <c r="AZ69" s="1" t="s">
        <v>363</v>
      </c>
      <c r="BA69" s="1" t="s">
        <v>935</v>
      </c>
      <c r="BB69" s="1">
        <v>73.07</v>
      </c>
      <c r="BC69" s="1">
        <v>8.21</v>
      </c>
      <c r="BD69" s="1"/>
      <c r="BE69" s="1"/>
      <c r="BF69" s="1"/>
      <c r="BG69" s="1"/>
      <c r="BH69" s="1"/>
      <c r="BI69" s="1"/>
      <c r="BJ69" s="1" t="s">
        <v>1659</v>
      </c>
      <c r="BK69" s="1" t="s">
        <v>1660</v>
      </c>
      <c r="BL69" s="1" t="s">
        <v>569</v>
      </c>
      <c r="BM69" s="1" t="s">
        <v>1661</v>
      </c>
      <c r="BN69" s="1">
        <v>12</v>
      </c>
      <c r="BO69" s="1"/>
      <c r="BP69" s="1" t="str">
        <f>HYPERLINK("https://nconnect.nicmar.ac.in/storage/profile/ProfilePhoto_P25700046_792813.jpg","Download")</f>
        <v>0</v>
      </c>
      <c r="BQ69" s="3"/>
      <c r="BR69" s="3"/>
    </row>
    <row r="70" spans="1:70">
      <c r="A70" s="1" t="s">
        <v>70</v>
      </c>
      <c r="B70" s="1" t="s">
        <v>441</v>
      </c>
      <c r="C70" s="1" t="s">
        <v>1662</v>
      </c>
      <c r="D70" s="1" t="s">
        <v>1000</v>
      </c>
      <c r="E70" s="1"/>
      <c r="F70" s="1" t="s">
        <v>345</v>
      </c>
      <c r="G70" s="1" t="s">
        <v>1663</v>
      </c>
      <c r="H70" s="1" t="s">
        <v>1664</v>
      </c>
      <c r="I70" s="1" t="s">
        <v>1665</v>
      </c>
      <c r="J70" s="1">
        <v>8168493770</v>
      </c>
      <c r="K70" s="1" t="s">
        <v>79</v>
      </c>
      <c r="L70" s="1" t="s">
        <v>1666</v>
      </c>
      <c r="M70" s="1" t="s">
        <v>81</v>
      </c>
      <c r="N70" s="1" t="s">
        <v>82</v>
      </c>
      <c r="O70" s="1" t="s">
        <v>1667</v>
      </c>
      <c r="P70" s="1" t="s">
        <v>1668</v>
      </c>
      <c r="Q70" s="1" t="s">
        <v>1669</v>
      </c>
      <c r="R70" s="1" t="s">
        <v>1670</v>
      </c>
      <c r="S70" s="1">
        <v>9596992288</v>
      </c>
      <c r="T70" s="1" t="s">
        <v>1671</v>
      </c>
      <c r="U70" s="1" t="s">
        <v>1672</v>
      </c>
      <c r="V70" s="1">
        <v>7006547114</v>
      </c>
      <c r="W70" s="1" t="s">
        <v>156</v>
      </c>
      <c r="X70" s="1" t="s">
        <v>1673</v>
      </c>
      <c r="Y70" s="1" t="s">
        <v>1674</v>
      </c>
      <c r="Z70" s="1" t="s">
        <v>1675</v>
      </c>
      <c r="AA70" s="1" t="s">
        <v>1676</v>
      </c>
      <c r="AB70" s="1" t="s">
        <v>1674</v>
      </c>
      <c r="AC70" s="1" t="s">
        <v>1675</v>
      </c>
      <c r="AD70" s="1">
        <v>7.67</v>
      </c>
      <c r="AE70" s="1" t="s">
        <v>93</v>
      </c>
      <c r="AF70" s="1" t="s">
        <v>1677</v>
      </c>
      <c r="AG70" s="1" t="s">
        <v>777</v>
      </c>
      <c r="AH70" s="1" t="s">
        <v>279</v>
      </c>
      <c r="AI70" s="1" t="s">
        <v>165</v>
      </c>
      <c r="AJ70" s="1">
        <v>66.5</v>
      </c>
      <c r="AK70" s="1">
        <v>7</v>
      </c>
      <c r="AL70" s="1" t="s">
        <v>1678</v>
      </c>
      <c r="AM70" s="1" t="s">
        <v>777</v>
      </c>
      <c r="AN70" s="1" t="s">
        <v>537</v>
      </c>
      <c r="AO70" s="1" t="s">
        <v>173</v>
      </c>
      <c r="AP70" s="1">
        <v>67.2</v>
      </c>
      <c r="AQ70" s="1"/>
      <c r="AR70" s="1"/>
      <c r="AS70" s="1"/>
      <c r="AT70" s="1"/>
      <c r="AU70" s="1"/>
      <c r="AV70" s="1"/>
      <c r="AW70" s="1"/>
      <c r="AX70" s="1" t="s">
        <v>1679</v>
      </c>
      <c r="AY70" s="1" t="s">
        <v>1679</v>
      </c>
      <c r="AZ70" s="1" t="s">
        <v>1019</v>
      </c>
      <c r="BA70" s="1" t="s">
        <v>202</v>
      </c>
      <c r="BB70" s="1">
        <v>66.33</v>
      </c>
      <c r="BC70" s="1">
        <v>7.06</v>
      </c>
      <c r="BD70" s="1"/>
      <c r="BE70" s="1"/>
      <c r="BF70" s="1"/>
      <c r="BG70" s="1"/>
      <c r="BH70" s="1"/>
      <c r="BI70" s="1"/>
      <c r="BJ70" s="1" t="s">
        <v>1680</v>
      </c>
      <c r="BK70" s="1"/>
      <c r="BL70" s="1"/>
      <c r="BM70" s="1" t="s">
        <v>1681</v>
      </c>
      <c r="BN70" s="1">
        <v>27</v>
      </c>
      <c r="BO70" s="1"/>
      <c r="BP70" s="1" t="str">
        <f>HYPERLINK("https://nconnect.nicmar.ac.in/storage/profile/6a64976dc8482.png","Download")</f>
        <v>0</v>
      </c>
      <c r="BQ70" s="3"/>
      <c r="BR70" s="3"/>
    </row>
    <row r="71" spans="1:70">
      <c r="A71" s="1" t="s">
        <v>70</v>
      </c>
      <c r="B71" s="1" t="s">
        <v>441</v>
      </c>
      <c r="C71" s="1" t="s">
        <v>1682</v>
      </c>
      <c r="D71" s="1" t="s">
        <v>1683</v>
      </c>
      <c r="E71" s="1"/>
      <c r="F71" s="1" t="s">
        <v>1684</v>
      </c>
      <c r="G71" s="1" t="s">
        <v>1685</v>
      </c>
      <c r="H71" s="1" t="s">
        <v>1686</v>
      </c>
      <c r="I71" s="1" t="s">
        <v>1687</v>
      </c>
      <c r="J71" s="1">
        <v>8135049350</v>
      </c>
      <c r="K71" s="1" t="s">
        <v>148</v>
      </c>
      <c r="L71" s="1" t="s">
        <v>1688</v>
      </c>
      <c r="M71" s="1" t="s">
        <v>81</v>
      </c>
      <c r="N71" s="1" t="s">
        <v>1689</v>
      </c>
      <c r="O71" s="1"/>
      <c r="P71" s="1" t="s">
        <v>450</v>
      </c>
      <c r="Q71" s="1" t="s">
        <v>1690</v>
      </c>
      <c r="R71" s="1" t="s">
        <v>1691</v>
      </c>
      <c r="S71" s="1">
        <v>9435038726</v>
      </c>
      <c r="T71" s="1" t="s">
        <v>820</v>
      </c>
      <c r="U71" s="1" t="s">
        <v>1692</v>
      </c>
      <c r="V71" s="1">
        <v>9954414709</v>
      </c>
      <c r="W71" s="1" t="s">
        <v>156</v>
      </c>
      <c r="X71" s="1" t="s">
        <v>1693</v>
      </c>
      <c r="Y71" s="1" t="s">
        <v>1694</v>
      </c>
      <c r="Z71" s="1" t="s">
        <v>1533</v>
      </c>
      <c r="AA71" s="1" t="s">
        <v>1693</v>
      </c>
      <c r="AB71" s="1" t="s">
        <v>1694</v>
      </c>
      <c r="AC71" s="1" t="s">
        <v>1533</v>
      </c>
      <c r="AD71" s="1">
        <v>8.46</v>
      </c>
      <c r="AE71" s="1" t="s">
        <v>93</v>
      </c>
      <c r="AF71" s="1" t="s">
        <v>1695</v>
      </c>
      <c r="AG71" s="1" t="s">
        <v>1696</v>
      </c>
      <c r="AH71" s="1" t="s">
        <v>279</v>
      </c>
      <c r="AI71" s="1" t="s">
        <v>165</v>
      </c>
      <c r="AJ71" s="1">
        <v>93.1</v>
      </c>
      <c r="AK71" s="1">
        <v>9.8</v>
      </c>
      <c r="AL71" s="1" t="s">
        <v>1695</v>
      </c>
      <c r="AM71" s="1" t="s">
        <v>1696</v>
      </c>
      <c r="AN71" s="1" t="s">
        <v>481</v>
      </c>
      <c r="AO71" s="1" t="s">
        <v>308</v>
      </c>
      <c r="AP71" s="1">
        <v>71.4</v>
      </c>
      <c r="AQ71" s="1"/>
      <c r="AR71" s="1"/>
      <c r="AS71" s="1"/>
      <c r="AT71" s="1"/>
      <c r="AU71" s="1"/>
      <c r="AV71" s="1"/>
      <c r="AW71" s="1"/>
      <c r="AX71" s="1" t="s">
        <v>1697</v>
      </c>
      <c r="AY71" s="1" t="s">
        <v>1698</v>
      </c>
      <c r="AZ71" s="1" t="s">
        <v>310</v>
      </c>
      <c r="BA71" s="1" t="s">
        <v>386</v>
      </c>
      <c r="BB71" s="1">
        <v>81.7</v>
      </c>
      <c r="BC71" s="1">
        <v>8.17</v>
      </c>
      <c r="BD71" s="1"/>
      <c r="BE71" s="1"/>
      <c r="BF71" s="1"/>
      <c r="BG71" s="1"/>
      <c r="BH71" s="1"/>
      <c r="BI71" s="1"/>
      <c r="BJ71" s="1" t="s">
        <v>1699</v>
      </c>
      <c r="BK71" s="1"/>
      <c r="BL71" s="1"/>
      <c r="BM71" s="1" t="s">
        <v>1700</v>
      </c>
      <c r="BN71" s="1">
        <v>11</v>
      </c>
      <c r="BO71" s="1"/>
      <c r="BP71" s="1" t="str">
        <f>HYPERLINK("https://nconnect.nicmar.ac.in/storage/profile/ProfilePhoto_P25700049_267981.jpg","Download")</f>
        <v>0</v>
      </c>
      <c r="BQ71" s="3"/>
      <c r="BR71" s="3"/>
    </row>
    <row r="72" spans="1:70">
      <c r="A72" s="1" t="s">
        <v>70</v>
      </c>
      <c r="B72" s="1" t="s">
        <v>441</v>
      </c>
      <c r="C72" s="1" t="s">
        <v>1701</v>
      </c>
      <c r="D72" s="1" t="s">
        <v>1702</v>
      </c>
      <c r="E72" s="1"/>
      <c r="F72" s="1" t="s">
        <v>1703</v>
      </c>
      <c r="G72" s="1" t="s">
        <v>1704</v>
      </c>
      <c r="H72" s="1" t="s">
        <v>1705</v>
      </c>
      <c r="I72" s="1" t="s">
        <v>1706</v>
      </c>
      <c r="J72" s="1">
        <v>9953867449</v>
      </c>
      <c r="K72" s="1" t="s">
        <v>148</v>
      </c>
      <c r="L72" s="1" t="s">
        <v>1707</v>
      </c>
      <c r="M72" s="1" t="s">
        <v>81</v>
      </c>
      <c r="N72" s="1" t="s">
        <v>1708</v>
      </c>
      <c r="O72" s="1"/>
      <c r="P72" s="1" t="s">
        <v>472</v>
      </c>
      <c r="Q72" s="1" t="s">
        <v>1709</v>
      </c>
      <c r="R72" s="1" t="s">
        <v>1710</v>
      </c>
      <c r="S72" s="1">
        <v>9873002807</v>
      </c>
      <c r="T72" s="1" t="s">
        <v>820</v>
      </c>
      <c r="U72" s="1" t="s">
        <v>1711</v>
      </c>
      <c r="V72" s="1">
        <v>9953205356</v>
      </c>
      <c r="W72" s="1" t="s">
        <v>156</v>
      </c>
      <c r="X72" s="1" t="s">
        <v>1712</v>
      </c>
      <c r="Y72" s="1" t="s">
        <v>1713</v>
      </c>
      <c r="Z72" s="1" t="s">
        <v>1714</v>
      </c>
      <c r="AA72" s="1" t="s">
        <v>1712</v>
      </c>
      <c r="AB72" s="1" t="s">
        <v>1713</v>
      </c>
      <c r="AC72" s="1" t="s">
        <v>1714</v>
      </c>
      <c r="AD72" s="1">
        <v>8.56</v>
      </c>
      <c r="AE72" s="1" t="s">
        <v>93</v>
      </c>
      <c r="AF72" s="1" t="s">
        <v>1715</v>
      </c>
      <c r="AG72" s="1" t="s">
        <v>1716</v>
      </c>
      <c r="AH72" s="1" t="s">
        <v>1088</v>
      </c>
      <c r="AI72" s="1" t="s">
        <v>614</v>
      </c>
      <c r="AJ72" s="1">
        <v>85.5</v>
      </c>
      <c r="AK72" s="1">
        <v>9</v>
      </c>
      <c r="AL72" s="1" t="s">
        <v>1715</v>
      </c>
      <c r="AM72" s="1" t="s">
        <v>1716</v>
      </c>
      <c r="AN72" s="1" t="s">
        <v>689</v>
      </c>
      <c r="AO72" s="1" t="s">
        <v>166</v>
      </c>
      <c r="AP72" s="1">
        <v>74.9</v>
      </c>
      <c r="AQ72" s="1"/>
      <c r="AR72" s="1"/>
      <c r="AS72" s="1"/>
      <c r="AT72" s="1"/>
      <c r="AU72" s="1"/>
      <c r="AV72" s="1"/>
      <c r="AW72" s="1"/>
      <c r="AX72" s="1" t="s">
        <v>1717</v>
      </c>
      <c r="AY72" s="1" t="s">
        <v>1718</v>
      </c>
      <c r="AZ72" s="1" t="s">
        <v>1043</v>
      </c>
      <c r="BA72" s="1" t="s">
        <v>174</v>
      </c>
      <c r="BB72" s="1">
        <v>73.88</v>
      </c>
      <c r="BC72" s="1">
        <v>7.52</v>
      </c>
      <c r="BD72" s="1"/>
      <c r="BE72" s="1"/>
      <c r="BF72" s="1"/>
      <c r="BG72" s="1"/>
      <c r="BH72" s="1"/>
      <c r="BI72" s="1"/>
      <c r="BJ72" s="1" t="s">
        <v>1719</v>
      </c>
      <c r="BK72" s="1" t="s">
        <v>1720</v>
      </c>
      <c r="BL72" s="1" t="s">
        <v>741</v>
      </c>
      <c r="BM72" s="1" t="s">
        <v>1721</v>
      </c>
      <c r="BN72" s="1">
        <v>24</v>
      </c>
      <c r="BO72" s="1" t="s">
        <v>1722</v>
      </c>
      <c r="BP72" s="1" t="str">
        <f>HYPERLINK("https://nconnect.nicmar.ac.in/storage/profile/ProfilePhoto_P25700050_627491.jpg","Download")</f>
        <v>0</v>
      </c>
      <c r="BQ72" s="3"/>
      <c r="BR72" s="3"/>
    </row>
    <row r="73" spans="1:70">
      <c r="A73" s="1" t="s">
        <v>70</v>
      </c>
      <c r="B73" s="1" t="s">
        <v>441</v>
      </c>
      <c r="C73" s="1" t="s">
        <v>1723</v>
      </c>
      <c r="D73" s="1" t="s">
        <v>1724</v>
      </c>
      <c r="E73" s="1" t="s">
        <v>1725</v>
      </c>
      <c r="F73" s="1" t="s">
        <v>1726</v>
      </c>
      <c r="G73" s="1" t="s">
        <v>1727</v>
      </c>
      <c r="H73" s="1" t="s">
        <v>1728</v>
      </c>
      <c r="I73" s="1" t="s">
        <v>1729</v>
      </c>
      <c r="J73" s="1">
        <v>8766820151</v>
      </c>
      <c r="K73" s="1" t="s">
        <v>148</v>
      </c>
      <c r="L73" s="1" t="s">
        <v>1730</v>
      </c>
      <c r="M73" s="1" t="s">
        <v>81</v>
      </c>
      <c r="N73" s="1" t="s">
        <v>1140</v>
      </c>
      <c r="O73" s="1"/>
      <c r="P73" s="1" t="s">
        <v>497</v>
      </c>
      <c r="Q73" s="1" t="s">
        <v>1731</v>
      </c>
      <c r="R73" s="1" t="s">
        <v>1732</v>
      </c>
      <c r="S73" s="1">
        <v>9423461680</v>
      </c>
      <c r="T73" s="1" t="s">
        <v>1733</v>
      </c>
      <c r="U73" s="1" t="s">
        <v>1734</v>
      </c>
      <c r="V73" s="1">
        <v>9423783625</v>
      </c>
      <c r="W73" s="1" t="s">
        <v>89</v>
      </c>
      <c r="X73" s="1" t="s">
        <v>1735</v>
      </c>
      <c r="Y73" s="1" t="s">
        <v>890</v>
      </c>
      <c r="Z73" s="1" t="s">
        <v>92</v>
      </c>
      <c r="AA73" s="1" t="s">
        <v>1735</v>
      </c>
      <c r="AB73" s="1" t="s">
        <v>890</v>
      </c>
      <c r="AC73" s="1" t="s">
        <v>92</v>
      </c>
      <c r="AD73" s="1">
        <v>8.31</v>
      </c>
      <c r="AE73" s="1" t="s">
        <v>93</v>
      </c>
      <c r="AF73" s="1" t="s">
        <v>1736</v>
      </c>
      <c r="AG73" s="1" t="s">
        <v>1737</v>
      </c>
      <c r="AH73" s="1" t="s">
        <v>689</v>
      </c>
      <c r="AI73" s="1" t="s">
        <v>166</v>
      </c>
      <c r="AJ73" s="1">
        <v>81.6</v>
      </c>
      <c r="AK73" s="1"/>
      <c r="AL73" s="1"/>
      <c r="AM73" s="1"/>
      <c r="AN73" s="1"/>
      <c r="AO73" s="1"/>
      <c r="AP73" s="1"/>
      <c r="AQ73" s="1"/>
      <c r="AR73" s="1" t="s">
        <v>434</v>
      </c>
      <c r="AS73" s="1" t="s">
        <v>1738</v>
      </c>
      <c r="AT73" s="1" t="s">
        <v>169</v>
      </c>
      <c r="AU73" s="1" t="s">
        <v>436</v>
      </c>
      <c r="AV73" s="1">
        <v>93.05</v>
      </c>
      <c r="AW73" s="1"/>
      <c r="AX73" s="1" t="s">
        <v>1739</v>
      </c>
      <c r="AY73" s="1" t="s">
        <v>1739</v>
      </c>
      <c r="AZ73" s="1" t="s">
        <v>539</v>
      </c>
      <c r="BA73" s="1" t="s">
        <v>202</v>
      </c>
      <c r="BB73" s="1">
        <v>80.2</v>
      </c>
      <c r="BC73" s="1">
        <v>8.77</v>
      </c>
      <c r="BD73" s="1"/>
      <c r="BE73" s="1"/>
      <c r="BF73" s="1"/>
      <c r="BG73" s="1"/>
      <c r="BH73" s="1"/>
      <c r="BI73" s="1"/>
      <c r="BJ73" s="1" t="s">
        <v>1740</v>
      </c>
      <c r="BK73" s="1"/>
      <c r="BL73" s="1"/>
      <c r="BM73" s="1" t="s">
        <v>1741</v>
      </c>
      <c r="BN73" s="1">
        <v>51</v>
      </c>
      <c r="BO73" s="1" t="s">
        <v>1742</v>
      </c>
      <c r="BP73" s="1" t="str">
        <f>HYPERLINK("https://nconnect.nicmar.ac.in/storage/profile/ProfilePhoto_P25700051_624359.jpg","Download")</f>
        <v>0</v>
      </c>
      <c r="BQ73" s="3"/>
      <c r="BR73" s="3"/>
    </row>
    <row r="74" spans="1:70">
      <c r="A74" s="1" t="s">
        <v>70</v>
      </c>
      <c r="B74" s="1" t="s">
        <v>441</v>
      </c>
      <c r="C74" s="1" t="s">
        <v>1743</v>
      </c>
      <c r="D74" s="1" t="s">
        <v>1744</v>
      </c>
      <c r="E74" s="1"/>
      <c r="F74" s="1" t="s">
        <v>1745</v>
      </c>
      <c r="G74" s="1" t="s">
        <v>1746</v>
      </c>
      <c r="H74" s="1" t="s">
        <v>1747</v>
      </c>
      <c r="I74" s="1" t="s">
        <v>1748</v>
      </c>
      <c r="J74" s="1">
        <v>7887567049</v>
      </c>
      <c r="K74" s="1" t="s">
        <v>79</v>
      </c>
      <c r="L74" s="1" t="s">
        <v>1749</v>
      </c>
      <c r="M74" s="1" t="s">
        <v>81</v>
      </c>
      <c r="N74" s="1" t="s">
        <v>1140</v>
      </c>
      <c r="O74" s="1"/>
      <c r="P74" s="1" t="s">
        <v>497</v>
      </c>
      <c r="Q74" s="1" t="s">
        <v>1750</v>
      </c>
      <c r="R74" s="1" t="s">
        <v>1751</v>
      </c>
      <c r="S74" s="1">
        <v>7424005005</v>
      </c>
      <c r="T74" s="1" t="s">
        <v>820</v>
      </c>
      <c r="U74" s="1" t="s">
        <v>1752</v>
      </c>
      <c r="V74" s="1">
        <v>8850223501</v>
      </c>
      <c r="W74" s="1" t="s">
        <v>156</v>
      </c>
      <c r="X74" s="1" t="s">
        <v>1753</v>
      </c>
      <c r="Y74" s="1" t="s">
        <v>1754</v>
      </c>
      <c r="Z74" s="1" t="s">
        <v>92</v>
      </c>
      <c r="AA74" s="1" t="s">
        <v>1753</v>
      </c>
      <c r="AB74" s="1" t="s">
        <v>1754</v>
      </c>
      <c r="AC74" s="1" t="s">
        <v>92</v>
      </c>
      <c r="AD74" s="1">
        <v>7.48</v>
      </c>
      <c r="AE74" s="1" t="s">
        <v>93</v>
      </c>
      <c r="AF74" s="1" t="s">
        <v>1755</v>
      </c>
      <c r="AG74" s="1" t="s">
        <v>616</v>
      </c>
      <c r="AH74" s="1" t="s">
        <v>162</v>
      </c>
      <c r="AI74" s="1" t="s">
        <v>689</v>
      </c>
      <c r="AJ74" s="1">
        <v>85.4</v>
      </c>
      <c r="AK74" s="1"/>
      <c r="AL74" s="1" t="s">
        <v>1756</v>
      </c>
      <c r="AM74" s="1" t="s">
        <v>616</v>
      </c>
      <c r="AN74" s="1" t="s">
        <v>101</v>
      </c>
      <c r="AO74" s="1" t="s">
        <v>537</v>
      </c>
      <c r="AP74" s="1">
        <v>60.31</v>
      </c>
      <c r="AQ74" s="1"/>
      <c r="AR74" s="1"/>
      <c r="AS74" s="1"/>
      <c r="AT74" s="1"/>
      <c r="AU74" s="1"/>
      <c r="AV74" s="1"/>
      <c r="AW74" s="1"/>
      <c r="AX74" s="1" t="s">
        <v>361</v>
      </c>
      <c r="AY74" s="1" t="s">
        <v>1757</v>
      </c>
      <c r="AZ74" s="1" t="s">
        <v>310</v>
      </c>
      <c r="BA74" s="1" t="s">
        <v>229</v>
      </c>
      <c r="BB74" s="1">
        <v>71.12</v>
      </c>
      <c r="BC74" s="1">
        <v>7.69</v>
      </c>
      <c r="BD74" s="1"/>
      <c r="BE74" s="1"/>
      <c r="BF74" s="1"/>
      <c r="BG74" s="1"/>
      <c r="BH74" s="1"/>
      <c r="BI74" s="1"/>
      <c r="BJ74" s="1" t="s">
        <v>1758</v>
      </c>
      <c r="BK74" s="1" t="s">
        <v>1759</v>
      </c>
      <c r="BL74" s="1" t="s">
        <v>741</v>
      </c>
      <c r="BM74" s="1" t="s">
        <v>1760</v>
      </c>
      <c r="BN74" s="1">
        <v>4</v>
      </c>
      <c r="BO74" s="1"/>
      <c r="BP74" s="1" t="str">
        <f>HYPERLINK("https://nconnect.nicmar.ac.in/storage/profile/ProfilePhoto_P25700052_698342.jpg","Download")</f>
        <v>0</v>
      </c>
      <c r="BQ74" s="3"/>
      <c r="BR74" s="3"/>
    </row>
    <row r="75" spans="1:70">
      <c r="A75" s="1" t="s">
        <v>70</v>
      </c>
      <c r="B75" s="1" t="s">
        <v>441</v>
      </c>
      <c r="C75" s="1" t="s">
        <v>1761</v>
      </c>
      <c r="D75" s="1" t="s">
        <v>1762</v>
      </c>
      <c r="E75" s="1" t="s">
        <v>1763</v>
      </c>
      <c r="F75" s="1" t="s">
        <v>1764</v>
      </c>
      <c r="G75" s="1" t="s">
        <v>1765</v>
      </c>
      <c r="H75" s="1" t="s">
        <v>1766</v>
      </c>
      <c r="I75" s="1" t="s">
        <v>1767</v>
      </c>
      <c r="J75" s="1">
        <v>8888523957</v>
      </c>
      <c r="K75" s="1" t="s">
        <v>79</v>
      </c>
      <c r="L75" s="1" t="s">
        <v>1768</v>
      </c>
      <c r="M75" s="1" t="s">
        <v>81</v>
      </c>
      <c r="N75" s="1" t="s">
        <v>1769</v>
      </c>
      <c r="O75" s="1"/>
      <c r="P75" s="1" t="s">
        <v>450</v>
      </c>
      <c r="Q75" s="1" t="s">
        <v>1770</v>
      </c>
      <c r="R75" s="1" t="s">
        <v>1763</v>
      </c>
      <c r="S75" s="1">
        <v>9665747901</v>
      </c>
      <c r="T75" s="1" t="s">
        <v>434</v>
      </c>
      <c r="U75" s="1" t="s">
        <v>1771</v>
      </c>
      <c r="V75" s="1">
        <v>8888523957</v>
      </c>
      <c r="W75" s="1" t="s">
        <v>156</v>
      </c>
      <c r="X75" s="1" t="s">
        <v>1772</v>
      </c>
      <c r="Y75" s="1" t="s">
        <v>1122</v>
      </c>
      <c r="Z75" s="1" t="s">
        <v>92</v>
      </c>
      <c r="AA75" s="1" t="s">
        <v>1772</v>
      </c>
      <c r="AB75" s="1" t="s">
        <v>1122</v>
      </c>
      <c r="AC75" s="1" t="s">
        <v>92</v>
      </c>
      <c r="AD75" s="1">
        <v>8.46</v>
      </c>
      <c r="AE75" s="1" t="s">
        <v>93</v>
      </c>
      <c r="AF75" s="1" t="s">
        <v>1773</v>
      </c>
      <c r="AG75" s="1" t="s">
        <v>1774</v>
      </c>
      <c r="AH75" s="1" t="s">
        <v>100</v>
      </c>
      <c r="AI75" s="1" t="s">
        <v>433</v>
      </c>
      <c r="AJ75" s="1">
        <v>86.2</v>
      </c>
      <c r="AK75" s="1"/>
      <c r="AL75" s="1"/>
      <c r="AM75" s="1"/>
      <c r="AN75" s="1"/>
      <c r="AO75" s="1"/>
      <c r="AP75" s="1"/>
      <c r="AQ75" s="1"/>
      <c r="AR75" s="1" t="s">
        <v>434</v>
      </c>
      <c r="AS75" s="1" t="s">
        <v>1775</v>
      </c>
      <c r="AT75" s="1" t="s">
        <v>201</v>
      </c>
      <c r="AU75" s="1" t="s">
        <v>1378</v>
      </c>
      <c r="AV75" s="1">
        <v>89.11</v>
      </c>
      <c r="AW75" s="1"/>
      <c r="AX75" s="1" t="s">
        <v>361</v>
      </c>
      <c r="AY75" s="1" t="s">
        <v>1776</v>
      </c>
      <c r="AZ75" s="1" t="s">
        <v>1777</v>
      </c>
      <c r="BA75" s="1" t="s">
        <v>1778</v>
      </c>
      <c r="BB75" s="1">
        <v>83.48</v>
      </c>
      <c r="BC75" s="1">
        <v>9.04</v>
      </c>
      <c r="BD75" s="1"/>
      <c r="BE75" s="1"/>
      <c r="BF75" s="1"/>
      <c r="BG75" s="1"/>
      <c r="BH75" s="1"/>
      <c r="BI75" s="1"/>
      <c r="BJ75" s="1" t="s">
        <v>1779</v>
      </c>
      <c r="BK75" s="1"/>
      <c r="BL75" s="1"/>
      <c r="BM75" s="1" t="s">
        <v>1780</v>
      </c>
      <c r="BN75" s="1">
        <v>25</v>
      </c>
      <c r="BO75" s="1"/>
      <c r="BP75" s="1" t="str">
        <f>HYPERLINK("https://nconnect.nicmar.ac.in/storage/profile/ProfilePhoto_P25700054_125897.jpg","Download")</f>
        <v>0</v>
      </c>
      <c r="BQ75" s="3"/>
      <c r="BR75" s="3"/>
    </row>
    <row r="76" spans="1:70">
      <c r="A76" s="1" t="s">
        <v>70</v>
      </c>
      <c r="B76" s="1" t="s">
        <v>441</v>
      </c>
      <c r="C76" s="1" t="s">
        <v>1781</v>
      </c>
      <c r="D76" s="1" t="s">
        <v>1782</v>
      </c>
      <c r="E76" s="1"/>
      <c r="F76" s="1" t="s">
        <v>1783</v>
      </c>
      <c r="G76" s="1" t="s">
        <v>1784</v>
      </c>
      <c r="H76" s="1" t="s">
        <v>1785</v>
      </c>
      <c r="I76" s="1" t="s">
        <v>1786</v>
      </c>
      <c r="J76" s="1">
        <v>9959818087</v>
      </c>
      <c r="K76" s="1" t="s">
        <v>79</v>
      </c>
      <c r="L76" s="1" t="s">
        <v>1787</v>
      </c>
      <c r="M76" s="1" t="s">
        <v>81</v>
      </c>
      <c r="N76" s="1" t="s">
        <v>1788</v>
      </c>
      <c r="O76" s="1"/>
      <c r="P76" s="1" t="s">
        <v>450</v>
      </c>
      <c r="Q76" s="1" t="s">
        <v>1789</v>
      </c>
      <c r="R76" s="1" t="s">
        <v>1790</v>
      </c>
      <c r="S76" s="1">
        <v>8886281818</v>
      </c>
      <c r="T76" s="1" t="s">
        <v>1791</v>
      </c>
      <c r="U76" s="1" t="s">
        <v>1792</v>
      </c>
      <c r="V76" s="1">
        <v>9949325947</v>
      </c>
      <c r="W76" s="1" t="s">
        <v>273</v>
      </c>
      <c r="X76" s="1" t="s">
        <v>1793</v>
      </c>
      <c r="Y76" s="1" t="s">
        <v>1794</v>
      </c>
      <c r="Z76" s="1" t="s">
        <v>456</v>
      </c>
      <c r="AA76" s="1" t="s">
        <v>1793</v>
      </c>
      <c r="AB76" s="1" t="s">
        <v>1794</v>
      </c>
      <c r="AC76" s="1" t="s">
        <v>456</v>
      </c>
      <c r="AD76" s="1">
        <v>7.59</v>
      </c>
      <c r="AE76" s="1" t="s">
        <v>93</v>
      </c>
      <c r="AF76" s="1" t="s">
        <v>1795</v>
      </c>
      <c r="AG76" s="1" t="s">
        <v>1796</v>
      </c>
      <c r="AH76" s="1" t="s">
        <v>101</v>
      </c>
      <c r="AI76" s="1" t="s">
        <v>308</v>
      </c>
      <c r="AJ76" s="1">
        <v>69.2</v>
      </c>
      <c r="AK76" s="1">
        <v>7.28</v>
      </c>
      <c r="AL76" s="1"/>
      <c r="AM76" s="1"/>
      <c r="AN76" s="1"/>
      <c r="AO76" s="1"/>
      <c r="AP76" s="1"/>
      <c r="AQ76" s="1"/>
      <c r="AR76" s="1" t="s">
        <v>434</v>
      </c>
      <c r="AS76" s="1" t="s">
        <v>1797</v>
      </c>
      <c r="AT76" s="1" t="s">
        <v>433</v>
      </c>
      <c r="AU76" s="1" t="s">
        <v>619</v>
      </c>
      <c r="AV76" s="1">
        <v>64.9</v>
      </c>
      <c r="AW76" s="1">
        <v>6.99</v>
      </c>
      <c r="AX76" s="1" t="s">
        <v>1798</v>
      </c>
      <c r="AY76" s="1" t="s">
        <v>1799</v>
      </c>
      <c r="AZ76" s="1" t="s">
        <v>1800</v>
      </c>
      <c r="BA76" s="1" t="s">
        <v>1379</v>
      </c>
      <c r="BB76" s="1">
        <v>67.1</v>
      </c>
      <c r="BC76" s="1">
        <v>7.21</v>
      </c>
      <c r="BD76" s="1"/>
      <c r="BE76" s="1"/>
      <c r="BF76" s="1"/>
      <c r="BG76" s="1"/>
      <c r="BH76" s="1"/>
      <c r="BI76" s="1"/>
      <c r="BJ76" s="1" t="s">
        <v>1801</v>
      </c>
      <c r="BK76" s="1"/>
      <c r="BL76" s="1"/>
      <c r="BM76" s="1" t="s">
        <v>1802</v>
      </c>
      <c r="BN76" s="1">
        <v>8</v>
      </c>
      <c r="BO76" s="1" t="s">
        <v>1803</v>
      </c>
      <c r="BP76" s="1" t="str">
        <f>HYPERLINK("https://nconnect.nicmar.ac.in/storage/profile/ProfilePhoto_P25700055_381546.jpg","Download")</f>
        <v>0</v>
      </c>
      <c r="BQ76" s="3"/>
      <c r="BR76" s="3"/>
    </row>
    <row r="77" spans="1:70">
      <c r="A77" s="1" t="s">
        <v>70</v>
      </c>
      <c r="B77" s="1" t="s">
        <v>441</v>
      </c>
      <c r="C77" s="1" t="s">
        <v>1804</v>
      </c>
      <c r="D77" s="1" t="s">
        <v>1805</v>
      </c>
      <c r="E77" s="1" t="s">
        <v>1806</v>
      </c>
      <c r="F77" s="1" t="s">
        <v>1807</v>
      </c>
      <c r="G77" s="1" t="s">
        <v>1808</v>
      </c>
      <c r="H77" s="1" t="s">
        <v>1809</v>
      </c>
      <c r="I77" s="1" t="s">
        <v>1810</v>
      </c>
      <c r="J77" s="1">
        <v>7730891939</v>
      </c>
      <c r="K77" s="1" t="s">
        <v>79</v>
      </c>
      <c r="L77" s="1" t="s">
        <v>1811</v>
      </c>
      <c r="M77" s="1" t="s">
        <v>81</v>
      </c>
      <c r="N77" s="1" t="s">
        <v>1427</v>
      </c>
      <c r="O77" s="1"/>
      <c r="P77" s="1" t="s">
        <v>450</v>
      </c>
      <c r="Q77" s="1" t="s">
        <v>1812</v>
      </c>
      <c r="R77" s="1" t="s">
        <v>1813</v>
      </c>
      <c r="S77" s="1">
        <v>9980402789</v>
      </c>
      <c r="T77" s="1" t="s">
        <v>87</v>
      </c>
      <c r="U77" s="1" t="s">
        <v>1814</v>
      </c>
      <c r="V77" s="1">
        <v>8722238789</v>
      </c>
      <c r="W77" s="1" t="s">
        <v>156</v>
      </c>
      <c r="X77" s="1" t="s">
        <v>1815</v>
      </c>
      <c r="Y77" s="1" t="s">
        <v>1432</v>
      </c>
      <c r="Z77" s="1" t="s">
        <v>276</v>
      </c>
      <c r="AA77" s="1" t="s">
        <v>1815</v>
      </c>
      <c r="AB77" s="1" t="s">
        <v>1432</v>
      </c>
      <c r="AC77" s="1" t="s">
        <v>276</v>
      </c>
      <c r="AD77" s="1">
        <v>8.58</v>
      </c>
      <c r="AE77" s="1" t="s">
        <v>93</v>
      </c>
      <c r="AF77" s="1" t="s">
        <v>1816</v>
      </c>
      <c r="AG77" s="1" t="s">
        <v>1817</v>
      </c>
      <c r="AH77" s="1" t="s">
        <v>505</v>
      </c>
      <c r="AI77" s="1" t="s">
        <v>97</v>
      </c>
      <c r="AJ77" s="1">
        <v>62.7</v>
      </c>
      <c r="AK77" s="1">
        <v>6.6</v>
      </c>
      <c r="AL77" s="1" t="s">
        <v>1818</v>
      </c>
      <c r="AM77" s="1" t="s">
        <v>1819</v>
      </c>
      <c r="AN77" s="1" t="s">
        <v>1088</v>
      </c>
      <c r="AO77" s="1" t="s">
        <v>195</v>
      </c>
      <c r="AP77" s="1">
        <v>85.4</v>
      </c>
      <c r="AQ77" s="1"/>
      <c r="AR77" s="1"/>
      <c r="AS77" s="1"/>
      <c r="AT77" s="1"/>
      <c r="AU77" s="1"/>
      <c r="AV77" s="1"/>
      <c r="AW77" s="1"/>
      <c r="AX77" s="1" t="s">
        <v>1820</v>
      </c>
      <c r="AY77" s="1" t="s">
        <v>1821</v>
      </c>
      <c r="AZ77" s="1" t="s">
        <v>165</v>
      </c>
      <c r="BA77" s="1" t="s">
        <v>105</v>
      </c>
      <c r="BB77" s="1">
        <v>65.64</v>
      </c>
      <c r="BC77" s="1">
        <v>6.91</v>
      </c>
      <c r="BD77" s="1"/>
      <c r="BE77" s="1"/>
      <c r="BF77" s="1"/>
      <c r="BG77" s="1"/>
      <c r="BH77" s="1"/>
      <c r="BI77" s="1"/>
      <c r="BJ77" s="1" t="s">
        <v>1822</v>
      </c>
      <c r="BK77" s="1" t="s">
        <v>1823</v>
      </c>
      <c r="BL77" s="1" t="s">
        <v>1824</v>
      </c>
      <c r="BM77" s="1" t="s">
        <v>1825</v>
      </c>
      <c r="BN77" s="1">
        <v>8</v>
      </c>
      <c r="BO77" s="1"/>
      <c r="BP77" s="1" t="str">
        <f>HYPERLINK("https://nconnect.nicmar.ac.in/storage/profile/ProfilePhoto_P25700056_462197.jpg","Download")</f>
        <v>0</v>
      </c>
      <c r="BQ77" s="3"/>
      <c r="BR77" s="3"/>
    </row>
    <row r="78" spans="1:70">
      <c r="A78" s="1" t="s">
        <v>70</v>
      </c>
      <c r="B78" s="1" t="s">
        <v>441</v>
      </c>
      <c r="C78" s="1" t="s">
        <v>1826</v>
      </c>
      <c r="D78" s="1" t="s">
        <v>1827</v>
      </c>
      <c r="E78" s="1"/>
      <c r="F78" s="1" t="s">
        <v>1828</v>
      </c>
      <c r="G78" s="1" t="s">
        <v>1829</v>
      </c>
      <c r="H78" s="1" t="s">
        <v>1830</v>
      </c>
      <c r="I78" s="1" t="s">
        <v>1831</v>
      </c>
      <c r="J78" s="1">
        <v>8610373247</v>
      </c>
      <c r="K78" s="1" t="s">
        <v>79</v>
      </c>
      <c r="L78" s="1" t="s">
        <v>1832</v>
      </c>
      <c r="M78" s="1" t="s">
        <v>81</v>
      </c>
      <c r="N78" s="1" t="s">
        <v>1833</v>
      </c>
      <c r="O78" s="1"/>
      <c r="P78" s="1" t="s">
        <v>450</v>
      </c>
      <c r="Q78" s="1" t="s">
        <v>1834</v>
      </c>
      <c r="R78" s="1" t="s">
        <v>1835</v>
      </c>
      <c r="S78" s="1">
        <v>9894903888</v>
      </c>
      <c r="T78" s="1" t="s">
        <v>1836</v>
      </c>
      <c r="U78" s="1" t="s">
        <v>1837</v>
      </c>
      <c r="V78" s="1">
        <v>8610206901</v>
      </c>
      <c r="W78" s="1" t="s">
        <v>156</v>
      </c>
      <c r="X78" s="1" t="s">
        <v>1838</v>
      </c>
      <c r="Y78" s="1" t="s">
        <v>1839</v>
      </c>
      <c r="Z78" s="1" t="s">
        <v>559</v>
      </c>
      <c r="AA78" s="1" t="s">
        <v>1838</v>
      </c>
      <c r="AB78" s="1" t="s">
        <v>1839</v>
      </c>
      <c r="AC78" s="1" t="s">
        <v>559</v>
      </c>
      <c r="AD78" s="1">
        <v>9.19</v>
      </c>
      <c r="AE78" s="1" t="s">
        <v>93</v>
      </c>
      <c r="AF78" s="1" t="s">
        <v>1840</v>
      </c>
      <c r="AG78" s="1" t="s">
        <v>1841</v>
      </c>
      <c r="AH78" s="1" t="s">
        <v>166</v>
      </c>
      <c r="AI78" s="1" t="s">
        <v>409</v>
      </c>
      <c r="AJ78" s="1">
        <v>87.8</v>
      </c>
      <c r="AK78" s="1"/>
      <c r="AL78" s="1" t="s">
        <v>1840</v>
      </c>
      <c r="AM78" s="1" t="s">
        <v>1841</v>
      </c>
      <c r="AN78" s="1" t="s">
        <v>956</v>
      </c>
      <c r="AO78" s="1" t="s">
        <v>826</v>
      </c>
      <c r="AP78" s="1">
        <v>90.14</v>
      </c>
      <c r="AQ78" s="1"/>
      <c r="AR78" s="1"/>
      <c r="AS78" s="1"/>
      <c r="AT78" s="1"/>
      <c r="AU78" s="1"/>
      <c r="AV78" s="1"/>
      <c r="AW78" s="1"/>
      <c r="AX78" s="1" t="s">
        <v>1842</v>
      </c>
      <c r="AY78" s="1" t="s">
        <v>1843</v>
      </c>
      <c r="AZ78" s="1" t="s">
        <v>135</v>
      </c>
      <c r="BA78" s="1" t="s">
        <v>594</v>
      </c>
      <c r="BB78" s="1">
        <v>90.9</v>
      </c>
      <c r="BC78" s="1">
        <v>9.08</v>
      </c>
      <c r="BD78" s="1"/>
      <c r="BE78" s="1"/>
      <c r="BF78" s="1"/>
      <c r="BG78" s="1"/>
      <c r="BH78" s="1"/>
      <c r="BI78" s="1"/>
      <c r="BJ78" s="1" t="s">
        <v>567</v>
      </c>
      <c r="BK78" s="1"/>
      <c r="BL78" s="1"/>
      <c r="BM78" s="1" t="s">
        <v>1844</v>
      </c>
      <c r="BN78" s="1">
        <v>13</v>
      </c>
      <c r="BO78" s="1"/>
      <c r="BP78" s="1" t="str">
        <f>HYPERLINK("https://nconnect.nicmar.ac.in/storage/profile/ProfilePhoto_P25700057_983714.jpg","Download")</f>
        <v>0</v>
      </c>
      <c r="BQ78" s="3"/>
      <c r="BR78" s="3"/>
    </row>
    <row r="79" spans="1:70">
      <c r="A79" s="1" t="s">
        <v>70</v>
      </c>
      <c r="B79" s="1" t="s">
        <v>441</v>
      </c>
      <c r="C79" s="1" t="s">
        <v>1845</v>
      </c>
      <c r="D79" s="1" t="s">
        <v>1846</v>
      </c>
      <c r="E79" s="1" t="s">
        <v>110</v>
      </c>
      <c r="F79" s="1" t="s">
        <v>1847</v>
      </c>
      <c r="G79" s="1" t="s">
        <v>1848</v>
      </c>
      <c r="H79" s="1" t="s">
        <v>1849</v>
      </c>
      <c r="I79" s="1" t="s">
        <v>1850</v>
      </c>
      <c r="J79" s="1">
        <v>7039897949</v>
      </c>
      <c r="K79" s="1" t="s">
        <v>148</v>
      </c>
      <c r="L79" s="1" t="s">
        <v>1851</v>
      </c>
      <c r="M79" s="1" t="s">
        <v>81</v>
      </c>
      <c r="N79" s="1" t="s">
        <v>1852</v>
      </c>
      <c r="O79" s="1"/>
      <c r="P79" s="1" t="s">
        <v>497</v>
      </c>
      <c r="Q79" s="1" t="s">
        <v>1853</v>
      </c>
      <c r="R79" s="1" t="s">
        <v>1854</v>
      </c>
      <c r="S79" s="1">
        <v>8691903888</v>
      </c>
      <c r="T79" s="1" t="s">
        <v>632</v>
      </c>
      <c r="U79" s="1" t="s">
        <v>1855</v>
      </c>
      <c r="V79" s="1">
        <v>8433836449</v>
      </c>
      <c r="W79" s="1" t="s">
        <v>273</v>
      </c>
      <c r="X79" s="1" t="s">
        <v>1856</v>
      </c>
      <c r="Y79" s="1" t="s">
        <v>1857</v>
      </c>
      <c r="Z79" s="1" t="s">
        <v>92</v>
      </c>
      <c r="AA79" s="1" t="s">
        <v>1856</v>
      </c>
      <c r="AB79" s="1" t="s">
        <v>1857</v>
      </c>
      <c r="AC79" s="1" t="s">
        <v>92</v>
      </c>
      <c r="AD79" s="1">
        <v>8.02</v>
      </c>
      <c r="AE79" s="1" t="s">
        <v>93</v>
      </c>
      <c r="AF79" s="1" t="s">
        <v>1858</v>
      </c>
      <c r="AG79" s="1" t="s">
        <v>1859</v>
      </c>
      <c r="AH79" s="1" t="s">
        <v>165</v>
      </c>
      <c r="AI79" s="1" t="s">
        <v>281</v>
      </c>
      <c r="AJ79" s="1">
        <v>74.4</v>
      </c>
      <c r="AK79" s="1"/>
      <c r="AL79" s="1"/>
      <c r="AM79" s="1"/>
      <c r="AN79" s="1"/>
      <c r="AO79" s="1"/>
      <c r="AP79" s="1"/>
      <c r="AQ79" s="1"/>
      <c r="AR79" s="1" t="s">
        <v>434</v>
      </c>
      <c r="AS79" s="1" t="s">
        <v>1860</v>
      </c>
      <c r="AT79" s="1" t="s">
        <v>310</v>
      </c>
      <c r="AU79" s="1" t="s">
        <v>1861</v>
      </c>
      <c r="AV79" s="1">
        <v>74.05</v>
      </c>
      <c r="AW79" s="1"/>
      <c r="AX79" s="1" t="s">
        <v>1862</v>
      </c>
      <c r="AY79" s="1" t="s">
        <v>1863</v>
      </c>
      <c r="AZ79" s="1" t="s">
        <v>1864</v>
      </c>
      <c r="BA79" s="1" t="s">
        <v>1379</v>
      </c>
      <c r="BB79" s="1">
        <v>69.6</v>
      </c>
      <c r="BC79" s="1">
        <v>6.96</v>
      </c>
      <c r="BD79" s="1"/>
      <c r="BE79" s="1"/>
      <c r="BF79" s="1"/>
      <c r="BG79" s="1"/>
      <c r="BH79" s="1"/>
      <c r="BI79" s="1"/>
      <c r="BJ79" s="1" t="s">
        <v>1822</v>
      </c>
      <c r="BK79" s="1"/>
      <c r="BL79" s="1"/>
      <c r="BM79" s="1" t="s">
        <v>1865</v>
      </c>
      <c r="BN79" s="1">
        <v>4</v>
      </c>
      <c r="BO79" s="1"/>
      <c r="BP79" s="1" t="str">
        <f>HYPERLINK("https://nconnect.nicmar.ac.in/storage/profile/ProfilePhoto_P25700058_548397.jpg","Download")</f>
        <v>0</v>
      </c>
      <c r="BQ79" s="3"/>
      <c r="BR79" s="3"/>
    </row>
    <row r="80" spans="1:70">
      <c r="A80" s="1" t="s">
        <v>70</v>
      </c>
      <c r="B80" s="1" t="s">
        <v>441</v>
      </c>
      <c r="C80" s="1" t="s">
        <v>1866</v>
      </c>
      <c r="D80" s="1" t="s">
        <v>1867</v>
      </c>
      <c r="E80" s="1" t="s">
        <v>1096</v>
      </c>
      <c r="F80" s="1" t="s">
        <v>1868</v>
      </c>
      <c r="G80" s="1" t="s">
        <v>1869</v>
      </c>
      <c r="H80" s="1" t="s">
        <v>1870</v>
      </c>
      <c r="I80" s="1" t="s">
        <v>1871</v>
      </c>
      <c r="J80" s="1">
        <v>7448124649</v>
      </c>
      <c r="K80" s="1" t="s">
        <v>79</v>
      </c>
      <c r="L80" s="1" t="s">
        <v>1872</v>
      </c>
      <c r="M80" s="1" t="s">
        <v>81</v>
      </c>
      <c r="N80" s="1" t="s">
        <v>605</v>
      </c>
      <c r="O80" s="1"/>
      <c r="P80" s="1" t="s">
        <v>497</v>
      </c>
      <c r="Q80" s="1" t="s">
        <v>1873</v>
      </c>
      <c r="R80" s="1" t="s">
        <v>1096</v>
      </c>
      <c r="S80" s="1">
        <v>9371793553</v>
      </c>
      <c r="T80" s="1" t="s">
        <v>122</v>
      </c>
      <c r="U80" s="1" t="s">
        <v>1874</v>
      </c>
      <c r="V80" s="1">
        <v>8087463553</v>
      </c>
      <c r="W80" s="1" t="s">
        <v>89</v>
      </c>
      <c r="X80" s="1" t="s">
        <v>1875</v>
      </c>
      <c r="Y80" s="1" t="s">
        <v>1754</v>
      </c>
      <c r="Z80" s="1" t="s">
        <v>92</v>
      </c>
      <c r="AA80" s="1" t="s">
        <v>1876</v>
      </c>
      <c r="AB80" s="1" t="s">
        <v>1754</v>
      </c>
      <c r="AC80" s="1" t="s">
        <v>92</v>
      </c>
      <c r="AD80" s="1">
        <v>8.84</v>
      </c>
      <c r="AE80" s="1" t="s">
        <v>93</v>
      </c>
      <c r="AF80" s="1" t="s">
        <v>1877</v>
      </c>
      <c r="AG80" s="1" t="s">
        <v>1878</v>
      </c>
      <c r="AH80" s="1" t="s">
        <v>165</v>
      </c>
      <c r="AI80" s="1" t="s">
        <v>101</v>
      </c>
      <c r="AJ80" s="1">
        <v>84.2</v>
      </c>
      <c r="AK80" s="1"/>
      <c r="AL80" s="1" t="s">
        <v>1879</v>
      </c>
      <c r="AM80" s="1" t="s">
        <v>1878</v>
      </c>
      <c r="AN80" s="1" t="s">
        <v>169</v>
      </c>
      <c r="AO80" s="1" t="s">
        <v>460</v>
      </c>
      <c r="AP80" s="1">
        <v>66.15</v>
      </c>
      <c r="AQ80" s="1"/>
      <c r="AR80" s="1"/>
      <c r="AS80" s="1"/>
      <c r="AT80" s="1"/>
      <c r="AU80" s="1"/>
      <c r="AV80" s="1"/>
      <c r="AW80" s="1"/>
      <c r="AX80" s="1" t="s">
        <v>1880</v>
      </c>
      <c r="AY80" s="1" t="s">
        <v>1881</v>
      </c>
      <c r="AZ80" s="1" t="s">
        <v>173</v>
      </c>
      <c r="BA80" s="1" t="s">
        <v>202</v>
      </c>
      <c r="BB80" s="1">
        <v>74.3</v>
      </c>
      <c r="BC80" s="1">
        <v>8.18</v>
      </c>
      <c r="BD80" s="1"/>
      <c r="BE80" s="1"/>
      <c r="BF80" s="1"/>
      <c r="BG80" s="1"/>
      <c r="BH80" s="1"/>
      <c r="BI80" s="1"/>
      <c r="BJ80" s="1" t="s">
        <v>1882</v>
      </c>
      <c r="BK80" s="1" t="s">
        <v>1883</v>
      </c>
      <c r="BL80" s="1" t="s">
        <v>463</v>
      </c>
      <c r="BM80" s="1" t="s">
        <v>1884</v>
      </c>
      <c r="BN80" s="1">
        <v>21</v>
      </c>
      <c r="BO80" s="1" t="s">
        <v>1885</v>
      </c>
      <c r="BP80" s="1" t="str">
        <f>HYPERLINK("https://nconnect.nicmar.ac.in/storage/profile/ProfilePhoto_P25700059_679482.jpg","Download")</f>
        <v>0</v>
      </c>
      <c r="BQ80" s="3"/>
      <c r="BR80" s="3"/>
    </row>
    <row r="81" spans="1:70">
      <c r="A81" s="1" t="s">
        <v>70</v>
      </c>
      <c r="B81" s="1" t="s">
        <v>441</v>
      </c>
      <c r="C81" s="1" t="s">
        <v>1886</v>
      </c>
      <c r="D81" s="1" t="s">
        <v>1887</v>
      </c>
      <c r="E81" s="1"/>
      <c r="F81" s="1" t="s">
        <v>1888</v>
      </c>
      <c r="G81" s="1" t="s">
        <v>1889</v>
      </c>
      <c r="H81" s="1" t="s">
        <v>1890</v>
      </c>
      <c r="I81" s="1" t="s">
        <v>1891</v>
      </c>
      <c r="J81" s="1">
        <v>8074616471</v>
      </c>
      <c r="K81" s="1" t="s">
        <v>79</v>
      </c>
      <c r="L81" s="1" t="s">
        <v>1892</v>
      </c>
      <c r="M81" s="1" t="s">
        <v>81</v>
      </c>
      <c r="N81" s="1" t="s">
        <v>1893</v>
      </c>
      <c r="O81" s="1"/>
      <c r="P81" s="1" t="s">
        <v>450</v>
      </c>
      <c r="Q81" s="1" t="s">
        <v>1894</v>
      </c>
      <c r="R81" s="1" t="s">
        <v>1895</v>
      </c>
      <c r="S81" s="1">
        <v>9440078464</v>
      </c>
      <c r="T81" s="1" t="s">
        <v>820</v>
      </c>
      <c r="U81" s="1" t="s">
        <v>1896</v>
      </c>
      <c r="V81" s="1">
        <v>7207028476</v>
      </c>
      <c r="W81" s="1" t="s">
        <v>531</v>
      </c>
      <c r="X81" s="1" t="s">
        <v>1897</v>
      </c>
      <c r="Y81" s="1" t="s">
        <v>1898</v>
      </c>
      <c r="Z81" s="1" t="s">
        <v>276</v>
      </c>
      <c r="AA81" s="1" t="s">
        <v>1897</v>
      </c>
      <c r="AB81" s="1" t="s">
        <v>1898</v>
      </c>
      <c r="AC81" s="1" t="s">
        <v>276</v>
      </c>
      <c r="AD81" s="1">
        <v>9.2</v>
      </c>
      <c r="AE81" s="1" t="s">
        <v>93</v>
      </c>
      <c r="AF81" s="1" t="s">
        <v>1899</v>
      </c>
      <c r="AG81" s="1" t="s">
        <v>1900</v>
      </c>
      <c r="AH81" s="1" t="s">
        <v>161</v>
      </c>
      <c r="AI81" s="1" t="s">
        <v>1089</v>
      </c>
      <c r="AJ81" s="1">
        <v>95</v>
      </c>
      <c r="AK81" s="1">
        <v>9.5</v>
      </c>
      <c r="AL81" s="1" t="s">
        <v>1901</v>
      </c>
      <c r="AM81" s="1" t="s">
        <v>1902</v>
      </c>
      <c r="AN81" s="1" t="s">
        <v>165</v>
      </c>
      <c r="AO81" s="1" t="s">
        <v>281</v>
      </c>
      <c r="AP81" s="1">
        <v>94.9</v>
      </c>
      <c r="AQ81" s="1"/>
      <c r="AR81" s="1"/>
      <c r="AS81" s="1"/>
      <c r="AT81" s="1"/>
      <c r="AU81" s="1"/>
      <c r="AV81" s="1"/>
      <c r="AW81" s="1"/>
      <c r="AX81" s="1" t="s">
        <v>564</v>
      </c>
      <c r="AY81" s="1" t="s">
        <v>1903</v>
      </c>
      <c r="AZ81" s="1" t="s">
        <v>101</v>
      </c>
      <c r="BA81" s="1" t="s">
        <v>1378</v>
      </c>
      <c r="BB81" s="1">
        <v>80.7</v>
      </c>
      <c r="BC81" s="1">
        <v>8.07</v>
      </c>
      <c r="BD81" s="1"/>
      <c r="BE81" s="1"/>
      <c r="BF81" s="1"/>
      <c r="BG81" s="1"/>
      <c r="BH81" s="1"/>
      <c r="BI81" s="1"/>
      <c r="BJ81" s="1" t="s">
        <v>1904</v>
      </c>
      <c r="BK81" s="1" t="s">
        <v>1905</v>
      </c>
      <c r="BL81" s="1" t="s">
        <v>1048</v>
      </c>
      <c r="BM81" s="1" t="s">
        <v>1906</v>
      </c>
      <c r="BN81" s="1">
        <v>29</v>
      </c>
      <c r="BO81" s="1"/>
      <c r="BP81" s="1" t="str">
        <f>HYPERLINK("https://nconnect.nicmar.ac.in/storage/profile/ProfilePhoto_P25700060_469738.jpg","Download")</f>
        <v>0</v>
      </c>
      <c r="BQ81" s="3"/>
      <c r="BR81" s="3"/>
    </row>
    <row r="82" spans="1:70">
      <c r="A82" s="1" t="s">
        <v>70</v>
      </c>
      <c r="B82" s="1" t="s">
        <v>441</v>
      </c>
      <c r="C82" s="1" t="s">
        <v>1907</v>
      </c>
      <c r="D82" s="1" t="s">
        <v>1272</v>
      </c>
      <c r="E82" s="1"/>
      <c r="F82" s="1" t="s">
        <v>1908</v>
      </c>
      <c r="G82" s="1" t="s">
        <v>1909</v>
      </c>
      <c r="H82" s="1" t="s">
        <v>1910</v>
      </c>
      <c r="I82" s="1" t="s">
        <v>1911</v>
      </c>
      <c r="J82" s="1">
        <v>6366145389</v>
      </c>
      <c r="K82" s="1" t="s">
        <v>79</v>
      </c>
      <c r="L82" s="1" t="s">
        <v>1912</v>
      </c>
      <c r="M82" s="1" t="s">
        <v>81</v>
      </c>
      <c r="N82" s="1" t="s">
        <v>1913</v>
      </c>
      <c r="O82" s="1"/>
      <c r="P82" s="1" t="s">
        <v>450</v>
      </c>
      <c r="Q82" s="1" t="s">
        <v>1914</v>
      </c>
      <c r="R82" s="1" t="s">
        <v>1915</v>
      </c>
      <c r="S82" s="1">
        <v>9739522349</v>
      </c>
      <c r="T82" s="1" t="s">
        <v>154</v>
      </c>
      <c r="U82" s="1" t="s">
        <v>1916</v>
      </c>
      <c r="V82" s="1">
        <v>9632284289</v>
      </c>
      <c r="W82" s="1" t="s">
        <v>89</v>
      </c>
      <c r="X82" s="1" t="s">
        <v>1917</v>
      </c>
      <c r="Y82" s="1" t="s">
        <v>1918</v>
      </c>
      <c r="Z82" s="1" t="s">
        <v>1187</v>
      </c>
      <c r="AA82" s="1" t="s">
        <v>1917</v>
      </c>
      <c r="AB82" s="1" t="s">
        <v>1918</v>
      </c>
      <c r="AC82" s="1" t="s">
        <v>1187</v>
      </c>
      <c r="AD82" s="1">
        <v>8.07</v>
      </c>
      <c r="AE82" s="1" t="s">
        <v>93</v>
      </c>
      <c r="AF82" s="1" t="s">
        <v>1919</v>
      </c>
      <c r="AG82" s="1" t="s">
        <v>1920</v>
      </c>
      <c r="AH82" s="1" t="s">
        <v>165</v>
      </c>
      <c r="AI82" s="1" t="s">
        <v>481</v>
      </c>
      <c r="AJ82" s="1">
        <v>95.04</v>
      </c>
      <c r="AK82" s="1"/>
      <c r="AL82" s="1" t="s">
        <v>1921</v>
      </c>
      <c r="AM82" s="1" t="s">
        <v>1922</v>
      </c>
      <c r="AN82" s="1" t="s">
        <v>433</v>
      </c>
      <c r="AO82" s="1" t="s">
        <v>173</v>
      </c>
      <c r="AP82" s="1">
        <v>87.83</v>
      </c>
      <c r="AQ82" s="1"/>
      <c r="AR82" s="1"/>
      <c r="AS82" s="1"/>
      <c r="AT82" s="1"/>
      <c r="AU82" s="1"/>
      <c r="AV82" s="1"/>
      <c r="AW82" s="1"/>
      <c r="AX82" s="1" t="s">
        <v>1923</v>
      </c>
      <c r="AY82" s="1" t="s">
        <v>1924</v>
      </c>
      <c r="AZ82" s="1" t="s">
        <v>228</v>
      </c>
      <c r="BA82" s="1" t="s">
        <v>543</v>
      </c>
      <c r="BB82" s="1">
        <v>69.1</v>
      </c>
      <c r="BC82" s="1"/>
      <c r="BD82" s="1"/>
      <c r="BE82" s="1"/>
      <c r="BF82" s="1"/>
      <c r="BG82" s="1"/>
      <c r="BH82" s="1"/>
      <c r="BI82" s="1"/>
      <c r="BJ82" s="1" t="s">
        <v>1925</v>
      </c>
      <c r="BK82" s="1"/>
      <c r="BL82" s="1"/>
      <c r="BM82" s="1" t="s">
        <v>1926</v>
      </c>
      <c r="BN82" s="1">
        <v>26</v>
      </c>
      <c r="BO82" s="1" t="s">
        <v>1927</v>
      </c>
      <c r="BP82" s="1" t="str">
        <f>HYPERLINK("https://nconnect.nicmar.ac.in/storage/profile/ProfilePhoto_P25700061_348925.jpg","Download")</f>
        <v>0</v>
      </c>
      <c r="BQ82" s="3"/>
      <c r="BR82" s="3"/>
    </row>
    <row r="83" spans="1:70">
      <c r="A83" s="1" t="s">
        <v>70</v>
      </c>
      <c r="B83" s="1" t="s">
        <v>441</v>
      </c>
      <c r="C83" s="1" t="s">
        <v>1928</v>
      </c>
      <c r="D83" s="1" t="s">
        <v>1929</v>
      </c>
      <c r="E83" s="1" t="s">
        <v>1930</v>
      </c>
      <c r="F83" s="1" t="s">
        <v>1931</v>
      </c>
      <c r="G83" s="1" t="s">
        <v>1932</v>
      </c>
      <c r="H83" s="1" t="s">
        <v>1933</v>
      </c>
      <c r="I83" s="1" t="s">
        <v>1934</v>
      </c>
      <c r="J83" s="1">
        <v>9930084564</v>
      </c>
      <c r="K83" s="1" t="s">
        <v>148</v>
      </c>
      <c r="L83" s="1" t="s">
        <v>320</v>
      </c>
      <c r="M83" s="1" t="s">
        <v>150</v>
      </c>
      <c r="N83" s="1" t="s">
        <v>1935</v>
      </c>
      <c r="O83" s="1"/>
      <c r="P83" s="1" t="s">
        <v>497</v>
      </c>
      <c r="Q83" s="1" t="s">
        <v>1936</v>
      </c>
      <c r="R83" s="1" t="s">
        <v>1937</v>
      </c>
      <c r="S83" s="1">
        <v>8625925411</v>
      </c>
      <c r="T83" s="1" t="s">
        <v>1938</v>
      </c>
      <c r="U83" s="1" t="s">
        <v>1939</v>
      </c>
      <c r="V83" s="1">
        <v>9850235411</v>
      </c>
      <c r="W83" s="1" t="s">
        <v>156</v>
      </c>
      <c r="X83" s="1" t="s">
        <v>1940</v>
      </c>
      <c r="Y83" s="1" t="s">
        <v>1857</v>
      </c>
      <c r="Z83" s="1" t="s">
        <v>92</v>
      </c>
      <c r="AA83" s="1" t="s">
        <v>1940</v>
      </c>
      <c r="AB83" s="1" t="s">
        <v>1857</v>
      </c>
      <c r="AC83" s="1" t="s">
        <v>92</v>
      </c>
      <c r="AD83" s="1">
        <v>8.97</v>
      </c>
      <c r="AE83" s="1" t="s">
        <v>93</v>
      </c>
      <c r="AF83" s="1" t="s">
        <v>1941</v>
      </c>
      <c r="AG83" s="1" t="s">
        <v>1942</v>
      </c>
      <c r="AH83" s="1" t="s">
        <v>1371</v>
      </c>
      <c r="AI83" s="1" t="s">
        <v>780</v>
      </c>
      <c r="AJ83" s="1">
        <v>73.4</v>
      </c>
      <c r="AK83" s="1"/>
      <c r="AL83" s="1"/>
      <c r="AM83" s="1"/>
      <c r="AN83" s="1"/>
      <c r="AO83" s="1"/>
      <c r="AP83" s="1"/>
      <c r="AQ83" s="1"/>
      <c r="AR83" s="1" t="s">
        <v>98</v>
      </c>
      <c r="AS83" s="1" t="s">
        <v>1943</v>
      </c>
      <c r="AT83" s="1" t="s">
        <v>1944</v>
      </c>
      <c r="AU83" s="1" t="s">
        <v>1945</v>
      </c>
      <c r="AV83" s="1">
        <v>72.69</v>
      </c>
      <c r="AW83" s="1"/>
      <c r="AX83" s="1" t="s">
        <v>1946</v>
      </c>
      <c r="AY83" s="1" t="s">
        <v>1947</v>
      </c>
      <c r="AZ83" s="1" t="s">
        <v>100</v>
      </c>
      <c r="BA83" s="1" t="s">
        <v>169</v>
      </c>
      <c r="BB83" s="1">
        <v>65.05</v>
      </c>
      <c r="BC83" s="1">
        <v>7.17</v>
      </c>
      <c r="BD83" s="1"/>
      <c r="BE83" s="1"/>
      <c r="BF83" s="1"/>
      <c r="BG83" s="1"/>
      <c r="BH83" s="1"/>
      <c r="BI83" s="1"/>
      <c r="BJ83" s="1" t="s">
        <v>1948</v>
      </c>
      <c r="BK83" s="1" t="s">
        <v>1949</v>
      </c>
      <c r="BL83" s="1" t="s">
        <v>1950</v>
      </c>
      <c r="BM83" s="1" t="s">
        <v>1951</v>
      </c>
      <c r="BN83" s="1">
        <v>8</v>
      </c>
      <c r="BO83" s="1"/>
      <c r="BP83" s="1" t="str">
        <f>HYPERLINK("https://nconnect.nicmar.ac.in/storage/profile/ProfilePhoto_P25700063_819562.jpg","Download")</f>
        <v>0</v>
      </c>
      <c r="BQ83" s="3"/>
      <c r="BR83" s="3"/>
    </row>
    <row r="84" spans="1:70">
      <c r="A84" s="1" t="s">
        <v>70</v>
      </c>
      <c r="B84" s="1" t="s">
        <v>441</v>
      </c>
      <c r="C84" s="1" t="s">
        <v>1952</v>
      </c>
      <c r="D84" s="1" t="s">
        <v>1953</v>
      </c>
      <c r="E84" s="1" t="s">
        <v>1954</v>
      </c>
      <c r="F84" s="1" t="s">
        <v>1955</v>
      </c>
      <c r="G84" s="1" t="s">
        <v>1956</v>
      </c>
      <c r="H84" s="1" t="s">
        <v>1957</v>
      </c>
      <c r="I84" s="1" t="s">
        <v>1958</v>
      </c>
      <c r="J84" s="1">
        <v>7841013049</v>
      </c>
      <c r="K84" s="1" t="s">
        <v>79</v>
      </c>
      <c r="L84" s="1" t="s">
        <v>1959</v>
      </c>
      <c r="M84" s="1" t="s">
        <v>81</v>
      </c>
      <c r="N84" s="1" t="s">
        <v>605</v>
      </c>
      <c r="O84" s="1"/>
      <c r="P84" s="1" t="s">
        <v>472</v>
      </c>
      <c r="Q84" s="1" t="s">
        <v>1960</v>
      </c>
      <c r="R84" s="1" t="s">
        <v>1954</v>
      </c>
      <c r="S84" s="1">
        <v>9766584075</v>
      </c>
      <c r="T84" s="1" t="s">
        <v>632</v>
      </c>
      <c r="U84" s="1" t="s">
        <v>1961</v>
      </c>
      <c r="V84" s="1">
        <v>9960754154</v>
      </c>
      <c r="W84" s="1" t="s">
        <v>156</v>
      </c>
      <c r="X84" s="1" t="s">
        <v>1962</v>
      </c>
      <c r="Y84" s="1" t="s">
        <v>1963</v>
      </c>
      <c r="Z84" s="1" t="s">
        <v>92</v>
      </c>
      <c r="AA84" s="1" t="s">
        <v>1962</v>
      </c>
      <c r="AB84" s="1" t="s">
        <v>1963</v>
      </c>
      <c r="AC84" s="1" t="s">
        <v>92</v>
      </c>
      <c r="AD84" s="1">
        <v>8.08</v>
      </c>
      <c r="AE84" s="1" t="s">
        <v>93</v>
      </c>
      <c r="AF84" s="1" t="s">
        <v>1964</v>
      </c>
      <c r="AG84" s="1" t="s">
        <v>1942</v>
      </c>
      <c r="AH84" s="1" t="s">
        <v>101</v>
      </c>
      <c r="AI84" s="1" t="s">
        <v>409</v>
      </c>
      <c r="AJ84" s="1">
        <v>77</v>
      </c>
      <c r="AK84" s="1"/>
      <c r="AL84" s="1"/>
      <c r="AM84" s="1"/>
      <c r="AN84" s="1"/>
      <c r="AO84" s="1"/>
      <c r="AP84" s="1"/>
      <c r="AQ84" s="1"/>
      <c r="AR84" s="1" t="s">
        <v>434</v>
      </c>
      <c r="AS84" s="1" t="s">
        <v>1965</v>
      </c>
      <c r="AT84" s="1" t="s">
        <v>201</v>
      </c>
      <c r="AU84" s="1" t="s">
        <v>105</v>
      </c>
      <c r="AV84" s="1">
        <v>74</v>
      </c>
      <c r="AW84" s="1"/>
      <c r="AX84" s="1" t="s">
        <v>1017</v>
      </c>
      <c r="AY84" s="1" t="s">
        <v>1966</v>
      </c>
      <c r="AZ84" s="1" t="s">
        <v>105</v>
      </c>
      <c r="BA84" s="1" t="s">
        <v>829</v>
      </c>
      <c r="BB84" s="1">
        <v>65</v>
      </c>
      <c r="BC84" s="1">
        <v>7</v>
      </c>
      <c r="BD84" s="1"/>
      <c r="BE84" s="1"/>
      <c r="BF84" s="1"/>
      <c r="BG84" s="1"/>
      <c r="BH84" s="1"/>
      <c r="BI84" s="1"/>
      <c r="BJ84" s="1" t="s">
        <v>364</v>
      </c>
      <c r="BK84" s="1"/>
      <c r="BL84" s="1"/>
      <c r="BM84" s="1" t="s">
        <v>1967</v>
      </c>
      <c r="BN84" s="1">
        <v>17</v>
      </c>
      <c r="BO84" s="1"/>
      <c r="BP84" s="1" t="str">
        <f>HYPERLINK("https://nconnect.nicmar.ac.in/storage/profile/ProfilePhoto_P25700064_658724.jpg","Download")</f>
        <v>0</v>
      </c>
      <c r="BQ84" s="3"/>
      <c r="BR84" s="3"/>
    </row>
    <row r="85" spans="1:70">
      <c r="A85" s="1" t="s">
        <v>70</v>
      </c>
      <c r="B85" s="1" t="s">
        <v>441</v>
      </c>
      <c r="C85" s="1" t="s">
        <v>1968</v>
      </c>
      <c r="D85" s="1" t="s">
        <v>1969</v>
      </c>
      <c r="E85" s="1"/>
      <c r="F85" s="1" t="s">
        <v>1970</v>
      </c>
      <c r="G85" s="1" t="s">
        <v>1971</v>
      </c>
      <c r="H85" s="1" t="s">
        <v>1972</v>
      </c>
      <c r="I85" s="1" t="s">
        <v>1973</v>
      </c>
      <c r="J85" s="1">
        <v>7358753949</v>
      </c>
      <c r="K85" s="1" t="s">
        <v>79</v>
      </c>
      <c r="L85" s="1" t="s">
        <v>1974</v>
      </c>
      <c r="M85" s="1" t="s">
        <v>81</v>
      </c>
      <c r="N85" s="1" t="s">
        <v>1975</v>
      </c>
      <c r="O85" s="1"/>
      <c r="P85" s="1" t="s">
        <v>472</v>
      </c>
      <c r="Q85" s="1" t="s">
        <v>1976</v>
      </c>
      <c r="R85" s="1" t="s">
        <v>1977</v>
      </c>
      <c r="S85" s="1">
        <v>8754584973</v>
      </c>
      <c r="T85" s="1" t="s">
        <v>1978</v>
      </c>
      <c r="U85" s="1" t="s">
        <v>1979</v>
      </c>
      <c r="V85" s="1">
        <v>9791124128</v>
      </c>
      <c r="W85" s="1" t="s">
        <v>531</v>
      </c>
      <c r="X85" s="1" t="s">
        <v>1980</v>
      </c>
      <c r="Y85" s="1" t="s">
        <v>1981</v>
      </c>
      <c r="Z85" s="1" t="s">
        <v>559</v>
      </c>
      <c r="AA85" s="1" t="s">
        <v>1980</v>
      </c>
      <c r="AB85" s="1" t="s">
        <v>1981</v>
      </c>
      <c r="AC85" s="1" t="s">
        <v>559</v>
      </c>
      <c r="AD85" s="1">
        <v>7.06</v>
      </c>
      <c r="AE85" s="1" t="s">
        <v>93</v>
      </c>
      <c r="AF85" s="1" t="s">
        <v>1982</v>
      </c>
      <c r="AG85" s="1" t="s">
        <v>1983</v>
      </c>
      <c r="AH85" s="1" t="s">
        <v>162</v>
      </c>
      <c r="AI85" s="1" t="s">
        <v>165</v>
      </c>
      <c r="AJ85" s="1">
        <v>79.8</v>
      </c>
      <c r="AK85" s="1"/>
      <c r="AL85" s="1" t="s">
        <v>1982</v>
      </c>
      <c r="AM85" s="1" t="s">
        <v>1983</v>
      </c>
      <c r="AN85" s="1" t="s">
        <v>166</v>
      </c>
      <c r="AO85" s="1" t="s">
        <v>308</v>
      </c>
      <c r="AP85" s="1">
        <v>68.4</v>
      </c>
      <c r="AQ85" s="1"/>
      <c r="AR85" s="1"/>
      <c r="AS85" s="1"/>
      <c r="AT85" s="1"/>
      <c r="AU85" s="1"/>
      <c r="AV85" s="1"/>
      <c r="AW85" s="1"/>
      <c r="AX85" s="1" t="s">
        <v>564</v>
      </c>
      <c r="AY85" s="1" t="s">
        <v>1984</v>
      </c>
      <c r="AZ85" s="1" t="s">
        <v>201</v>
      </c>
      <c r="BA85" s="1" t="s">
        <v>386</v>
      </c>
      <c r="BB85" s="1">
        <v>74.6</v>
      </c>
      <c r="BC85" s="1"/>
      <c r="BD85" s="1"/>
      <c r="BE85" s="1"/>
      <c r="BF85" s="1"/>
      <c r="BG85" s="1"/>
      <c r="BH85" s="1"/>
      <c r="BI85" s="1"/>
      <c r="BJ85" s="1" t="s">
        <v>255</v>
      </c>
      <c r="BK85" s="1"/>
      <c r="BL85" s="1"/>
      <c r="BM85" s="1" t="s">
        <v>1985</v>
      </c>
      <c r="BN85" s="1">
        <v>2</v>
      </c>
      <c r="BO85" s="1"/>
      <c r="BP85" s="1" t="str">
        <f>HYPERLINK("https://nconnect.nicmar.ac.in/storage/profile/ProfilePhoto_P25700065_754213.jpg","Download")</f>
        <v>0</v>
      </c>
      <c r="BQ85" s="3"/>
      <c r="BR85" s="3"/>
    </row>
    <row r="86" spans="1:70">
      <c r="A86" s="1" t="s">
        <v>70</v>
      </c>
      <c r="B86" s="1" t="s">
        <v>441</v>
      </c>
      <c r="C86" s="1" t="s">
        <v>1986</v>
      </c>
      <c r="D86" s="1" t="s">
        <v>1987</v>
      </c>
      <c r="E86" s="1" t="s">
        <v>1298</v>
      </c>
      <c r="F86" s="1" t="s">
        <v>1988</v>
      </c>
      <c r="G86" s="1" t="s">
        <v>1989</v>
      </c>
      <c r="H86" s="1" t="s">
        <v>1990</v>
      </c>
      <c r="I86" s="1" t="s">
        <v>1991</v>
      </c>
      <c r="J86" s="1">
        <v>7008703108</v>
      </c>
      <c r="K86" s="1" t="s">
        <v>79</v>
      </c>
      <c r="L86" s="1" t="s">
        <v>1992</v>
      </c>
      <c r="M86" s="1" t="s">
        <v>81</v>
      </c>
      <c r="N86" s="1" t="s">
        <v>1993</v>
      </c>
      <c r="O86" s="1"/>
      <c r="P86" s="1" t="s">
        <v>1994</v>
      </c>
      <c r="Q86" s="1" t="s">
        <v>1995</v>
      </c>
      <c r="R86" s="1" t="s">
        <v>1996</v>
      </c>
      <c r="S86" s="1">
        <v>6371072764</v>
      </c>
      <c r="T86" s="1" t="s">
        <v>1997</v>
      </c>
      <c r="U86" s="1" t="s">
        <v>1998</v>
      </c>
      <c r="V86" s="1">
        <v>9348470163</v>
      </c>
      <c r="W86" s="1" t="s">
        <v>1997</v>
      </c>
      <c r="X86" s="1" t="s">
        <v>1999</v>
      </c>
      <c r="Y86" s="1" t="s">
        <v>2000</v>
      </c>
      <c r="Z86" s="1" t="s">
        <v>846</v>
      </c>
      <c r="AA86" s="1" t="s">
        <v>1999</v>
      </c>
      <c r="AB86" s="1" t="s">
        <v>2000</v>
      </c>
      <c r="AC86" s="1" t="s">
        <v>846</v>
      </c>
      <c r="AD86" s="1">
        <v>8.49</v>
      </c>
      <c r="AE86" s="1" t="s">
        <v>93</v>
      </c>
      <c r="AF86" s="1" t="s">
        <v>2001</v>
      </c>
      <c r="AG86" s="1" t="s">
        <v>2002</v>
      </c>
      <c r="AH86" s="1" t="s">
        <v>2003</v>
      </c>
      <c r="AI86" s="1" t="s">
        <v>614</v>
      </c>
      <c r="AJ86" s="1">
        <v>79.5</v>
      </c>
      <c r="AK86" s="1"/>
      <c r="AL86" s="1" t="s">
        <v>2004</v>
      </c>
      <c r="AM86" s="1" t="s">
        <v>2005</v>
      </c>
      <c r="AN86" s="1" t="s">
        <v>162</v>
      </c>
      <c r="AO86" s="1" t="s">
        <v>166</v>
      </c>
      <c r="AP86" s="1">
        <v>66.2</v>
      </c>
      <c r="AQ86" s="1"/>
      <c r="AR86" s="1"/>
      <c r="AS86" s="1"/>
      <c r="AT86" s="1"/>
      <c r="AU86" s="1"/>
      <c r="AV86" s="1"/>
      <c r="AW86" s="1"/>
      <c r="AX86" s="1" t="s">
        <v>2006</v>
      </c>
      <c r="AY86" s="1" t="s">
        <v>2007</v>
      </c>
      <c r="AZ86" s="1" t="s">
        <v>101</v>
      </c>
      <c r="BA86" s="1" t="s">
        <v>105</v>
      </c>
      <c r="BB86" s="1">
        <v>93.7</v>
      </c>
      <c r="BC86" s="1">
        <v>9.37</v>
      </c>
      <c r="BD86" s="1"/>
      <c r="BE86" s="1"/>
      <c r="BF86" s="1"/>
      <c r="BG86" s="1"/>
      <c r="BH86" s="1"/>
      <c r="BI86" s="1"/>
      <c r="BJ86" s="1" t="s">
        <v>2008</v>
      </c>
      <c r="BK86" s="1"/>
      <c r="BL86" s="1"/>
      <c r="BM86" s="1" t="s">
        <v>2009</v>
      </c>
      <c r="BN86" s="1">
        <v>9</v>
      </c>
      <c r="BO86" s="1" t="s">
        <v>2010</v>
      </c>
      <c r="BP86" s="1" t="str">
        <f>HYPERLINK("https://nconnect.nicmar.ac.in/storage/profile/ProfilePhoto_P25700066_218945.jpg","Download")</f>
        <v>0</v>
      </c>
      <c r="BQ86" s="3"/>
      <c r="BR86" s="3"/>
    </row>
    <row r="87" spans="1:70">
      <c r="A87" s="1" t="s">
        <v>70</v>
      </c>
      <c r="B87" s="1" t="s">
        <v>441</v>
      </c>
      <c r="C87" s="1" t="s">
        <v>2011</v>
      </c>
      <c r="D87" s="1" t="s">
        <v>1502</v>
      </c>
      <c r="E87" s="1" t="s">
        <v>452</v>
      </c>
      <c r="F87" s="1" t="s">
        <v>2012</v>
      </c>
      <c r="G87" s="1" t="s">
        <v>2013</v>
      </c>
      <c r="H87" s="1" t="s">
        <v>2014</v>
      </c>
      <c r="I87" s="1" t="s">
        <v>2015</v>
      </c>
      <c r="J87" s="1">
        <v>9156804191</v>
      </c>
      <c r="K87" s="1" t="s">
        <v>79</v>
      </c>
      <c r="L87" s="1" t="s">
        <v>2016</v>
      </c>
      <c r="M87" s="1" t="s">
        <v>81</v>
      </c>
      <c r="N87" s="1" t="s">
        <v>883</v>
      </c>
      <c r="O87" s="1"/>
      <c r="P87" s="1" t="s">
        <v>472</v>
      </c>
      <c r="Q87" s="1" t="s">
        <v>2017</v>
      </c>
      <c r="R87" s="1" t="s">
        <v>452</v>
      </c>
      <c r="S87" s="1">
        <v>9763106231</v>
      </c>
      <c r="T87" s="1" t="s">
        <v>632</v>
      </c>
      <c r="U87" s="1" t="s">
        <v>2018</v>
      </c>
      <c r="V87" s="1">
        <v>9637861884</v>
      </c>
      <c r="W87" s="1" t="s">
        <v>156</v>
      </c>
      <c r="X87" s="1" t="s">
        <v>2019</v>
      </c>
      <c r="Y87" s="1" t="s">
        <v>219</v>
      </c>
      <c r="Z87" s="1" t="s">
        <v>92</v>
      </c>
      <c r="AA87" s="1" t="s">
        <v>2019</v>
      </c>
      <c r="AB87" s="1" t="s">
        <v>219</v>
      </c>
      <c r="AC87" s="1" t="s">
        <v>92</v>
      </c>
      <c r="AD87" s="1">
        <v>7.35</v>
      </c>
      <c r="AE87" s="1" t="s">
        <v>93</v>
      </c>
      <c r="AF87" s="1" t="s">
        <v>2020</v>
      </c>
      <c r="AG87" s="1" t="s">
        <v>2021</v>
      </c>
      <c r="AH87" s="1" t="s">
        <v>96</v>
      </c>
      <c r="AI87" s="1" t="s">
        <v>161</v>
      </c>
      <c r="AJ87" s="1">
        <v>80</v>
      </c>
      <c r="AK87" s="1"/>
      <c r="AL87" s="1" t="s">
        <v>2022</v>
      </c>
      <c r="AM87" s="1" t="s">
        <v>2021</v>
      </c>
      <c r="AN87" s="1" t="s">
        <v>1374</v>
      </c>
      <c r="AO87" s="1" t="s">
        <v>562</v>
      </c>
      <c r="AP87" s="1">
        <v>62</v>
      </c>
      <c r="AQ87" s="1"/>
      <c r="AR87" s="1"/>
      <c r="AS87" s="1"/>
      <c r="AT87" s="1"/>
      <c r="AU87" s="1"/>
      <c r="AV87" s="1"/>
      <c r="AW87" s="1"/>
      <c r="AX87" s="1" t="s">
        <v>335</v>
      </c>
      <c r="AY87" s="1" t="s">
        <v>2023</v>
      </c>
      <c r="AZ87" s="1" t="s">
        <v>383</v>
      </c>
      <c r="BA87" s="1" t="s">
        <v>436</v>
      </c>
      <c r="BB87" s="1">
        <v>89.62</v>
      </c>
      <c r="BC87" s="1">
        <v>9.82</v>
      </c>
      <c r="BD87" s="1"/>
      <c r="BE87" s="1"/>
      <c r="BF87" s="1"/>
      <c r="BG87" s="1"/>
      <c r="BH87" s="1"/>
      <c r="BI87" s="1"/>
      <c r="BJ87" s="1" t="s">
        <v>2024</v>
      </c>
      <c r="BK87" s="1" t="s">
        <v>2025</v>
      </c>
      <c r="BL87" s="1" t="s">
        <v>287</v>
      </c>
      <c r="BM87" s="1" t="s">
        <v>2026</v>
      </c>
      <c r="BN87" s="1">
        <v>28</v>
      </c>
      <c r="BO87" s="1" t="s">
        <v>2027</v>
      </c>
      <c r="BP87" s="1" t="str">
        <f>HYPERLINK("https://nconnect.nicmar.ac.in/storage/profile/ProfilePhoto_P25700067_296354.jpg","Download")</f>
        <v>0</v>
      </c>
      <c r="BQ87" s="3"/>
      <c r="BR87" s="3"/>
    </row>
    <row r="88" spans="1:70">
      <c r="A88" s="1" t="s">
        <v>70</v>
      </c>
      <c r="B88" s="1" t="s">
        <v>441</v>
      </c>
      <c r="C88" s="1" t="s">
        <v>2028</v>
      </c>
      <c r="D88" s="1" t="s">
        <v>2029</v>
      </c>
      <c r="E88" s="1"/>
      <c r="F88" s="1" t="s">
        <v>1339</v>
      </c>
      <c r="G88" s="1" t="s">
        <v>2030</v>
      </c>
      <c r="H88" s="1" t="s">
        <v>2031</v>
      </c>
      <c r="I88" s="1" t="s">
        <v>2032</v>
      </c>
      <c r="J88" s="1">
        <v>9384237607</v>
      </c>
      <c r="K88" s="1" t="s">
        <v>79</v>
      </c>
      <c r="L88" s="1" t="s">
        <v>2033</v>
      </c>
      <c r="M88" s="1" t="s">
        <v>81</v>
      </c>
      <c r="N88" s="1" t="s">
        <v>2034</v>
      </c>
      <c r="O88" s="1"/>
      <c r="P88" s="1" t="s">
        <v>2035</v>
      </c>
      <c r="Q88" s="1" t="s">
        <v>2036</v>
      </c>
      <c r="R88" s="1" t="s">
        <v>2037</v>
      </c>
      <c r="S88" s="1">
        <v>9443467607</v>
      </c>
      <c r="T88" s="1" t="s">
        <v>2038</v>
      </c>
      <c r="U88" s="1" t="s">
        <v>2039</v>
      </c>
      <c r="V88" s="1">
        <v>7010827356</v>
      </c>
      <c r="W88" s="1" t="s">
        <v>273</v>
      </c>
      <c r="X88" s="1" t="s">
        <v>2040</v>
      </c>
      <c r="Y88" s="1" t="s">
        <v>2041</v>
      </c>
      <c r="Z88" s="1" t="s">
        <v>2041</v>
      </c>
      <c r="AA88" s="1" t="s">
        <v>2040</v>
      </c>
      <c r="AB88" s="1" t="s">
        <v>2041</v>
      </c>
      <c r="AC88" s="1" t="s">
        <v>2041</v>
      </c>
      <c r="AD88" s="1">
        <v>8.75</v>
      </c>
      <c r="AE88" s="1" t="s">
        <v>93</v>
      </c>
      <c r="AF88" s="1" t="s">
        <v>2042</v>
      </c>
      <c r="AG88" s="1" t="s">
        <v>2043</v>
      </c>
      <c r="AH88" s="1" t="s">
        <v>101</v>
      </c>
      <c r="AI88" s="1" t="s">
        <v>409</v>
      </c>
      <c r="AJ88" s="1">
        <v>80.6</v>
      </c>
      <c r="AK88" s="1"/>
      <c r="AL88" s="1" t="s">
        <v>2042</v>
      </c>
      <c r="AM88" s="1" t="s">
        <v>2043</v>
      </c>
      <c r="AN88" s="1" t="s">
        <v>460</v>
      </c>
      <c r="AO88" s="1" t="s">
        <v>826</v>
      </c>
      <c r="AP88" s="1">
        <v>83.95</v>
      </c>
      <c r="AQ88" s="1"/>
      <c r="AR88" s="1"/>
      <c r="AS88" s="1"/>
      <c r="AT88" s="1"/>
      <c r="AU88" s="1"/>
      <c r="AV88" s="1"/>
      <c r="AW88" s="1"/>
      <c r="AX88" s="1" t="s">
        <v>540</v>
      </c>
      <c r="AY88" s="1" t="s">
        <v>2044</v>
      </c>
      <c r="AZ88" s="1" t="s">
        <v>436</v>
      </c>
      <c r="BA88" s="1" t="s">
        <v>1379</v>
      </c>
      <c r="BB88" s="1">
        <v>82.2</v>
      </c>
      <c r="BC88" s="1">
        <v>8.22</v>
      </c>
      <c r="BD88" s="1"/>
      <c r="BE88" s="1"/>
      <c r="BF88" s="1"/>
      <c r="BG88" s="1"/>
      <c r="BH88" s="1"/>
      <c r="BI88" s="1"/>
      <c r="BJ88" s="1" t="s">
        <v>2045</v>
      </c>
      <c r="BK88" s="1"/>
      <c r="BL88" s="1"/>
      <c r="BM88" s="1" t="s">
        <v>2046</v>
      </c>
      <c r="BN88" s="1">
        <v>13</v>
      </c>
      <c r="BO88" s="1" t="s">
        <v>2047</v>
      </c>
      <c r="BP88" s="1" t="str">
        <f>HYPERLINK("https://nconnect.nicmar.ac.in/storage/profile/ProfilePhoto_P25700068_416927.jpg","Download")</f>
        <v>0</v>
      </c>
      <c r="BQ88" s="3"/>
      <c r="BR88" s="3"/>
    </row>
    <row r="89" spans="1:70">
      <c r="A89" s="1" t="s">
        <v>70</v>
      </c>
      <c r="B89" s="1" t="s">
        <v>441</v>
      </c>
      <c r="C89" s="1" t="s">
        <v>2048</v>
      </c>
      <c r="D89" s="1" t="s">
        <v>649</v>
      </c>
      <c r="E89" s="1" t="s">
        <v>2049</v>
      </c>
      <c r="F89" s="1" t="s">
        <v>520</v>
      </c>
      <c r="G89" s="1" t="s">
        <v>2050</v>
      </c>
      <c r="H89" s="1" t="s">
        <v>2051</v>
      </c>
      <c r="I89" s="1" t="s">
        <v>2052</v>
      </c>
      <c r="J89" s="1">
        <v>7395070607</v>
      </c>
      <c r="K89" s="1" t="s">
        <v>79</v>
      </c>
      <c r="L89" s="1" t="s">
        <v>2053</v>
      </c>
      <c r="M89" s="1" t="s">
        <v>81</v>
      </c>
      <c r="N89" s="1" t="s">
        <v>2054</v>
      </c>
      <c r="O89" s="1"/>
      <c r="P89" s="1" t="s">
        <v>497</v>
      </c>
      <c r="Q89" s="1" t="s">
        <v>2055</v>
      </c>
      <c r="R89" s="1" t="s">
        <v>2056</v>
      </c>
      <c r="S89" s="1">
        <v>9451192005</v>
      </c>
      <c r="T89" s="1" t="s">
        <v>2057</v>
      </c>
      <c r="U89" s="1" t="s">
        <v>2058</v>
      </c>
      <c r="V89" s="1">
        <v>8543047445</v>
      </c>
      <c r="W89" s="1" t="s">
        <v>273</v>
      </c>
      <c r="X89" s="1" t="s">
        <v>2059</v>
      </c>
      <c r="Y89" s="1" t="s">
        <v>533</v>
      </c>
      <c r="Z89" s="1" t="s">
        <v>534</v>
      </c>
      <c r="AA89" s="1" t="s">
        <v>2060</v>
      </c>
      <c r="AB89" s="1" t="s">
        <v>533</v>
      </c>
      <c r="AC89" s="1" t="s">
        <v>534</v>
      </c>
      <c r="AD89" s="1">
        <v>8.52</v>
      </c>
      <c r="AE89" s="1" t="s">
        <v>93</v>
      </c>
      <c r="AF89" s="1" t="s">
        <v>2061</v>
      </c>
      <c r="AG89" s="1" t="s">
        <v>2062</v>
      </c>
      <c r="AH89" s="1" t="s">
        <v>279</v>
      </c>
      <c r="AI89" s="1" t="s">
        <v>165</v>
      </c>
      <c r="AJ89" s="1">
        <v>87.4</v>
      </c>
      <c r="AK89" s="1">
        <v>9.2</v>
      </c>
      <c r="AL89" s="1" t="s">
        <v>2061</v>
      </c>
      <c r="AM89" s="1" t="s">
        <v>2062</v>
      </c>
      <c r="AN89" s="1" t="s">
        <v>481</v>
      </c>
      <c r="AO89" s="1" t="s">
        <v>308</v>
      </c>
      <c r="AP89" s="1">
        <v>62</v>
      </c>
      <c r="AQ89" s="1"/>
      <c r="AR89" s="1"/>
      <c r="AS89" s="1"/>
      <c r="AT89" s="1"/>
      <c r="AU89" s="1"/>
      <c r="AV89" s="1"/>
      <c r="AW89" s="1"/>
      <c r="AX89" s="1" t="s">
        <v>2063</v>
      </c>
      <c r="AY89" s="1" t="s">
        <v>2064</v>
      </c>
      <c r="AZ89" s="1" t="s">
        <v>310</v>
      </c>
      <c r="BA89" s="1" t="s">
        <v>174</v>
      </c>
      <c r="BB89" s="1">
        <v>77.8</v>
      </c>
      <c r="BC89" s="1">
        <v>7.78</v>
      </c>
      <c r="BD89" s="1"/>
      <c r="BE89" s="1"/>
      <c r="BF89" s="1"/>
      <c r="BG89" s="1"/>
      <c r="BH89" s="1"/>
      <c r="BI89" s="1"/>
      <c r="BJ89" s="1" t="s">
        <v>567</v>
      </c>
      <c r="BK89" s="1" t="s">
        <v>2065</v>
      </c>
      <c r="BL89" s="1" t="s">
        <v>2066</v>
      </c>
      <c r="BM89" s="1" t="s">
        <v>2067</v>
      </c>
      <c r="BN89" s="1">
        <v>13</v>
      </c>
      <c r="BO89" s="1" t="s">
        <v>2068</v>
      </c>
      <c r="BP89" s="1" t="str">
        <f>HYPERLINK("https://nconnect.nicmar.ac.in/storage/profile/ProfilePhoto_P25700069_452369.jpg","Download")</f>
        <v>0</v>
      </c>
      <c r="BQ89" s="3"/>
      <c r="BR89" s="3"/>
    </row>
    <row r="90" spans="1:70">
      <c r="A90" s="1" t="s">
        <v>70</v>
      </c>
      <c r="B90" s="1" t="s">
        <v>441</v>
      </c>
      <c r="C90" s="1" t="s">
        <v>2069</v>
      </c>
      <c r="D90" s="1" t="s">
        <v>2070</v>
      </c>
      <c r="E90" s="1" t="s">
        <v>2071</v>
      </c>
      <c r="F90" s="1" t="s">
        <v>2072</v>
      </c>
      <c r="G90" s="1" t="s">
        <v>2073</v>
      </c>
      <c r="H90" s="1" t="s">
        <v>2074</v>
      </c>
      <c r="I90" s="1" t="s">
        <v>2075</v>
      </c>
      <c r="J90" s="1">
        <v>7666230780</v>
      </c>
      <c r="K90" s="1" t="s">
        <v>79</v>
      </c>
      <c r="L90" s="1" t="s">
        <v>2076</v>
      </c>
      <c r="M90" s="1" t="s">
        <v>81</v>
      </c>
      <c r="N90" s="1" t="s">
        <v>1140</v>
      </c>
      <c r="O90" s="1"/>
      <c r="P90" s="1" t="s">
        <v>472</v>
      </c>
      <c r="Q90" s="1" t="s">
        <v>2077</v>
      </c>
      <c r="R90" s="1" t="s">
        <v>2078</v>
      </c>
      <c r="S90" s="1">
        <v>7020516143</v>
      </c>
      <c r="T90" s="1" t="s">
        <v>1595</v>
      </c>
      <c r="U90" s="1" t="s">
        <v>2079</v>
      </c>
      <c r="V90" s="1">
        <v>9075994350</v>
      </c>
      <c r="W90" s="1" t="s">
        <v>156</v>
      </c>
      <c r="X90" s="1" t="s">
        <v>2080</v>
      </c>
      <c r="Y90" s="1" t="s">
        <v>2081</v>
      </c>
      <c r="Z90" s="1" t="s">
        <v>92</v>
      </c>
      <c r="AA90" s="1" t="s">
        <v>2080</v>
      </c>
      <c r="AB90" s="1" t="s">
        <v>2081</v>
      </c>
      <c r="AC90" s="1" t="s">
        <v>92</v>
      </c>
      <c r="AD90" s="1">
        <v>8.95</v>
      </c>
      <c r="AE90" s="1" t="s">
        <v>93</v>
      </c>
      <c r="AF90" s="1" t="s">
        <v>2082</v>
      </c>
      <c r="AG90" s="1" t="s">
        <v>2083</v>
      </c>
      <c r="AH90" s="1" t="s">
        <v>162</v>
      </c>
      <c r="AI90" s="1" t="s">
        <v>165</v>
      </c>
      <c r="AJ90" s="1">
        <v>90.2</v>
      </c>
      <c r="AK90" s="1"/>
      <c r="AL90" s="1"/>
      <c r="AM90" s="1"/>
      <c r="AN90" s="1"/>
      <c r="AO90" s="1"/>
      <c r="AP90" s="1"/>
      <c r="AQ90" s="1"/>
      <c r="AR90" s="1" t="s">
        <v>98</v>
      </c>
      <c r="AS90" s="1" t="s">
        <v>2084</v>
      </c>
      <c r="AT90" s="1" t="s">
        <v>2085</v>
      </c>
      <c r="AU90" s="1" t="s">
        <v>170</v>
      </c>
      <c r="AV90" s="1">
        <v>96.58</v>
      </c>
      <c r="AW90" s="1"/>
      <c r="AX90" s="1" t="s">
        <v>361</v>
      </c>
      <c r="AY90" s="1" t="s">
        <v>2086</v>
      </c>
      <c r="AZ90" s="1" t="s">
        <v>363</v>
      </c>
      <c r="BA90" s="1" t="s">
        <v>174</v>
      </c>
      <c r="BB90" s="1">
        <v>86.24</v>
      </c>
      <c r="BC90" s="1">
        <v>9.12</v>
      </c>
      <c r="BD90" s="1"/>
      <c r="BE90" s="1"/>
      <c r="BF90" s="1"/>
      <c r="BG90" s="1"/>
      <c r="BH90" s="1"/>
      <c r="BI90" s="1"/>
      <c r="BJ90" s="1" t="s">
        <v>2087</v>
      </c>
      <c r="BK90" s="1" t="s">
        <v>2088</v>
      </c>
      <c r="BL90" s="1" t="s">
        <v>2089</v>
      </c>
      <c r="BM90" s="1" t="s">
        <v>2090</v>
      </c>
      <c r="BN90" s="1">
        <v>56</v>
      </c>
      <c r="BO90" s="1" t="s">
        <v>2091</v>
      </c>
      <c r="BP90" s="1" t="str">
        <f>HYPERLINK("https://nconnect.nicmar.ac.in/storage/profile/ProfilePhoto_P25700070_589147.jpg","Download")</f>
        <v>0</v>
      </c>
      <c r="BQ90" s="3"/>
      <c r="BR90" s="3"/>
    </row>
    <row r="91" spans="1:70">
      <c r="A91" s="1" t="s">
        <v>70</v>
      </c>
      <c r="B91" s="1" t="s">
        <v>441</v>
      </c>
      <c r="C91" s="1" t="s">
        <v>2092</v>
      </c>
      <c r="D91" s="1" t="s">
        <v>2093</v>
      </c>
      <c r="E91" s="1"/>
      <c r="F91" s="1" t="s">
        <v>1464</v>
      </c>
      <c r="G91" s="1" t="s">
        <v>2094</v>
      </c>
      <c r="H91" s="1" t="s">
        <v>2095</v>
      </c>
      <c r="I91" s="1" t="s">
        <v>2096</v>
      </c>
      <c r="J91" s="1">
        <v>9488964540</v>
      </c>
      <c r="K91" s="1" t="s">
        <v>79</v>
      </c>
      <c r="L91" s="1" t="s">
        <v>2097</v>
      </c>
      <c r="M91" s="1" t="s">
        <v>81</v>
      </c>
      <c r="N91" s="1" t="s">
        <v>2098</v>
      </c>
      <c r="O91" s="1"/>
      <c r="P91" s="1" t="s">
        <v>450</v>
      </c>
      <c r="Q91" s="1" t="s">
        <v>2099</v>
      </c>
      <c r="R91" s="1" t="s">
        <v>2100</v>
      </c>
      <c r="S91" s="1">
        <v>9043064540</v>
      </c>
      <c r="T91" s="1" t="s">
        <v>2101</v>
      </c>
      <c r="U91" s="1" t="s">
        <v>2102</v>
      </c>
      <c r="V91" s="1">
        <v>9943064540</v>
      </c>
      <c r="W91" s="1" t="s">
        <v>2101</v>
      </c>
      <c r="X91" s="1" t="s">
        <v>2103</v>
      </c>
      <c r="Y91" s="1" t="s">
        <v>2104</v>
      </c>
      <c r="Z91" s="1" t="s">
        <v>559</v>
      </c>
      <c r="AA91" s="1" t="s">
        <v>2103</v>
      </c>
      <c r="AB91" s="1" t="s">
        <v>2104</v>
      </c>
      <c r="AC91" s="1" t="s">
        <v>559</v>
      </c>
      <c r="AD91" s="1">
        <v>8.64</v>
      </c>
      <c r="AE91" s="1" t="s">
        <v>93</v>
      </c>
      <c r="AF91" s="1" t="s">
        <v>2105</v>
      </c>
      <c r="AG91" s="1" t="s">
        <v>2106</v>
      </c>
      <c r="AH91" s="1" t="s">
        <v>166</v>
      </c>
      <c r="AI91" s="1" t="s">
        <v>308</v>
      </c>
      <c r="AJ91" s="1">
        <v>87</v>
      </c>
      <c r="AK91" s="1"/>
      <c r="AL91" s="1" t="s">
        <v>2107</v>
      </c>
      <c r="AM91" s="1" t="s">
        <v>2106</v>
      </c>
      <c r="AN91" s="1" t="s">
        <v>1019</v>
      </c>
      <c r="AO91" s="1" t="s">
        <v>436</v>
      </c>
      <c r="AP91" s="1">
        <v>88.6</v>
      </c>
      <c r="AQ91" s="1"/>
      <c r="AR91" s="1"/>
      <c r="AS91" s="1"/>
      <c r="AT91" s="1"/>
      <c r="AU91" s="1"/>
      <c r="AV91" s="1"/>
      <c r="AW91" s="1"/>
      <c r="AX91" s="1" t="s">
        <v>564</v>
      </c>
      <c r="AY91" s="1" t="s">
        <v>2108</v>
      </c>
      <c r="AZ91" s="1" t="s">
        <v>542</v>
      </c>
      <c r="BA91" s="1" t="s">
        <v>543</v>
      </c>
      <c r="BB91" s="1">
        <v>73.8</v>
      </c>
      <c r="BC91" s="1">
        <v>7.38</v>
      </c>
      <c r="BD91" s="1"/>
      <c r="BE91" s="1"/>
      <c r="BF91" s="1"/>
      <c r="BG91" s="1"/>
      <c r="BH91" s="1"/>
      <c r="BI91" s="1"/>
      <c r="BJ91" s="1" t="s">
        <v>2109</v>
      </c>
      <c r="BK91" s="1"/>
      <c r="BL91" s="1"/>
      <c r="BM91" s="1" t="s">
        <v>2110</v>
      </c>
      <c r="BN91" s="1">
        <v>9</v>
      </c>
      <c r="BO91" s="1" t="s">
        <v>2111</v>
      </c>
      <c r="BP91" s="1" t="str">
        <f>HYPERLINK("https://nconnect.nicmar.ac.in/storage/profile/ProfilePhoto_P25700071_679325.jpg","Download")</f>
        <v>0</v>
      </c>
      <c r="BQ91" s="3"/>
      <c r="BR91" s="3"/>
    </row>
    <row r="92" spans="1:70">
      <c r="A92" s="1" t="s">
        <v>70</v>
      </c>
      <c r="B92" s="1" t="s">
        <v>441</v>
      </c>
      <c r="C92" s="1" t="s">
        <v>2112</v>
      </c>
      <c r="D92" s="1" t="s">
        <v>2113</v>
      </c>
      <c r="E92" s="1"/>
      <c r="F92" s="1" t="s">
        <v>2114</v>
      </c>
      <c r="G92" s="1" t="s">
        <v>2115</v>
      </c>
      <c r="H92" s="1" t="s">
        <v>2116</v>
      </c>
      <c r="I92" s="1" t="s">
        <v>2117</v>
      </c>
      <c r="J92" s="1">
        <v>9151747407</v>
      </c>
      <c r="K92" s="1" t="s">
        <v>79</v>
      </c>
      <c r="L92" s="1" t="s">
        <v>2118</v>
      </c>
      <c r="M92" s="1" t="s">
        <v>150</v>
      </c>
      <c r="N92" s="1" t="s">
        <v>241</v>
      </c>
      <c r="O92" s="1" t="s">
        <v>2119</v>
      </c>
      <c r="P92" s="1" t="s">
        <v>84</v>
      </c>
      <c r="Q92" s="1" t="s">
        <v>2120</v>
      </c>
      <c r="R92" s="1" t="s">
        <v>2121</v>
      </c>
      <c r="S92" s="1">
        <v>9414583350</v>
      </c>
      <c r="T92" s="1" t="s">
        <v>2122</v>
      </c>
      <c r="U92" s="1" t="s">
        <v>2123</v>
      </c>
      <c r="V92" s="1">
        <v>9414583350</v>
      </c>
      <c r="W92" s="1" t="s">
        <v>156</v>
      </c>
      <c r="X92" s="1" t="s">
        <v>2124</v>
      </c>
      <c r="Y92" s="1" t="s">
        <v>2125</v>
      </c>
      <c r="Z92" s="1" t="s">
        <v>2126</v>
      </c>
      <c r="AA92" s="1" t="s">
        <v>2124</v>
      </c>
      <c r="AB92" s="1" t="s">
        <v>2125</v>
      </c>
      <c r="AC92" s="1" t="s">
        <v>2126</v>
      </c>
      <c r="AD92" s="1">
        <v>9.46</v>
      </c>
      <c r="AE92" s="1" t="s">
        <v>93</v>
      </c>
      <c r="AF92" s="1" t="s">
        <v>2127</v>
      </c>
      <c r="AG92" s="1" t="s">
        <v>2128</v>
      </c>
      <c r="AH92" s="1" t="s">
        <v>2129</v>
      </c>
      <c r="AI92" s="1" t="s">
        <v>2130</v>
      </c>
      <c r="AJ92" s="1">
        <v>90</v>
      </c>
      <c r="AK92" s="1"/>
      <c r="AL92" s="1" t="s">
        <v>2131</v>
      </c>
      <c r="AM92" s="1" t="s">
        <v>2132</v>
      </c>
      <c r="AN92" s="1" t="s">
        <v>1371</v>
      </c>
      <c r="AO92" s="1" t="s">
        <v>331</v>
      </c>
      <c r="AP92" s="1">
        <v>78.31</v>
      </c>
      <c r="AQ92" s="1"/>
      <c r="AR92" s="1"/>
      <c r="AS92" s="1"/>
      <c r="AT92" s="1"/>
      <c r="AU92" s="1"/>
      <c r="AV92" s="1"/>
      <c r="AW92" s="1"/>
      <c r="AX92" s="1" t="s">
        <v>2133</v>
      </c>
      <c r="AY92" s="1" t="s">
        <v>2134</v>
      </c>
      <c r="AZ92" s="1" t="s">
        <v>782</v>
      </c>
      <c r="BA92" s="1" t="s">
        <v>131</v>
      </c>
      <c r="BB92" s="1">
        <v>79.08</v>
      </c>
      <c r="BC92" s="1"/>
      <c r="BD92" s="1"/>
      <c r="BE92" s="1"/>
      <c r="BF92" s="1"/>
      <c r="BG92" s="1"/>
      <c r="BH92" s="1"/>
      <c r="BI92" s="1"/>
      <c r="BJ92" s="1" t="s">
        <v>2135</v>
      </c>
      <c r="BK92" s="1" t="s">
        <v>2136</v>
      </c>
      <c r="BL92" s="1" t="s">
        <v>2137</v>
      </c>
      <c r="BM92" s="1" t="s">
        <v>2138</v>
      </c>
      <c r="BN92" s="1">
        <v>16</v>
      </c>
      <c r="BO92" s="1" t="s">
        <v>2139</v>
      </c>
      <c r="BP92" s="1" t="str">
        <f>HYPERLINK("https://nconnect.nicmar.ac.in/storage/profile/ProfilePhoto_P25700072_317845.jpg","Download")</f>
        <v>0</v>
      </c>
      <c r="BQ92" s="3"/>
      <c r="BR92" s="3"/>
    </row>
    <row r="93" spans="1:70">
      <c r="A93" s="1" t="s">
        <v>70</v>
      </c>
      <c r="B93" s="1" t="s">
        <v>441</v>
      </c>
      <c r="C93" s="1" t="s">
        <v>2140</v>
      </c>
      <c r="D93" s="1" t="s">
        <v>1095</v>
      </c>
      <c r="E93" s="1" t="s">
        <v>2141</v>
      </c>
      <c r="F93" s="1" t="s">
        <v>2142</v>
      </c>
      <c r="G93" s="1" t="s">
        <v>2143</v>
      </c>
      <c r="H93" s="1" t="s">
        <v>2144</v>
      </c>
      <c r="I93" s="1" t="s">
        <v>2145</v>
      </c>
      <c r="J93" s="1">
        <v>8419957170</v>
      </c>
      <c r="K93" s="1" t="s">
        <v>79</v>
      </c>
      <c r="L93" s="1" t="s">
        <v>2146</v>
      </c>
      <c r="M93" s="1" t="s">
        <v>81</v>
      </c>
      <c r="N93" s="1" t="s">
        <v>2147</v>
      </c>
      <c r="O93" s="1" t="s">
        <v>2148</v>
      </c>
      <c r="P93" s="1" t="s">
        <v>351</v>
      </c>
      <c r="Q93" s="1" t="s">
        <v>2149</v>
      </c>
      <c r="R93" s="1" t="s">
        <v>2141</v>
      </c>
      <c r="S93" s="1">
        <v>9821580887</v>
      </c>
      <c r="T93" s="1" t="s">
        <v>2150</v>
      </c>
      <c r="U93" s="1" t="s">
        <v>2151</v>
      </c>
      <c r="V93" s="1">
        <v>9821580977</v>
      </c>
      <c r="W93" s="1" t="s">
        <v>531</v>
      </c>
      <c r="X93" s="1" t="s">
        <v>2152</v>
      </c>
      <c r="Y93" s="1" t="s">
        <v>991</v>
      </c>
      <c r="Z93" s="1" t="s">
        <v>92</v>
      </c>
      <c r="AA93" s="1" t="s">
        <v>2152</v>
      </c>
      <c r="AB93" s="1" t="s">
        <v>991</v>
      </c>
      <c r="AC93" s="1" t="s">
        <v>92</v>
      </c>
      <c r="AD93" s="1">
        <v>8.9</v>
      </c>
      <c r="AE93" s="1" t="s">
        <v>93</v>
      </c>
      <c r="AF93" s="1" t="s">
        <v>2153</v>
      </c>
      <c r="AG93" s="1" t="s">
        <v>2154</v>
      </c>
      <c r="AH93" s="1" t="s">
        <v>165</v>
      </c>
      <c r="AI93" s="1" t="s">
        <v>166</v>
      </c>
      <c r="AJ93" s="1">
        <v>91.33</v>
      </c>
      <c r="AK93" s="1"/>
      <c r="AL93" s="1" t="s">
        <v>2155</v>
      </c>
      <c r="AM93" s="1" t="s">
        <v>160</v>
      </c>
      <c r="AN93" s="1" t="s">
        <v>433</v>
      </c>
      <c r="AO93" s="1" t="s">
        <v>173</v>
      </c>
      <c r="AP93" s="1">
        <v>73.08</v>
      </c>
      <c r="AQ93" s="1"/>
      <c r="AR93" s="1"/>
      <c r="AS93" s="1"/>
      <c r="AT93" s="1"/>
      <c r="AU93" s="1"/>
      <c r="AV93" s="1"/>
      <c r="AW93" s="1"/>
      <c r="AX93" s="1" t="s">
        <v>1017</v>
      </c>
      <c r="AY93" s="1" t="s">
        <v>1147</v>
      </c>
      <c r="AZ93" s="1" t="s">
        <v>852</v>
      </c>
      <c r="BA93" s="1" t="s">
        <v>543</v>
      </c>
      <c r="BB93" s="1">
        <v>71.3</v>
      </c>
      <c r="BC93" s="1">
        <v>7.88</v>
      </c>
      <c r="BD93" s="1"/>
      <c r="BE93" s="1"/>
      <c r="BF93" s="1"/>
      <c r="BG93" s="1"/>
      <c r="BH93" s="1"/>
      <c r="BI93" s="1"/>
      <c r="BJ93" s="1" t="s">
        <v>2156</v>
      </c>
      <c r="BK93" s="1"/>
      <c r="BL93" s="1"/>
      <c r="BM93" s="1" t="s">
        <v>2157</v>
      </c>
      <c r="BN93" s="1">
        <v>12</v>
      </c>
      <c r="BO93" s="1"/>
      <c r="BP93" s="1" t="str">
        <f>HYPERLINK("https://nconnect.nicmar.ac.in/storage/profile/ProfilePhoto_P25700073_752198.jpg","Download")</f>
        <v>0</v>
      </c>
      <c r="BQ93" s="3"/>
      <c r="BR93" s="3"/>
    </row>
    <row r="94" spans="1:70">
      <c r="A94" s="1" t="s">
        <v>70</v>
      </c>
      <c r="B94" s="1" t="s">
        <v>441</v>
      </c>
      <c r="C94" s="1" t="s">
        <v>2158</v>
      </c>
      <c r="D94" s="1" t="s">
        <v>2159</v>
      </c>
      <c r="E94" s="1"/>
      <c r="F94" s="1" t="s">
        <v>2160</v>
      </c>
      <c r="G94" s="1" t="s">
        <v>2161</v>
      </c>
      <c r="H94" s="1" t="s">
        <v>2162</v>
      </c>
      <c r="I94" s="1" t="s">
        <v>2163</v>
      </c>
      <c r="J94" s="1">
        <v>9753124934</v>
      </c>
      <c r="K94" s="1" t="s">
        <v>79</v>
      </c>
      <c r="L94" s="1" t="s">
        <v>2164</v>
      </c>
      <c r="M94" s="1" t="s">
        <v>150</v>
      </c>
      <c r="N94" s="1" t="s">
        <v>2165</v>
      </c>
      <c r="O94" s="1"/>
      <c r="P94" s="1" t="s">
        <v>497</v>
      </c>
      <c r="Q94" s="1" t="s">
        <v>2166</v>
      </c>
      <c r="R94" s="1" t="s">
        <v>2167</v>
      </c>
      <c r="S94" s="1">
        <v>7693960127</v>
      </c>
      <c r="T94" s="1" t="s">
        <v>2168</v>
      </c>
      <c r="U94" s="1" t="s">
        <v>2169</v>
      </c>
      <c r="V94" s="1">
        <v>8051535477</v>
      </c>
      <c r="W94" s="1" t="s">
        <v>156</v>
      </c>
      <c r="X94" s="1" t="s">
        <v>2170</v>
      </c>
      <c r="Y94" s="1" t="s">
        <v>2171</v>
      </c>
      <c r="Z94" s="1" t="s">
        <v>636</v>
      </c>
      <c r="AA94" s="1" t="s">
        <v>2172</v>
      </c>
      <c r="AB94" s="1" t="s">
        <v>2173</v>
      </c>
      <c r="AC94" s="1" t="s">
        <v>636</v>
      </c>
      <c r="AD94" s="1">
        <v>9.15</v>
      </c>
      <c r="AE94" s="1" t="s">
        <v>93</v>
      </c>
      <c r="AF94" s="1" t="s">
        <v>2174</v>
      </c>
      <c r="AG94" s="1" t="s">
        <v>2175</v>
      </c>
      <c r="AH94" s="1" t="s">
        <v>2130</v>
      </c>
      <c r="AI94" s="1" t="s">
        <v>2176</v>
      </c>
      <c r="AJ94" s="1">
        <v>78.2</v>
      </c>
      <c r="AK94" s="1"/>
      <c r="AL94" s="1" t="s">
        <v>2177</v>
      </c>
      <c r="AM94" s="1" t="s">
        <v>2178</v>
      </c>
      <c r="AN94" s="1" t="s">
        <v>331</v>
      </c>
      <c r="AO94" s="1" t="s">
        <v>128</v>
      </c>
      <c r="AP94" s="1">
        <v>72.6</v>
      </c>
      <c r="AQ94" s="1"/>
      <c r="AR94" s="1"/>
      <c r="AS94" s="1"/>
      <c r="AT94" s="1"/>
      <c r="AU94" s="1"/>
      <c r="AV94" s="1"/>
      <c r="AW94" s="1"/>
      <c r="AX94" s="1" t="s">
        <v>2179</v>
      </c>
      <c r="AY94" s="1" t="s">
        <v>2180</v>
      </c>
      <c r="AZ94" s="1" t="s">
        <v>249</v>
      </c>
      <c r="BA94" s="1" t="s">
        <v>162</v>
      </c>
      <c r="BB94" s="1">
        <v>76.4</v>
      </c>
      <c r="BC94" s="1">
        <v>7.64</v>
      </c>
      <c r="BD94" s="1" t="s">
        <v>2179</v>
      </c>
      <c r="BE94" s="1" t="s">
        <v>1561</v>
      </c>
      <c r="BF94" s="1" t="s">
        <v>383</v>
      </c>
      <c r="BG94" s="1" t="s">
        <v>2181</v>
      </c>
      <c r="BH94" s="1">
        <v>85</v>
      </c>
      <c r="BI94" s="1">
        <v>8.5</v>
      </c>
      <c r="BJ94" s="1" t="s">
        <v>2182</v>
      </c>
      <c r="BK94" s="1" t="s">
        <v>2183</v>
      </c>
      <c r="BL94" s="1" t="s">
        <v>1459</v>
      </c>
      <c r="BM94" s="1" t="s">
        <v>2184</v>
      </c>
      <c r="BN94" s="1">
        <v>63</v>
      </c>
      <c r="BO94" s="1" t="s">
        <v>2185</v>
      </c>
      <c r="BP94" s="1" t="str">
        <f>HYPERLINK("https://nconnect.nicmar.ac.in/storage/profile/6a69ea2cd59b5.png","Download")</f>
        <v>0</v>
      </c>
      <c r="BQ94" s="3"/>
      <c r="BR94" s="3"/>
    </row>
    <row r="95" spans="1:70">
      <c r="A95" s="1" t="s">
        <v>70</v>
      </c>
      <c r="B95" s="1" t="s">
        <v>441</v>
      </c>
      <c r="C95" s="1" t="s">
        <v>2186</v>
      </c>
      <c r="D95" s="1" t="s">
        <v>899</v>
      </c>
      <c r="E95" s="1"/>
      <c r="F95" s="1" t="s">
        <v>345</v>
      </c>
      <c r="G95" s="1" t="s">
        <v>2187</v>
      </c>
      <c r="H95" s="1" t="s">
        <v>2188</v>
      </c>
      <c r="I95" s="1" t="s">
        <v>2189</v>
      </c>
      <c r="J95" s="1">
        <v>7380748889</v>
      </c>
      <c r="K95" s="1" t="s">
        <v>79</v>
      </c>
      <c r="L95" s="1" t="s">
        <v>2190</v>
      </c>
      <c r="M95" s="1" t="s">
        <v>81</v>
      </c>
      <c r="N95" s="1" t="s">
        <v>82</v>
      </c>
      <c r="O95" s="1"/>
      <c r="P95" s="1"/>
      <c r="Q95" s="1" t="s">
        <v>2191</v>
      </c>
      <c r="R95" s="1" t="s">
        <v>2192</v>
      </c>
      <c r="S95" s="1">
        <v>9838012757</v>
      </c>
      <c r="T95" s="1" t="s">
        <v>2193</v>
      </c>
      <c r="U95" s="1" t="s">
        <v>2194</v>
      </c>
      <c r="V95" s="1">
        <v>9120524427</v>
      </c>
      <c r="W95" s="1" t="s">
        <v>273</v>
      </c>
      <c r="X95" s="1" t="s">
        <v>2195</v>
      </c>
      <c r="Y95" s="1" t="s">
        <v>533</v>
      </c>
      <c r="Z95" s="1" t="s">
        <v>534</v>
      </c>
      <c r="AA95" s="1" t="s">
        <v>2196</v>
      </c>
      <c r="AB95" s="1" t="s">
        <v>533</v>
      </c>
      <c r="AC95" s="1" t="s">
        <v>534</v>
      </c>
      <c r="AD95" s="1">
        <v>8.59</v>
      </c>
      <c r="AE95" s="1" t="s">
        <v>93</v>
      </c>
      <c r="AF95" s="1" t="s">
        <v>2197</v>
      </c>
      <c r="AG95" s="1" t="s">
        <v>2198</v>
      </c>
      <c r="AH95" s="1" t="s">
        <v>279</v>
      </c>
      <c r="AI95" s="1" t="s">
        <v>165</v>
      </c>
      <c r="AJ95" s="1">
        <v>70.3</v>
      </c>
      <c r="AK95" s="1">
        <v>7.4</v>
      </c>
      <c r="AL95" s="1" t="s">
        <v>2197</v>
      </c>
      <c r="AM95" s="1" t="s">
        <v>2198</v>
      </c>
      <c r="AN95" s="1" t="s">
        <v>481</v>
      </c>
      <c r="AO95" s="1" t="s">
        <v>308</v>
      </c>
      <c r="AP95" s="1">
        <v>73.5</v>
      </c>
      <c r="AQ95" s="1"/>
      <c r="AR95" s="1"/>
      <c r="AS95" s="1"/>
      <c r="AT95" s="1"/>
      <c r="AU95" s="1"/>
      <c r="AV95" s="1"/>
      <c r="AW95" s="1"/>
      <c r="AX95" s="1" t="s">
        <v>957</v>
      </c>
      <c r="AY95" s="1" t="s">
        <v>2199</v>
      </c>
      <c r="AZ95" s="1" t="s">
        <v>1019</v>
      </c>
      <c r="BA95" s="1" t="s">
        <v>1067</v>
      </c>
      <c r="BB95" s="1">
        <v>74.4</v>
      </c>
      <c r="BC95" s="1">
        <v>7.44</v>
      </c>
      <c r="BD95" s="1"/>
      <c r="BE95" s="1"/>
      <c r="BF95" s="1"/>
      <c r="BG95" s="1"/>
      <c r="BH95" s="1"/>
      <c r="BI95" s="1"/>
      <c r="BJ95" s="1" t="s">
        <v>2200</v>
      </c>
      <c r="BK95" s="1"/>
      <c r="BL95" s="1"/>
      <c r="BM95" s="1" t="s">
        <v>2201</v>
      </c>
      <c r="BN95" s="1">
        <v>6</v>
      </c>
      <c r="BO95" s="1"/>
      <c r="BP95" s="1" t="str">
        <f>HYPERLINK("https://nconnect.nicmar.ac.in/storage/profile/ProfilePhoto_P25700075_647825.jpg","Download")</f>
        <v>0</v>
      </c>
      <c r="BQ95" s="3"/>
      <c r="BR95" s="3"/>
    </row>
    <row r="96" spans="1:70">
      <c r="A96" s="1" t="s">
        <v>70</v>
      </c>
      <c r="B96" s="1" t="s">
        <v>441</v>
      </c>
      <c r="C96" s="1" t="s">
        <v>2202</v>
      </c>
      <c r="D96" s="1" t="s">
        <v>1762</v>
      </c>
      <c r="E96" s="1" t="s">
        <v>2203</v>
      </c>
      <c r="F96" s="1" t="s">
        <v>2204</v>
      </c>
      <c r="G96" s="1" t="s">
        <v>2205</v>
      </c>
      <c r="H96" s="1" t="s">
        <v>2206</v>
      </c>
      <c r="I96" s="1" t="s">
        <v>2207</v>
      </c>
      <c r="J96" s="1">
        <v>9552703406</v>
      </c>
      <c r="K96" s="1" t="s">
        <v>79</v>
      </c>
      <c r="L96" s="1" t="s">
        <v>2208</v>
      </c>
      <c r="M96" s="1" t="s">
        <v>81</v>
      </c>
      <c r="N96" s="1" t="s">
        <v>1140</v>
      </c>
      <c r="O96" s="1"/>
      <c r="P96" s="1" t="s">
        <v>497</v>
      </c>
      <c r="Q96" s="1" t="s">
        <v>2209</v>
      </c>
      <c r="R96" s="1" t="s">
        <v>2203</v>
      </c>
      <c r="S96" s="1">
        <v>9422281494</v>
      </c>
      <c r="T96" s="1" t="s">
        <v>1529</v>
      </c>
      <c r="U96" s="1" t="s">
        <v>2210</v>
      </c>
      <c r="V96" s="1">
        <v>9422942326</v>
      </c>
      <c r="W96" s="1" t="s">
        <v>89</v>
      </c>
      <c r="X96" s="1" t="s">
        <v>2211</v>
      </c>
      <c r="Y96" s="1" t="s">
        <v>246</v>
      </c>
      <c r="Z96" s="1" t="s">
        <v>92</v>
      </c>
      <c r="AA96" s="1" t="s">
        <v>2211</v>
      </c>
      <c r="AB96" s="1" t="s">
        <v>246</v>
      </c>
      <c r="AC96" s="1" t="s">
        <v>92</v>
      </c>
      <c r="AD96" s="1">
        <v>8.77</v>
      </c>
      <c r="AE96" s="1" t="s">
        <v>93</v>
      </c>
      <c r="AF96" s="1" t="s">
        <v>2212</v>
      </c>
      <c r="AG96" s="1" t="s">
        <v>758</v>
      </c>
      <c r="AH96" s="1" t="s">
        <v>161</v>
      </c>
      <c r="AI96" s="1" t="s">
        <v>614</v>
      </c>
      <c r="AJ96" s="1">
        <v>83.6</v>
      </c>
      <c r="AK96" s="1">
        <v>8.8</v>
      </c>
      <c r="AL96" s="1" t="s">
        <v>2212</v>
      </c>
      <c r="AM96" s="1" t="s">
        <v>758</v>
      </c>
      <c r="AN96" s="1" t="s">
        <v>383</v>
      </c>
      <c r="AO96" s="1" t="s">
        <v>166</v>
      </c>
      <c r="AP96" s="1">
        <v>72.6</v>
      </c>
      <c r="AQ96" s="1"/>
      <c r="AR96" s="1"/>
      <c r="AS96" s="1"/>
      <c r="AT96" s="1"/>
      <c r="AU96" s="1"/>
      <c r="AV96" s="1"/>
      <c r="AW96" s="1"/>
      <c r="AX96" s="1" t="s">
        <v>102</v>
      </c>
      <c r="AY96" s="1" t="s">
        <v>2213</v>
      </c>
      <c r="AZ96" s="1" t="s">
        <v>169</v>
      </c>
      <c r="BA96" s="1" t="s">
        <v>105</v>
      </c>
      <c r="BB96" s="1">
        <v>87.5</v>
      </c>
      <c r="BC96" s="1">
        <v>9.25</v>
      </c>
      <c r="BD96" s="1"/>
      <c r="BE96" s="1"/>
      <c r="BF96" s="1"/>
      <c r="BG96" s="1"/>
      <c r="BH96" s="1"/>
      <c r="BI96" s="1"/>
      <c r="BJ96" s="1" t="s">
        <v>567</v>
      </c>
      <c r="BK96" s="1" t="s">
        <v>2214</v>
      </c>
      <c r="BL96" s="1" t="s">
        <v>2215</v>
      </c>
      <c r="BM96" s="1" t="s">
        <v>2216</v>
      </c>
      <c r="BN96" s="1">
        <v>42</v>
      </c>
      <c r="BO96" s="1" t="s">
        <v>2217</v>
      </c>
      <c r="BP96" s="1" t="str">
        <f>HYPERLINK("https://nconnect.nicmar.ac.in/storage/profile/ProfilePhoto_P25700076_896241.jpg","Download")</f>
        <v>0</v>
      </c>
      <c r="BQ96" s="3"/>
      <c r="BR96" s="3"/>
    </row>
    <row r="97" spans="1:70">
      <c r="A97" s="1" t="s">
        <v>70</v>
      </c>
      <c r="B97" s="1" t="s">
        <v>441</v>
      </c>
      <c r="C97" s="1" t="s">
        <v>2218</v>
      </c>
      <c r="D97" s="1" t="s">
        <v>2219</v>
      </c>
      <c r="E97" s="1" t="s">
        <v>490</v>
      </c>
      <c r="F97" s="1" t="s">
        <v>2220</v>
      </c>
      <c r="G97" s="1" t="s">
        <v>2221</v>
      </c>
      <c r="H97" s="1" t="s">
        <v>2222</v>
      </c>
      <c r="I97" s="1" t="s">
        <v>2223</v>
      </c>
      <c r="J97" s="1">
        <v>7021948873</v>
      </c>
      <c r="K97" s="1" t="s">
        <v>79</v>
      </c>
      <c r="L97" s="1" t="s">
        <v>2224</v>
      </c>
      <c r="M97" s="1" t="s">
        <v>81</v>
      </c>
      <c r="N97" s="1" t="s">
        <v>1140</v>
      </c>
      <c r="O97" s="1"/>
      <c r="P97" s="1" t="s">
        <v>450</v>
      </c>
      <c r="Q97" s="1" t="s">
        <v>2225</v>
      </c>
      <c r="R97" s="1" t="s">
        <v>2226</v>
      </c>
      <c r="S97" s="1">
        <v>9820848352</v>
      </c>
      <c r="T97" s="1" t="s">
        <v>820</v>
      </c>
      <c r="U97" s="1" t="s">
        <v>2227</v>
      </c>
      <c r="V97" s="1">
        <v>9029395241</v>
      </c>
      <c r="W97" s="1" t="s">
        <v>156</v>
      </c>
      <c r="X97" s="1" t="s">
        <v>2228</v>
      </c>
      <c r="Y97" s="1" t="s">
        <v>2229</v>
      </c>
      <c r="Z97" s="1" t="s">
        <v>92</v>
      </c>
      <c r="AA97" s="1" t="s">
        <v>2230</v>
      </c>
      <c r="AB97" s="1" t="s">
        <v>2229</v>
      </c>
      <c r="AC97" s="1" t="s">
        <v>92</v>
      </c>
      <c r="AD97" s="1">
        <v>7.87</v>
      </c>
      <c r="AE97" s="1" t="s">
        <v>93</v>
      </c>
      <c r="AF97" s="1" t="s">
        <v>2231</v>
      </c>
      <c r="AG97" s="1" t="s">
        <v>2232</v>
      </c>
      <c r="AH97" s="1" t="s">
        <v>161</v>
      </c>
      <c r="AI97" s="1" t="s">
        <v>1089</v>
      </c>
      <c r="AJ97" s="1">
        <v>82</v>
      </c>
      <c r="AK97" s="1">
        <v>0</v>
      </c>
      <c r="AL97" s="1" t="s">
        <v>2233</v>
      </c>
      <c r="AM97" s="1" t="s">
        <v>2234</v>
      </c>
      <c r="AN97" s="1" t="s">
        <v>165</v>
      </c>
      <c r="AO97" s="1" t="s">
        <v>1455</v>
      </c>
      <c r="AP97" s="1">
        <v>54.77</v>
      </c>
      <c r="AQ97" s="1">
        <v>0</v>
      </c>
      <c r="AR97" s="1" t="s">
        <v>98</v>
      </c>
      <c r="AS97" s="1" t="s">
        <v>2235</v>
      </c>
      <c r="AT97" s="1" t="s">
        <v>481</v>
      </c>
      <c r="AU97" s="1" t="s">
        <v>170</v>
      </c>
      <c r="AV97" s="1">
        <v>81.68</v>
      </c>
      <c r="AW97" s="1">
        <v>0</v>
      </c>
      <c r="AX97" s="1" t="s">
        <v>666</v>
      </c>
      <c r="AY97" s="1" t="s">
        <v>2236</v>
      </c>
      <c r="AZ97" s="1" t="s">
        <v>460</v>
      </c>
      <c r="BA97" s="1" t="s">
        <v>935</v>
      </c>
      <c r="BB97" s="1">
        <v>73.56</v>
      </c>
      <c r="BC97" s="1">
        <v>8.32</v>
      </c>
      <c r="BD97" s="1"/>
      <c r="BE97" s="1"/>
      <c r="BF97" s="1"/>
      <c r="BG97" s="1"/>
      <c r="BH97" s="1"/>
      <c r="BI97" s="1"/>
      <c r="BJ97" s="1" t="s">
        <v>364</v>
      </c>
      <c r="BK97" s="1" t="s">
        <v>2237</v>
      </c>
      <c r="BL97" s="1" t="s">
        <v>1335</v>
      </c>
      <c r="BM97" s="1" t="s">
        <v>2238</v>
      </c>
      <c r="BN97" s="1">
        <v>22</v>
      </c>
      <c r="BO97" s="1" t="s">
        <v>2239</v>
      </c>
      <c r="BP97" s="1" t="str">
        <f>HYPERLINK("https://nconnect.nicmar.ac.in/storage/profile/ProfilePhoto_P25700077_256193.jpg","Download")</f>
        <v>0</v>
      </c>
      <c r="BQ97" s="3"/>
      <c r="BR97" s="3"/>
    </row>
    <row r="98" spans="1:70">
      <c r="A98" s="1" t="s">
        <v>70</v>
      </c>
      <c r="B98" s="1" t="s">
        <v>441</v>
      </c>
      <c r="C98" s="1" t="s">
        <v>2240</v>
      </c>
      <c r="D98" s="1" t="s">
        <v>2241</v>
      </c>
      <c r="E98" s="1" t="s">
        <v>2242</v>
      </c>
      <c r="F98" s="1" t="s">
        <v>2243</v>
      </c>
      <c r="G98" s="1" t="s">
        <v>2244</v>
      </c>
      <c r="H98" s="1" t="s">
        <v>2245</v>
      </c>
      <c r="I98" s="1" t="s">
        <v>2246</v>
      </c>
      <c r="J98" s="1">
        <v>7249691811</v>
      </c>
      <c r="K98" s="1" t="s">
        <v>79</v>
      </c>
      <c r="L98" s="1" t="s">
        <v>2247</v>
      </c>
      <c r="M98" s="1" t="s">
        <v>81</v>
      </c>
      <c r="N98" s="1" t="s">
        <v>2248</v>
      </c>
      <c r="O98" s="1"/>
      <c r="P98" s="1" t="s">
        <v>1007</v>
      </c>
      <c r="Q98" s="1" t="s">
        <v>2249</v>
      </c>
      <c r="R98" s="1" t="s">
        <v>2242</v>
      </c>
      <c r="S98" s="1">
        <v>9881097905</v>
      </c>
      <c r="T98" s="1" t="s">
        <v>87</v>
      </c>
      <c r="U98" s="1" t="s">
        <v>2250</v>
      </c>
      <c r="V98" s="1">
        <v>7755957905</v>
      </c>
      <c r="W98" s="1" t="s">
        <v>273</v>
      </c>
      <c r="X98" s="1" t="s">
        <v>2251</v>
      </c>
      <c r="Y98" s="1" t="s">
        <v>158</v>
      </c>
      <c r="Z98" s="1" t="s">
        <v>92</v>
      </c>
      <c r="AA98" s="1" t="s">
        <v>2251</v>
      </c>
      <c r="AB98" s="1" t="s">
        <v>158</v>
      </c>
      <c r="AC98" s="1" t="s">
        <v>92</v>
      </c>
      <c r="AD98" s="1">
        <v>6.97</v>
      </c>
      <c r="AE98" s="1" t="s">
        <v>93</v>
      </c>
      <c r="AF98" s="1" t="s">
        <v>2252</v>
      </c>
      <c r="AG98" s="1" t="s">
        <v>2253</v>
      </c>
      <c r="AH98" s="1" t="s">
        <v>165</v>
      </c>
      <c r="AI98" s="1" t="s">
        <v>281</v>
      </c>
      <c r="AJ98" s="1">
        <v>65.4</v>
      </c>
      <c r="AK98" s="1"/>
      <c r="AL98" s="1"/>
      <c r="AM98" s="1"/>
      <c r="AN98" s="1"/>
      <c r="AO98" s="1"/>
      <c r="AP98" s="1"/>
      <c r="AQ98" s="1"/>
      <c r="AR98" s="1" t="s">
        <v>434</v>
      </c>
      <c r="AS98" s="1" t="s">
        <v>2254</v>
      </c>
      <c r="AT98" s="1" t="s">
        <v>101</v>
      </c>
      <c r="AU98" s="1" t="s">
        <v>436</v>
      </c>
      <c r="AV98" s="1">
        <v>87.32</v>
      </c>
      <c r="AW98" s="1"/>
      <c r="AX98" s="1" t="s">
        <v>2255</v>
      </c>
      <c r="AY98" s="1" t="s">
        <v>2256</v>
      </c>
      <c r="AZ98" s="1" t="s">
        <v>852</v>
      </c>
      <c r="BA98" s="1" t="s">
        <v>202</v>
      </c>
      <c r="BB98" s="1">
        <v>60.6</v>
      </c>
      <c r="BC98" s="1">
        <v>6.81</v>
      </c>
      <c r="BD98" s="1"/>
      <c r="BE98" s="1"/>
      <c r="BF98" s="1"/>
      <c r="BG98" s="1"/>
      <c r="BH98" s="1"/>
      <c r="BI98" s="1"/>
      <c r="BJ98" s="1" t="s">
        <v>255</v>
      </c>
      <c r="BK98" s="1" t="s">
        <v>2257</v>
      </c>
      <c r="BL98" s="1" t="s">
        <v>1048</v>
      </c>
      <c r="BM98" s="1" t="s">
        <v>2258</v>
      </c>
      <c r="BN98" s="1">
        <v>11</v>
      </c>
      <c r="BO98" s="1" t="s">
        <v>2259</v>
      </c>
      <c r="BP98" s="1" t="str">
        <f>HYPERLINK("https://nconnect.nicmar.ac.in/storage/profile/ProfilePhoto_P25700078_578396.jpg","Download")</f>
        <v>0</v>
      </c>
      <c r="BQ98" s="3"/>
      <c r="BR98" s="3"/>
    </row>
    <row r="99" spans="1:70">
      <c r="A99" s="1" t="s">
        <v>70</v>
      </c>
      <c r="B99" s="1" t="s">
        <v>441</v>
      </c>
      <c r="C99" s="1" t="s">
        <v>2260</v>
      </c>
      <c r="D99" s="1" t="s">
        <v>1762</v>
      </c>
      <c r="E99" s="1" t="s">
        <v>2261</v>
      </c>
      <c r="F99" s="1" t="s">
        <v>2262</v>
      </c>
      <c r="G99" s="1" t="s">
        <v>2263</v>
      </c>
      <c r="H99" s="1" t="s">
        <v>2264</v>
      </c>
      <c r="I99" s="1" t="s">
        <v>2265</v>
      </c>
      <c r="J99" s="1">
        <v>7758959334</v>
      </c>
      <c r="K99" s="1" t="s">
        <v>79</v>
      </c>
      <c r="L99" s="1" t="s">
        <v>2266</v>
      </c>
      <c r="M99" s="1" t="s">
        <v>81</v>
      </c>
      <c r="N99" s="1" t="s">
        <v>2267</v>
      </c>
      <c r="O99" s="1"/>
      <c r="P99" s="1" t="s">
        <v>450</v>
      </c>
      <c r="Q99" s="1" t="s">
        <v>2268</v>
      </c>
      <c r="R99" s="1" t="s">
        <v>2261</v>
      </c>
      <c r="S99" s="1">
        <v>9960405141</v>
      </c>
      <c r="T99" s="1" t="s">
        <v>1529</v>
      </c>
      <c r="U99" s="1" t="s">
        <v>2250</v>
      </c>
      <c r="V99" s="1">
        <v>8530285246</v>
      </c>
      <c r="W99" s="1" t="s">
        <v>156</v>
      </c>
      <c r="X99" s="1" t="s">
        <v>2269</v>
      </c>
      <c r="Y99" s="1" t="s">
        <v>191</v>
      </c>
      <c r="Z99" s="1" t="s">
        <v>92</v>
      </c>
      <c r="AA99" s="1" t="s">
        <v>2270</v>
      </c>
      <c r="AB99" s="1" t="s">
        <v>1754</v>
      </c>
      <c r="AC99" s="1" t="s">
        <v>92</v>
      </c>
      <c r="AD99" s="1">
        <v>8.15</v>
      </c>
      <c r="AE99" s="1" t="s">
        <v>93</v>
      </c>
      <c r="AF99" s="1" t="s">
        <v>2271</v>
      </c>
      <c r="AG99" s="1" t="s">
        <v>160</v>
      </c>
      <c r="AH99" s="1" t="s">
        <v>101</v>
      </c>
      <c r="AI99" s="1" t="s">
        <v>409</v>
      </c>
      <c r="AJ99" s="1">
        <v>80.8</v>
      </c>
      <c r="AK99" s="1">
        <v>0</v>
      </c>
      <c r="AL99" s="1" t="s">
        <v>2272</v>
      </c>
      <c r="AM99" s="1" t="s">
        <v>160</v>
      </c>
      <c r="AN99" s="1" t="s">
        <v>173</v>
      </c>
      <c r="AO99" s="1" t="s">
        <v>2273</v>
      </c>
      <c r="AP99" s="1">
        <v>81.17</v>
      </c>
      <c r="AQ99" s="1">
        <v>0</v>
      </c>
      <c r="AR99" s="1"/>
      <c r="AS99" s="1"/>
      <c r="AT99" s="1"/>
      <c r="AU99" s="1"/>
      <c r="AV99" s="1"/>
      <c r="AW99" s="1"/>
      <c r="AX99" s="1" t="s">
        <v>361</v>
      </c>
      <c r="AY99" s="1" t="s">
        <v>2274</v>
      </c>
      <c r="AZ99" s="1" t="s">
        <v>436</v>
      </c>
      <c r="BA99" s="1" t="s">
        <v>543</v>
      </c>
      <c r="BB99" s="1">
        <v>68.59</v>
      </c>
      <c r="BC99" s="1">
        <v>7.22</v>
      </c>
      <c r="BD99" s="1"/>
      <c r="BE99" s="1"/>
      <c r="BF99" s="1"/>
      <c r="BG99" s="1"/>
      <c r="BH99" s="1"/>
      <c r="BI99" s="1"/>
      <c r="BJ99" s="1" t="s">
        <v>2275</v>
      </c>
      <c r="BK99" s="1"/>
      <c r="BL99" s="1"/>
      <c r="BM99" s="1" t="s">
        <v>2276</v>
      </c>
      <c r="BN99" s="1">
        <v>13</v>
      </c>
      <c r="BO99" s="1"/>
      <c r="BP99" s="1" t="str">
        <f>HYPERLINK("https://nconnect.nicmar.ac.in/storage/profile/ProfilePhoto_P25700079_752381.jpg","Download")</f>
        <v>0</v>
      </c>
      <c r="BQ99" s="3"/>
      <c r="BR99" s="3"/>
    </row>
    <row r="100" spans="1:70">
      <c r="A100" s="1" t="s">
        <v>70</v>
      </c>
      <c r="B100" s="1" t="s">
        <v>441</v>
      </c>
      <c r="C100" s="1" t="s">
        <v>2277</v>
      </c>
      <c r="D100" s="1" t="s">
        <v>2278</v>
      </c>
      <c r="E100" s="1" t="s">
        <v>2279</v>
      </c>
      <c r="F100" s="1" t="s">
        <v>520</v>
      </c>
      <c r="G100" s="1" t="s">
        <v>2280</v>
      </c>
      <c r="H100" s="1" t="s">
        <v>2281</v>
      </c>
      <c r="I100" s="1" t="s">
        <v>2282</v>
      </c>
      <c r="J100" s="1">
        <v>9923100377</v>
      </c>
      <c r="K100" s="1" t="s">
        <v>79</v>
      </c>
      <c r="L100" s="1" t="s">
        <v>2283</v>
      </c>
      <c r="M100" s="1" t="s">
        <v>81</v>
      </c>
      <c r="N100" s="1" t="s">
        <v>2284</v>
      </c>
      <c r="O100" s="1"/>
      <c r="P100" s="1" t="s">
        <v>497</v>
      </c>
      <c r="Q100" s="1" t="s">
        <v>2285</v>
      </c>
      <c r="R100" s="1" t="s">
        <v>2279</v>
      </c>
      <c r="S100" s="1">
        <v>9561000047</v>
      </c>
      <c r="T100" s="1" t="s">
        <v>906</v>
      </c>
      <c r="U100" s="1" t="s">
        <v>2286</v>
      </c>
      <c r="V100" s="1">
        <v>9923100377</v>
      </c>
      <c r="W100" s="1" t="s">
        <v>89</v>
      </c>
      <c r="X100" s="1" t="s">
        <v>2287</v>
      </c>
      <c r="Y100" s="1" t="s">
        <v>405</v>
      </c>
      <c r="Z100" s="1" t="s">
        <v>92</v>
      </c>
      <c r="AA100" s="1" t="s">
        <v>2287</v>
      </c>
      <c r="AB100" s="1" t="s">
        <v>405</v>
      </c>
      <c r="AC100" s="1" t="s">
        <v>92</v>
      </c>
      <c r="AD100" s="1">
        <v>9.15</v>
      </c>
      <c r="AE100" s="1" t="s">
        <v>93</v>
      </c>
      <c r="AF100" s="1" t="s">
        <v>2288</v>
      </c>
      <c r="AG100" s="1" t="s">
        <v>2289</v>
      </c>
      <c r="AH100" s="1" t="s">
        <v>2290</v>
      </c>
      <c r="AI100" s="1" t="s">
        <v>165</v>
      </c>
      <c r="AJ100" s="1">
        <v>95</v>
      </c>
      <c r="AK100" s="1">
        <v>10</v>
      </c>
      <c r="AL100" s="1" t="s">
        <v>2291</v>
      </c>
      <c r="AM100" s="1" t="s">
        <v>2289</v>
      </c>
      <c r="AN100" s="1" t="s">
        <v>165</v>
      </c>
      <c r="AO100" s="1" t="s">
        <v>308</v>
      </c>
      <c r="AP100" s="1">
        <v>73.8</v>
      </c>
      <c r="AQ100" s="1"/>
      <c r="AR100" s="1"/>
      <c r="AS100" s="1"/>
      <c r="AT100" s="1"/>
      <c r="AU100" s="1"/>
      <c r="AV100" s="1"/>
      <c r="AW100" s="1"/>
      <c r="AX100" s="1" t="s">
        <v>410</v>
      </c>
      <c r="AY100" s="1" t="s">
        <v>2292</v>
      </c>
      <c r="AZ100" s="1" t="s">
        <v>201</v>
      </c>
      <c r="BA100" s="1" t="s">
        <v>935</v>
      </c>
      <c r="BB100" s="1">
        <v>86.9</v>
      </c>
      <c r="BC100" s="1">
        <v>8.69</v>
      </c>
      <c r="BD100" s="1"/>
      <c r="BE100" s="1"/>
      <c r="BF100" s="1"/>
      <c r="BG100" s="1"/>
      <c r="BH100" s="1"/>
      <c r="BI100" s="1"/>
      <c r="BJ100" s="1" t="s">
        <v>2293</v>
      </c>
      <c r="BK100" s="1" t="s">
        <v>2294</v>
      </c>
      <c r="BL100" s="1" t="s">
        <v>2295</v>
      </c>
      <c r="BM100" s="1" t="s">
        <v>2296</v>
      </c>
      <c r="BN100" s="1">
        <v>22</v>
      </c>
      <c r="BO100" s="1" t="s">
        <v>2297</v>
      </c>
      <c r="BP100" s="1" t="str">
        <f>HYPERLINK("https://nconnect.nicmar.ac.in/storage/profile/ProfilePhoto_P25700080_357284.jpg","Download")</f>
        <v>0</v>
      </c>
      <c r="BQ100" s="3"/>
      <c r="BR100" s="3"/>
    </row>
    <row r="101" spans="1:70">
      <c r="A101" s="1" t="s">
        <v>70</v>
      </c>
      <c r="B101" s="1" t="s">
        <v>441</v>
      </c>
      <c r="C101" s="1" t="s">
        <v>2298</v>
      </c>
      <c r="D101" s="1" t="s">
        <v>2299</v>
      </c>
      <c r="E101" s="1"/>
      <c r="F101" s="1" t="s">
        <v>1888</v>
      </c>
      <c r="G101" s="1" t="s">
        <v>2300</v>
      </c>
      <c r="H101" s="1" t="s">
        <v>2301</v>
      </c>
      <c r="I101" s="1" t="s">
        <v>2302</v>
      </c>
      <c r="J101" s="1">
        <v>9398319303</v>
      </c>
      <c r="K101" s="1" t="s">
        <v>79</v>
      </c>
      <c r="L101" s="1" t="s">
        <v>2303</v>
      </c>
      <c r="M101" s="1" t="s">
        <v>81</v>
      </c>
      <c r="N101" s="1" t="s">
        <v>1788</v>
      </c>
      <c r="O101" s="1"/>
      <c r="P101" s="1" t="s">
        <v>497</v>
      </c>
      <c r="Q101" s="1" t="s">
        <v>2304</v>
      </c>
      <c r="R101" s="1" t="s">
        <v>2305</v>
      </c>
      <c r="S101" s="1">
        <v>9949706447</v>
      </c>
      <c r="T101" s="1" t="s">
        <v>2306</v>
      </c>
      <c r="U101" s="1" t="s">
        <v>2307</v>
      </c>
      <c r="V101" s="1">
        <v>9618201239</v>
      </c>
      <c r="W101" s="1" t="s">
        <v>531</v>
      </c>
      <c r="X101" s="1" t="s">
        <v>2308</v>
      </c>
      <c r="Y101" s="1" t="s">
        <v>1898</v>
      </c>
      <c r="Z101" s="1" t="s">
        <v>276</v>
      </c>
      <c r="AA101" s="1" t="s">
        <v>2308</v>
      </c>
      <c r="AB101" s="1" t="s">
        <v>1898</v>
      </c>
      <c r="AC101" s="1" t="s">
        <v>276</v>
      </c>
      <c r="AD101" s="1">
        <v>9.44</v>
      </c>
      <c r="AE101" s="1" t="s">
        <v>93</v>
      </c>
      <c r="AF101" s="1" t="s">
        <v>2309</v>
      </c>
      <c r="AG101" s="1" t="s">
        <v>2310</v>
      </c>
      <c r="AH101" s="1" t="s">
        <v>162</v>
      </c>
      <c r="AI101" s="1" t="s">
        <v>689</v>
      </c>
      <c r="AJ101" s="1">
        <v>100</v>
      </c>
      <c r="AK101" s="1">
        <v>10</v>
      </c>
      <c r="AL101" s="1" t="s">
        <v>2311</v>
      </c>
      <c r="AM101" s="1" t="s">
        <v>2312</v>
      </c>
      <c r="AN101" s="1" t="s">
        <v>383</v>
      </c>
      <c r="AO101" s="1" t="s">
        <v>537</v>
      </c>
      <c r="AP101" s="1">
        <v>94.2</v>
      </c>
      <c r="AQ101" s="1">
        <v>9.73</v>
      </c>
      <c r="AR101" s="1"/>
      <c r="AS101" s="1"/>
      <c r="AT101" s="1"/>
      <c r="AU101" s="1"/>
      <c r="AV101" s="1"/>
      <c r="AW101" s="1"/>
      <c r="AX101" s="1" t="s">
        <v>2313</v>
      </c>
      <c r="AY101" s="1" t="s">
        <v>2314</v>
      </c>
      <c r="AZ101" s="1" t="s">
        <v>201</v>
      </c>
      <c r="BA101" s="1" t="s">
        <v>174</v>
      </c>
      <c r="BB101" s="1">
        <v>82.8</v>
      </c>
      <c r="BC101" s="1">
        <v>8.54</v>
      </c>
      <c r="BD101" s="1"/>
      <c r="BE101" s="1"/>
      <c r="BF101" s="1"/>
      <c r="BG101" s="1"/>
      <c r="BH101" s="1"/>
      <c r="BI101" s="1"/>
      <c r="BJ101" s="1" t="s">
        <v>2315</v>
      </c>
      <c r="BK101" s="1"/>
      <c r="BL101" s="1"/>
      <c r="BM101" s="1" t="s">
        <v>2316</v>
      </c>
      <c r="BN101" s="1">
        <v>61</v>
      </c>
      <c r="BO101" s="1" t="s">
        <v>2317</v>
      </c>
      <c r="BP101" s="1" t="str">
        <f>HYPERLINK("https://nconnect.nicmar.ac.in/storage/profile/ProfilePhoto_P25700081_978456.jpg","Download")</f>
        <v>0</v>
      </c>
      <c r="BQ101" s="3"/>
      <c r="BR101" s="3"/>
    </row>
    <row r="102" spans="1:70">
      <c r="A102" s="1" t="s">
        <v>70</v>
      </c>
      <c r="B102" s="1" t="s">
        <v>441</v>
      </c>
      <c r="C102" s="1" t="s">
        <v>2318</v>
      </c>
      <c r="D102" s="1" t="s">
        <v>2319</v>
      </c>
      <c r="E102" s="1"/>
      <c r="F102" s="1" t="s">
        <v>2320</v>
      </c>
      <c r="G102" s="1" t="s">
        <v>2321</v>
      </c>
      <c r="H102" s="1" t="s">
        <v>2322</v>
      </c>
      <c r="I102" s="1" t="s">
        <v>2323</v>
      </c>
      <c r="J102" s="1">
        <v>9566644136</v>
      </c>
      <c r="K102" s="1" t="s">
        <v>79</v>
      </c>
      <c r="L102" s="1" t="s">
        <v>2324</v>
      </c>
      <c r="M102" s="1" t="s">
        <v>81</v>
      </c>
      <c r="N102" s="1" t="s">
        <v>2325</v>
      </c>
      <c r="O102" s="1"/>
      <c r="P102" s="1" t="s">
        <v>450</v>
      </c>
      <c r="Q102" s="1" t="s">
        <v>2326</v>
      </c>
      <c r="R102" s="1" t="s">
        <v>2327</v>
      </c>
      <c r="S102" s="1">
        <v>9444409338</v>
      </c>
      <c r="T102" s="1" t="s">
        <v>820</v>
      </c>
      <c r="U102" s="1" t="s">
        <v>2328</v>
      </c>
      <c r="V102" s="1">
        <v>9789960234</v>
      </c>
      <c r="W102" s="1" t="s">
        <v>531</v>
      </c>
      <c r="X102" s="1" t="s">
        <v>2329</v>
      </c>
      <c r="Y102" s="1" t="s">
        <v>191</v>
      </c>
      <c r="Z102" s="1" t="s">
        <v>92</v>
      </c>
      <c r="AA102" s="1" t="s">
        <v>2330</v>
      </c>
      <c r="AB102" s="1" t="s">
        <v>1475</v>
      </c>
      <c r="AC102" s="1" t="s">
        <v>559</v>
      </c>
      <c r="AD102" s="1">
        <v>8.71</v>
      </c>
      <c r="AE102" s="1" t="s">
        <v>93</v>
      </c>
      <c r="AF102" s="1" t="s">
        <v>2331</v>
      </c>
      <c r="AG102" s="1" t="s">
        <v>2332</v>
      </c>
      <c r="AH102" s="1" t="s">
        <v>166</v>
      </c>
      <c r="AI102" s="1" t="s">
        <v>308</v>
      </c>
      <c r="AJ102" s="1">
        <v>85.6</v>
      </c>
      <c r="AK102" s="1"/>
      <c r="AL102" s="1" t="s">
        <v>2331</v>
      </c>
      <c r="AM102" s="1" t="s">
        <v>2332</v>
      </c>
      <c r="AN102" s="1" t="s">
        <v>412</v>
      </c>
      <c r="AO102" s="1" t="s">
        <v>539</v>
      </c>
      <c r="AP102" s="1">
        <v>84.4</v>
      </c>
      <c r="AQ102" s="1"/>
      <c r="AR102" s="1"/>
      <c r="AS102" s="1"/>
      <c r="AT102" s="1"/>
      <c r="AU102" s="1"/>
      <c r="AV102" s="1"/>
      <c r="AW102" s="1"/>
      <c r="AX102" s="1" t="s">
        <v>564</v>
      </c>
      <c r="AY102" s="1" t="s">
        <v>2333</v>
      </c>
      <c r="AZ102" s="1" t="s">
        <v>542</v>
      </c>
      <c r="BA102" s="1" t="s">
        <v>543</v>
      </c>
      <c r="BB102" s="1">
        <v>80.36</v>
      </c>
      <c r="BC102" s="1"/>
      <c r="BD102" s="1"/>
      <c r="BE102" s="1"/>
      <c r="BF102" s="1"/>
      <c r="BG102" s="1"/>
      <c r="BH102" s="1"/>
      <c r="BI102" s="1"/>
      <c r="BJ102" s="1" t="s">
        <v>2334</v>
      </c>
      <c r="BK102" s="1"/>
      <c r="BL102" s="1"/>
      <c r="BM102" s="1" t="s">
        <v>2335</v>
      </c>
      <c r="BN102" s="1">
        <v>25</v>
      </c>
      <c r="BO102" s="1"/>
      <c r="BP102" s="1" t="str">
        <f>HYPERLINK("https://nconnect.nicmar.ac.in/storage/profile/ProfilePhoto_P25700082_853691.jpg","Download")</f>
        <v>0</v>
      </c>
      <c r="BQ102" s="3"/>
      <c r="BR102" s="3"/>
    </row>
    <row r="103" spans="1:70">
      <c r="A103" s="1" t="s">
        <v>70</v>
      </c>
      <c r="B103" s="1" t="s">
        <v>441</v>
      </c>
      <c r="C103" s="1" t="s">
        <v>2336</v>
      </c>
      <c r="D103" s="1" t="s">
        <v>2337</v>
      </c>
      <c r="E103" s="1" t="s">
        <v>181</v>
      </c>
      <c r="F103" s="1" t="s">
        <v>2338</v>
      </c>
      <c r="G103" s="1" t="s">
        <v>2339</v>
      </c>
      <c r="H103" s="1" t="s">
        <v>2340</v>
      </c>
      <c r="I103" s="1" t="s">
        <v>2341</v>
      </c>
      <c r="J103" s="1">
        <v>7887452056</v>
      </c>
      <c r="K103" s="1" t="s">
        <v>79</v>
      </c>
      <c r="L103" s="1" t="s">
        <v>2342</v>
      </c>
      <c r="M103" s="1" t="s">
        <v>81</v>
      </c>
      <c r="N103" s="1" t="s">
        <v>1140</v>
      </c>
      <c r="O103" s="1"/>
      <c r="P103" s="1" t="s">
        <v>450</v>
      </c>
      <c r="Q103" s="1" t="s">
        <v>2343</v>
      </c>
      <c r="R103" s="1" t="s">
        <v>181</v>
      </c>
      <c r="S103" s="1">
        <v>9921193909</v>
      </c>
      <c r="T103" s="1" t="s">
        <v>2344</v>
      </c>
      <c r="U103" s="1" t="s">
        <v>2345</v>
      </c>
      <c r="V103" s="1">
        <v>9552458074</v>
      </c>
      <c r="W103" s="1" t="s">
        <v>156</v>
      </c>
      <c r="X103" s="1" t="s">
        <v>2346</v>
      </c>
      <c r="Y103" s="1" t="s">
        <v>405</v>
      </c>
      <c r="Z103" s="1" t="s">
        <v>92</v>
      </c>
      <c r="AA103" s="1" t="s">
        <v>2346</v>
      </c>
      <c r="AB103" s="1" t="s">
        <v>405</v>
      </c>
      <c r="AC103" s="1" t="s">
        <v>92</v>
      </c>
      <c r="AD103" s="1">
        <v>8.77</v>
      </c>
      <c r="AE103" s="1" t="s">
        <v>93</v>
      </c>
      <c r="AF103" s="1" t="s">
        <v>2347</v>
      </c>
      <c r="AG103" s="1" t="s">
        <v>2348</v>
      </c>
      <c r="AH103" s="1" t="s">
        <v>782</v>
      </c>
      <c r="AI103" s="1" t="s">
        <v>165</v>
      </c>
      <c r="AJ103" s="1">
        <v>89.6</v>
      </c>
      <c r="AK103" s="1"/>
      <c r="AL103" s="1" t="s">
        <v>2349</v>
      </c>
      <c r="AM103" s="1" t="s">
        <v>2348</v>
      </c>
      <c r="AN103" s="1" t="s">
        <v>165</v>
      </c>
      <c r="AO103" s="1" t="s">
        <v>433</v>
      </c>
      <c r="AP103" s="1">
        <v>60</v>
      </c>
      <c r="AQ103" s="1"/>
      <c r="AR103" s="1" t="s">
        <v>98</v>
      </c>
      <c r="AS103" s="1" t="s">
        <v>2350</v>
      </c>
      <c r="AT103" s="1" t="s">
        <v>310</v>
      </c>
      <c r="AU103" s="1" t="s">
        <v>542</v>
      </c>
      <c r="AV103" s="1">
        <v>83.45</v>
      </c>
      <c r="AW103" s="1"/>
      <c r="AX103" s="1" t="s">
        <v>361</v>
      </c>
      <c r="AY103" s="1" t="s">
        <v>2351</v>
      </c>
      <c r="AZ103" s="1" t="s">
        <v>852</v>
      </c>
      <c r="BA103" s="1" t="s">
        <v>2352</v>
      </c>
      <c r="BB103" s="1">
        <v>65.2</v>
      </c>
      <c r="BC103" s="1">
        <v>7.27</v>
      </c>
      <c r="BD103" s="1"/>
      <c r="BE103" s="1"/>
      <c r="BF103" s="1"/>
      <c r="BG103" s="1"/>
      <c r="BH103" s="1"/>
      <c r="BI103" s="1"/>
      <c r="BJ103" s="1" t="s">
        <v>2353</v>
      </c>
      <c r="BK103" s="1"/>
      <c r="BL103" s="1"/>
      <c r="BM103" s="1" t="s">
        <v>2354</v>
      </c>
      <c r="BN103" s="1">
        <v>61</v>
      </c>
      <c r="BO103" s="1"/>
      <c r="BP103" s="1" t="str">
        <f>HYPERLINK("https://nconnect.nicmar.ac.in/storage/profile/ProfilePhoto_P25700083_543168.jpg","Download")</f>
        <v>0</v>
      </c>
      <c r="BQ103" s="3"/>
      <c r="BR103" s="3"/>
    </row>
    <row r="104" spans="1:70">
      <c r="A104" s="1" t="s">
        <v>70</v>
      </c>
      <c r="B104" s="1" t="s">
        <v>441</v>
      </c>
      <c r="C104" s="1" t="s">
        <v>2355</v>
      </c>
      <c r="D104" s="1" t="s">
        <v>2356</v>
      </c>
      <c r="E104" s="1"/>
      <c r="F104" s="1" t="s">
        <v>2357</v>
      </c>
      <c r="G104" s="1" t="s">
        <v>2358</v>
      </c>
      <c r="H104" s="1" t="s">
        <v>2359</v>
      </c>
      <c r="I104" s="1" t="s">
        <v>2360</v>
      </c>
      <c r="J104" s="1">
        <v>8075078042</v>
      </c>
      <c r="K104" s="1" t="s">
        <v>79</v>
      </c>
      <c r="L104" s="1" t="s">
        <v>2361</v>
      </c>
      <c r="M104" s="1" t="s">
        <v>81</v>
      </c>
      <c r="N104" s="1" t="s">
        <v>2362</v>
      </c>
      <c r="O104" s="1"/>
      <c r="P104" s="1" t="s">
        <v>497</v>
      </c>
      <c r="Q104" s="1" t="s">
        <v>2363</v>
      </c>
      <c r="R104" s="1" t="s">
        <v>2364</v>
      </c>
      <c r="S104" s="1">
        <v>9447315770</v>
      </c>
      <c r="T104" s="1" t="s">
        <v>2365</v>
      </c>
      <c r="U104" s="1" t="s">
        <v>2366</v>
      </c>
      <c r="V104" s="1">
        <v>9446866397</v>
      </c>
      <c r="W104" s="1" t="s">
        <v>89</v>
      </c>
      <c r="X104" s="1" t="s">
        <v>2367</v>
      </c>
      <c r="Y104" s="1" t="s">
        <v>1285</v>
      </c>
      <c r="Z104" s="1" t="s">
        <v>125</v>
      </c>
      <c r="AA104" s="1" t="s">
        <v>2367</v>
      </c>
      <c r="AB104" s="1" t="s">
        <v>1285</v>
      </c>
      <c r="AC104" s="1" t="s">
        <v>125</v>
      </c>
      <c r="AD104" s="1">
        <v>8.03</v>
      </c>
      <c r="AE104" s="1" t="s">
        <v>93</v>
      </c>
      <c r="AF104" s="1" t="s">
        <v>2368</v>
      </c>
      <c r="AG104" s="1" t="s">
        <v>307</v>
      </c>
      <c r="AH104" s="1" t="s">
        <v>161</v>
      </c>
      <c r="AI104" s="1" t="s">
        <v>614</v>
      </c>
      <c r="AJ104" s="1">
        <v>87.4</v>
      </c>
      <c r="AK104" s="1">
        <v>9.2</v>
      </c>
      <c r="AL104" s="1" t="s">
        <v>2368</v>
      </c>
      <c r="AM104" s="1" t="s">
        <v>307</v>
      </c>
      <c r="AN104" s="1" t="s">
        <v>165</v>
      </c>
      <c r="AO104" s="1" t="s">
        <v>166</v>
      </c>
      <c r="AP104" s="1">
        <v>79</v>
      </c>
      <c r="AQ104" s="1"/>
      <c r="AR104" s="1"/>
      <c r="AS104" s="1"/>
      <c r="AT104" s="1"/>
      <c r="AU104" s="1"/>
      <c r="AV104" s="1"/>
      <c r="AW104" s="1"/>
      <c r="AX104" s="1" t="s">
        <v>2369</v>
      </c>
      <c r="AY104" s="1" t="s">
        <v>2370</v>
      </c>
      <c r="AZ104" s="1" t="s">
        <v>1043</v>
      </c>
      <c r="BA104" s="1" t="s">
        <v>105</v>
      </c>
      <c r="BB104" s="1">
        <v>72.2</v>
      </c>
      <c r="BC104" s="1">
        <v>7.22</v>
      </c>
      <c r="BD104" s="1"/>
      <c r="BE104" s="1"/>
      <c r="BF104" s="1"/>
      <c r="BG104" s="1"/>
      <c r="BH104" s="1"/>
      <c r="BI104" s="1"/>
      <c r="BJ104" s="1" t="s">
        <v>2371</v>
      </c>
      <c r="BK104" s="1"/>
      <c r="BL104" s="1"/>
      <c r="BM104" s="1" t="s">
        <v>2372</v>
      </c>
      <c r="BN104" s="1">
        <v>8</v>
      </c>
      <c r="BO104" s="1"/>
      <c r="BP104" s="1" t="str">
        <f>HYPERLINK("https://nconnect.nicmar.ac.in/storage/profile/ProfilePhoto_P25700084_671924.jpg","Download")</f>
        <v>0</v>
      </c>
      <c r="BQ104" s="3"/>
      <c r="BR104" s="3"/>
    </row>
    <row r="105" spans="1:70">
      <c r="A105" s="1" t="s">
        <v>70</v>
      </c>
      <c r="B105" s="1" t="s">
        <v>441</v>
      </c>
      <c r="C105" s="1" t="s">
        <v>2373</v>
      </c>
      <c r="D105" s="1" t="s">
        <v>2374</v>
      </c>
      <c r="E105" s="1" t="s">
        <v>2375</v>
      </c>
      <c r="F105" s="1" t="s">
        <v>2376</v>
      </c>
      <c r="G105" s="1" t="s">
        <v>2377</v>
      </c>
      <c r="H105" s="1" t="s">
        <v>2378</v>
      </c>
      <c r="I105" s="1" t="s">
        <v>2379</v>
      </c>
      <c r="J105" s="1">
        <v>7721074764</v>
      </c>
      <c r="K105" s="1" t="s">
        <v>79</v>
      </c>
      <c r="L105" s="1" t="s">
        <v>2380</v>
      </c>
      <c r="M105" s="1" t="s">
        <v>81</v>
      </c>
      <c r="N105" s="1" t="s">
        <v>2381</v>
      </c>
      <c r="O105" s="1"/>
      <c r="P105" s="1" t="s">
        <v>497</v>
      </c>
      <c r="Q105" s="1" t="s">
        <v>2382</v>
      </c>
      <c r="R105" s="1" t="s">
        <v>2383</v>
      </c>
      <c r="S105" s="1">
        <v>7277921217</v>
      </c>
      <c r="T105" s="1" t="s">
        <v>2384</v>
      </c>
      <c r="U105" s="1" t="s">
        <v>2385</v>
      </c>
      <c r="V105" s="1">
        <v>9698711131</v>
      </c>
      <c r="W105" s="1" t="s">
        <v>156</v>
      </c>
      <c r="X105" s="1" t="s">
        <v>2386</v>
      </c>
      <c r="Y105" s="1" t="s">
        <v>1963</v>
      </c>
      <c r="Z105" s="1" t="s">
        <v>92</v>
      </c>
      <c r="AA105" s="1" t="s">
        <v>2386</v>
      </c>
      <c r="AB105" s="1" t="s">
        <v>1963</v>
      </c>
      <c r="AC105" s="1" t="s">
        <v>92</v>
      </c>
      <c r="AD105" s="1" t="s">
        <v>93</v>
      </c>
      <c r="AE105" s="1" t="s">
        <v>93</v>
      </c>
      <c r="AF105" s="1" t="s">
        <v>2387</v>
      </c>
      <c r="AG105" s="1" t="s">
        <v>307</v>
      </c>
      <c r="AH105" s="1" t="s">
        <v>331</v>
      </c>
      <c r="AI105" s="1" t="s">
        <v>2388</v>
      </c>
      <c r="AJ105" s="1">
        <v>95</v>
      </c>
      <c r="AK105" s="1">
        <v>10</v>
      </c>
      <c r="AL105" s="1" t="s">
        <v>2389</v>
      </c>
      <c r="AM105" s="1" t="s">
        <v>1942</v>
      </c>
      <c r="AN105" s="1" t="s">
        <v>507</v>
      </c>
      <c r="AO105" s="1" t="s">
        <v>1455</v>
      </c>
      <c r="AP105" s="1">
        <v>81.85</v>
      </c>
      <c r="AQ105" s="1"/>
      <c r="AR105" s="1"/>
      <c r="AS105" s="1"/>
      <c r="AT105" s="1"/>
      <c r="AU105" s="1"/>
      <c r="AV105" s="1"/>
      <c r="AW105" s="1"/>
      <c r="AX105" s="1" t="s">
        <v>1194</v>
      </c>
      <c r="AY105" s="1" t="s">
        <v>2390</v>
      </c>
      <c r="AZ105" s="1" t="s">
        <v>1043</v>
      </c>
      <c r="BA105" s="1" t="s">
        <v>1800</v>
      </c>
      <c r="BB105" s="1">
        <v>73.5</v>
      </c>
      <c r="BC105" s="1">
        <v>8.1</v>
      </c>
      <c r="BD105" s="1"/>
      <c r="BE105" s="1"/>
      <c r="BF105" s="1"/>
      <c r="BG105" s="1"/>
      <c r="BH105" s="1"/>
      <c r="BI105" s="1"/>
      <c r="BJ105" s="1" t="s">
        <v>2391</v>
      </c>
      <c r="BK105" s="1" t="s">
        <v>2392</v>
      </c>
      <c r="BL105" s="1" t="s">
        <v>1151</v>
      </c>
      <c r="BM105" s="1" t="s">
        <v>2393</v>
      </c>
      <c r="BN105" s="1">
        <v>8</v>
      </c>
      <c r="BO105" s="1" t="s">
        <v>2394</v>
      </c>
      <c r="BP105" s="1" t="str">
        <f>HYPERLINK("https://nconnect.nicmar.ac.in/storage/profile/ProfilePhoto_P25700085_527189.jpg","Download")</f>
        <v>0</v>
      </c>
      <c r="BQ105" s="3"/>
      <c r="BR105" s="3"/>
    </row>
    <row r="106" spans="1:70">
      <c r="A106" s="1" t="s">
        <v>70</v>
      </c>
      <c r="B106" s="1" t="s">
        <v>441</v>
      </c>
      <c r="C106" s="1" t="s">
        <v>2395</v>
      </c>
      <c r="D106" s="1" t="s">
        <v>939</v>
      </c>
      <c r="E106" s="1" t="s">
        <v>2396</v>
      </c>
      <c r="F106" s="1" t="s">
        <v>2397</v>
      </c>
      <c r="G106" s="1" t="s">
        <v>2398</v>
      </c>
      <c r="H106" s="1" t="s">
        <v>2399</v>
      </c>
      <c r="I106" s="1" t="s">
        <v>2400</v>
      </c>
      <c r="J106" s="1">
        <v>7821014020</v>
      </c>
      <c r="K106" s="1" t="s">
        <v>79</v>
      </c>
      <c r="L106" s="1" t="s">
        <v>2401</v>
      </c>
      <c r="M106" s="1" t="s">
        <v>81</v>
      </c>
      <c r="N106" s="1" t="s">
        <v>2402</v>
      </c>
      <c r="O106" s="1"/>
      <c r="P106" s="1" t="s">
        <v>497</v>
      </c>
      <c r="Q106" s="1" t="s">
        <v>2403</v>
      </c>
      <c r="R106" s="1" t="s">
        <v>2404</v>
      </c>
      <c r="S106" s="1">
        <v>9420184313</v>
      </c>
      <c r="T106" s="1" t="s">
        <v>2405</v>
      </c>
      <c r="U106" s="1" t="s">
        <v>2406</v>
      </c>
      <c r="V106" s="1">
        <v>8669022335</v>
      </c>
      <c r="W106" s="1" t="s">
        <v>156</v>
      </c>
      <c r="X106" s="1" t="s">
        <v>2407</v>
      </c>
      <c r="Y106" s="1" t="s">
        <v>191</v>
      </c>
      <c r="Z106" s="1" t="s">
        <v>92</v>
      </c>
      <c r="AA106" s="1" t="s">
        <v>2408</v>
      </c>
      <c r="AB106" s="1" t="s">
        <v>2081</v>
      </c>
      <c r="AC106" s="1" t="s">
        <v>92</v>
      </c>
      <c r="AD106" s="1">
        <v>8.51</v>
      </c>
      <c r="AE106" s="1" t="s">
        <v>93</v>
      </c>
      <c r="AF106" s="1" t="s">
        <v>2409</v>
      </c>
      <c r="AG106" s="1" t="s">
        <v>2410</v>
      </c>
      <c r="AH106" s="1" t="s">
        <v>165</v>
      </c>
      <c r="AI106" s="1" t="s">
        <v>281</v>
      </c>
      <c r="AJ106" s="1">
        <v>86.8</v>
      </c>
      <c r="AK106" s="1">
        <v>0</v>
      </c>
      <c r="AL106" s="1" t="s">
        <v>2411</v>
      </c>
      <c r="AM106" s="1" t="s">
        <v>2412</v>
      </c>
      <c r="AN106" s="1" t="s">
        <v>537</v>
      </c>
      <c r="AO106" s="1" t="s">
        <v>360</v>
      </c>
      <c r="AP106" s="1">
        <v>74.31</v>
      </c>
      <c r="AQ106" s="1">
        <v>0</v>
      </c>
      <c r="AR106" s="1"/>
      <c r="AS106" s="1"/>
      <c r="AT106" s="1"/>
      <c r="AU106" s="1"/>
      <c r="AV106" s="1"/>
      <c r="AW106" s="1"/>
      <c r="AX106" s="1" t="s">
        <v>361</v>
      </c>
      <c r="AY106" s="1" t="s">
        <v>2413</v>
      </c>
      <c r="AZ106" s="1" t="s">
        <v>871</v>
      </c>
      <c r="BA106" s="1" t="s">
        <v>202</v>
      </c>
      <c r="BB106" s="1">
        <v>75.4</v>
      </c>
      <c r="BC106" s="1">
        <v>8.29</v>
      </c>
      <c r="BD106" s="1"/>
      <c r="BE106" s="1"/>
      <c r="BF106" s="1"/>
      <c r="BG106" s="1"/>
      <c r="BH106" s="1"/>
      <c r="BI106" s="1"/>
      <c r="BJ106" s="1" t="s">
        <v>2414</v>
      </c>
      <c r="BK106" s="1"/>
      <c r="BL106" s="1"/>
      <c r="BM106" s="1" t="s">
        <v>2415</v>
      </c>
      <c r="BN106" s="1">
        <v>37</v>
      </c>
      <c r="BO106" s="1" t="s">
        <v>2416</v>
      </c>
      <c r="BP106" s="1" t="str">
        <f>HYPERLINK("https://nconnect.nicmar.ac.in/storage/profile/ProfilePhoto_P25700086_943578.jpg","Download")</f>
        <v>0</v>
      </c>
      <c r="BQ106" s="3"/>
      <c r="BR106" s="3"/>
    </row>
    <row r="107" spans="1:70">
      <c r="A107" s="1" t="s">
        <v>70</v>
      </c>
      <c r="B107" s="1" t="s">
        <v>441</v>
      </c>
      <c r="C107" s="1" t="s">
        <v>2417</v>
      </c>
      <c r="D107" s="1" t="s">
        <v>2418</v>
      </c>
      <c r="E107" s="1" t="s">
        <v>2419</v>
      </c>
      <c r="F107" s="1" t="s">
        <v>2420</v>
      </c>
      <c r="G107" s="1" t="s">
        <v>2421</v>
      </c>
      <c r="H107" s="1" t="s">
        <v>2422</v>
      </c>
      <c r="I107" s="1" t="s">
        <v>2423</v>
      </c>
      <c r="J107" s="1">
        <v>8369371163</v>
      </c>
      <c r="K107" s="1" t="s">
        <v>79</v>
      </c>
      <c r="L107" s="1" t="s">
        <v>2303</v>
      </c>
      <c r="M107" s="1" t="s">
        <v>81</v>
      </c>
      <c r="N107" s="1" t="s">
        <v>2424</v>
      </c>
      <c r="O107" s="1"/>
      <c r="P107" s="1" t="s">
        <v>472</v>
      </c>
      <c r="Q107" s="1" t="s">
        <v>2425</v>
      </c>
      <c r="R107" s="1" t="s">
        <v>2419</v>
      </c>
      <c r="S107" s="1">
        <v>7710942092</v>
      </c>
      <c r="T107" s="1" t="s">
        <v>120</v>
      </c>
      <c r="U107" s="1" t="s">
        <v>2426</v>
      </c>
      <c r="V107" s="1">
        <v>9930116890</v>
      </c>
      <c r="W107" s="1" t="s">
        <v>156</v>
      </c>
      <c r="X107" s="1" t="s">
        <v>2427</v>
      </c>
      <c r="Y107" s="1" t="s">
        <v>1166</v>
      </c>
      <c r="Z107" s="1" t="s">
        <v>92</v>
      </c>
      <c r="AA107" s="1" t="s">
        <v>2427</v>
      </c>
      <c r="AB107" s="1" t="s">
        <v>1166</v>
      </c>
      <c r="AC107" s="1" t="s">
        <v>92</v>
      </c>
      <c r="AD107" s="1">
        <v>8.49</v>
      </c>
      <c r="AE107" s="1" t="s">
        <v>93</v>
      </c>
      <c r="AF107" s="1" t="s">
        <v>2428</v>
      </c>
      <c r="AG107" s="1" t="s">
        <v>2429</v>
      </c>
      <c r="AH107" s="1" t="s">
        <v>614</v>
      </c>
      <c r="AI107" s="1" t="s">
        <v>165</v>
      </c>
      <c r="AJ107" s="1">
        <v>68.8</v>
      </c>
      <c r="AK107" s="1">
        <v>0</v>
      </c>
      <c r="AL107" s="1" t="s">
        <v>2430</v>
      </c>
      <c r="AM107" s="1" t="s">
        <v>2429</v>
      </c>
      <c r="AN107" s="1" t="s">
        <v>169</v>
      </c>
      <c r="AO107" s="1" t="s">
        <v>308</v>
      </c>
      <c r="AP107" s="1">
        <v>61.85</v>
      </c>
      <c r="AQ107" s="1">
        <v>0</v>
      </c>
      <c r="AR107" s="1"/>
      <c r="AS107" s="1"/>
      <c r="AT107" s="1"/>
      <c r="AU107" s="1"/>
      <c r="AV107" s="1"/>
      <c r="AW107" s="1"/>
      <c r="AX107" s="1" t="s">
        <v>253</v>
      </c>
      <c r="AY107" s="1" t="s">
        <v>2431</v>
      </c>
      <c r="AZ107" s="1" t="s">
        <v>201</v>
      </c>
      <c r="BA107" s="1" t="s">
        <v>1245</v>
      </c>
      <c r="BB107" s="1">
        <v>69.25</v>
      </c>
      <c r="BC107" s="1">
        <v>7.75</v>
      </c>
      <c r="BD107" s="1"/>
      <c r="BE107" s="1"/>
      <c r="BF107" s="1"/>
      <c r="BG107" s="1"/>
      <c r="BH107" s="1"/>
      <c r="BI107" s="1"/>
      <c r="BJ107" s="1" t="s">
        <v>2432</v>
      </c>
      <c r="BK107" s="1" t="s">
        <v>2433</v>
      </c>
      <c r="BL107" s="1" t="s">
        <v>2434</v>
      </c>
      <c r="BM107" s="1" t="s">
        <v>2435</v>
      </c>
      <c r="BN107" s="1">
        <v>12</v>
      </c>
      <c r="BO107" s="1" t="s">
        <v>2436</v>
      </c>
      <c r="BP107" s="1" t="str">
        <f>HYPERLINK("https://nconnect.nicmar.ac.in/storage/profile/ProfilePhoto_P25700087_527389.jpg","Download")</f>
        <v>0</v>
      </c>
      <c r="BQ107" s="3"/>
      <c r="BR107" s="3"/>
    </row>
    <row r="108" spans="1:70">
      <c r="A108" s="1" t="s">
        <v>70</v>
      </c>
      <c r="B108" s="1" t="s">
        <v>441</v>
      </c>
      <c r="C108" s="1" t="s">
        <v>2437</v>
      </c>
      <c r="D108" s="1" t="s">
        <v>2438</v>
      </c>
      <c r="E108" s="1" t="s">
        <v>2439</v>
      </c>
      <c r="F108" s="1" t="s">
        <v>2440</v>
      </c>
      <c r="G108" s="1" t="s">
        <v>2441</v>
      </c>
      <c r="H108" s="1" t="s">
        <v>2442</v>
      </c>
      <c r="I108" s="1" t="s">
        <v>2443</v>
      </c>
      <c r="J108" s="1">
        <v>7039123763</v>
      </c>
      <c r="K108" s="1" t="s">
        <v>79</v>
      </c>
      <c r="L108" s="1" t="s">
        <v>2444</v>
      </c>
      <c r="M108" s="1" t="s">
        <v>81</v>
      </c>
      <c r="N108" s="1" t="s">
        <v>1140</v>
      </c>
      <c r="O108" s="1"/>
      <c r="P108" s="1" t="s">
        <v>497</v>
      </c>
      <c r="Q108" s="1" t="s">
        <v>2445</v>
      </c>
      <c r="R108" s="1" t="s">
        <v>2439</v>
      </c>
      <c r="S108" s="1">
        <v>9969034019</v>
      </c>
      <c r="T108" s="1" t="s">
        <v>120</v>
      </c>
      <c r="U108" s="1" t="s">
        <v>2446</v>
      </c>
      <c r="V108" s="1">
        <v>9892778289</v>
      </c>
      <c r="W108" s="1" t="s">
        <v>120</v>
      </c>
      <c r="X108" s="1" t="s">
        <v>2447</v>
      </c>
      <c r="Y108" s="1" t="s">
        <v>1857</v>
      </c>
      <c r="Z108" s="1" t="s">
        <v>92</v>
      </c>
      <c r="AA108" s="1" t="s">
        <v>2447</v>
      </c>
      <c r="AB108" s="1" t="s">
        <v>1857</v>
      </c>
      <c r="AC108" s="1" t="s">
        <v>92</v>
      </c>
      <c r="AD108" s="1">
        <v>8.56</v>
      </c>
      <c r="AE108" s="1" t="s">
        <v>93</v>
      </c>
      <c r="AF108" s="1" t="s">
        <v>2448</v>
      </c>
      <c r="AG108" s="1" t="s">
        <v>2449</v>
      </c>
      <c r="AH108" s="1" t="s">
        <v>96</v>
      </c>
      <c r="AI108" s="1" t="s">
        <v>131</v>
      </c>
      <c r="AJ108" s="1">
        <v>67.2</v>
      </c>
      <c r="AK108" s="1"/>
      <c r="AL108" s="1"/>
      <c r="AM108" s="1"/>
      <c r="AN108" s="1"/>
      <c r="AO108" s="1"/>
      <c r="AP108" s="1"/>
      <c r="AQ108" s="1"/>
      <c r="AR108" s="1" t="s">
        <v>98</v>
      </c>
      <c r="AS108" s="1" t="s">
        <v>2450</v>
      </c>
      <c r="AT108" s="1" t="s">
        <v>337</v>
      </c>
      <c r="AU108" s="1" t="s">
        <v>166</v>
      </c>
      <c r="AV108" s="1">
        <v>84.4</v>
      </c>
      <c r="AW108" s="1"/>
      <c r="AX108" s="1" t="s">
        <v>253</v>
      </c>
      <c r="AY108" s="1" t="s">
        <v>2451</v>
      </c>
      <c r="AZ108" s="1" t="s">
        <v>169</v>
      </c>
      <c r="BA108" s="1" t="s">
        <v>826</v>
      </c>
      <c r="BB108" s="1">
        <v>71.4</v>
      </c>
      <c r="BC108" s="1">
        <v>7.89</v>
      </c>
      <c r="BD108" s="1"/>
      <c r="BE108" s="1"/>
      <c r="BF108" s="1"/>
      <c r="BG108" s="1"/>
      <c r="BH108" s="1"/>
      <c r="BI108" s="1"/>
      <c r="BJ108" s="1" t="s">
        <v>2452</v>
      </c>
      <c r="BK108" s="1" t="s">
        <v>2453</v>
      </c>
      <c r="BL108" s="1" t="s">
        <v>2454</v>
      </c>
      <c r="BM108" s="1" t="s">
        <v>2455</v>
      </c>
      <c r="BN108" s="1">
        <v>14</v>
      </c>
      <c r="BO108" s="1"/>
      <c r="BP108" s="1" t="str">
        <f>HYPERLINK("https://nconnect.nicmar.ac.in/storage/profile/ProfilePhoto_P25700088_736859.jpg","Download")</f>
        <v>0</v>
      </c>
      <c r="BQ108" s="3"/>
      <c r="BR108" s="3"/>
    </row>
    <row r="109" spans="1:70">
      <c r="A109" s="1" t="s">
        <v>70</v>
      </c>
      <c r="B109" s="1" t="s">
        <v>441</v>
      </c>
      <c r="C109" s="1" t="s">
        <v>2456</v>
      </c>
      <c r="D109" s="1" t="s">
        <v>2457</v>
      </c>
      <c r="E109" s="1" t="s">
        <v>2419</v>
      </c>
      <c r="F109" s="1" t="s">
        <v>2072</v>
      </c>
      <c r="G109" s="1" t="s">
        <v>2458</v>
      </c>
      <c r="H109" s="1" t="s">
        <v>2459</v>
      </c>
      <c r="I109" s="1" t="s">
        <v>2460</v>
      </c>
      <c r="J109" s="1">
        <v>9172120588</v>
      </c>
      <c r="K109" s="1" t="s">
        <v>79</v>
      </c>
      <c r="L109" s="1" t="s">
        <v>2461</v>
      </c>
      <c r="M109" s="1" t="s">
        <v>81</v>
      </c>
      <c r="N109" s="1" t="s">
        <v>1140</v>
      </c>
      <c r="O109" s="1"/>
      <c r="P109" s="1" t="s">
        <v>497</v>
      </c>
      <c r="Q109" s="1" t="s">
        <v>2462</v>
      </c>
      <c r="R109" s="1" t="s">
        <v>2463</v>
      </c>
      <c r="S109" s="1">
        <v>9172120588</v>
      </c>
      <c r="T109" s="1" t="s">
        <v>120</v>
      </c>
      <c r="U109" s="1" t="s">
        <v>2464</v>
      </c>
      <c r="V109" s="1">
        <v>9172120588</v>
      </c>
      <c r="W109" s="1" t="s">
        <v>156</v>
      </c>
      <c r="X109" s="1" t="s">
        <v>2465</v>
      </c>
      <c r="Y109" s="1" t="s">
        <v>1963</v>
      </c>
      <c r="Z109" s="1" t="s">
        <v>92</v>
      </c>
      <c r="AA109" s="1" t="s">
        <v>2465</v>
      </c>
      <c r="AB109" s="1" t="s">
        <v>1963</v>
      </c>
      <c r="AC109" s="1" t="s">
        <v>92</v>
      </c>
      <c r="AD109" s="1">
        <v>8.59</v>
      </c>
      <c r="AE109" s="1" t="s">
        <v>93</v>
      </c>
      <c r="AF109" s="1" t="s">
        <v>2466</v>
      </c>
      <c r="AG109" s="1" t="s">
        <v>2467</v>
      </c>
      <c r="AH109" s="1" t="s">
        <v>165</v>
      </c>
      <c r="AI109" s="1" t="s">
        <v>166</v>
      </c>
      <c r="AJ109" s="1">
        <v>81.8</v>
      </c>
      <c r="AK109" s="1"/>
      <c r="AL109" s="1" t="s">
        <v>2466</v>
      </c>
      <c r="AM109" s="1" t="s">
        <v>2467</v>
      </c>
      <c r="AN109" s="1" t="s">
        <v>433</v>
      </c>
      <c r="AO109" s="1" t="s">
        <v>173</v>
      </c>
      <c r="AP109" s="1">
        <v>74.2</v>
      </c>
      <c r="AQ109" s="1"/>
      <c r="AR109" s="1"/>
      <c r="AS109" s="1"/>
      <c r="AT109" s="1"/>
      <c r="AU109" s="1"/>
      <c r="AV109" s="1"/>
      <c r="AW109" s="1"/>
      <c r="AX109" s="1" t="s">
        <v>361</v>
      </c>
      <c r="AY109" s="1" t="s">
        <v>2468</v>
      </c>
      <c r="AZ109" s="1" t="s">
        <v>1019</v>
      </c>
      <c r="BA109" s="1" t="s">
        <v>202</v>
      </c>
      <c r="BB109" s="1">
        <v>66.21</v>
      </c>
      <c r="BC109" s="1">
        <v>7.44</v>
      </c>
      <c r="BD109" s="1"/>
      <c r="BE109" s="1"/>
      <c r="BF109" s="1"/>
      <c r="BG109" s="1"/>
      <c r="BH109" s="1"/>
      <c r="BI109" s="1"/>
      <c r="BJ109" s="1" t="s">
        <v>2469</v>
      </c>
      <c r="BK109" s="1" t="s">
        <v>2470</v>
      </c>
      <c r="BL109" s="1" t="s">
        <v>873</v>
      </c>
      <c r="BM109" s="1" t="s">
        <v>2471</v>
      </c>
      <c r="BN109" s="1">
        <v>9</v>
      </c>
      <c r="BO109" s="1"/>
      <c r="BP109" s="1" t="str">
        <f>HYPERLINK("https://nconnect.nicmar.ac.in/storage/profile/ProfilePhoto_P25700089_931658.jpg","Download")</f>
        <v>0</v>
      </c>
      <c r="BQ109" s="3"/>
      <c r="BR109" s="3"/>
    </row>
    <row r="110" spans="1:70">
      <c r="A110" s="1" t="s">
        <v>70</v>
      </c>
      <c r="B110" s="1" t="s">
        <v>441</v>
      </c>
      <c r="C110" s="1" t="s">
        <v>2472</v>
      </c>
      <c r="D110" s="1" t="s">
        <v>2356</v>
      </c>
      <c r="E110" s="1"/>
      <c r="F110" s="1" t="s">
        <v>2473</v>
      </c>
      <c r="G110" s="1" t="s">
        <v>2474</v>
      </c>
      <c r="H110" s="1" t="s">
        <v>2475</v>
      </c>
      <c r="I110" s="1" t="s">
        <v>2476</v>
      </c>
      <c r="J110" s="1">
        <v>9701658656</v>
      </c>
      <c r="K110" s="1" t="s">
        <v>79</v>
      </c>
      <c r="L110" s="1" t="s">
        <v>2477</v>
      </c>
      <c r="M110" s="1" t="s">
        <v>81</v>
      </c>
      <c r="N110" s="1" t="s">
        <v>2478</v>
      </c>
      <c r="O110" s="1"/>
      <c r="P110" s="1" t="s">
        <v>450</v>
      </c>
      <c r="Q110" s="1" t="s">
        <v>2479</v>
      </c>
      <c r="R110" s="1" t="s">
        <v>2480</v>
      </c>
      <c r="S110" s="1">
        <v>9849829955</v>
      </c>
      <c r="T110" s="1" t="s">
        <v>154</v>
      </c>
      <c r="U110" s="1" t="s">
        <v>2481</v>
      </c>
      <c r="V110" s="1">
        <v>9989220434</v>
      </c>
      <c r="W110" s="1" t="s">
        <v>273</v>
      </c>
      <c r="X110" s="1" t="s">
        <v>2482</v>
      </c>
      <c r="Y110" s="1" t="s">
        <v>275</v>
      </c>
      <c r="Z110" s="1" t="s">
        <v>276</v>
      </c>
      <c r="AA110" s="1" t="s">
        <v>2482</v>
      </c>
      <c r="AB110" s="1" t="s">
        <v>275</v>
      </c>
      <c r="AC110" s="1" t="s">
        <v>276</v>
      </c>
      <c r="AD110" s="1">
        <v>8.74</v>
      </c>
      <c r="AE110" s="1" t="s">
        <v>93</v>
      </c>
      <c r="AF110" s="1" t="s">
        <v>2483</v>
      </c>
      <c r="AG110" s="1" t="s">
        <v>2484</v>
      </c>
      <c r="AH110" s="1" t="s">
        <v>165</v>
      </c>
      <c r="AI110" s="1" t="s">
        <v>481</v>
      </c>
      <c r="AJ110" s="1">
        <v>100</v>
      </c>
      <c r="AK110" s="1">
        <v>10</v>
      </c>
      <c r="AL110" s="1" t="s">
        <v>2485</v>
      </c>
      <c r="AM110" s="1" t="s">
        <v>2486</v>
      </c>
      <c r="AN110" s="1" t="s">
        <v>101</v>
      </c>
      <c r="AO110" s="1" t="s">
        <v>412</v>
      </c>
      <c r="AP110" s="1">
        <v>94.6</v>
      </c>
      <c r="AQ110" s="1">
        <v>9.82</v>
      </c>
      <c r="AR110" s="1"/>
      <c r="AS110" s="1"/>
      <c r="AT110" s="1"/>
      <c r="AU110" s="1"/>
      <c r="AV110" s="1"/>
      <c r="AW110" s="1"/>
      <c r="AX110" s="1" t="s">
        <v>2487</v>
      </c>
      <c r="AY110" s="1" t="s">
        <v>2488</v>
      </c>
      <c r="AZ110" s="1" t="s">
        <v>871</v>
      </c>
      <c r="BA110" s="1" t="s">
        <v>1292</v>
      </c>
      <c r="BB110" s="1">
        <v>65.9</v>
      </c>
      <c r="BC110" s="1">
        <v>7.34</v>
      </c>
      <c r="BD110" s="1"/>
      <c r="BE110" s="1"/>
      <c r="BF110" s="1"/>
      <c r="BG110" s="1"/>
      <c r="BH110" s="1"/>
      <c r="BI110" s="1"/>
      <c r="BJ110" s="1" t="s">
        <v>2489</v>
      </c>
      <c r="BK110" s="1"/>
      <c r="BL110" s="1"/>
      <c r="BM110" s="1" t="s">
        <v>2490</v>
      </c>
      <c r="BN110" s="1">
        <v>19</v>
      </c>
      <c r="BO110" s="1"/>
      <c r="BP110" s="1" t="str">
        <f>HYPERLINK("https://nconnect.nicmar.ac.in/storage/profile/ProfilePhoto_P25700090_678295.jpg","Download")</f>
        <v>0</v>
      </c>
      <c r="BQ110" s="3"/>
      <c r="BR110" s="3"/>
    </row>
    <row r="111" spans="1:70">
      <c r="A111" s="1" t="s">
        <v>70</v>
      </c>
      <c r="B111" s="1" t="s">
        <v>441</v>
      </c>
      <c r="C111" s="1" t="s">
        <v>2491</v>
      </c>
      <c r="D111" s="1" t="s">
        <v>2492</v>
      </c>
      <c r="E111" s="1" t="s">
        <v>2493</v>
      </c>
      <c r="F111" s="1" t="s">
        <v>2494</v>
      </c>
      <c r="G111" s="1" t="s">
        <v>2495</v>
      </c>
      <c r="H111" s="1" t="s">
        <v>2496</v>
      </c>
      <c r="I111" s="1" t="s">
        <v>2497</v>
      </c>
      <c r="J111" s="1">
        <v>8975936363</v>
      </c>
      <c r="K111" s="1" t="s">
        <v>79</v>
      </c>
      <c r="L111" s="1" t="s">
        <v>2498</v>
      </c>
      <c r="M111" s="1" t="s">
        <v>81</v>
      </c>
      <c r="N111" s="1" t="s">
        <v>2499</v>
      </c>
      <c r="O111" s="1"/>
      <c r="P111" s="1" t="s">
        <v>472</v>
      </c>
      <c r="Q111" s="1" t="s">
        <v>2500</v>
      </c>
      <c r="R111" s="1" t="s">
        <v>2493</v>
      </c>
      <c r="S111" s="1">
        <v>8308572500</v>
      </c>
      <c r="T111" s="1" t="s">
        <v>820</v>
      </c>
      <c r="U111" s="1" t="s">
        <v>1491</v>
      </c>
      <c r="V111" s="1">
        <v>7350589898</v>
      </c>
      <c r="W111" s="1" t="s">
        <v>156</v>
      </c>
      <c r="X111" s="1" t="s">
        <v>2501</v>
      </c>
      <c r="Y111" s="1" t="s">
        <v>191</v>
      </c>
      <c r="Z111" s="1" t="s">
        <v>92</v>
      </c>
      <c r="AA111" s="1" t="s">
        <v>2501</v>
      </c>
      <c r="AB111" s="1" t="s">
        <v>191</v>
      </c>
      <c r="AC111" s="1" t="s">
        <v>92</v>
      </c>
      <c r="AD111" s="1">
        <v>9.31</v>
      </c>
      <c r="AE111" s="1" t="s">
        <v>93</v>
      </c>
      <c r="AF111" s="1" t="s">
        <v>2502</v>
      </c>
      <c r="AG111" s="1" t="s">
        <v>160</v>
      </c>
      <c r="AH111" s="1" t="s">
        <v>2290</v>
      </c>
      <c r="AI111" s="1" t="s">
        <v>409</v>
      </c>
      <c r="AJ111" s="1">
        <v>90.2</v>
      </c>
      <c r="AK111" s="1"/>
      <c r="AL111" s="1" t="s">
        <v>2503</v>
      </c>
      <c r="AM111" s="1" t="s">
        <v>160</v>
      </c>
      <c r="AN111" s="1" t="s">
        <v>433</v>
      </c>
      <c r="AO111" s="1" t="s">
        <v>828</v>
      </c>
      <c r="AP111" s="1">
        <v>84</v>
      </c>
      <c r="AQ111" s="1"/>
      <c r="AR111" s="1"/>
      <c r="AS111" s="1"/>
      <c r="AT111" s="1"/>
      <c r="AU111" s="1"/>
      <c r="AV111" s="1"/>
      <c r="AW111" s="1"/>
      <c r="AX111" s="1" t="s">
        <v>361</v>
      </c>
      <c r="AY111" s="1" t="s">
        <v>2504</v>
      </c>
      <c r="AZ111" s="1" t="s">
        <v>852</v>
      </c>
      <c r="BA111" s="1" t="s">
        <v>543</v>
      </c>
      <c r="BB111" s="1">
        <v>80.18</v>
      </c>
      <c r="BC111" s="1">
        <v>8.44</v>
      </c>
      <c r="BD111" s="1"/>
      <c r="BE111" s="1"/>
      <c r="BF111" s="1"/>
      <c r="BG111" s="1"/>
      <c r="BH111" s="1"/>
      <c r="BI111" s="1"/>
      <c r="BJ111" s="1" t="s">
        <v>255</v>
      </c>
      <c r="BK111" s="1"/>
      <c r="BL111" s="1"/>
      <c r="BM111" s="1" t="s">
        <v>2505</v>
      </c>
      <c r="BN111" s="1">
        <v>13</v>
      </c>
      <c r="BO111" s="1"/>
      <c r="BP111" s="1" t="str">
        <f>HYPERLINK("https://nconnect.nicmar.ac.in/storage/profile/ProfilePhoto_P25700091_861592.jpg","Download")</f>
        <v>0</v>
      </c>
      <c r="BQ111" s="3"/>
      <c r="BR111" s="3"/>
    </row>
    <row r="112" spans="1:70">
      <c r="A112" s="1" t="s">
        <v>70</v>
      </c>
      <c r="B112" s="1" t="s">
        <v>441</v>
      </c>
      <c r="C112" s="1" t="s">
        <v>2506</v>
      </c>
      <c r="D112" s="1" t="s">
        <v>2507</v>
      </c>
      <c r="E112" s="1"/>
      <c r="F112" s="1" t="s">
        <v>2508</v>
      </c>
      <c r="G112" s="1" t="s">
        <v>2509</v>
      </c>
      <c r="H112" s="1" t="s">
        <v>2510</v>
      </c>
      <c r="I112" s="1" t="s">
        <v>2511</v>
      </c>
      <c r="J112" s="1">
        <v>6282333205</v>
      </c>
      <c r="K112" s="1" t="s">
        <v>79</v>
      </c>
      <c r="L112" s="1" t="s">
        <v>2512</v>
      </c>
      <c r="M112" s="1" t="s">
        <v>81</v>
      </c>
      <c r="N112" s="1" t="s">
        <v>2513</v>
      </c>
      <c r="O112" s="1" t="s">
        <v>152</v>
      </c>
      <c r="P112" s="1" t="s">
        <v>214</v>
      </c>
      <c r="Q112" s="1" t="s">
        <v>2514</v>
      </c>
      <c r="R112" s="1" t="s">
        <v>2515</v>
      </c>
      <c r="S112" s="1">
        <v>9446204739</v>
      </c>
      <c r="T112" s="1" t="s">
        <v>120</v>
      </c>
      <c r="U112" s="1" t="s">
        <v>2516</v>
      </c>
      <c r="V112" s="1">
        <v>9495632950</v>
      </c>
      <c r="W112" s="1" t="s">
        <v>120</v>
      </c>
      <c r="X112" s="1" t="s">
        <v>2517</v>
      </c>
      <c r="Y112" s="1" t="s">
        <v>2518</v>
      </c>
      <c r="Z112" s="1" t="s">
        <v>125</v>
      </c>
      <c r="AA112" s="1" t="s">
        <v>2517</v>
      </c>
      <c r="AB112" s="1" t="s">
        <v>2518</v>
      </c>
      <c r="AC112" s="1" t="s">
        <v>125</v>
      </c>
      <c r="AD112" s="1">
        <v>8.62</v>
      </c>
      <c r="AE112" s="1" t="s">
        <v>93</v>
      </c>
      <c r="AF112" s="1" t="s">
        <v>2519</v>
      </c>
      <c r="AG112" s="1" t="s">
        <v>2520</v>
      </c>
      <c r="AH112" s="1" t="s">
        <v>165</v>
      </c>
      <c r="AI112" s="1" t="s">
        <v>281</v>
      </c>
      <c r="AJ112" s="1">
        <v>86.61</v>
      </c>
      <c r="AK112" s="1"/>
      <c r="AL112" s="1" t="s">
        <v>2519</v>
      </c>
      <c r="AM112" s="1" t="s">
        <v>2521</v>
      </c>
      <c r="AN112" s="1" t="s">
        <v>101</v>
      </c>
      <c r="AO112" s="1" t="s">
        <v>590</v>
      </c>
      <c r="AP112" s="1">
        <v>72.66</v>
      </c>
      <c r="AQ112" s="1"/>
      <c r="AR112" s="1"/>
      <c r="AS112" s="1"/>
      <c r="AT112" s="1"/>
      <c r="AU112" s="1"/>
      <c r="AV112" s="1"/>
      <c r="AW112" s="1"/>
      <c r="AX112" s="1" t="s">
        <v>2522</v>
      </c>
      <c r="AY112" s="1" t="s">
        <v>2523</v>
      </c>
      <c r="AZ112" s="1" t="s">
        <v>1019</v>
      </c>
      <c r="BA112" s="1" t="s">
        <v>202</v>
      </c>
      <c r="BB112" s="1">
        <v>67.2</v>
      </c>
      <c r="BC112" s="1">
        <v>6.72</v>
      </c>
      <c r="BD112" s="1"/>
      <c r="BE112" s="1"/>
      <c r="BF112" s="1"/>
      <c r="BG112" s="1"/>
      <c r="BH112" s="1"/>
      <c r="BI112" s="1"/>
      <c r="BJ112" s="1" t="s">
        <v>2524</v>
      </c>
      <c r="BK112" s="1" t="s">
        <v>2525</v>
      </c>
      <c r="BL112" s="1" t="s">
        <v>645</v>
      </c>
      <c r="BM112" s="1" t="s">
        <v>2526</v>
      </c>
      <c r="BN112" s="1">
        <v>9</v>
      </c>
      <c r="BO112" s="1" t="s">
        <v>2527</v>
      </c>
      <c r="BP112" s="1" t="str">
        <f>HYPERLINK("https://nconnect.nicmar.ac.in/storage/profile/ProfilePhoto_P25700092_346187.jpg","Download")</f>
        <v>0</v>
      </c>
      <c r="BQ112" s="3"/>
      <c r="BR112" s="3"/>
    </row>
    <row r="113" spans="1:70">
      <c r="A113" s="1" t="s">
        <v>70</v>
      </c>
      <c r="B113" s="1" t="s">
        <v>441</v>
      </c>
      <c r="C113" s="1" t="s">
        <v>2528</v>
      </c>
      <c r="D113" s="1" t="s">
        <v>2529</v>
      </c>
      <c r="E113" s="1"/>
      <c r="F113" s="1" t="s">
        <v>2530</v>
      </c>
      <c r="G113" s="1" t="s">
        <v>2531</v>
      </c>
      <c r="H113" s="1" t="s">
        <v>2532</v>
      </c>
      <c r="I113" s="1" t="s">
        <v>2533</v>
      </c>
      <c r="J113" s="1">
        <v>9311490065</v>
      </c>
      <c r="K113" s="1" t="s">
        <v>79</v>
      </c>
      <c r="L113" s="1" t="s">
        <v>2534</v>
      </c>
      <c r="M113" s="1" t="s">
        <v>81</v>
      </c>
      <c r="N113" s="1" t="s">
        <v>2535</v>
      </c>
      <c r="O113" s="1"/>
      <c r="P113" s="1" t="s">
        <v>497</v>
      </c>
      <c r="Q113" s="1" t="s">
        <v>2536</v>
      </c>
      <c r="R113" s="1" t="s">
        <v>2537</v>
      </c>
      <c r="S113" s="1">
        <v>9314012773</v>
      </c>
      <c r="T113" s="1" t="s">
        <v>906</v>
      </c>
      <c r="U113" s="1" t="s">
        <v>2538</v>
      </c>
      <c r="V113" s="1">
        <v>9414012773</v>
      </c>
      <c r="W113" s="1" t="s">
        <v>2539</v>
      </c>
      <c r="X113" s="1" t="s">
        <v>2540</v>
      </c>
      <c r="Y113" s="1" t="s">
        <v>2541</v>
      </c>
      <c r="Z113" s="1" t="s">
        <v>1675</v>
      </c>
      <c r="AA113" s="1" t="s">
        <v>2540</v>
      </c>
      <c r="AB113" s="1" t="s">
        <v>2541</v>
      </c>
      <c r="AC113" s="1" t="s">
        <v>1675</v>
      </c>
      <c r="AD113" s="1" t="s">
        <v>93</v>
      </c>
      <c r="AE113" s="1" t="s">
        <v>93</v>
      </c>
      <c r="AF113" s="1" t="s">
        <v>2542</v>
      </c>
      <c r="AG113" s="1" t="s">
        <v>2543</v>
      </c>
      <c r="AH113" s="1" t="s">
        <v>689</v>
      </c>
      <c r="AI113" s="1" t="s">
        <v>281</v>
      </c>
      <c r="AJ113" s="1">
        <v>66.5</v>
      </c>
      <c r="AK113" s="1"/>
      <c r="AL113" s="1" t="s">
        <v>2544</v>
      </c>
      <c r="AM113" s="1" t="s">
        <v>307</v>
      </c>
      <c r="AN113" s="1" t="s">
        <v>409</v>
      </c>
      <c r="AO113" s="1" t="s">
        <v>590</v>
      </c>
      <c r="AP113" s="1">
        <v>74.6</v>
      </c>
      <c r="AQ113" s="1"/>
      <c r="AR113" s="1"/>
      <c r="AS113" s="1"/>
      <c r="AT113" s="1"/>
      <c r="AU113" s="1"/>
      <c r="AV113" s="1"/>
      <c r="AW113" s="1"/>
      <c r="AX113" s="1" t="s">
        <v>2545</v>
      </c>
      <c r="AY113" s="1" t="s">
        <v>2546</v>
      </c>
      <c r="AZ113" s="1" t="s">
        <v>871</v>
      </c>
      <c r="BA113" s="1" t="s">
        <v>1219</v>
      </c>
      <c r="BB113" s="1">
        <v>91.7</v>
      </c>
      <c r="BC113" s="1">
        <v>9.17</v>
      </c>
      <c r="BD113" s="1"/>
      <c r="BE113" s="1"/>
      <c r="BF113" s="1"/>
      <c r="BG113" s="1"/>
      <c r="BH113" s="1"/>
      <c r="BI113" s="1"/>
      <c r="BJ113" s="1" t="s">
        <v>2547</v>
      </c>
      <c r="BK113" s="1"/>
      <c r="BL113" s="1"/>
      <c r="BM113" s="1" t="s">
        <v>2548</v>
      </c>
      <c r="BN113" s="1">
        <v>61</v>
      </c>
      <c r="BO113" s="1" t="s">
        <v>2549</v>
      </c>
      <c r="BP113" s="1" t="str">
        <f>HYPERLINK("https://nconnect.nicmar.ac.in/storage/profile/6a69f840ceab4.png","Download")</f>
        <v>0</v>
      </c>
      <c r="BQ113" s="3"/>
      <c r="BR113" s="3"/>
    </row>
    <row r="114" spans="1:70">
      <c r="A114" s="1" t="s">
        <v>70</v>
      </c>
      <c r="B114" s="1" t="s">
        <v>441</v>
      </c>
      <c r="C114" s="1" t="s">
        <v>2550</v>
      </c>
      <c r="D114" s="1" t="s">
        <v>2551</v>
      </c>
      <c r="E114" s="1" t="s">
        <v>2552</v>
      </c>
      <c r="F114" s="1" t="s">
        <v>2553</v>
      </c>
      <c r="G114" s="1" t="s">
        <v>2554</v>
      </c>
      <c r="H114" s="1" t="s">
        <v>2555</v>
      </c>
      <c r="I114" s="1" t="s">
        <v>2556</v>
      </c>
      <c r="J114" s="1">
        <v>7020313041</v>
      </c>
      <c r="K114" s="1" t="s">
        <v>79</v>
      </c>
      <c r="L114" s="1" t="s">
        <v>2557</v>
      </c>
      <c r="M114" s="1" t="s">
        <v>81</v>
      </c>
      <c r="N114" s="1" t="s">
        <v>1140</v>
      </c>
      <c r="O114" s="1"/>
      <c r="P114" s="1" t="s">
        <v>450</v>
      </c>
      <c r="Q114" s="1" t="s">
        <v>2558</v>
      </c>
      <c r="R114" s="1" t="s">
        <v>2552</v>
      </c>
      <c r="S114" s="1">
        <v>9423076607</v>
      </c>
      <c r="T114" s="1" t="s">
        <v>820</v>
      </c>
      <c r="U114" s="1" t="s">
        <v>2559</v>
      </c>
      <c r="V114" s="1">
        <v>9405283841</v>
      </c>
      <c r="W114" s="1" t="s">
        <v>156</v>
      </c>
      <c r="X114" s="1" t="s">
        <v>2560</v>
      </c>
      <c r="Y114" s="1" t="s">
        <v>191</v>
      </c>
      <c r="Z114" s="1" t="s">
        <v>92</v>
      </c>
      <c r="AA114" s="1" t="s">
        <v>2561</v>
      </c>
      <c r="AB114" s="1" t="s">
        <v>1122</v>
      </c>
      <c r="AC114" s="1" t="s">
        <v>92</v>
      </c>
      <c r="AD114" s="1">
        <v>8.77</v>
      </c>
      <c r="AE114" s="1" t="s">
        <v>93</v>
      </c>
      <c r="AF114" s="1" t="s">
        <v>2562</v>
      </c>
      <c r="AG114" s="1" t="s">
        <v>2563</v>
      </c>
      <c r="AH114" s="1" t="s">
        <v>162</v>
      </c>
      <c r="AI114" s="1" t="s">
        <v>689</v>
      </c>
      <c r="AJ114" s="1">
        <v>95.4</v>
      </c>
      <c r="AK114" s="1"/>
      <c r="AL114" s="1" t="s">
        <v>2564</v>
      </c>
      <c r="AM114" s="1" t="s">
        <v>2565</v>
      </c>
      <c r="AN114" s="1" t="s">
        <v>101</v>
      </c>
      <c r="AO114" s="1" t="s">
        <v>308</v>
      </c>
      <c r="AP114" s="1">
        <v>79.8</v>
      </c>
      <c r="AQ114" s="1"/>
      <c r="AR114" s="1"/>
      <c r="AS114" s="1"/>
      <c r="AT114" s="1"/>
      <c r="AU114" s="1"/>
      <c r="AV114" s="1"/>
      <c r="AW114" s="1"/>
      <c r="AX114" s="1" t="s">
        <v>361</v>
      </c>
      <c r="AY114" s="1" t="s">
        <v>2566</v>
      </c>
      <c r="AZ114" s="1" t="s">
        <v>201</v>
      </c>
      <c r="BA114" s="1" t="s">
        <v>229</v>
      </c>
      <c r="BB114" s="1">
        <v>75</v>
      </c>
      <c r="BC114" s="1">
        <v>8</v>
      </c>
      <c r="BD114" s="1"/>
      <c r="BE114" s="1"/>
      <c r="BF114" s="1"/>
      <c r="BG114" s="1"/>
      <c r="BH114" s="1"/>
      <c r="BI114" s="1"/>
      <c r="BJ114" s="1" t="s">
        <v>2567</v>
      </c>
      <c r="BK114" s="1" t="s">
        <v>2568</v>
      </c>
      <c r="BL114" s="1" t="s">
        <v>2569</v>
      </c>
      <c r="BM114" s="1" t="s">
        <v>2570</v>
      </c>
      <c r="BN114" s="1">
        <v>8</v>
      </c>
      <c r="BO114" s="1" t="s">
        <v>2571</v>
      </c>
      <c r="BP114" s="1" t="str">
        <f>HYPERLINK("https://nconnect.nicmar.ac.in/storage/profile/ProfilePhoto_P25700094_172359.jpg","Download")</f>
        <v>0</v>
      </c>
      <c r="BQ114" s="3"/>
      <c r="BR114" s="3"/>
    </row>
    <row r="115" spans="1:70">
      <c r="A115" s="1" t="s">
        <v>70</v>
      </c>
      <c r="B115" s="1" t="s">
        <v>441</v>
      </c>
      <c r="C115" s="1" t="s">
        <v>2572</v>
      </c>
      <c r="D115" s="1" t="s">
        <v>2573</v>
      </c>
      <c r="E115" s="1"/>
      <c r="F115" s="1" t="s">
        <v>1339</v>
      </c>
      <c r="G115" s="1" t="s">
        <v>2574</v>
      </c>
      <c r="H115" s="1" t="s">
        <v>2575</v>
      </c>
      <c r="I115" s="1" t="s">
        <v>2576</v>
      </c>
      <c r="J115" s="1">
        <v>9526322039</v>
      </c>
      <c r="K115" s="1" t="s">
        <v>79</v>
      </c>
      <c r="L115" s="1" t="s">
        <v>2577</v>
      </c>
      <c r="M115" s="1" t="s">
        <v>81</v>
      </c>
      <c r="N115" s="1" t="s">
        <v>116</v>
      </c>
      <c r="O115" s="1"/>
      <c r="P115" s="1" t="s">
        <v>497</v>
      </c>
      <c r="Q115" s="1" t="s">
        <v>2578</v>
      </c>
      <c r="R115" s="1" t="s">
        <v>2579</v>
      </c>
      <c r="S115" s="1">
        <v>9946333362</v>
      </c>
      <c r="T115" s="1" t="s">
        <v>2580</v>
      </c>
      <c r="U115" s="1" t="s">
        <v>2581</v>
      </c>
      <c r="V115" s="1">
        <v>9526644881</v>
      </c>
      <c r="W115" s="1" t="s">
        <v>273</v>
      </c>
      <c r="X115" s="1" t="s">
        <v>2582</v>
      </c>
      <c r="Y115" s="1" t="s">
        <v>1285</v>
      </c>
      <c r="Z115" s="1" t="s">
        <v>125</v>
      </c>
      <c r="AA115" s="1" t="s">
        <v>2582</v>
      </c>
      <c r="AB115" s="1" t="s">
        <v>1285</v>
      </c>
      <c r="AC115" s="1" t="s">
        <v>125</v>
      </c>
      <c r="AD115" s="1" t="s">
        <v>93</v>
      </c>
      <c r="AE115" s="1" t="s">
        <v>93</v>
      </c>
      <c r="AF115" s="1" t="s">
        <v>2583</v>
      </c>
      <c r="AG115" s="1" t="s">
        <v>2584</v>
      </c>
      <c r="AH115" s="1" t="s">
        <v>161</v>
      </c>
      <c r="AI115" s="1" t="s">
        <v>614</v>
      </c>
      <c r="AJ115" s="1">
        <v>89.3</v>
      </c>
      <c r="AK115" s="1">
        <v>9.4</v>
      </c>
      <c r="AL115" s="1" t="s">
        <v>2583</v>
      </c>
      <c r="AM115" s="1" t="s">
        <v>2585</v>
      </c>
      <c r="AN115" s="1" t="s">
        <v>165</v>
      </c>
      <c r="AO115" s="1" t="s">
        <v>166</v>
      </c>
      <c r="AP115" s="1">
        <v>65</v>
      </c>
      <c r="AQ115" s="1"/>
      <c r="AR115" s="1"/>
      <c r="AS115" s="1"/>
      <c r="AT115" s="1"/>
      <c r="AU115" s="1"/>
      <c r="AV115" s="1"/>
      <c r="AW115" s="1"/>
      <c r="AX115" s="1" t="s">
        <v>132</v>
      </c>
      <c r="AY115" s="1" t="s">
        <v>2586</v>
      </c>
      <c r="AZ115" s="1" t="s">
        <v>1043</v>
      </c>
      <c r="BA115" s="1" t="s">
        <v>566</v>
      </c>
      <c r="BB115" s="1">
        <v>70</v>
      </c>
      <c r="BC115" s="1">
        <v>7</v>
      </c>
      <c r="BD115" s="1"/>
      <c r="BE115" s="1"/>
      <c r="BF115" s="1"/>
      <c r="BG115" s="1"/>
      <c r="BH115" s="1"/>
      <c r="BI115" s="1"/>
      <c r="BJ115" s="1" t="s">
        <v>2587</v>
      </c>
      <c r="BK115" s="1" t="s">
        <v>2588</v>
      </c>
      <c r="BL115" s="1" t="s">
        <v>1540</v>
      </c>
      <c r="BM115" s="1" t="s">
        <v>2589</v>
      </c>
      <c r="BN115" s="1">
        <v>59</v>
      </c>
      <c r="BO115" s="1"/>
      <c r="BP115" s="1" t="str">
        <f>HYPERLINK("https://nconnect.nicmar.ac.in/storage/profile/ProfilePhoto_P25700095_258476.jpg","Download")</f>
        <v>0</v>
      </c>
      <c r="BQ115" s="3"/>
      <c r="BR115" s="3"/>
    </row>
    <row r="116" spans="1:70">
      <c r="A116" s="1" t="s">
        <v>70</v>
      </c>
      <c r="B116" s="1" t="s">
        <v>441</v>
      </c>
      <c r="C116" s="1" t="s">
        <v>2590</v>
      </c>
      <c r="D116" s="1" t="s">
        <v>2591</v>
      </c>
      <c r="E116" s="1" t="s">
        <v>2592</v>
      </c>
      <c r="F116" s="1" t="s">
        <v>2593</v>
      </c>
      <c r="G116" s="1" t="s">
        <v>2594</v>
      </c>
      <c r="H116" s="1" t="s">
        <v>2595</v>
      </c>
      <c r="I116" s="1" t="s">
        <v>2596</v>
      </c>
      <c r="J116" s="1">
        <v>9920520638</v>
      </c>
      <c r="K116" s="1" t="s">
        <v>79</v>
      </c>
      <c r="L116" s="1" t="s">
        <v>2597</v>
      </c>
      <c r="M116" s="1" t="s">
        <v>81</v>
      </c>
      <c r="N116" s="1" t="s">
        <v>1140</v>
      </c>
      <c r="O116" s="1"/>
      <c r="P116" s="1" t="s">
        <v>472</v>
      </c>
      <c r="Q116" s="1" t="s">
        <v>2598</v>
      </c>
      <c r="R116" s="1" t="s">
        <v>2599</v>
      </c>
      <c r="S116" s="1">
        <v>9867149867</v>
      </c>
      <c r="T116" s="1" t="s">
        <v>93</v>
      </c>
      <c r="U116" s="1" t="s">
        <v>2600</v>
      </c>
      <c r="V116" s="1">
        <v>9867149867</v>
      </c>
      <c r="W116" s="1" t="s">
        <v>156</v>
      </c>
      <c r="X116" s="1" t="s">
        <v>2601</v>
      </c>
      <c r="Y116" s="1" t="s">
        <v>991</v>
      </c>
      <c r="Z116" s="1" t="s">
        <v>92</v>
      </c>
      <c r="AA116" s="1" t="s">
        <v>2601</v>
      </c>
      <c r="AB116" s="1" t="s">
        <v>991</v>
      </c>
      <c r="AC116" s="1" t="s">
        <v>92</v>
      </c>
      <c r="AD116" s="1">
        <v>9.31</v>
      </c>
      <c r="AE116" s="1" t="s">
        <v>93</v>
      </c>
      <c r="AF116" s="1" t="s">
        <v>2602</v>
      </c>
      <c r="AG116" s="1" t="s">
        <v>975</v>
      </c>
      <c r="AH116" s="1" t="s">
        <v>2603</v>
      </c>
      <c r="AI116" s="1" t="s">
        <v>96</v>
      </c>
      <c r="AJ116" s="1">
        <v>84.2</v>
      </c>
      <c r="AK116" s="1"/>
      <c r="AL116" s="1"/>
      <c r="AM116" s="1"/>
      <c r="AN116" s="1"/>
      <c r="AO116" s="1"/>
      <c r="AP116" s="1"/>
      <c r="AQ116" s="1"/>
      <c r="AR116" s="1" t="s">
        <v>98</v>
      </c>
      <c r="AS116" s="1" t="s">
        <v>2604</v>
      </c>
      <c r="AT116" s="1" t="s">
        <v>252</v>
      </c>
      <c r="AU116" s="1" t="s">
        <v>165</v>
      </c>
      <c r="AV116" s="1">
        <v>78.67</v>
      </c>
      <c r="AW116" s="1"/>
      <c r="AX116" s="1" t="s">
        <v>666</v>
      </c>
      <c r="AY116" s="1" t="s">
        <v>2605</v>
      </c>
      <c r="AZ116" s="1" t="s">
        <v>225</v>
      </c>
      <c r="BA116" s="1" t="s">
        <v>170</v>
      </c>
      <c r="BB116" s="1">
        <v>75.4</v>
      </c>
      <c r="BC116" s="1">
        <v>8.29</v>
      </c>
      <c r="BD116" s="1"/>
      <c r="BE116" s="1"/>
      <c r="BF116" s="1"/>
      <c r="BG116" s="1"/>
      <c r="BH116" s="1"/>
      <c r="BI116" s="1"/>
      <c r="BJ116" s="1" t="s">
        <v>567</v>
      </c>
      <c r="BK116" s="1" t="s">
        <v>2606</v>
      </c>
      <c r="BL116" s="1" t="s">
        <v>695</v>
      </c>
      <c r="BM116" s="1" t="s">
        <v>2607</v>
      </c>
      <c r="BN116" s="1">
        <v>33</v>
      </c>
      <c r="BO116" s="1" t="s">
        <v>2608</v>
      </c>
      <c r="BP116" s="1" t="str">
        <f>HYPERLINK("https://nconnect.nicmar.ac.in/storage/profile/ProfilePhoto_P25700096_597461.jpg","Download")</f>
        <v>0</v>
      </c>
      <c r="BQ116" s="3"/>
      <c r="BR116" s="3"/>
    </row>
    <row r="117" spans="1:70">
      <c r="A117" s="1" t="s">
        <v>70</v>
      </c>
      <c r="B117" s="1" t="s">
        <v>441</v>
      </c>
      <c r="C117" s="1" t="s">
        <v>2609</v>
      </c>
      <c r="D117" s="1" t="s">
        <v>2610</v>
      </c>
      <c r="E117" s="1"/>
      <c r="F117" s="1" t="s">
        <v>940</v>
      </c>
      <c r="G117" s="1" t="s">
        <v>2611</v>
      </c>
      <c r="H117" s="1" t="s">
        <v>2612</v>
      </c>
      <c r="I117" s="1" t="s">
        <v>2613</v>
      </c>
      <c r="J117" s="1">
        <v>9418593000</v>
      </c>
      <c r="K117" s="1" t="s">
        <v>79</v>
      </c>
      <c r="L117" s="1" t="s">
        <v>1787</v>
      </c>
      <c r="M117" s="1" t="s">
        <v>81</v>
      </c>
      <c r="N117" s="1" t="s">
        <v>374</v>
      </c>
      <c r="O117" s="1"/>
      <c r="P117" s="1" t="s">
        <v>1007</v>
      </c>
      <c r="Q117" s="1" t="s">
        <v>2614</v>
      </c>
      <c r="R117" s="1" t="s">
        <v>2615</v>
      </c>
      <c r="S117" s="1">
        <v>9816344216</v>
      </c>
      <c r="T117" s="1" t="s">
        <v>1472</v>
      </c>
      <c r="U117" s="1" t="s">
        <v>2616</v>
      </c>
      <c r="V117" s="1">
        <v>9418102501</v>
      </c>
      <c r="W117" s="1" t="s">
        <v>122</v>
      </c>
      <c r="X117" s="1" t="s">
        <v>2617</v>
      </c>
      <c r="Y117" s="1" t="s">
        <v>2618</v>
      </c>
      <c r="Z117" s="1" t="s">
        <v>2619</v>
      </c>
      <c r="AA117" s="1" t="s">
        <v>2617</v>
      </c>
      <c r="AB117" s="1" t="s">
        <v>2618</v>
      </c>
      <c r="AC117" s="1" t="s">
        <v>2619</v>
      </c>
      <c r="AD117" s="1">
        <v>8.61</v>
      </c>
      <c r="AE117" s="1" t="s">
        <v>93</v>
      </c>
      <c r="AF117" s="1" t="s">
        <v>2620</v>
      </c>
      <c r="AG117" s="1" t="s">
        <v>2621</v>
      </c>
      <c r="AH117" s="1" t="s">
        <v>2622</v>
      </c>
      <c r="AI117" s="1" t="s">
        <v>409</v>
      </c>
      <c r="AJ117" s="1">
        <v>90.8</v>
      </c>
      <c r="AK117" s="1"/>
      <c r="AL117" s="1" t="s">
        <v>2623</v>
      </c>
      <c r="AM117" s="1" t="s">
        <v>2624</v>
      </c>
      <c r="AN117" s="1" t="s">
        <v>537</v>
      </c>
      <c r="AO117" s="1" t="s">
        <v>1169</v>
      </c>
      <c r="AP117" s="1">
        <v>90</v>
      </c>
      <c r="AQ117" s="1"/>
      <c r="AR117" s="1"/>
      <c r="AS117" s="1"/>
      <c r="AT117" s="1"/>
      <c r="AU117" s="1"/>
      <c r="AV117" s="1"/>
      <c r="AW117" s="1"/>
      <c r="AX117" s="1" t="s">
        <v>2625</v>
      </c>
      <c r="AY117" s="1" t="s">
        <v>2626</v>
      </c>
      <c r="AZ117" s="1" t="s">
        <v>828</v>
      </c>
      <c r="BA117" s="1" t="s">
        <v>543</v>
      </c>
      <c r="BB117" s="1">
        <v>87.6</v>
      </c>
      <c r="BC117" s="1">
        <v>8.76</v>
      </c>
      <c r="BD117" s="1"/>
      <c r="BE117" s="1"/>
      <c r="BF117" s="1"/>
      <c r="BG117" s="1"/>
      <c r="BH117" s="1"/>
      <c r="BI117" s="1"/>
      <c r="BJ117" s="1" t="s">
        <v>2627</v>
      </c>
      <c r="BK117" s="1"/>
      <c r="BL117" s="1"/>
      <c r="BM117" s="1" t="s">
        <v>2628</v>
      </c>
      <c r="BN117" s="1">
        <v>12</v>
      </c>
      <c r="BO117" s="1" t="s">
        <v>2629</v>
      </c>
      <c r="BP117" s="1" t="str">
        <f>HYPERLINK("https://nconnect.nicmar.ac.in/storage/profile/6a665bbd8e653.png","Download")</f>
        <v>0</v>
      </c>
      <c r="BQ117" s="3"/>
      <c r="BR117" s="3"/>
    </row>
    <row r="118" spans="1:70">
      <c r="A118" s="1" t="s">
        <v>70</v>
      </c>
      <c r="B118" s="1" t="s">
        <v>441</v>
      </c>
      <c r="C118" s="1" t="s">
        <v>2630</v>
      </c>
      <c r="D118" s="1" t="s">
        <v>2631</v>
      </c>
      <c r="E118" s="1" t="s">
        <v>2632</v>
      </c>
      <c r="F118" s="1" t="s">
        <v>2633</v>
      </c>
      <c r="G118" s="1" t="s">
        <v>2634</v>
      </c>
      <c r="H118" s="1" t="s">
        <v>2635</v>
      </c>
      <c r="I118" s="1" t="s">
        <v>2636</v>
      </c>
      <c r="J118" s="1">
        <v>6309591204</v>
      </c>
      <c r="K118" s="1" t="s">
        <v>79</v>
      </c>
      <c r="L118" s="1" t="s">
        <v>2637</v>
      </c>
      <c r="M118" s="1" t="s">
        <v>81</v>
      </c>
      <c r="N118" s="1" t="s">
        <v>2638</v>
      </c>
      <c r="O118" s="1"/>
      <c r="P118" s="1" t="s">
        <v>450</v>
      </c>
      <c r="Q118" s="1" t="s">
        <v>2639</v>
      </c>
      <c r="R118" s="1" t="s">
        <v>2640</v>
      </c>
      <c r="S118" s="1">
        <v>8919042728</v>
      </c>
      <c r="T118" s="1" t="s">
        <v>1938</v>
      </c>
      <c r="U118" s="1" t="s">
        <v>2641</v>
      </c>
      <c r="V118" s="1">
        <v>8919042728</v>
      </c>
      <c r="W118" s="1" t="s">
        <v>273</v>
      </c>
      <c r="X118" s="1" t="s">
        <v>2642</v>
      </c>
      <c r="Y118" s="1" t="s">
        <v>2643</v>
      </c>
      <c r="Z118" s="1" t="s">
        <v>456</v>
      </c>
      <c r="AA118" s="1" t="s">
        <v>2642</v>
      </c>
      <c r="AB118" s="1" t="s">
        <v>2643</v>
      </c>
      <c r="AC118" s="1" t="s">
        <v>456</v>
      </c>
      <c r="AD118" s="1">
        <v>9.46</v>
      </c>
      <c r="AE118" s="1" t="s">
        <v>93</v>
      </c>
      <c r="AF118" s="1" t="s">
        <v>2644</v>
      </c>
      <c r="AG118" s="1" t="s">
        <v>2645</v>
      </c>
      <c r="AH118" s="1" t="s">
        <v>165</v>
      </c>
      <c r="AI118" s="1" t="s">
        <v>281</v>
      </c>
      <c r="AJ118" s="1">
        <v>87</v>
      </c>
      <c r="AK118" s="1">
        <v>8.7</v>
      </c>
      <c r="AL118" s="1"/>
      <c r="AM118" s="1"/>
      <c r="AN118" s="1"/>
      <c r="AO118" s="1"/>
      <c r="AP118" s="1"/>
      <c r="AQ118" s="1"/>
      <c r="AR118" s="1" t="s">
        <v>434</v>
      </c>
      <c r="AS118" s="1" t="s">
        <v>2646</v>
      </c>
      <c r="AT118" s="1" t="s">
        <v>101</v>
      </c>
      <c r="AU118" s="1" t="s">
        <v>1169</v>
      </c>
      <c r="AV118" s="1">
        <v>92.5</v>
      </c>
      <c r="AW118" s="1">
        <v>9.75</v>
      </c>
      <c r="AX118" s="1" t="s">
        <v>1798</v>
      </c>
      <c r="AY118" s="1" t="s">
        <v>2646</v>
      </c>
      <c r="AZ118" s="1" t="s">
        <v>828</v>
      </c>
      <c r="BA118" s="1" t="s">
        <v>202</v>
      </c>
      <c r="BB118" s="1">
        <v>75.7</v>
      </c>
      <c r="BC118" s="1">
        <v>8.07</v>
      </c>
      <c r="BD118" s="1"/>
      <c r="BE118" s="1"/>
      <c r="BF118" s="1"/>
      <c r="BG118" s="1"/>
      <c r="BH118" s="1"/>
      <c r="BI118" s="1"/>
      <c r="BJ118" s="1" t="s">
        <v>2647</v>
      </c>
      <c r="BK118" s="1"/>
      <c r="BL118" s="1"/>
      <c r="BM118" s="1" t="s">
        <v>2648</v>
      </c>
      <c r="BN118" s="1">
        <v>24</v>
      </c>
      <c r="BO118" s="1"/>
      <c r="BP118" s="1" t="str">
        <f>HYPERLINK("https://nconnect.nicmar.ac.in/storage/profile/ProfilePhoto_P25700098_621459.jpg","Download")</f>
        <v>0</v>
      </c>
      <c r="BQ118" s="3"/>
      <c r="BR118" s="3"/>
    </row>
    <row r="119" spans="1:70">
      <c r="A119" s="1" t="s">
        <v>70</v>
      </c>
      <c r="B119" s="1" t="s">
        <v>441</v>
      </c>
      <c r="C119" s="1" t="s">
        <v>2649</v>
      </c>
      <c r="D119" s="1" t="s">
        <v>2650</v>
      </c>
      <c r="E119" s="1"/>
      <c r="F119" s="1" t="s">
        <v>2651</v>
      </c>
      <c r="G119" s="1" t="s">
        <v>2652</v>
      </c>
      <c r="H119" s="1" t="s">
        <v>2653</v>
      </c>
      <c r="I119" s="1" t="s">
        <v>2654</v>
      </c>
      <c r="J119" s="1">
        <v>9666532175</v>
      </c>
      <c r="K119" s="1" t="s">
        <v>79</v>
      </c>
      <c r="L119" s="1" t="s">
        <v>2655</v>
      </c>
      <c r="M119" s="1" t="s">
        <v>81</v>
      </c>
      <c r="N119" s="1" t="s">
        <v>2656</v>
      </c>
      <c r="O119" s="1"/>
      <c r="P119" s="1" t="s">
        <v>472</v>
      </c>
      <c r="Q119" s="1" t="s">
        <v>2657</v>
      </c>
      <c r="R119" s="1" t="s">
        <v>2658</v>
      </c>
      <c r="S119" s="1">
        <v>9948600153</v>
      </c>
      <c r="T119" s="1" t="s">
        <v>2659</v>
      </c>
      <c r="U119" s="1" t="s">
        <v>2660</v>
      </c>
      <c r="V119" s="1">
        <v>9502920289</v>
      </c>
      <c r="W119" s="1" t="s">
        <v>273</v>
      </c>
      <c r="X119" s="1" t="s">
        <v>2661</v>
      </c>
      <c r="Y119" s="1" t="s">
        <v>2662</v>
      </c>
      <c r="Z119" s="1" t="s">
        <v>276</v>
      </c>
      <c r="AA119" s="1" t="s">
        <v>2661</v>
      </c>
      <c r="AB119" s="1" t="s">
        <v>2662</v>
      </c>
      <c r="AC119" s="1" t="s">
        <v>276</v>
      </c>
      <c r="AD119" s="1">
        <v>8.1</v>
      </c>
      <c r="AE119" s="1" t="s">
        <v>93</v>
      </c>
      <c r="AF119" s="1" t="s">
        <v>2663</v>
      </c>
      <c r="AG119" s="1" t="s">
        <v>1396</v>
      </c>
      <c r="AH119" s="1" t="s">
        <v>101</v>
      </c>
      <c r="AI119" s="1" t="s">
        <v>409</v>
      </c>
      <c r="AJ119" s="1">
        <v>98</v>
      </c>
      <c r="AK119" s="1">
        <v>9.8</v>
      </c>
      <c r="AL119" s="1" t="s">
        <v>1818</v>
      </c>
      <c r="AM119" s="1" t="s">
        <v>1398</v>
      </c>
      <c r="AN119" s="1" t="s">
        <v>433</v>
      </c>
      <c r="AO119" s="1" t="s">
        <v>1169</v>
      </c>
      <c r="AP119" s="1">
        <v>92.8</v>
      </c>
      <c r="AQ119" s="1">
        <v>0</v>
      </c>
      <c r="AR119" s="1"/>
      <c r="AS119" s="1"/>
      <c r="AT119" s="1"/>
      <c r="AU119" s="1"/>
      <c r="AV119" s="1"/>
      <c r="AW119" s="1"/>
      <c r="AX119" s="1" t="s">
        <v>2664</v>
      </c>
      <c r="AY119" s="1" t="s">
        <v>2665</v>
      </c>
      <c r="AZ119" s="1" t="s">
        <v>828</v>
      </c>
      <c r="BA119" s="1" t="s">
        <v>594</v>
      </c>
      <c r="BB119" s="1">
        <v>68.7</v>
      </c>
      <c r="BC119" s="1">
        <v>7.62</v>
      </c>
      <c r="BD119" s="1"/>
      <c r="BE119" s="1"/>
      <c r="BF119" s="1"/>
      <c r="BG119" s="1"/>
      <c r="BH119" s="1"/>
      <c r="BI119" s="1"/>
      <c r="BJ119" s="1" t="s">
        <v>2666</v>
      </c>
      <c r="BK119" s="1"/>
      <c r="BL119" s="1"/>
      <c r="BM119" s="1" t="s">
        <v>2667</v>
      </c>
      <c r="BN119" s="1">
        <v>52</v>
      </c>
      <c r="BO119" s="1"/>
      <c r="BP119" s="1" t="str">
        <f>HYPERLINK("https://nconnect.nicmar.ac.in/storage/profile/ProfilePhoto_P25700099_561739.jpg","Download")</f>
        <v>0</v>
      </c>
      <c r="BQ119" s="3"/>
      <c r="BR119" s="3"/>
    </row>
    <row r="120" spans="1:70">
      <c r="A120" s="1" t="s">
        <v>70</v>
      </c>
      <c r="B120" s="1" t="s">
        <v>441</v>
      </c>
      <c r="C120" s="1" t="s">
        <v>2668</v>
      </c>
      <c r="D120" s="1" t="s">
        <v>2669</v>
      </c>
      <c r="E120" s="1" t="s">
        <v>1937</v>
      </c>
      <c r="F120" s="1" t="s">
        <v>2670</v>
      </c>
      <c r="G120" s="1" t="s">
        <v>2671</v>
      </c>
      <c r="H120" s="1" t="s">
        <v>2672</v>
      </c>
      <c r="I120" s="1" t="s">
        <v>2673</v>
      </c>
      <c r="J120" s="1">
        <v>8600645914</v>
      </c>
      <c r="K120" s="1" t="s">
        <v>79</v>
      </c>
      <c r="L120" s="1" t="s">
        <v>2674</v>
      </c>
      <c r="M120" s="1" t="s">
        <v>81</v>
      </c>
      <c r="N120" s="1" t="s">
        <v>1140</v>
      </c>
      <c r="O120" s="1"/>
      <c r="P120" s="1" t="s">
        <v>450</v>
      </c>
      <c r="Q120" s="1" t="s">
        <v>2675</v>
      </c>
      <c r="R120" s="1" t="s">
        <v>1937</v>
      </c>
      <c r="S120" s="1">
        <v>9422558314</v>
      </c>
      <c r="T120" s="1" t="s">
        <v>154</v>
      </c>
      <c r="U120" s="1" t="s">
        <v>2676</v>
      </c>
      <c r="V120" s="1">
        <v>9767415214</v>
      </c>
      <c r="W120" s="1" t="s">
        <v>156</v>
      </c>
      <c r="X120" s="1" t="s">
        <v>2677</v>
      </c>
      <c r="Y120" s="1" t="s">
        <v>2678</v>
      </c>
      <c r="Z120" s="1" t="s">
        <v>92</v>
      </c>
      <c r="AA120" s="1" t="s">
        <v>2677</v>
      </c>
      <c r="AB120" s="1" t="s">
        <v>2678</v>
      </c>
      <c r="AC120" s="1" t="s">
        <v>92</v>
      </c>
      <c r="AD120" s="1">
        <v>8.26</v>
      </c>
      <c r="AE120" s="1" t="s">
        <v>93</v>
      </c>
      <c r="AF120" s="1" t="s">
        <v>2679</v>
      </c>
      <c r="AG120" s="1" t="s">
        <v>2680</v>
      </c>
      <c r="AH120" s="1" t="s">
        <v>195</v>
      </c>
      <c r="AI120" s="1" t="s">
        <v>281</v>
      </c>
      <c r="AJ120" s="1">
        <v>64.6</v>
      </c>
      <c r="AK120" s="1"/>
      <c r="AL120" s="1"/>
      <c r="AM120" s="1"/>
      <c r="AN120" s="1"/>
      <c r="AO120" s="1"/>
      <c r="AP120" s="1"/>
      <c r="AQ120" s="1"/>
      <c r="AR120" s="1" t="s">
        <v>434</v>
      </c>
      <c r="AS120" s="1" t="s">
        <v>2681</v>
      </c>
      <c r="AT120" s="1" t="s">
        <v>1043</v>
      </c>
      <c r="AU120" s="1" t="s">
        <v>436</v>
      </c>
      <c r="AV120" s="1">
        <v>88.37</v>
      </c>
      <c r="AW120" s="1"/>
      <c r="AX120" s="1" t="s">
        <v>1862</v>
      </c>
      <c r="AY120" s="1" t="s">
        <v>2682</v>
      </c>
      <c r="AZ120" s="1" t="s">
        <v>542</v>
      </c>
      <c r="BA120" s="1" t="s">
        <v>202</v>
      </c>
      <c r="BB120" s="1">
        <v>70.03</v>
      </c>
      <c r="BC120" s="1">
        <v>7.03</v>
      </c>
      <c r="BD120" s="1"/>
      <c r="BE120" s="1"/>
      <c r="BF120" s="1"/>
      <c r="BG120" s="1"/>
      <c r="BH120" s="1"/>
      <c r="BI120" s="1"/>
      <c r="BJ120" s="1" t="s">
        <v>2683</v>
      </c>
      <c r="BK120" s="1" t="s">
        <v>2684</v>
      </c>
      <c r="BL120" s="1" t="s">
        <v>645</v>
      </c>
      <c r="BM120" s="1" t="s">
        <v>2685</v>
      </c>
      <c r="BN120" s="1">
        <v>12</v>
      </c>
      <c r="BO120" s="1" t="s">
        <v>2686</v>
      </c>
      <c r="BP120" s="1" t="str">
        <f>HYPERLINK("https://nconnect.nicmar.ac.in/storage/profile/ProfilePhoto_P25700100_631259.jpg","Download")</f>
        <v>0</v>
      </c>
      <c r="BQ120" s="3"/>
      <c r="BR120" s="3"/>
    </row>
    <row r="121" spans="1:70">
      <c r="A121" s="1" t="s">
        <v>70</v>
      </c>
      <c r="B121" s="1" t="s">
        <v>441</v>
      </c>
      <c r="C121" s="1" t="s">
        <v>2687</v>
      </c>
      <c r="D121" s="1" t="s">
        <v>2688</v>
      </c>
      <c r="E121" s="1" t="s">
        <v>1113</v>
      </c>
      <c r="F121" s="1" t="s">
        <v>2689</v>
      </c>
      <c r="G121" s="1" t="s">
        <v>2690</v>
      </c>
      <c r="H121" s="1" t="s">
        <v>2691</v>
      </c>
      <c r="I121" s="1" t="s">
        <v>2692</v>
      </c>
      <c r="J121" s="1">
        <v>9022806743</v>
      </c>
      <c r="K121" s="1" t="s">
        <v>79</v>
      </c>
      <c r="L121" s="1" t="s">
        <v>2693</v>
      </c>
      <c r="M121" s="1" t="s">
        <v>81</v>
      </c>
      <c r="N121" s="1" t="s">
        <v>151</v>
      </c>
      <c r="O121" s="1"/>
      <c r="P121" s="1" t="s">
        <v>2694</v>
      </c>
      <c r="Q121" s="1" t="s">
        <v>2695</v>
      </c>
      <c r="R121" s="1" t="s">
        <v>2696</v>
      </c>
      <c r="S121" s="1">
        <v>8087894240</v>
      </c>
      <c r="T121" s="1" t="s">
        <v>820</v>
      </c>
      <c r="U121" s="1" t="s">
        <v>2697</v>
      </c>
      <c r="V121" s="1">
        <v>9420484422</v>
      </c>
      <c r="W121" s="1" t="s">
        <v>156</v>
      </c>
      <c r="X121" s="1" t="s">
        <v>2698</v>
      </c>
      <c r="Y121" s="1" t="s">
        <v>890</v>
      </c>
      <c r="Z121" s="1" t="s">
        <v>92</v>
      </c>
      <c r="AA121" s="1" t="s">
        <v>2698</v>
      </c>
      <c r="AB121" s="1" t="s">
        <v>890</v>
      </c>
      <c r="AC121" s="1" t="s">
        <v>92</v>
      </c>
      <c r="AD121" s="1">
        <v>8.72</v>
      </c>
      <c r="AE121" s="1" t="s">
        <v>93</v>
      </c>
      <c r="AF121" s="1" t="s">
        <v>2699</v>
      </c>
      <c r="AG121" s="1" t="s">
        <v>160</v>
      </c>
      <c r="AH121" s="1" t="s">
        <v>281</v>
      </c>
      <c r="AI121" s="1" t="s">
        <v>409</v>
      </c>
      <c r="AJ121" s="1">
        <v>82</v>
      </c>
      <c r="AK121" s="1"/>
      <c r="AL121" s="1"/>
      <c r="AM121" s="1"/>
      <c r="AN121" s="1"/>
      <c r="AO121" s="1"/>
      <c r="AP121" s="1"/>
      <c r="AQ121" s="1"/>
      <c r="AR121" s="1" t="s">
        <v>98</v>
      </c>
      <c r="AS121" s="1" t="s">
        <v>2700</v>
      </c>
      <c r="AT121" s="1" t="s">
        <v>310</v>
      </c>
      <c r="AU121" s="1" t="s">
        <v>1378</v>
      </c>
      <c r="AV121" s="1">
        <v>83.63</v>
      </c>
      <c r="AW121" s="1"/>
      <c r="AX121" s="1" t="s">
        <v>361</v>
      </c>
      <c r="AY121" s="1" t="s">
        <v>2701</v>
      </c>
      <c r="AZ121" s="1" t="s">
        <v>1777</v>
      </c>
      <c r="BA121" s="1" t="s">
        <v>829</v>
      </c>
      <c r="BB121" s="1">
        <v>70.5</v>
      </c>
      <c r="BC121" s="1">
        <v>7.8</v>
      </c>
      <c r="BD121" s="1"/>
      <c r="BE121" s="1"/>
      <c r="BF121" s="1"/>
      <c r="BG121" s="1"/>
      <c r="BH121" s="1"/>
      <c r="BI121" s="1"/>
      <c r="BJ121" s="1" t="s">
        <v>364</v>
      </c>
      <c r="BK121" s="1"/>
      <c r="BL121" s="1"/>
      <c r="BM121" s="1" t="s">
        <v>2702</v>
      </c>
      <c r="BN121" s="1">
        <v>14</v>
      </c>
      <c r="BO121" s="1" t="s">
        <v>2703</v>
      </c>
      <c r="BP121" s="1" t="str">
        <f>HYPERLINK("https://nconnect.nicmar.ac.in/storage/profile/ProfilePhoto_P25700101_136785.jpg","Download")</f>
        <v>0</v>
      </c>
      <c r="BQ121" s="3"/>
      <c r="BR121" s="3"/>
    </row>
    <row r="122" spans="1:70">
      <c r="A122" s="1" t="s">
        <v>70</v>
      </c>
      <c r="B122" s="1" t="s">
        <v>441</v>
      </c>
      <c r="C122" s="1" t="s">
        <v>2704</v>
      </c>
      <c r="D122" s="1" t="s">
        <v>2631</v>
      </c>
      <c r="E122" s="1" t="s">
        <v>793</v>
      </c>
      <c r="F122" s="1" t="s">
        <v>111</v>
      </c>
      <c r="G122" s="1" t="s">
        <v>2705</v>
      </c>
      <c r="H122" s="1" t="s">
        <v>2706</v>
      </c>
      <c r="I122" s="1" t="s">
        <v>2707</v>
      </c>
      <c r="J122" s="1">
        <v>9526316048</v>
      </c>
      <c r="K122" s="1" t="s">
        <v>79</v>
      </c>
      <c r="L122" s="1" t="s">
        <v>2708</v>
      </c>
      <c r="M122" s="1" t="s">
        <v>81</v>
      </c>
      <c r="N122" s="1" t="s">
        <v>2709</v>
      </c>
      <c r="O122" s="1"/>
      <c r="P122" s="1" t="s">
        <v>1994</v>
      </c>
      <c r="Q122" s="1" t="s">
        <v>2710</v>
      </c>
      <c r="R122" s="1" t="s">
        <v>2711</v>
      </c>
      <c r="S122" s="1">
        <v>9446570916</v>
      </c>
      <c r="T122" s="1" t="s">
        <v>2712</v>
      </c>
      <c r="U122" s="1" t="s">
        <v>2713</v>
      </c>
      <c r="V122" s="1">
        <v>9446330916</v>
      </c>
      <c r="W122" s="1" t="s">
        <v>2714</v>
      </c>
      <c r="X122" s="1" t="s">
        <v>2715</v>
      </c>
      <c r="Y122" s="1" t="s">
        <v>1285</v>
      </c>
      <c r="Z122" s="1" t="s">
        <v>125</v>
      </c>
      <c r="AA122" s="1" t="s">
        <v>2715</v>
      </c>
      <c r="AB122" s="1" t="s">
        <v>1285</v>
      </c>
      <c r="AC122" s="1" t="s">
        <v>125</v>
      </c>
      <c r="AD122" s="1">
        <v>8.71</v>
      </c>
      <c r="AE122" s="1" t="s">
        <v>93</v>
      </c>
      <c r="AF122" s="1" t="s">
        <v>2716</v>
      </c>
      <c r="AG122" s="1" t="s">
        <v>307</v>
      </c>
      <c r="AH122" s="1" t="s">
        <v>165</v>
      </c>
      <c r="AI122" s="1" t="s">
        <v>166</v>
      </c>
      <c r="AJ122" s="1">
        <v>87.8</v>
      </c>
      <c r="AK122" s="1"/>
      <c r="AL122" s="1" t="s">
        <v>2717</v>
      </c>
      <c r="AM122" s="1" t="s">
        <v>2718</v>
      </c>
      <c r="AN122" s="1" t="s">
        <v>433</v>
      </c>
      <c r="AO122" s="1" t="s">
        <v>173</v>
      </c>
      <c r="AP122" s="1">
        <v>81.5</v>
      </c>
      <c r="AQ122" s="1"/>
      <c r="AR122" s="1"/>
      <c r="AS122" s="1"/>
      <c r="AT122" s="1"/>
      <c r="AU122" s="1"/>
      <c r="AV122" s="1"/>
      <c r="AW122" s="1"/>
      <c r="AX122" s="1" t="s">
        <v>132</v>
      </c>
      <c r="AY122" s="1" t="s">
        <v>2719</v>
      </c>
      <c r="AZ122" s="1" t="s">
        <v>1622</v>
      </c>
      <c r="BA122" s="1" t="s">
        <v>202</v>
      </c>
      <c r="BB122" s="1">
        <v>74.6</v>
      </c>
      <c r="BC122" s="1">
        <v>7.46</v>
      </c>
      <c r="BD122" s="1"/>
      <c r="BE122" s="1"/>
      <c r="BF122" s="1"/>
      <c r="BG122" s="1"/>
      <c r="BH122" s="1"/>
      <c r="BI122" s="1"/>
      <c r="BJ122" s="1" t="s">
        <v>567</v>
      </c>
      <c r="BK122" s="1" t="s">
        <v>2720</v>
      </c>
      <c r="BL122" s="1" t="s">
        <v>2066</v>
      </c>
      <c r="BM122" s="1" t="s">
        <v>2721</v>
      </c>
      <c r="BN122" s="1">
        <v>10</v>
      </c>
      <c r="BO122" s="1"/>
      <c r="BP122" s="1" t="str">
        <f>HYPERLINK("https://nconnect.nicmar.ac.in/storage/profile/ProfilePhoto_P25700103_548732.jpg","Download")</f>
        <v>0</v>
      </c>
      <c r="BQ122" s="3"/>
      <c r="BR122" s="3"/>
    </row>
    <row r="123" spans="1:70">
      <c r="A123" s="1" t="s">
        <v>70</v>
      </c>
      <c r="B123" s="1" t="s">
        <v>441</v>
      </c>
      <c r="C123" s="1" t="s">
        <v>2722</v>
      </c>
      <c r="D123" s="1" t="s">
        <v>2723</v>
      </c>
      <c r="E123" s="1" t="s">
        <v>2724</v>
      </c>
      <c r="F123" s="1" t="s">
        <v>2725</v>
      </c>
      <c r="G123" s="1" t="s">
        <v>2726</v>
      </c>
      <c r="H123" s="1" t="s">
        <v>2727</v>
      </c>
      <c r="I123" s="1" t="s">
        <v>2728</v>
      </c>
      <c r="J123" s="1">
        <v>9067195331</v>
      </c>
      <c r="K123" s="1" t="s">
        <v>79</v>
      </c>
      <c r="L123" s="1" t="s">
        <v>2729</v>
      </c>
      <c r="M123" s="1" t="s">
        <v>81</v>
      </c>
      <c r="N123" s="1" t="s">
        <v>1140</v>
      </c>
      <c r="O123" s="1"/>
      <c r="P123" s="1" t="s">
        <v>1007</v>
      </c>
      <c r="Q123" s="1" t="s">
        <v>2730</v>
      </c>
      <c r="R123" s="1" t="s">
        <v>2731</v>
      </c>
      <c r="S123" s="1">
        <v>7875811564</v>
      </c>
      <c r="T123" s="1" t="s">
        <v>120</v>
      </c>
      <c r="U123" s="1" t="s">
        <v>2732</v>
      </c>
      <c r="V123" s="1">
        <v>7620262665</v>
      </c>
      <c r="W123" s="1" t="s">
        <v>156</v>
      </c>
      <c r="X123" s="1" t="s">
        <v>2733</v>
      </c>
      <c r="Y123" s="1" t="s">
        <v>379</v>
      </c>
      <c r="Z123" s="1" t="s">
        <v>92</v>
      </c>
      <c r="AA123" s="1" t="s">
        <v>2733</v>
      </c>
      <c r="AB123" s="1" t="s">
        <v>379</v>
      </c>
      <c r="AC123" s="1" t="s">
        <v>92</v>
      </c>
      <c r="AD123" s="1">
        <v>8.26</v>
      </c>
      <c r="AE123" s="1" t="s">
        <v>93</v>
      </c>
      <c r="AF123" s="1" t="s">
        <v>2734</v>
      </c>
      <c r="AG123" s="1" t="s">
        <v>2735</v>
      </c>
      <c r="AH123" s="1" t="s">
        <v>2736</v>
      </c>
      <c r="AI123" s="1" t="s">
        <v>101</v>
      </c>
      <c r="AJ123" s="1">
        <v>80</v>
      </c>
      <c r="AK123" s="1"/>
      <c r="AL123" s="1"/>
      <c r="AM123" s="1"/>
      <c r="AN123" s="1"/>
      <c r="AO123" s="1"/>
      <c r="AP123" s="1"/>
      <c r="AQ123" s="1"/>
      <c r="AR123" s="1" t="s">
        <v>223</v>
      </c>
      <c r="AS123" s="1" t="s">
        <v>2737</v>
      </c>
      <c r="AT123" s="1" t="s">
        <v>1043</v>
      </c>
      <c r="AU123" s="1" t="s">
        <v>436</v>
      </c>
      <c r="AV123" s="1">
        <v>82.47</v>
      </c>
      <c r="AW123" s="1"/>
      <c r="AX123" s="1" t="s">
        <v>2738</v>
      </c>
      <c r="AY123" s="1" t="s">
        <v>2739</v>
      </c>
      <c r="AZ123" s="1" t="s">
        <v>852</v>
      </c>
      <c r="BA123" s="1" t="s">
        <v>202</v>
      </c>
      <c r="BB123" s="1">
        <v>63.3</v>
      </c>
      <c r="BC123" s="1">
        <v>6.83</v>
      </c>
      <c r="BD123" s="1"/>
      <c r="BE123" s="1"/>
      <c r="BF123" s="1"/>
      <c r="BG123" s="1"/>
      <c r="BH123" s="1"/>
      <c r="BI123" s="1"/>
      <c r="BJ123" s="1" t="s">
        <v>2740</v>
      </c>
      <c r="BK123" s="1" t="s">
        <v>2741</v>
      </c>
      <c r="BL123" s="1" t="s">
        <v>2215</v>
      </c>
      <c r="BM123" s="1" t="s">
        <v>2742</v>
      </c>
      <c r="BN123" s="1">
        <v>8</v>
      </c>
      <c r="BO123" s="1"/>
      <c r="BP123" s="1" t="str">
        <f>HYPERLINK("https://nconnect.nicmar.ac.in/storage/profile/ProfilePhoto_P25700104_637154.jpg","Download")</f>
        <v>0</v>
      </c>
      <c r="BQ123" s="3"/>
      <c r="BR123" s="3"/>
    </row>
    <row r="124" spans="1:70">
      <c r="A124" s="1" t="s">
        <v>70</v>
      </c>
      <c r="B124" s="1" t="s">
        <v>441</v>
      </c>
      <c r="C124" s="1" t="s">
        <v>2743</v>
      </c>
      <c r="D124" s="1" t="s">
        <v>899</v>
      </c>
      <c r="E124" s="1" t="s">
        <v>2744</v>
      </c>
      <c r="F124" s="1" t="s">
        <v>2745</v>
      </c>
      <c r="G124" s="1" t="s">
        <v>2746</v>
      </c>
      <c r="H124" s="1" t="s">
        <v>2747</v>
      </c>
      <c r="I124" s="1" t="s">
        <v>2748</v>
      </c>
      <c r="J124" s="1">
        <v>9834515514</v>
      </c>
      <c r="K124" s="1" t="s">
        <v>79</v>
      </c>
      <c r="L124" s="1" t="s">
        <v>2749</v>
      </c>
      <c r="M124" s="1" t="s">
        <v>81</v>
      </c>
      <c r="N124" s="1" t="s">
        <v>883</v>
      </c>
      <c r="O124" s="1"/>
      <c r="P124" s="1" t="s">
        <v>1994</v>
      </c>
      <c r="Q124" s="1" t="s">
        <v>2750</v>
      </c>
      <c r="R124" s="1" t="s">
        <v>2751</v>
      </c>
      <c r="S124" s="1">
        <v>9856917777</v>
      </c>
      <c r="T124" s="1" t="s">
        <v>154</v>
      </c>
      <c r="U124" s="1" t="s">
        <v>2752</v>
      </c>
      <c r="V124" s="1">
        <v>8888651777</v>
      </c>
      <c r="W124" s="1" t="s">
        <v>156</v>
      </c>
      <c r="X124" s="1" t="s">
        <v>2753</v>
      </c>
      <c r="Y124" s="1" t="s">
        <v>246</v>
      </c>
      <c r="Z124" s="1" t="s">
        <v>92</v>
      </c>
      <c r="AA124" s="1" t="s">
        <v>2753</v>
      </c>
      <c r="AB124" s="1" t="s">
        <v>246</v>
      </c>
      <c r="AC124" s="1" t="s">
        <v>92</v>
      </c>
      <c r="AD124" s="1" t="s">
        <v>93</v>
      </c>
      <c r="AE124" s="1" t="s">
        <v>93</v>
      </c>
      <c r="AF124" s="1" t="s">
        <v>2754</v>
      </c>
      <c r="AG124" s="1" t="s">
        <v>2755</v>
      </c>
      <c r="AH124" s="1" t="s">
        <v>279</v>
      </c>
      <c r="AI124" s="1" t="s">
        <v>195</v>
      </c>
      <c r="AJ124" s="1">
        <v>75.6</v>
      </c>
      <c r="AK124" s="1"/>
      <c r="AL124" s="1"/>
      <c r="AM124" s="1"/>
      <c r="AN124" s="1"/>
      <c r="AO124" s="1"/>
      <c r="AP124" s="1"/>
      <c r="AQ124" s="1"/>
      <c r="AR124" s="1" t="s">
        <v>434</v>
      </c>
      <c r="AS124" s="1" t="s">
        <v>2756</v>
      </c>
      <c r="AT124" s="1" t="s">
        <v>383</v>
      </c>
      <c r="AU124" s="1" t="s">
        <v>170</v>
      </c>
      <c r="AV124" s="1">
        <v>85.42</v>
      </c>
      <c r="AW124" s="1"/>
      <c r="AX124" s="1" t="s">
        <v>361</v>
      </c>
      <c r="AY124" s="1" t="s">
        <v>2757</v>
      </c>
      <c r="AZ124" s="1" t="s">
        <v>173</v>
      </c>
      <c r="BA124" s="1" t="s">
        <v>174</v>
      </c>
      <c r="BB124" s="1">
        <v>67.3</v>
      </c>
      <c r="BC124" s="1">
        <v>7.48</v>
      </c>
      <c r="BD124" s="1"/>
      <c r="BE124" s="1"/>
      <c r="BF124" s="1"/>
      <c r="BG124" s="1"/>
      <c r="BH124" s="1"/>
      <c r="BI124" s="1"/>
      <c r="BJ124" s="1" t="s">
        <v>567</v>
      </c>
      <c r="BK124" s="1"/>
      <c r="BL124" s="1"/>
      <c r="BM124" s="1" t="s">
        <v>2758</v>
      </c>
      <c r="BN124" s="1">
        <v>-26</v>
      </c>
      <c r="BO124" s="1"/>
      <c r="BP124" s="1" t="str">
        <f>HYPERLINK("https://nconnect.nicmar.ac.in/storage/profile/ProfilePhoto_P25700105_329654.jpg","Download")</f>
        <v>0</v>
      </c>
      <c r="BQ124" s="3"/>
      <c r="BR124" s="3"/>
    </row>
    <row r="125" spans="1:70">
      <c r="A125" s="1" t="s">
        <v>70</v>
      </c>
      <c r="B125" s="1" t="s">
        <v>441</v>
      </c>
      <c r="C125" s="1" t="s">
        <v>2759</v>
      </c>
      <c r="D125" s="1" t="s">
        <v>2760</v>
      </c>
      <c r="E125" s="1"/>
      <c r="F125" s="1" t="s">
        <v>2761</v>
      </c>
      <c r="G125" s="1" t="s">
        <v>2762</v>
      </c>
      <c r="H125" s="1" t="s">
        <v>2763</v>
      </c>
      <c r="I125" s="1" t="s">
        <v>2764</v>
      </c>
      <c r="J125" s="1">
        <v>6000841510</v>
      </c>
      <c r="K125" s="1" t="s">
        <v>79</v>
      </c>
      <c r="L125" s="1" t="s">
        <v>2765</v>
      </c>
      <c r="M125" s="1" t="s">
        <v>81</v>
      </c>
      <c r="N125" s="1" t="s">
        <v>2766</v>
      </c>
      <c r="O125" s="1"/>
      <c r="P125" s="1" t="s">
        <v>472</v>
      </c>
      <c r="Q125" s="1" t="s">
        <v>2767</v>
      </c>
      <c r="R125" s="1" t="s">
        <v>2768</v>
      </c>
      <c r="S125" s="1">
        <v>9435041613</v>
      </c>
      <c r="T125" s="1" t="s">
        <v>2769</v>
      </c>
      <c r="U125" s="1" t="s">
        <v>2770</v>
      </c>
      <c r="V125" s="1">
        <v>9435041613</v>
      </c>
      <c r="W125" s="1" t="s">
        <v>156</v>
      </c>
      <c r="X125" s="1" t="s">
        <v>2771</v>
      </c>
      <c r="Y125" s="1" t="s">
        <v>1532</v>
      </c>
      <c r="Z125" s="1" t="s">
        <v>1533</v>
      </c>
      <c r="AA125" s="1" t="s">
        <v>2771</v>
      </c>
      <c r="AB125" s="1" t="s">
        <v>1532</v>
      </c>
      <c r="AC125" s="1" t="s">
        <v>1533</v>
      </c>
      <c r="AD125" s="1">
        <v>8.92</v>
      </c>
      <c r="AE125" s="1" t="s">
        <v>93</v>
      </c>
      <c r="AF125" s="1" t="s">
        <v>2772</v>
      </c>
      <c r="AG125" s="1" t="s">
        <v>2773</v>
      </c>
      <c r="AH125" s="1" t="s">
        <v>131</v>
      </c>
      <c r="AI125" s="1" t="s">
        <v>614</v>
      </c>
      <c r="AJ125" s="1">
        <v>95</v>
      </c>
      <c r="AK125" s="1">
        <v>10</v>
      </c>
      <c r="AL125" s="1" t="s">
        <v>2772</v>
      </c>
      <c r="AM125" s="1" t="s">
        <v>2773</v>
      </c>
      <c r="AN125" s="1" t="s">
        <v>562</v>
      </c>
      <c r="AO125" s="1" t="s">
        <v>166</v>
      </c>
      <c r="AP125" s="1">
        <v>82.66</v>
      </c>
      <c r="AQ125" s="1"/>
      <c r="AR125" s="1"/>
      <c r="AS125" s="1"/>
      <c r="AT125" s="1"/>
      <c r="AU125" s="1"/>
      <c r="AV125" s="1"/>
      <c r="AW125" s="1"/>
      <c r="AX125" s="1" t="s">
        <v>2774</v>
      </c>
      <c r="AY125" s="1" t="s">
        <v>2774</v>
      </c>
      <c r="AZ125" s="1" t="s">
        <v>169</v>
      </c>
      <c r="BA125" s="1" t="s">
        <v>2775</v>
      </c>
      <c r="BB125" s="1">
        <v>81.3</v>
      </c>
      <c r="BC125" s="1">
        <v>8.13</v>
      </c>
      <c r="BD125" s="1"/>
      <c r="BE125" s="1"/>
      <c r="BF125" s="1"/>
      <c r="BG125" s="1"/>
      <c r="BH125" s="1"/>
      <c r="BI125" s="1"/>
      <c r="BJ125" s="1" t="s">
        <v>2776</v>
      </c>
      <c r="BK125" s="1"/>
      <c r="BL125" s="1"/>
      <c r="BM125" s="1" t="s">
        <v>2777</v>
      </c>
      <c r="BN125" s="1">
        <v>17</v>
      </c>
      <c r="BO125" s="1" t="s">
        <v>2778</v>
      </c>
      <c r="BP125" s="1" t="str">
        <f>HYPERLINK("https://nconnect.nicmar.ac.in/storage/profile/ProfilePhoto_P25700106_635142.jpg","Download")</f>
        <v>0</v>
      </c>
      <c r="BQ125" s="3"/>
      <c r="BR125" s="3"/>
    </row>
    <row r="126" spans="1:70">
      <c r="A126" s="1" t="s">
        <v>70</v>
      </c>
      <c r="B126" s="1" t="s">
        <v>441</v>
      </c>
      <c r="C126" s="1" t="s">
        <v>2779</v>
      </c>
      <c r="D126" s="1" t="s">
        <v>2780</v>
      </c>
      <c r="E126" s="1" t="s">
        <v>2781</v>
      </c>
      <c r="F126" s="1" t="s">
        <v>2782</v>
      </c>
      <c r="G126" s="1" t="s">
        <v>2783</v>
      </c>
      <c r="H126" s="1" t="s">
        <v>2784</v>
      </c>
      <c r="I126" s="1" t="s">
        <v>2785</v>
      </c>
      <c r="J126" s="1">
        <v>7994646588</v>
      </c>
      <c r="K126" s="1" t="s">
        <v>79</v>
      </c>
      <c r="L126" s="1" t="s">
        <v>2786</v>
      </c>
      <c r="M126" s="1" t="s">
        <v>81</v>
      </c>
      <c r="N126" s="1" t="s">
        <v>2787</v>
      </c>
      <c r="O126" s="1"/>
      <c r="P126" s="1" t="s">
        <v>497</v>
      </c>
      <c r="Q126" s="1" t="s">
        <v>2788</v>
      </c>
      <c r="R126" s="1" t="s">
        <v>2789</v>
      </c>
      <c r="S126" s="1">
        <v>9142394591</v>
      </c>
      <c r="T126" s="1" t="s">
        <v>2790</v>
      </c>
      <c r="U126" s="1" t="s">
        <v>2791</v>
      </c>
      <c r="V126" s="1">
        <v>9400700712</v>
      </c>
      <c r="W126" s="1" t="s">
        <v>122</v>
      </c>
      <c r="X126" s="1" t="s">
        <v>2792</v>
      </c>
      <c r="Y126" s="1" t="s">
        <v>1285</v>
      </c>
      <c r="Z126" s="1" t="s">
        <v>125</v>
      </c>
      <c r="AA126" s="1" t="s">
        <v>2792</v>
      </c>
      <c r="AB126" s="1" t="s">
        <v>1285</v>
      </c>
      <c r="AC126" s="1" t="s">
        <v>125</v>
      </c>
      <c r="AD126" s="1">
        <v>8.15</v>
      </c>
      <c r="AE126" s="1" t="s">
        <v>93</v>
      </c>
      <c r="AF126" s="1" t="s">
        <v>1599</v>
      </c>
      <c r="AG126" s="1" t="s">
        <v>307</v>
      </c>
      <c r="AH126" s="1" t="s">
        <v>2793</v>
      </c>
      <c r="AI126" s="1" t="s">
        <v>1239</v>
      </c>
      <c r="AJ126" s="1">
        <v>76</v>
      </c>
      <c r="AK126" s="1">
        <v>8</v>
      </c>
      <c r="AL126" s="1" t="s">
        <v>1599</v>
      </c>
      <c r="AM126" s="1" t="s">
        <v>307</v>
      </c>
      <c r="AN126" s="1" t="s">
        <v>96</v>
      </c>
      <c r="AO126" s="1" t="s">
        <v>614</v>
      </c>
      <c r="AP126" s="1">
        <v>71.4</v>
      </c>
      <c r="AQ126" s="1">
        <v>0</v>
      </c>
      <c r="AR126" s="1"/>
      <c r="AS126" s="1"/>
      <c r="AT126" s="1"/>
      <c r="AU126" s="1"/>
      <c r="AV126" s="1"/>
      <c r="AW126" s="1"/>
      <c r="AX126" s="1" t="s">
        <v>132</v>
      </c>
      <c r="AY126" s="1" t="s">
        <v>2794</v>
      </c>
      <c r="AZ126" s="1" t="s">
        <v>1374</v>
      </c>
      <c r="BA126" s="1" t="s">
        <v>871</v>
      </c>
      <c r="BB126" s="1">
        <v>72.5</v>
      </c>
      <c r="BC126" s="1">
        <v>7.25</v>
      </c>
      <c r="BD126" s="1"/>
      <c r="BE126" s="1"/>
      <c r="BF126" s="1"/>
      <c r="BG126" s="1"/>
      <c r="BH126" s="1"/>
      <c r="BI126" s="1"/>
      <c r="BJ126" s="1" t="s">
        <v>2795</v>
      </c>
      <c r="BK126" s="1" t="s">
        <v>2796</v>
      </c>
      <c r="BL126" s="1" t="s">
        <v>1048</v>
      </c>
      <c r="BM126" s="1" t="s">
        <v>2797</v>
      </c>
      <c r="BN126" s="1">
        <v>9</v>
      </c>
      <c r="BO126" s="1" t="s">
        <v>2798</v>
      </c>
      <c r="BP126" s="1" t="str">
        <f>HYPERLINK("https://nconnect.nicmar.ac.in/storage/profile/ProfilePhoto_P25700107_215674.jpg","Download")</f>
        <v>0</v>
      </c>
      <c r="BQ126" s="3"/>
      <c r="BR126" s="3"/>
    </row>
    <row r="127" spans="1:70">
      <c r="A127" s="1" t="s">
        <v>70</v>
      </c>
      <c r="B127" s="1" t="s">
        <v>441</v>
      </c>
      <c r="C127" s="1" t="s">
        <v>2799</v>
      </c>
      <c r="D127" s="1" t="s">
        <v>2800</v>
      </c>
      <c r="E127" s="1"/>
      <c r="F127" s="1" t="s">
        <v>2530</v>
      </c>
      <c r="G127" s="1" t="s">
        <v>2801</v>
      </c>
      <c r="H127" s="1" t="s">
        <v>2802</v>
      </c>
      <c r="I127" s="1" t="s">
        <v>2803</v>
      </c>
      <c r="J127" s="1">
        <v>7039966503</v>
      </c>
      <c r="K127" s="1" t="s">
        <v>79</v>
      </c>
      <c r="L127" s="1" t="s">
        <v>2804</v>
      </c>
      <c r="M127" s="1" t="s">
        <v>81</v>
      </c>
      <c r="N127" s="1" t="s">
        <v>1140</v>
      </c>
      <c r="O127" s="1"/>
      <c r="P127" s="1" t="s">
        <v>497</v>
      </c>
      <c r="Q127" s="1" t="s">
        <v>2805</v>
      </c>
      <c r="R127" s="1" t="s">
        <v>2806</v>
      </c>
      <c r="S127" s="1">
        <v>9892540817</v>
      </c>
      <c r="T127" s="1" t="s">
        <v>632</v>
      </c>
      <c r="U127" s="1" t="s">
        <v>2807</v>
      </c>
      <c r="V127" s="1">
        <v>9594369800</v>
      </c>
      <c r="W127" s="1" t="s">
        <v>156</v>
      </c>
      <c r="X127" s="1" t="s">
        <v>2808</v>
      </c>
      <c r="Y127" s="1" t="s">
        <v>2229</v>
      </c>
      <c r="Z127" s="1" t="s">
        <v>92</v>
      </c>
      <c r="AA127" s="1" t="s">
        <v>2808</v>
      </c>
      <c r="AB127" s="1" t="s">
        <v>2229</v>
      </c>
      <c r="AC127" s="1" t="s">
        <v>92</v>
      </c>
      <c r="AD127" s="1">
        <v>8.49</v>
      </c>
      <c r="AE127" s="1" t="s">
        <v>93</v>
      </c>
      <c r="AF127" s="1" t="s">
        <v>2809</v>
      </c>
      <c r="AG127" s="1" t="s">
        <v>2810</v>
      </c>
      <c r="AH127" s="1" t="s">
        <v>165</v>
      </c>
      <c r="AI127" s="1" t="s">
        <v>481</v>
      </c>
      <c r="AJ127" s="1">
        <v>62.4</v>
      </c>
      <c r="AK127" s="1"/>
      <c r="AL127" s="1"/>
      <c r="AM127" s="1"/>
      <c r="AN127" s="1"/>
      <c r="AO127" s="1"/>
      <c r="AP127" s="1"/>
      <c r="AQ127" s="1"/>
      <c r="AR127" s="1" t="s">
        <v>98</v>
      </c>
      <c r="AS127" s="1" t="s">
        <v>2811</v>
      </c>
      <c r="AT127" s="1" t="s">
        <v>169</v>
      </c>
      <c r="AU127" s="1" t="s">
        <v>826</v>
      </c>
      <c r="AV127" s="1">
        <v>75.47</v>
      </c>
      <c r="AW127" s="1"/>
      <c r="AX127" s="1" t="s">
        <v>666</v>
      </c>
      <c r="AY127" s="1" t="s">
        <v>2812</v>
      </c>
      <c r="AZ127" s="1" t="s">
        <v>852</v>
      </c>
      <c r="BA127" s="1" t="s">
        <v>413</v>
      </c>
      <c r="BB127" s="1">
        <v>60.04</v>
      </c>
      <c r="BC127" s="1"/>
      <c r="BD127" s="1"/>
      <c r="BE127" s="1"/>
      <c r="BF127" s="1"/>
      <c r="BG127" s="1"/>
      <c r="BH127" s="1"/>
      <c r="BI127" s="1"/>
      <c r="BJ127" s="1" t="s">
        <v>364</v>
      </c>
      <c r="BK127" s="1" t="s">
        <v>2813</v>
      </c>
      <c r="BL127" s="1" t="s">
        <v>1022</v>
      </c>
      <c r="BM127" s="1" t="s">
        <v>2814</v>
      </c>
      <c r="BN127" s="1">
        <v>9</v>
      </c>
      <c r="BO127" s="1"/>
      <c r="BP127" s="1" t="str">
        <f>HYPERLINK("https://nconnect.nicmar.ac.in/storage/profile/ProfilePhoto_P25700108_352764.jpg","Download")</f>
        <v>0</v>
      </c>
      <c r="BQ127" s="3"/>
      <c r="BR127" s="3"/>
    </row>
    <row r="128" spans="1:70">
      <c r="A128" s="1" t="s">
        <v>70</v>
      </c>
      <c r="B128" s="1" t="s">
        <v>441</v>
      </c>
      <c r="C128" s="1" t="s">
        <v>2815</v>
      </c>
      <c r="D128" s="1" t="s">
        <v>2816</v>
      </c>
      <c r="E128" s="1"/>
      <c r="F128" s="1" t="s">
        <v>2817</v>
      </c>
      <c r="G128" s="1" t="s">
        <v>2818</v>
      </c>
      <c r="H128" s="1" t="s">
        <v>2819</v>
      </c>
      <c r="I128" s="1" t="s">
        <v>2820</v>
      </c>
      <c r="J128" s="1">
        <v>8777253745</v>
      </c>
      <c r="K128" s="1" t="s">
        <v>79</v>
      </c>
      <c r="L128" s="1" t="s">
        <v>2821</v>
      </c>
      <c r="M128" s="1" t="s">
        <v>81</v>
      </c>
      <c r="N128" s="1" t="s">
        <v>2822</v>
      </c>
      <c r="O128" s="1"/>
      <c r="P128" s="1" t="s">
        <v>450</v>
      </c>
      <c r="Q128" s="1" t="s">
        <v>2823</v>
      </c>
      <c r="R128" s="1" t="s">
        <v>2824</v>
      </c>
      <c r="S128" s="1">
        <v>8584016850</v>
      </c>
      <c r="T128" s="1" t="s">
        <v>2825</v>
      </c>
      <c r="U128" s="1" t="s">
        <v>2826</v>
      </c>
      <c r="V128" s="1">
        <v>9007894130</v>
      </c>
      <c r="W128" s="1" t="s">
        <v>156</v>
      </c>
      <c r="X128" s="1" t="s">
        <v>2827</v>
      </c>
      <c r="Y128" s="1" t="s">
        <v>2828</v>
      </c>
      <c r="Z128" s="1" t="s">
        <v>1211</v>
      </c>
      <c r="AA128" s="1" t="s">
        <v>2827</v>
      </c>
      <c r="AB128" s="1" t="s">
        <v>2828</v>
      </c>
      <c r="AC128" s="1" t="s">
        <v>1211</v>
      </c>
      <c r="AD128" s="1">
        <v>7.64</v>
      </c>
      <c r="AE128" s="1" t="s">
        <v>93</v>
      </c>
      <c r="AF128" s="1" t="s">
        <v>2829</v>
      </c>
      <c r="AG128" s="1" t="s">
        <v>2830</v>
      </c>
      <c r="AH128" s="1" t="s">
        <v>1239</v>
      </c>
      <c r="AI128" s="1" t="s">
        <v>131</v>
      </c>
      <c r="AJ128" s="1">
        <v>70.42</v>
      </c>
      <c r="AK128" s="1"/>
      <c r="AL128" s="1" t="s">
        <v>2829</v>
      </c>
      <c r="AM128" s="1" t="s">
        <v>2831</v>
      </c>
      <c r="AN128" s="1" t="s">
        <v>2388</v>
      </c>
      <c r="AO128" s="1" t="s">
        <v>562</v>
      </c>
      <c r="AP128" s="1">
        <v>67.6</v>
      </c>
      <c r="AQ128" s="1"/>
      <c r="AR128" s="1"/>
      <c r="AS128" s="1"/>
      <c r="AT128" s="1"/>
      <c r="AU128" s="1"/>
      <c r="AV128" s="1"/>
      <c r="AW128" s="1"/>
      <c r="AX128" s="1" t="s">
        <v>1217</v>
      </c>
      <c r="AY128" s="1" t="s">
        <v>2832</v>
      </c>
      <c r="AZ128" s="1" t="s">
        <v>310</v>
      </c>
      <c r="BA128" s="1" t="s">
        <v>174</v>
      </c>
      <c r="BB128" s="1">
        <v>78.2</v>
      </c>
      <c r="BC128" s="1">
        <v>8.57</v>
      </c>
      <c r="BD128" s="1"/>
      <c r="BE128" s="1"/>
      <c r="BF128" s="1"/>
      <c r="BG128" s="1"/>
      <c r="BH128" s="1"/>
      <c r="BI128" s="1"/>
      <c r="BJ128" s="1" t="s">
        <v>2833</v>
      </c>
      <c r="BK128" s="1" t="s">
        <v>2834</v>
      </c>
      <c r="BL128" s="1" t="s">
        <v>463</v>
      </c>
      <c r="BM128" s="1" t="s">
        <v>2835</v>
      </c>
      <c r="BN128" s="1">
        <v>12</v>
      </c>
      <c r="BO128" s="1" t="s">
        <v>2836</v>
      </c>
      <c r="BP128" s="1" t="str">
        <f>HYPERLINK("https://nconnect.nicmar.ac.in/storage/profile/ProfilePhoto_P25700109_129586.jpg","Download")</f>
        <v>0</v>
      </c>
      <c r="BQ128" s="3"/>
      <c r="BR128" s="3"/>
    </row>
    <row r="129" spans="1:70">
      <c r="A129" s="1" t="s">
        <v>70</v>
      </c>
      <c r="B129" s="1" t="s">
        <v>441</v>
      </c>
      <c r="C129" s="1" t="s">
        <v>2837</v>
      </c>
      <c r="D129" s="1" t="s">
        <v>2838</v>
      </c>
      <c r="E129" s="1" t="s">
        <v>2261</v>
      </c>
      <c r="F129" s="1" t="s">
        <v>2243</v>
      </c>
      <c r="G129" s="1" t="s">
        <v>2839</v>
      </c>
      <c r="H129" s="1" t="s">
        <v>2840</v>
      </c>
      <c r="I129" s="1" t="s">
        <v>2841</v>
      </c>
      <c r="J129" s="1">
        <v>7719869034</v>
      </c>
      <c r="K129" s="1" t="s">
        <v>79</v>
      </c>
      <c r="L129" s="1" t="s">
        <v>2842</v>
      </c>
      <c r="M129" s="1" t="s">
        <v>81</v>
      </c>
      <c r="N129" s="1" t="s">
        <v>1140</v>
      </c>
      <c r="O129" s="1"/>
      <c r="P129" s="1" t="s">
        <v>497</v>
      </c>
      <c r="Q129" s="1" t="s">
        <v>2843</v>
      </c>
      <c r="R129" s="1" t="s">
        <v>2844</v>
      </c>
      <c r="S129" s="1">
        <v>9422514472</v>
      </c>
      <c r="T129" s="1" t="s">
        <v>120</v>
      </c>
      <c r="U129" s="1" t="s">
        <v>2845</v>
      </c>
      <c r="V129" s="1">
        <v>9850702486</v>
      </c>
      <c r="W129" s="1" t="s">
        <v>156</v>
      </c>
      <c r="X129" s="1" t="s">
        <v>2846</v>
      </c>
      <c r="Y129" s="1" t="s">
        <v>191</v>
      </c>
      <c r="Z129" s="1" t="s">
        <v>92</v>
      </c>
      <c r="AA129" s="1" t="s">
        <v>2846</v>
      </c>
      <c r="AB129" s="1" t="s">
        <v>191</v>
      </c>
      <c r="AC129" s="1" t="s">
        <v>92</v>
      </c>
      <c r="AD129" s="1">
        <v>8.62</v>
      </c>
      <c r="AE129" s="1" t="s">
        <v>93</v>
      </c>
      <c r="AF129" s="1" t="s">
        <v>2847</v>
      </c>
      <c r="AG129" s="1" t="s">
        <v>2848</v>
      </c>
      <c r="AH129" s="1" t="s">
        <v>2849</v>
      </c>
      <c r="AI129" s="1" t="s">
        <v>165</v>
      </c>
      <c r="AJ129" s="1">
        <v>74.2</v>
      </c>
      <c r="AK129" s="1">
        <v>8</v>
      </c>
      <c r="AL129" s="1"/>
      <c r="AM129" s="1"/>
      <c r="AN129" s="1"/>
      <c r="AO129" s="1"/>
      <c r="AP129" s="1"/>
      <c r="AQ129" s="1"/>
      <c r="AR129" s="1" t="s">
        <v>434</v>
      </c>
      <c r="AS129" s="1" t="s">
        <v>2850</v>
      </c>
      <c r="AT129" s="1" t="s">
        <v>225</v>
      </c>
      <c r="AU129" s="1" t="s">
        <v>170</v>
      </c>
      <c r="AV129" s="1">
        <v>92.84</v>
      </c>
      <c r="AW129" s="1"/>
      <c r="AX129" s="1" t="s">
        <v>361</v>
      </c>
      <c r="AY129" s="1" t="s">
        <v>2851</v>
      </c>
      <c r="AZ129" s="1" t="s">
        <v>363</v>
      </c>
      <c r="BA129" s="1" t="s">
        <v>174</v>
      </c>
      <c r="BB129" s="1">
        <v>82.88</v>
      </c>
      <c r="BC129" s="1">
        <v>8.99</v>
      </c>
      <c r="BD129" s="1"/>
      <c r="BE129" s="1"/>
      <c r="BF129" s="1"/>
      <c r="BG129" s="1"/>
      <c r="BH129" s="1"/>
      <c r="BI129" s="1"/>
      <c r="BJ129" s="1" t="s">
        <v>2852</v>
      </c>
      <c r="BK129" s="1" t="s">
        <v>2853</v>
      </c>
      <c r="BL129" s="1" t="s">
        <v>2434</v>
      </c>
      <c r="BM129" s="1" t="s">
        <v>2854</v>
      </c>
      <c r="BN129" s="1">
        <v>26</v>
      </c>
      <c r="BO129" s="1" t="s">
        <v>2855</v>
      </c>
      <c r="BP129" s="1" t="str">
        <f>HYPERLINK("https://nconnect.nicmar.ac.in/storage/profile/ProfilePhoto_P25700110_587169.jpg","Download")</f>
        <v>0</v>
      </c>
      <c r="BQ129" s="3"/>
      <c r="BR129" s="3"/>
    </row>
    <row r="130" spans="1:70">
      <c r="A130" s="1" t="s">
        <v>70</v>
      </c>
      <c r="B130" s="1" t="s">
        <v>441</v>
      </c>
      <c r="C130" s="1" t="s">
        <v>2856</v>
      </c>
      <c r="D130" s="1" t="s">
        <v>2857</v>
      </c>
      <c r="E130" s="1" t="s">
        <v>1644</v>
      </c>
      <c r="F130" s="1" t="s">
        <v>2858</v>
      </c>
      <c r="G130" s="1" t="s">
        <v>2859</v>
      </c>
      <c r="H130" s="1" t="s">
        <v>2860</v>
      </c>
      <c r="I130" s="1" t="s">
        <v>2861</v>
      </c>
      <c r="J130" s="1">
        <v>7387665808</v>
      </c>
      <c r="K130" s="1" t="s">
        <v>79</v>
      </c>
      <c r="L130" s="1" t="s">
        <v>2862</v>
      </c>
      <c r="M130" s="1" t="s">
        <v>81</v>
      </c>
      <c r="N130" s="1" t="s">
        <v>1140</v>
      </c>
      <c r="O130" s="1"/>
      <c r="P130" s="1" t="s">
        <v>450</v>
      </c>
      <c r="Q130" s="1" t="s">
        <v>2863</v>
      </c>
      <c r="R130" s="1" t="s">
        <v>2864</v>
      </c>
      <c r="S130" s="1">
        <v>9158243243</v>
      </c>
      <c r="T130" s="1" t="s">
        <v>2865</v>
      </c>
      <c r="U130" s="1" t="s">
        <v>2866</v>
      </c>
      <c r="V130" s="1">
        <v>9923807865</v>
      </c>
      <c r="W130" s="1" t="s">
        <v>273</v>
      </c>
      <c r="X130" s="1" t="s">
        <v>2867</v>
      </c>
      <c r="Y130" s="1" t="s">
        <v>191</v>
      </c>
      <c r="Z130" s="1" t="s">
        <v>92</v>
      </c>
      <c r="AA130" s="1" t="s">
        <v>2868</v>
      </c>
      <c r="AB130" s="1" t="s">
        <v>405</v>
      </c>
      <c r="AC130" s="1" t="s">
        <v>92</v>
      </c>
      <c r="AD130" s="1" t="s">
        <v>93</v>
      </c>
      <c r="AE130" s="1" t="s">
        <v>93</v>
      </c>
      <c r="AF130" s="1" t="s">
        <v>2869</v>
      </c>
      <c r="AG130" s="1" t="s">
        <v>2870</v>
      </c>
      <c r="AH130" s="1" t="s">
        <v>101</v>
      </c>
      <c r="AI130" s="1" t="s">
        <v>409</v>
      </c>
      <c r="AJ130" s="1">
        <v>64.4</v>
      </c>
      <c r="AK130" s="1"/>
      <c r="AL130" s="1"/>
      <c r="AM130" s="1"/>
      <c r="AN130" s="1"/>
      <c r="AO130" s="1"/>
      <c r="AP130" s="1"/>
      <c r="AQ130" s="1"/>
      <c r="AR130" s="1" t="s">
        <v>434</v>
      </c>
      <c r="AS130" s="1" t="s">
        <v>2871</v>
      </c>
      <c r="AT130" s="1" t="s">
        <v>2872</v>
      </c>
      <c r="AU130" s="1" t="s">
        <v>1800</v>
      </c>
      <c r="AV130" s="1">
        <v>69.63</v>
      </c>
      <c r="AW130" s="1"/>
      <c r="AX130" s="1" t="s">
        <v>410</v>
      </c>
      <c r="AY130" s="1" t="s">
        <v>2873</v>
      </c>
      <c r="AZ130" s="1" t="s">
        <v>1864</v>
      </c>
      <c r="BA130" s="1" t="s">
        <v>829</v>
      </c>
      <c r="BB130" s="1">
        <v>61.4</v>
      </c>
      <c r="BC130" s="1"/>
      <c r="BD130" s="1"/>
      <c r="BE130" s="1"/>
      <c r="BF130" s="1"/>
      <c r="BG130" s="1"/>
      <c r="BH130" s="1"/>
      <c r="BI130" s="1"/>
      <c r="BJ130" s="1" t="s">
        <v>364</v>
      </c>
      <c r="BK130" s="1"/>
      <c r="BL130" s="1"/>
      <c r="BM130" s="1" t="s">
        <v>2874</v>
      </c>
      <c r="BN130" s="1">
        <v>15</v>
      </c>
      <c r="BO130" s="1"/>
      <c r="BP130" s="1" t="str">
        <f>HYPERLINK("https://nconnect.nicmar.ac.in/storage/profile/ProfilePhoto_P25700111_718243.jpg","Download")</f>
        <v>0</v>
      </c>
      <c r="BQ130" s="3"/>
      <c r="BR130" s="3"/>
    </row>
    <row r="131" spans="1:70">
      <c r="A131" s="1" t="s">
        <v>70</v>
      </c>
      <c r="B131" s="1" t="s">
        <v>441</v>
      </c>
      <c r="C131" s="1" t="s">
        <v>2875</v>
      </c>
      <c r="D131" s="1" t="s">
        <v>2876</v>
      </c>
      <c r="E131" s="1" t="s">
        <v>2877</v>
      </c>
      <c r="F131" s="1" t="s">
        <v>2878</v>
      </c>
      <c r="G131" s="1" t="s">
        <v>2879</v>
      </c>
      <c r="H131" s="1" t="s">
        <v>2880</v>
      </c>
      <c r="I131" s="1" t="s">
        <v>2881</v>
      </c>
      <c r="J131" s="1">
        <v>7698373395</v>
      </c>
      <c r="K131" s="1" t="s">
        <v>79</v>
      </c>
      <c r="L131" s="1" t="s">
        <v>2882</v>
      </c>
      <c r="M131" s="1" t="s">
        <v>81</v>
      </c>
      <c r="N131" s="1" t="s">
        <v>2883</v>
      </c>
      <c r="O131" s="1"/>
      <c r="P131" s="1" t="s">
        <v>497</v>
      </c>
      <c r="Q131" s="1" t="s">
        <v>2884</v>
      </c>
      <c r="R131" s="1" t="s">
        <v>2885</v>
      </c>
      <c r="S131" s="1">
        <v>9104986199</v>
      </c>
      <c r="T131" s="1" t="s">
        <v>2886</v>
      </c>
      <c r="U131" s="1" t="s">
        <v>2887</v>
      </c>
      <c r="V131" s="1">
        <v>9510059019</v>
      </c>
      <c r="W131" s="1" t="s">
        <v>273</v>
      </c>
      <c r="X131" s="1" t="s">
        <v>2888</v>
      </c>
      <c r="Y131" s="1" t="s">
        <v>2889</v>
      </c>
      <c r="Z131" s="1" t="s">
        <v>662</v>
      </c>
      <c r="AA131" s="1" t="s">
        <v>2888</v>
      </c>
      <c r="AB131" s="1" t="s">
        <v>2889</v>
      </c>
      <c r="AC131" s="1" t="s">
        <v>662</v>
      </c>
      <c r="AD131" s="1">
        <v>9.16</v>
      </c>
      <c r="AE131" s="1" t="s">
        <v>93</v>
      </c>
      <c r="AF131" s="1" t="s">
        <v>2890</v>
      </c>
      <c r="AG131" s="1" t="s">
        <v>2891</v>
      </c>
      <c r="AH131" s="1" t="s">
        <v>165</v>
      </c>
      <c r="AI131" s="1" t="s">
        <v>281</v>
      </c>
      <c r="AJ131" s="1">
        <v>88.33</v>
      </c>
      <c r="AK131" s="1">
        <v>0</v>
      </c>
      <c r="AL131" s="1" t="s">
        <v>2890</v>
      </c>
      <c r="AM131" s="1" t="s">
        <v>2891</v>
      </c>
      <c r="AN131" s="1" t="s">
        <v>433</v>
      </c>
      <c r="AO131" s="1" t="s">
        <v>590</v>
      </c>
      <c r="AP131" s="1">
        <v>80.16</v>
      </c>
      <c r="AQ131" s="1">
        <v>0</v>
      </c>
      <c r="AR131" s="1"/>
      <c r="AS131" s="1"/>
      <c r="AT131" s="1"/>
      <c r="AU131" s="1"/>
      <c r="AV131" s="1"/>
      <c r="AW131" s="1"/>
      <c r="AX131" s="1" t="s">
        <v>2892</v>
      </c>
      <c r="AY131" s="1" t="s">
        <v>2893</v>
      </c>
      <c r="AZ131" s="1" t="s">
        <v>170</v>
      </c>
      <c r="BA131" s="1" t="s">
        <v>413</v>
      </c>
      <c r="BB131" s="1">
        <v>82.3</v>
      </c>
      <c r="BC131" s="1">
        <v>8.23</v>
      </c>
      <c r="BD131" s="1"/>
      <c r="BE131" s="1"/>
      <c r="BF131" s="1"/>
      <c r="BG131" s="1"/>
      <c r="BH131" s="1"/>
      <c r="BI131" s="1"/>
      <c r="BJ131" s="1" t="s">
        <v>364</v>
      </c>
      <c r="BK131" s="1"/>
      <c r="BL131" s="1"/>
      <c r="BM131" s="1" t="s">
        <v>2894</v>
      </c>
      <c r="BN131" s="1">
        <v>36</v>
      </c>
      <c r="BO131" s="1"/>
      <c r="BP131" s="1" t="str">
        <f>HYPERLINK("https://nconnect.nicmar.ac.in/storage/profile/ProfilePhoto_P25700113_721496.jpg","Download")</f>
        <v>0</v>
      </c>
      <c r="BQ131" s="3"/>
      <c r="BR131" s="3"/>
    </row>
    <row r="132" spans="1:70">
      <c r="A132" s="1" t="s">
        <v>70</v>
      </c>
      <c r="B132" s="1" t="s">
        <v>441</v>
      </c>
      <c r="C132" s="1" t="s">
        <v>2895</v>
      </c>
      <c r="D132" s="1" t="s">
        <v>2838</v>
      </c>
      <c r="E132" s="1" t="s">
        <v>999</v>
      </c>
      <c r="F132" s="1" t="s">
        <v>1828</v>
      </c>
      <c r="G132" s="1" t="s">
        <v>2896</v>
      </c>
      <c r="H132" s="1" t="s">
        <v>2897</v>
      </c>
      <c r="I132" s="1" t="s">
        <v>2898</v>
      </c>
      <c r="J132" s="1">
        <v>8157032468</v>
      </c>
      <c r="K132" s="1" t="s">
        <v>79</v>
      </c>
      <c r="L132" s="1" t="s">
        <v>882</v>
      </c>
      <c r="M132" s="1" t="s">
        <v>81</v>
      </c>
      <c r="N132" s="1" t="s">
        <v>2899</v>
      </c>
      <c r="O132" s="1"/>
      <c r="P132" s="1" t="s">
        <v>450</v>
      </c>
      <c r="Q132" s="1" t="s">
        <v>2900</v>
      </c>
      <c r="R132" s="1" t="s">
        <v>2901</v>
      </c>
      <c r="S132" s="1">
        <v>8281527268</v>
      </c>
      <c r="T132" s="1" t="s">
        <v>2902</v>
      </c>
      <c r="U132" s="1" t="s">
        <v>2903</v>
      </c>
      <c r="V132" s="1">
        <v>9446944868</v>
      </c>
      <c r="W132" s="1" t="s">
        <v>2344</v>
      </c>
      <c r="X132" s="1" t="s">
        <v>2904</v>
      </c>
      <c r="Y132" s="1" t="s">
        <v>2518</v>
      </c>
      <c r="Z132" s="1" t="s">
        <v>125</v>
      </c>
      <c r="AA132" s="1" t="s">
        <v>2904</v>
      </c>
      <c r="AB132" s="1" t="s">
        <v>2518</v>
      </c>
      <c r="AC132" s="1" t="s">
        <v>125</v>
      </c>
      <c r="AD132" s="1">
        <v>8.33</v>
      </c>
      <c r="AE132" s="1" t="s">
        <v>93</v>
      </c>
      <c r="AF132" s="1" t="s">
        <v>2905</v>
      </c>
      <c r="AG132" s="1" t="s">
        <v>307</v>
      </c>
      <c r="AH132" s="1" t="s">
        <v>165</v>
      </c>
      <c r="AI132" s="1" t="s">
        <v>166</v>
      </c>
      <c r="AJ132" s="1">
        <v>82.2</v>
      </c>
      <c r="AK132" s="1"/>
      <c r="AL132" s="1" t="s">
        <v>2906</v>
      </c>
      <c r="AM132" s="1" t="s">
        <v>2907</v>
      </c>
      <c r="AN132" s="1" t="s">
        <v>433</v>
      </c>
      <c r="AO132" s="1" t="s">
        <v>173</v>
      </c>
      <c r="AP132" s="1">
        <v>89.66</v>
      </c>
      <c r="AQ132" s="1"/>
      <c r="AR132" s="1"/>
      <c r="AS132" s="1"/>
      <c r="AT132" s="1"/>
      <c r="AU132" s="1"/>
      <c r="AV132" s="1"/>
      <c r="AW132" s="1"/>
      <c r="AX132" s="1" t="s">
        <v>2908</v>
      </c>
      <c r="AY132" s="1" t="s">
        <v>2909</v>
      </c>
      <c r="AZ132" s="1" t="s">
        <v>1019</v>
      </c>
      <c r="BA132" s="1" t="s">
        <v>413</v>
      </c>
      <c r="BB132" s="1">
        <v>66.1</v>
      </c>
      <c r="BC132" s="1">
        <v>6.61</v>
      </c>
      <c r="BD132" s="1"/>
      <c r="BE132" s="1"/>
      <c r="BF132" s="1"/>
      <c r="BG132" s="1"/>
      <c r="BH132" s="1"/>
      <c r="BI132" s="1"/>
      <c r="BJ132" s="1" t="s">
        <v>567</v>
      </c>
      <c r="BK132" s="1" t="s">
        <v>2910</v>
      </c>
      <c r="BL132" s="1" t="s">
        <v>873</v>
      </c>
      <c r="BM132" s="1" t="s">
        <v>2911</v>
      </c>
      <c r="BN132" s="1">
        <v>9</v>
      </c>
      <c r="BO132" s="1" t="s">
        <v>2912</v>
      </c>
      <c r="BP132" s="1" t="str">
        <f>HYPERLINK("https://nconnect.nicmar.ac.in/storage/profile/ProfilePhoto_P25700114_648312.jpg","Download")</f>
        <v>0</v>
      </c>
      <c r="BQ132" s="3"/>
      <c r="BR132" s="3"/>
    </row>
    <row r="133" spans="1:70">
      <c r="A133" s="1" t="s">
        <v>70</v>
      </c>
      <c r="B133" s="1" t="s">
        <v>441</v>
      </c>
      <c r="C133" s="1" t="s">
        <v>2913</v>
      </c>
      <c r="D133" s="1" t="s">
        <v>744</v>
      </c>
      <c r="E133" s="1" t="s">
        <v>745</v>
      </c>
      <c r="F133" s="1" t="s">
        <v>2914</v>
      </c>
      <c r="G133" s="1" t="s">
        <v>2915</v>
      </c>
      <c r="H133" s="1" t="s">
        <v>2916</v>
      </c>
      <c r="I133" s="1" t="s">
        <v>2917</v>
      </c>
      <c r="J133" s="1">
        <v>9146964130</v>
      </c>
      <c r="K133" s="1" t="s">
        <v>79</v>
      </c>
      <c r="L133" s="1" t="s">
        <v>2918</v>
      </c>
      <c r="M133" s="1" t="s">
        <v>81</v>
      </c>
      <c r="N133" s="1" t="s">
        <v>883</v>
      </c>
      <c r="O133" s="1"/>
      <c r="P133" s="1" t="s">
        <v>450</v>
      </c>
      <c r="Q133" s="1" t="s">
        <v>2919</v>
      </c>
      <c r="R133" s="1" t="s">
        <v>2920</v>
      </c>
      <c r="S133" s="1">
        <v>9822678983</v>
      </c>
      <c r="T133" s="1" t="s">
        <v>820</v>
      </c>
      <c r="U133" s="1" t="s">
        <v>2921</v>
      </c>
      <c r="V133" s="1">
        <v>9021220811</v>
      </c>
      <c r="W133" s="1" t="s">
        <v>156</v>
      </c>
      <c r="X133" s="1" t="s">
        <v>2922</v>
      </c>
      <c r="Y133" s="1" t="s">
        <v>191</v>
      </c>
      <c r="Z133" s="1" t="s">
        <v>92</v>
      </c>
      <c r="AA133" s="1" t="s">
        <v>2922</v>
      </c>
      <c r="AB133" s="1" t="s">
        <v>191</v>
      </c>
      <c r="AC133" s="1" t="s">
        <v>92</v>
      </c>
      <c r="AD133" s="1" t="s">
        <v>93</v>
      </c>
      <c r="AE133" s="1" t="s">
        <v>93</v>
      </c>
      <c r="AF133" s="1" t="s">
        <v>2923</v>
      </c>
      <c r="AG133" s="1" t="s">
        <v>160</v>
      </c>
      <c r="AH133" s="1" t="s">
        <v>101</v>
      </c>
      <c r="AI133" s="1" t="s">
        <v>308</v>
      </c>
      <c r="AJ133" s="1">
        <v>67.2</v>
      </c>
      <c r="AK133" s="1"/>
      <c r="AL133" s="1"/>
      <c r="AM133" s="1"/>
      <c r="AN133" s="1"/>
      <c r="AO133" s="1"/>
      <c r="AP133" s="1"/>
      <c r="AQ133" s="1"/>
      <c r="AR133" s="1" t="s">
        <v>98</v>
      </c>
      <c r="AS133" s="1" t="s">
        <v>2924</v>
      </c>
      <c r="AT133" s="1" t="s">
        <v>201</v>
      </c>
      <c r="AU133" s="1" t="s">
        <v>1378</v>
      </c>
      <c r="AV133" s="1">
        <v>69.21</v>
      </c>
      <c r="AW133" s="1"/>
      <c r="AX133" s="1" t="s">
        <v>2925</v>
      </c>
      <c r="AY133" s="1" t="s">
        <v>2926</v>
      </c>
      <c r="AZ133" s="1" t="s">
        <v>1378</v>
      </c>
      <c r="BA133" s="1" t="s">
        <v>543</v>
      </c>
      <c r="BB133" s="1">
        <v>75.13</v>
      </c>
      <c r="BC133" s="1">
        <v>7.51</v>
      </c>
      <c r="BD133" s="1"/>
      <c r="BE133" s="1"/>
      <c r="BF133" s="1"/>
      <c r="BG133" s="1"/>
      <c r="BH133" s="1"/>
      <c r="BI133" s="1"/>
      <c r="BJ133" s="1" t="s">
        <v>364</v>
      </c>
      <c r="BK133" s="1"/>
      <c r="BL133" s="1"/>
      <c r="BM133" s="1"/>
      <c r="BN133" s="1"/>
      <c r="BO133" s="1"/>
      <c r="BP133" s="1" t="str">
        <f>HYPERLINK("https://nconnect.nicmar.ac.in/storage/profile/ProfilePhoto_P25700115_875296.jpg","Download")</f>
        <v>0</v>
      </c>
      <c r="BQ133" s="3"/>
      <c r="BR133" s="3"/>
    </row>
    <row r="134" spans="1:70">
      <c r="A134" s="1" t="s">
        <v>70</v>
      </c>
      <c r="B134" s="1" t="s">
        <v>441</v>
      </c>
      <c r="C134" s="1" t="s">
        <v>2927</v>
      </c>
      <c r="D134" s="1" t="s">
        <v>2928</v>
      </c>
      <c r="E134" s="1" t="s">
        <v>1644</v>
      </c>
      <c r="F134" s="1" t="s">
        <v>236</v>
      </c>
      <c r="G134" s="1" t="s">
        <v>2929</v>
      </c>
      <c r="H134" s="1" t="s">
        <v>2930</v>
      </c>
      <c r="I134" s="1" t="s">
        <v>2931</v>
      </c>
      <c r="J134" s="1">
        <v>8108344275</v>
      </c>
      <c r="K134" s="1" t="s">
        <v>79</v>
      </c>
      <c r="L134" s="1" t="s">
        <v>2932</v>
      </c>
      <c r="M134" s="1" t="s">
        <v>81</v>
      </c>
      <c r="N134" s="1" t="s">
        <v>2424</v>
      </c>
      <c r="O134" s="1"/>
      <c r="P134" s="1" t="s">
        <v>1007</v>
      </c>
      <c r="Q134" s="1" t="s">
        <v>2933</v>
      </c>
      <c r="R134" s="1" t="s">
        <v>2934</v>
      </c>
      <c r="S134" s="1">
        <v>8108639248</v>
      </c>
      <c r="T134" s="1" t="s">
        <v>2935</v>
      </c>
      <c r="U134" s="1" t="s">
        <v>2936</v>
      </c>
      <c r="V134" s="1">
        <v>8108640628</v>
      </c>
      <c r="W134" s="1" t="s">
        <v>156</v>
      </c>
      <c r="X134" s="1" t="s">
        <v>2937</v>
      </c>
      <c r="Y134" s="1" t="s">
        <v>991</v>
      </c>
      <c r="Z134" s="1" t="s">
        <v>92</v>
      </c>
      <c r="AA134" s="1" t="s">
        <v>2937</v>
      </c>
      <c r="AB134" s="1" t="s">
        <v>991</v>
      </c>
      <c r="AC134" s="1" t="s">
        <v>92</v>
      </c>
      <c r="AD134" s="1">
        <v>8.82</v>
      </c>
      <c r="AE134" s="1" t="s">
        <v>93</v>
      </c>
      <c r="AF134" s="1" t="s">
        <v>2938</v>
      </c>
      <c r="AG134" s="1" t="s">
        <v>1942</v>
      </c>
      <c r="AH134" s="1" t="s">
        <v>165</v>
      </c>
      <c r="AI134" s="1" t="s">
        <v>101</v>
      </c>
      <c r="AJ134" s="1">
        <v>79</v>
      </c>
      <c r="AK134" s="1">
        <v>0</v>
      </c>
      <c r="AL134" s="1"/>
      <c r="AM134" s="1"/>
      <c r="AN134" s="1"/>
      <c r="AO134" s="1"/>
      <c r="AP134" s="1"/>
      <c r="AQ134" s="1"/>
      <c r="AR134" s="1" t="s">
        <v>434</v>
      </c>
      <c r="AS134" s="1" t="s">
        <v>2939</v>
      </c>
      <c r="AT134" s="1" t="s">
        <v>1043</v>
      </c>
      <c r="AU134" s="1" t="s">
        <v>436</v>
      </c>
      <c r="AV134" s="1">
        <v>93.32</v>
      </c>
      <c r="AW134" s="1"/>
      <c r="AX134" s="1" t="s">
        <v>666</v>
      </c>
      <c r="AY134" s="1" t="s">
        <v>2940</v>
      </c>
      <c r="AZ134" s="1" t="s">
        <v>852</v>
      </c>
      <c r="BA134" s="1" t="s">
        <v>202</v>
      </c>
      <c r="BB134" s="1">
        <v>82.67</v>
      </c>
      <c r="BC134" s="1">
        <v>9.55</v>
      </c>
      <c r="BD134" s="1"/>
      <c r="BE134" s="1"/>
      <c r="BF134" s="1"/>
      <c r="BG134" s="1"/>
      <c r="BH134" s="1"/>
      <c r="BI134" s="1"/>
      <c r="BJ134" s="1" t="s">
        <v>2941</v>
      </c>
      <c r="BK134" s="1"/>
      <c r="BL134" s="1"/>
      <c r="BM134" s="1" t="s">
        <v>2942</v>
      </c>
      <c r="BN134" s="1">
        <v>21</v>
      </c>
      <c r="BO134" s="1"/>
      <c r="BP134" s="1" t="str">
        <f>HYPERLINK("https://nconnect.nicmar.ac.in/storage/profile/ProfilePhoto_P25700116_731254.jpg","Download")</f>
        <v>0</v>
      </c>
      <c r="BQ134" s="3"/>
      <c r="BR134" s="3"/>
    </row>
    <row r="135" spans="1:70">
      <c r="A135" s="1" t="s">
        <v>70</v>
      </c>
      <c r="B135" s="1" t="s">
        <v>441</v>
      </c>
      <c r="C135" s="1" t="s">
        <v>2943</v>
      </c>
      <c r="D135" s="1" t="s">
        <v>1482</v>
      </c>
      <c r="E135" s="1"/>
      <c r="F135" s="1" t="s">
        <v>520</v>
      </c>
      <c r="G135" s="1" t="s">
        <v>2944</v>
      </c>
      <c r="H135" s="1" t="s">
        <v>2945</v>
      </c>
      <c r="I135" s="1" t="s">
        <v>2946</v>
      </c>
      <c r="J135" s="1">
        <v>9399872931</v>
      </c>
      <c r="K135" s="1" t="s">
        <v>79</v>
      </c>
      <c r="L135" s="1" t="s">
        <v>2947</v>
      </c>
      <c r="M135" s="1" t="s">
        <v>81</v>
      </c>
      <c r="N135" s="1" t="s">
        <v>2948</v>
      </c>
      <c r="O135" s="1"/>
      <c r="P135" s="1" t="s">
        <v>656</v>
      </c>
      <c r="Q135" s="1" t="s">
        <v>2949</v>
      </c>
      <c r="R135" s="1" t="s">
        <v>2950</v>
      </c>
      <c r="S135" s="1">
        <v>9893417262</v>
      </c>
      <c r="T135" s="1" t="s">
        <v>2951</v>
      </c>
      <c r="U135" s="1" t="s">
        <v>2952</v>
      </c>
      <c r="V135" s="1">
        <v>9407786050</v>
      </c>
      <c r="W135" s="1" t="s">
        <v>531</v>
      </c>
      <c r="X135" s="1" t="s">
        <v>2953</v>
      </c>
      <c r="Y135" s="1" t="s">
        <v>2954</v>
      </c>
      <c r="Z135" s="1" t="s">
        <v>2955</v>
      </c>
      <c r="AA135" s="1" t="s">
        <v>2953</v>
      </c>
      <c r="AB135" s="1" t="s">
        <v>2954</v>
      </c>
      <c r="AC135" s="1" t="s">
        <v>2955</v>
      </c>
      <c r="AD135" s="1">
        <v>7.66</v>
      </c>
      <c r="AE135" s="1" t="s">
        <v>93</v>
      </c>
      <c r="AF135" s="1" t="s">
        <v>2956</v>
      </c>
      <c r="AG135" s="1" t="s">
        <v>2957</v>
      </c>
      <c r="AH135" s="1" t="s">
        <v>162</v>
      </c>
      <c r="AI135" s="1" t="s">
        <v>165</v>
      </c>
      <c r="AJ135" s="1">
        <v>83.6</v>
      </c>
      <c r="AK135" s="1">
        <v>8.8</v>
      </c>
      <c r="AL135" s="1" t="s">
        <v>2956</v>
      </c>
      <c r="AM135" s="1" t="s">
        <v>2957</v>
      </c>
      <c r="AN135" s="1" t="s">
        <v>166</v>
      </c>
      <c r="AO135" s="1" t="s">
        <v>308</v>
      </c>
      <c r="AP135" s="1">
        <v>77</v>
      </c>
      <c r="AQ135" s="1"/>
      <c r="AR135" s="1"/>
      <c r="AS135" s="1"/>
      <c r="AT135" s="1"/>
      <c r="AU135" s="1"/>
      <c r="AV135" s="1"/>
      <c r="AW135" s="1"/>
      <c r="AX135" s="1" t="s">
        <v>2958</v>
      </c>
      <c r="AY135" s="1" t="s">
        <v>2959</v>
      </c>
      <c r="AZ135" s="1" t="s">
        <v>201</v>
      </c>
      <c r="BA135" s="1" t="s">
        <v>174</v>
      </c>
      <c r="BB135" s="1">
        <v>77.72</v>
      </c>
      <c r="BC135" s="1"/>
      <c r="BD135" s="1"/>
      <c r="BE135" s="1"/>
      <c r="BF135" s="1"/>
      <c r="BG135" s="1"/>
      <c r="BH135" s="1"/>
      <c r="BI135" s="1"/>
      <c r="BJ135" s="1" t="s">
        <v>2960</v>
      </c>
      <c r="BK135" s="1"/>
      <c r="BL135" s="1"/>
      <c r="BM135" s="1" t="s">
        <v>2961</v>
      </c>
      <c r="BN135" s="1">
        <v>36</v>
      </c>
      <c r="BO135" s="1" t="s">
        <v>2962</v>
      </c>
      <c r="BP135" s="1" t="str">
        <f>HYPERLINK("https://nconnect.nicmar.ac.in/storage/profile/ProfilePhoto_P25700117_189624.jpg","Download")</f>
        <v>0</v>
      </c>
      <c r="BQ135" s="3"/>
      <c r="BR135" s="3"/>
    </row>
    <row r="136" spans="1:70">
      <c r="A136" s="1" t="s">
        <v>70</v>
      </c>
      <c r="B136" s="1" t="s">
        <v>441</v>
      </c>
      <c r="C136" s="1" t="s">
        <v>2963</v>
      </c>
      <c r="D136" s="1" t="s">
        <v>2964</v>
      </c>
      <c r="E136" s="1"/>
      <c r="F136" s="1" t="s">
        <v>2965</v>
      </c>
      <c r="G136" s="1" t="s">
        <v>2966</v>
      </c>
      <c r="H136" s="1" t="s">
        <v>2967</v>
      </c>
      <c r="I136" s="1" t="s">
        <v>2968</v>
      </c>
      <c r="J136" s="1">
        <v>8210698337</v>
      </c>
      <c r="K136" s="1" t="s">
        <v>79</v>
      </c>
      <c r="L136" s="1" t="s">
        <v>2969</v>
      </c>
      <c r="M136" s="1" t="s">
        <v>81</v>
      </c>
      <c r="N136" s="1" t="s">
        <v>82</v>
      </c>
      <c r="O136" s="1"/>
      <c r="P136" s="1" t="s">
        <v>450</v>
      </c>
      <c r="Q136" s="1" t="s">
        <v>2970</v>
      </c>
      <c r="R136" s="1" t="s">
        <v>2971</v>
      </c>
      <c r="S136" s="1">
        <v>9431107316</v>
      </c>
      <c r="T136" s="1" t="s">
        <v>2972</v>
      </c>
      <c r="U136" s="1" t="s">
        <v>2973</v>
      </c>
      <c r="V136" s="1">
        <v>9631194424</v>
      </c>
      <c r="W136" s="1" t="s">
        <v>531</v>
      </c>
      <c r="X136" s="1" t="s">
        <v>2974</v>
      </c>
      <c r="Y136" s="1" t="s">
        <v>2229</v>
      </c>
      <c r="Z136" s="1" t="s">
        <v>92</v>
      </c>
      <c r="AA136" s="1" t="s">
        <v>2975</v>
      </c>
      <c r="AB136" s="1" t="s">
        <v>2976</v>
      </c>
      <c r="AC136" s="1" t="s">
        <v>2977</v>
      </c>
      <c r="AD136" s="1">
        <v>8.41</v>
      </c>
      <c r="AE136" s="1" t="s">
        <v>93</v>
      </c>
      <c r="AF136" s="1" t="s">
        <v>2978</v>
      </c>
      <c r="AG136" s="1" t="s">
        <v>1696</v>
      </c>
      <c r="AH136" s="1" t="s">
        <v>1088</v>
      </c>
      <c r="AI136" s="1" t="s">
        <v>614</v>
      </c>
      <c r="AJ136" s="1">
        <v>79.8</v>
      </c>
      <c r="AK136" s="1">
        <v>8.4</v>
      </c>
      <c r="AL136" s="1" t="s">
        <v>2978</v>
      </c>
      <c r="AM136" s="1" t="s">
        <v>1696</v>
      </c>
      <c r="AN136" s="1" t="s">
        <v>689</v>
      </c>
      <c r="AO136" s="1" t="s">
        <v>166</v>
      </c>
      <c r="AP136" s="1">
        <v>73</v>
      </c>
      <c r="AQ136" s="1"/>
      <c r="AR136" s="1"/>
      <c r="AS136" s="1"/>
      <c r="AT136" s="1"/>
      <c r="AU136" s="1"/>
      <c r="AV136" s="1"/>
      <c r="AW136" s="1"/>
      <c r="AX136" s="1" t="s">
        <v>2979</v>
      </c>
      <c r="AY136" s="1" t="s">
        <v>2980</v>
      </c>
      <c r="AZ136" s="1" t="s">
        <v>1043</v>
      </c>
      <c r="BA136" s="1" t="s">
        <v>174</v>
      </c>
      <c r="BB136" s="1">
        <v>64.7</v>
      </c>
      <c r="BC136" s="1">
        <v>6.47</v>
      </c>
      <c r="BD136" s="1"/>
      <c r="BE136" s="1"/>
      <c r="BF136" s="1"/>
      <c r="BG136" s="1"/>
      <c r="BH136" s="1"/>
      <c r="BI136" s="1"/>
      <c r="BJ136" s="1" t="s">
        <v>2981</v>
      </c>
      <c r="BK136" s="1" t="s">
        <v>2982</v>
      </c>
      <c r="BL136" s="1" t="s">
        <v>1151</v>
      </c>
      <c r="BM136" s="1" t="s">
        <v>2983</v>
      </c>
      <c r="BN136" s="1">
        <v>34</v>
      </c>
      <c r="BO136" s="1"/>
      <c r="BP136" s="1" t="str">
        <f>HYPERLINK("https://nconnect.nicmar.ac.in/storage/profile/ProfilePhoto_P25700118_148736.jpg","Download")</f>
        <v>0</v>
      </c>
      <c r="BQ136" s="3"/>
      <c r="BR136" s="3"/>
    </row>
    <row r="137" spans="1:70">
      <c r="A137" s="1" t="s">
        <v>70</v>
      </c>
      <c r="B137" s="1" t="s">
        <v>441</v>
      </c>
      <c r="C137" s="1" t="s">
        <v>2984</v>
      </c>
      <c r="D137" s="1" t="s">
        <v>1297</v>
      </c>
      <c r="E137" s="1" t="s">
        <v>2985</v>
      </c>
      <c r="F137" s="1" t="s">
        <v>2986</v>
      </c>
      <c r="G137" s="1" t="s">
        <v>2987</v>
      </c>
      <c r="H137" s="1" t="s">
        <v>2988</v>
      </c>
      <c r="I137" s="1" t="s">
        <v>2989</v>
      </c>
      <c r="J137" s="1">
        <v>9587233281</v>
      </c>
      <c r="K137" s="1" t="s">
        <v>79</v>
      </c>
      <c r="L137" s="1" t="s">
        <v>2990</v>
      </c>
      <c r="M137" s="1" t="s">
        <v>81</v>
      </c>
      <c r="N137" s="1" t="s">
        <v>2991</v>
      </c>
      <c r="O137" s="1"/>
      <c r="P137" s="1" t="s">
        <v>450</v>
      </c>
      <c r="Q137" s="1" t="s">
        <v>2992</v>
      </c>
      <c r="R137" s="1" t="s">
        <v>2993</v>
      </c>
      <c r="S137" s="1">
        <v>9783696344</v>
      </c>
      <c r="T137" s="1" t="s">
        <v>820</v>
      </c>
      <c r="U137" s="1" t="s">
        <v>2994</v>
      </c>
      <c r="V137" s="1">
        <v>6350421506</v>
      </c>
      <c r="W137" s="1" t="s">
        <v>531</v>
      </c>
      <c r="X137" s="1" t="s">
        <v>2995</v>
      </c>
      <c r="Y137" s="1" t="s">
        <v>2996</v>
      </c>
      <c r="Z137" s="1" t="s">
        <v>2126</v>
      </c>
      <c r="AA137" s="1" t="s">
        <v>2995</v>
      </c>
      <c r="AB137" s="1" t="s">
        <v>2996</v>
      </c>
      <c r="AC137" s="1" t="s">
        <v>2126</v>
      </c>
      <c r="AD137" s="1" t="s">
        <v>93</v>
      </c>
      <c r="AE137" s="1" t="s">
        <v>93</v>
      </c>
      <c r="AF137" s="1" t="s">
        <v>2997</v>
      </c>
      <c r="AG137" s="1" t="s">
        <v>2998</v>
      </c>
      <c r="AH137" s="1" t="s">
        <v>130</v>
      </c>
      <c r="AI137" s="1" t="s">
        <v>1088</v>
      </c>
      <c r="AJ137" s="1">
        <v>60.5</v>
      </c>
      <c r="AK137" s="1"/>
      <c r="AL137" s="1"/>
      <c r="AM137" s="1"/>
      <c r="AN137" s="1"/>
      <c r="AO137" s="1"/>
      <c r="AP137" s="1"/>
      <c r="AQ137" s="1"/>
      <c r="AR137" s="1" t="s">
        <v>434</v>
      </c>
      <c r="AS137" s="1" t="s">
        <v>2999</v>
      </c>
      <c r="AT137" s="1" t="s">
        <v>337</v>
      </c>
      <c r="AU137" s="1" t="s">
        <v>101</v>
      </c>
      <c r="AV137" s="1">
        <v>83</v>
      </c>
      <c r="AW137" s="1">
        <v>8.3</v>
      </c>
      <c r="AX137" s="1" t="s">
        <v>3000</v>
      </c>
      <c r="AY137" s="1" t="s">
        <v>2999</v>
      </c>
      <c r="AZ137" s="1" t="s">
        <v>1043</v>
      </c>
      <c r="BA137" s="1" t="s">
        <v>539</v>
      </c>
      <c r="BB137" s="1">
        <v>72.1</v>
      </c>
      <c r="BC137" s="1">
        <v>7.21</v>
      </c>
      <c r="BD137" s="1"/>
      <c r="BE137" s="1"/>
      <c r="BF137" s="1"/>
      <c r="BG137" s="1"/>
      <c r="BH137" s="1"/>
      <c r="BI137" s="1"/>
      <c r="BJ137" s="1" t="s">
        <v>567</v>
      </c>
      <c r="BK137" s="1" t="s">
        <v>3001</v>
      </c>
      <c r="BL137" s="1" t="s">
        <v>2454</v>
      </c>
      <c r="BM137" s="1" t="s">
        <v>3002</v>
      </c>
      <c r="BN137" s="1">
        <v>32</v>
      </c>
      <c r="BO137" s="1" t="s">
        <v>3003</v>
      </c>
      <c r="BP137" s="1" t="str">
        <f>HYPERLINK("https://nconnect.nicmar.ac.in/storage/profile/ProfilePhoto_P25700119_915374.jpg","Download")</f>
        <v>0</v>
      </c>
      <c r="BQ137" s="3"/>
      <c r="BR137" s="3"/>
    </row>
    <row r="138" spans="1:70">
      <c r="A138" s="1" t="s">
        <v>70</v>
      </c>
      <c r="B138" s="1" t="s">
        <v>441</v>
      </c>
      <c r="C138" s="1" t="s">
        <v>3004</v>
      </c>
      <c r="D138" s="1" t="s">
        <v>3005</v>
      </c>
      <c r="E138" s="1" t="s">
        <v>744</v>
      </c>
      <c r="F138" s="1" t="s">
        <v>745</v>
      </c>
      <c r="G138" s="1" t="s">
        <v>3006</v>
      </c>
      <c r="H138" s="1" t="s">
        <v>3007</v>
      </c>
      <c r="I138" s="1" t="s">
        <v>3008</v>
      </c>
      <c r="J138" s="1">
        <v>9172128006</v>
      </c>
      <c r="K138" s="1" t="s">
        <v>79</v>
      </c>
      <c r="L138" s="1" t="s">
        <v>1160</v>
      </c>
      <c r="M138" s="1" t="s">
        <v>81</v>
      </c>
      <c r="N138" s="1" t="s">
        <v>2381</v>
      </c>
      <c r="O138" s="1"/>
      <c r="P138" s="1" t="s">
        <v>472</v>
      </c>
      <c r="Q138" s="1" t="s">
        <v>3009</v>
      </c>
      <c r="R138" s="1" t="s">
        <v>3010</v>
      </c>
      <c r="S138" s="1">
        <v>9423164910</v>
      </c>
      <c r="T138" s="1" t="s">
        <v>377</v>
      </c>
      <c r="U138" s="1" t="s">
        <v>3011</v>
      </c>
      <c r="V138" s="1">
        <v>9604786901</v>
      </c>
      <c r="W138" s="1" t="s">
        <v>89</v>
      </c>
      <c r="X138" s="1" t="s">
        <v>3012</v>
      </c>
      <c r="Y138" s="1" t="s">
        <v>1754</v>
      </c>
      <c r="Z138" s="1" t="s">
        <v>92</v>
      </c>
      <c r="AA138" s="1" t="s">
        <v>3012</v>
      </c>
      <c r="AB138" s="1" t="s">
        <v>1754</v>
      </c>
      <c r="AC138" s="1" t="s">
        <v>92</v>
      </c>
      <c r="AD138" s="1" t="s">
        <v>93</v>
      </c>
      <c r="AE138" s="1" t="s">
        <v>93</v>
      </c>
      <c r="AF138" s="1" t="s">
        <v>3013</v>
      </c>
      <c r="AG138" s="1" t="s">
        <v>2680</v>
      </c>
      <c r="AH138" s="1" t="s">
        <v>101</v>
      </c>
      <c r="AI138" s="1" t="s">
        <v>409</v>
      </c>
      <c r="AJ138" s="1">
        <v>82.8</v>
      </c>
      <c r="AK138" s="1"/>
      <c r="AL138" s="1" t="s">
        <v>3014</v>
      </c>
      <c r="AM138" s="1" t="s">
        <v>2680</v>
      </c>
      <c r="AN138" s="1" t="s">
        <v>433</v>
      </c>
      <c r="AO138" s="1" t="s">
        <v>826</v>
      </c>
      <c r="AP138" s="1">
        <v>84.17</v>
      </c>
      <c r="AQ138" s="1"/>
      <c r="AR138" s="1"/>
      <c r="AS138" s="1"/>
      <c r="AT138" s="1"/>
      <c r="AU138" s="1"/>
      <c r="AV138" s="1"/>
      <c r="AW138" s="1"/>
      <c r="AX138" s="1" t="s">
        <v>3015</v>
      </c>
      <c r="AY138" s="1" t="s">
        <v>3016</v>
      </c>
      <c r="AZ138" s="1" t="s">
        <v>852</v>
      </c>
      <c r="BA138" s="1" t="s">
        <v>829</v>
      </c>
      <c r="BB138" s="1">
        <v>69</v>
      </c>
      <c r="BC138" s="1">
        <v>7.4</v>
      </c>
      <c r="BD138" s="1"/>
      <c r="BE138" s="1"/>
      <c r="BF138" s="1"/>
      <c r="BG138" s="1"/>
      <c r="BH138" s="1"/>
      <c r="BI138" s="1"/>
      <c r="BJ138" s="1" t="s">
        <v>830</v>
      </c>
      <c r="BK138" s="1"/>
      <c r="BL138" s="1"/>
      <c r="BM138" s="1" t="s">
        <v>3017</v>
      </c>
      <c r="BN138" s="1">
        <v>18</v>
      </c>
      <c r="BO138" s="1"/>
      <c r="BP138" s="1" t="str">
        <f>HYPERLINK("https://nconnect.nicmar.ac.in/storage/profile/ProfilePhoto_P25700121_694527.jpg","Download")</f>
        <v>0</v>
      </c>
      <c r="BQ138" s="3"/>
      <c r="BR138" s="3"/>
    </row>
    <row r="139" spans="1:70">
      <c r="A139" s="1" t="s">
        <v>70</v>
      </c>
      <c r="B139" s="1" t="s">
        <v>441</v>
      </c>
      <c r="C139" s="1" t="s">
        <v>3018</v>
      </c>
      <c r="D139" s="1" t="s">
        <v>3019</v>
      </c>
      <c r="E139" s="1" t="s">
        <v>574</v>
      </c>
      <c r="F139" s="1" t="s">
        <v>3020</v>
      </c>
      <c r="G139" s="1" t="s">
        <v>3021</v>
      </c>
      <c r="H139" s="1" t="s">
        <v>3022</v>
      </c>
      <c r="I139" s="1" t="s">
        <v>3023</v>
      </c>
      <c r="J139" s="1">
        <v>7204112797</v>
      </c>
      <c r="K139" s="1" t="s">
        <v>148</v>
      </c>
      <c r="L139" s="1" t="s">
        <v>3024</v>
      </c>
      <c r="M139" s="1" t="s">
        <v>81</v>
      </c>
      <c r="N139" s="1" t="s">
        <v>1592</v>
      </c>
      <c r="O139" s="1"/>
      <c r="P139" s="1" t="s">
        <v>497</v>
      </c>
      <c r="Q139" s="1" t="s">
        <v>3025</v>
      </c>
      <c r="R139" s="1" t="s">
        <v>3026</v>
      </c>
      <c r="S139" s="1">
        <v>9741530797</v>
      </c>
      <c r="T139" s="1" t="s">
        <v>3027</v>
      </c>
      <c r="U139" s="1" t="s">
        <v>3028</v>
      </c>
      <c r="V139" s="1">
        <v>9663432156</v>
      </c>
      <c r="W139" s="1" t="s">
        <v>273</v>
      </c>
      <c r="X139" s="1" t="s">
        <v>3029</v>
      </c>
      <c r="Y139" s="1" t="s">
        <v>3030</v>
      </c>
      <c r="Z139" s="1" t="s">
        <v>1187</v>
      </c>
      <c r="AA139" s="1" t="s">
        <v>3029</v>
      </c>
      <c r="AB139" s="1" t="s">
        <v>3030</v>
      </c>
      <c r="AC139" s="1" t="s">
        <v>1187</v>
      </c>
      <c r="AD139" s="1">
        <v>8.44</v>
      </c>
      <c r="AE139" s="1" t="s">
        <v>93</v>
      </c>
      <c r="AF139" s="1" t="s">
        <v>3031</v>
      </c>
      <c r="AG139" s="1" t="s">
        <v>307</v>
      </c>
      <c r="AH139" s="1" t="s">
        <v>165</v>
      </c>
      <c r="AI139" s="1" t="s">
        <v>166</v>
      </c>
      <c r="AJ139" s="1">
        <v>74.2</v>
      </c>
      <c r="AK139" s="1"/>
      <c r="AL139" s="1" t="s">
        <v>3032</v>
      </c>
      <c r="AM139" s="1" t="s">
        <v>3033</v>
      </c>
      <c r="AN139" s="1" t="s">
        <v>409</v>
      </c>
      <c r="AO139" s="1" t="s">
        <v>590</v>
      </c>
      <c r="AP139" s="1">
        <v>87.33</v>
      </c>
      <c r="AQ139" s="1"/>
      <c r="AR139" s="1"/>
      <c r="AS139" s="1"/>
      <c r="AT139" s="1"/>
      <c r="AU139" s="1"/>
      <c r="AV139" s="1"/>
      <c r="AW139" s="1"/>
      <c r="AX139" s="1" t="s">
        <v>3034</v>
      </c>
      <c r="AY139" s="1" t="s">
        <v>3035</v>
      </c>
      <c r="AZ139" s="1" t="s">
        <v>363</v>
      </c>
      <c r="BA139" s="1" t="s">
        <v>202</v>
      </c>
      <c r="BB139" s="1">
        <v>66.4</v>
      </c>
      <c r="BC139" s="1">
        <v>7.39</v>
      </c>
      <c r="BD139" s="1"/>
      <c r="BE139" s="1"/>
      <c r="BF139" s="1"/>
      <c r="BG139" s="1"/>
      <c r="BH139" s="1"/>
      <c r="BI139" s="1"/>
      <c r="BJ139" s="1" t="s">
        <v>3036</v>
      </c>
      <c r="BK139" s="1"/>
      <c r="BL139" s="1"/>
      <c r="BM139" s="1" t="s">
        <v>3037</v>
      </c>
      <c r="BN139" s="1">
        <v>17</v>
      </c>
      <c r="BO139" s="1"/>
      <c r="BP139" s="1" t="str">
        <f>HYPERLINK("https://nconnect.nicmar.ac.in/storage/profile/ProfilePhoto_P25700122_231978.jpg","Download")</f>
        <v>0</v>
      </c>
      <c r="BQ139" s="3"/>
      <c r="BR139" s="3"/>
    </row>
    <row r="140" spans="1:70">
      <c r="A140" s="1" t="s">
        <v>70</v>
      </c>
      <c r="B140" s="1" t="s">
        <v>441</v>
      </c>
      <c r="C140" s="1" t="s">
        <v>3038</v>
      </c>
      <c r="D140" s="1" t="s">
        <v>3039</v>
      </c>
      <c r="E140" s="1"/>
      <c r="F140" s="1" t="s">
        <v>3040</v>
      </c>
      <c r="G140" s="1" t="s">
        <v>3041</v>
      </c>
      <c r="H140" s="1" t="s">
        <v>3042</v>
      </c>
      <c r="I140" s="1" t="s">
        <v>3043</v>
      </c>
      <c r="J140" s="1">
        <v>9502943943</v>
      </c>
      <c r="K140" s="1" t="s">
        <v>148</v>
      </c>
      <c r="L140" s="1" t="s">
        <v>3044</v>
      </c>
      <c r="M140" s="1" t="s">
        <v>81</v>
      </c>
      <c r="N140" s="1" t="s">
        <v>3045</v>
      </c>
      <c r="O140" s="1"/>
      <c r="P140" s="1" t="s">
        <v>497</v>
      </c>
      <c r="Q140" s="1" t="s">
        <v>3046</v>
      </c>
      <c r="R140" s="1" t="s">
        <v>3047</v>
      </c>
      <c r="S140" s="1">
        <v>9440805093</v>
      </c>
      <c r="T140" s="1" t="s">
        <v>87</v>
      </c>
      <c r="U140" s="1" t="s">
        <v>3048</v>
      </c>
      <c r="V140" s="1">
        <v>9908344785</v>
      </c>
      <c r="W140" s="1" t="s">
        <v>531</v>
      </c>
      <c r="X140" s="1" t="s">
        <v>3049</v>
      </c>
      <c r="Y140" s="1" t="s">
        <v>3050</v>
      </c>
      <c r="Z140" s="1" t="s">
        <v>456</v>
      </c>
      <c r="AA140" s="1" t="s">
        <v>3049</v>
      </c>
      <c r="AB140" s="1" t="s">
        <v>3050</v>
      </c>
      <c r="AC140" s="1" t="s">
        <v>456</v>
      </c>
      <c r="AD140" s="1">
        <v>8.74</v>
      </c>
      <c r="AE140" s="1" t="s">
        <v>93</v>
      </c>
      <c r="AF140" s="1" t="s">
        <v>3051</v>
      </c>
      <c r="AG140" s="1" t="s">
        <v>458</v>
      </c>
      <c r="AH140" s="1" t="s">
        <v>337</v>
      </c>
      <c r="AI140" s="1" t="s">
        <v>1089</v>
      </c>
      <c r="AJ140" s="1">
        <v>98</v>
      </c>
      <c r="AK140" s="1">
        <v>9.8</v>
      </c>
      <c r="AL140" s="1" t="s">
        <v>3052</v>
      </c>
      <c r="AM140" s="1" t="s">
        <v>3053</v>
      </c>
      <c r="AN140" s="1" t="s">
        <v>165</v>
      </c>
      <c r="AO140" s="1" t="s">
        <v>481</v>
      </c>
      <c r="AP140" s="1">
        <v>90</v>
      </c>
      <c r="AQ140" s="1"/>
      <c r="AR140" s="1"/>
      <c r="AS140" s="1"/>
      <c r="AT140" s="1"/>
      <c r="AU140" s="1"/>
      <c r="AV140" s="1"/>
      <c r="AW140" s="1"/>
      <c r="AX140" s="1" t="s">
        <v>3054</v>
      </c>
      <c r="AY140" s="1" t="s">
        <v>3055</v>
      </c>
      <c r="AZ140" s="1" t="s">
        <v>1043</v>
      </c>
      <c r="BA140" s="1" t="s">
        <v>619</v>
      </c>
      <c r="BB140" s="1">
        <v>67.04</v>
      </c>
      <c r="BC140" s="1">
        <v>7.04</v>
      </c>
      <c r="BD140" s="1"/>
      <c r="BE140" s="1"/>
      <c r="BF140" s="1"/>
      <c r="BG140" s="1"/>
      <c r="BH140" s="1"/>
      <c r="BI140" s="1"/>
      <c r="BJ140" s="1" t="s">
        <v>3056</v>
      </c>
      <c r="BK140" s="1"/>
      <c r="BL140" s="1"/>
      <c r="BM140" s="1" t="s">
        <v>3057</v>
      </c>
      <c r="BN140" s="1">
        <v>45</v>
      </c>
      <c r="BO140" s="1"/>
      <c r="BP140" s="1" t="str">
        <f>HYPERLINK("https://nconnect.nicmar.ac.in/storage/profile/ProfilePhoto_P25700123_419637.jpg","Download")</f>
        <v>0</v>
      </c>
      <c r="BQ140" s="3"/>
      <c r="BR140" s="3"/>
    </row>
    <row r="141" spans="1:70">
      <c r="A141" s="1" t="s">
        <v>70</v>
      </c>
      <c r="B141" s="1" t="s">
        <v>441</v>
      </c>
      <c r="C141" s="1" t="s">
        <v>3058</v>
      </c>
      <c r="D141" s="1" t="s">
        <v>3059</v>
      </c>
      <c r="E141" s="1" t="s">
        <v>3060</v>
      </c>
      <c r="F141" s="1" t="s">
        <v>3061</v>
      </c>
      <c r="G141" s="1" t="s">
        <v>3062</v>
      </c>
      <c r="H141" s="1" t="s">
        <v>3063</v>
      </c>
      <c r="I141" s="1" t="s">
        <v>3064</v>
      </c>
      <c r="J141" s="1">
        <v>9309161835</v>
      </c>
      <c r="K141" s="1" t="s">
        <v>148</v>
      </c>
      <c r="L141" s="1" t="s">
        <v>1101</v>
      </c>
      <c r="M141" s="1" t="s">
        <v>81</v>
      </c>
      <c r="N141" s="1" t="s">
        <v>3065</v>
      </c>
      <c r="O141" s="1"/>
      <c r="P141" s="1" t="s">
        <v>1007</v>
      </c>
      <c r="Q141" s="1" t="s">
        <v>3066</v>
      </c>
      <c r="R141" s="1" t="s">
        <v>3067</v>
      </c>
      <c r="S141" s="1">
        <v>9423550172</v>
      </c>
      <c r="T141" s="1" t="s">
        <v>154</v>
      </c>
      <c r="U141" s="1" t="s">
        <v>3068</v>
      </c>
      <c r="V141" s="1">
        <v>7378732829</v>
      </c>
      <c r="W141" s="1" t="s">
        <v>1653</v>
      </c>
      <c r="X141" s="1" t="s">
        <v>3069</v>
      </c>
      <c r="Y141" s="1" t="s">
        <v>890</v>
      </c>
      <c r="Z141" s="1" t="s">
        <v>92</v>
      </c>
      <c r="AA141" s="1" t="s">
        <v>3069</v>
      </c>
      <c r="AB141" s="1" t="s">
        <v>890</v>
      </c>
      <c r="AC141" s="1" t="s">
        <v>92</v>
      </c>
      <c r="AD141" s="1">
        <v>8.64</v>
      </c>
      <c r="AE141" s="1" t="s">
        <v>93</v>
      </c>
      <c r="AF141" s="1" t="s">
        <v>3070</v>
      </c>
      <c r="AG141" s="1" t="s">
        <v>3071</v>
      </c>
      <c r="AH141" s="1" t="s">
        <v>165</v>
      </c>
      <c r="AI141" s="1" t="s">
        <v>281</v>
      </c>
      <c r="AJ141" s="1">
        <v>92</v>
      </c>
      <c r="AK141" s="1"/>
      <c r="AL141" s="1" t="s">
        <v>3072</v>
      </c>
      <c r="AM141" s="1" t="s">
        <v>3071</v>
      </c>
      <c r="AN141" s="1" t="s">
        <v>433</v>
      </c>
      <c r="AO141" s="1" t="s">
        <v>360</v>
      </c>
      <c r="AP141" s="1">
        <v>80</v>
      </c>
      <c r="AQ141" s="1"/>
      <c r="AR141" s="1"/>
      <c r="AS141" s="1"/>
      <c r="AT141" s="1"/>
      <c r="AU141" s="1"/>
      <c r="AV141" s="1"/>
      <c r="AW141" s="1"/>
      <c r="AX141" s="1" t="s">
        <v>361</v>
      </c>
      <c r="AY141" s="1" t="s">
        <v>3073</v>
      </c>
      <c r="AZ141" s="1" t="s">
        <v>360</v>
      </c>
      <c r="BA141" s="1" t="s">
        <v>1292</v>
      </c>
      <c r="BB141" s="1">
        <v>76.64</v>
      </c>
      <c r="BC141" s="1">
        <v>8.47</v>
      </c>
      <c r="BD141" s="1"/>
      <c r="BE141" s="1"/>
      <c r="BF141" s="1"/>
      <c r="BG141" s="1"/>
      <c r="BH141" s="1"/>
      <c r="BI141" s="1"/>
      <c r="BJ141" s="1" t="s">
        <v>3074</v>
      </c>
      <c r="BK141" s="1"/>
      <c r="BL141" s="1"/>
      <c r="BM141" s="1" t="s">
        <v>3075</v>
      </c>
      <c r="BN141" s="1">
        <v>12</v>
      </c>
      <c r="BO141" s="1"/>
      <c r="BP141" s="1" t="str">
        <f>HYPERLINK("https://nconnect.nicmar.ac.in/storage/profile/ProfilePhoto_P25700124_567432.jpg","Download")</f>
        <v>0</v>
      </c>
      <c r="BQ141" s="3"/>
      <c r="BR141" s="3"/>
    </row>
    <row r="142" spans="1:70">
      <c r="A142" s="1" t="s">
        <v>70</v>
      </c>
      <c r="B142" s="1" t="s">
        <v>441</v>
      </c>
      <c r="C142" s="1" t="s">
        <v>3076</v>
      </c>
      <c r="D142" s="1" t="s">
        <v>929</v>
      </c>
      <c r="E142" s="1" t="s">
        <v>3077</v>
      </c>
      <c r="F142" s="1" t="s">
        <v>3078</v>
      </c>
      <c r="G142" s="1" t="s">
        <v>3079</v>
      </c>
      <c r="H142" s="1" t="s">
        <v>3080</v>
      </c>
      <c r="I142" s="1" t="s">
        <v>3081</v>
      </c>
      <c r="J142" s="1">
        <v>9029189774</v>
      </c>
      <c r="K142" s="1" t="s">
        <v>148</v>
      </c>
      <c r="L142" s="1" t="s">
        <v>3082</v>
      </c>
      <c r="M142" s="1" t="s">
        <v>81</v>
      </c>
      <c r="N142" s="1" t="s">
        <v>3083</v>
      </c>
      <c r="O142" s="1"/>
      <c r="P142" s="1" t="s">
        <v>472</v>
      </c>
      <c r="Q142" s="1" t="s">
        <v>3084</v>
      </c>
      <c r="R142" s="1" t="s">
        <v>3085</v>
      </c>
      <c r="S142" s="1">
        <v>9221309375</v>
      </c>
      <c r="T142" s="1" t="s">
        <v>3086</v>
      </c>
      <c r="U142" s="1" t="s">
        <v>3087</v>
      </c>
      <c r="V142" s="1">
        <v>9321451544</v>
      </c>
      <c r="W142" s="1" t="s">
        <v>156</v>
      </c>
      <c r="X142" s="1" t="s">
        <v>3088</v>
      </c>
      <c r="Y142" s="1" t="s">
        <v>2229</v>
      </c>
      <c r="Z142" s="1" t="s">
        <v>92</v>
      </c>
      <c r="AA142" s="1" t="s">
        <v>3088</v>
      </c>
      <c r="AB142" s="1" t="s">
        <v>2229</v>
      </c>
      <c r="AC142" s="1" t="s">
        <v>92</v>
      </c>
      <c r="AD142" s="1">
        <v>7.73</v>
      </c>
      <c r="AE142" s="1" t="s">
        <v>93</v>
      </c>
      <c r="AF142" s="1" t="s">
        <v>3089</v>
      </c>
      <c r="AG142" s="1" t="s">
        <v>160</v>
      </c>
      <c r="AH142" s="1" t="s">
        <v>161</v>
      </c>
      <c r="AI142" s="1" t="s">
        <v>1089</v>
      </c>
      <c r="AJ142" s="1">
        <v>78.4</v>
      </c>
      <c r="AK142" s="1"/>
      <c r="AL142" s="1"/>
      <c r="AM142" s="1"/>
      <c r="AN142" s="1"/>
      <c r="AO142" s="1"/>
      <c r="AP142" s="1"/>
      <c r="AQ142" s="1"/>
      <c r="AR142" s="1" t="s">
        <v>434</v>
      </c>
      <c r="AS142" s="1" t="s">
        <v>1943</v>
      </c>
      <c r="AT142" s="1" t="s">
        <v>134</v>
      </c>
      <c r="AU142" s="1" t="s">
        <v>433</v>
      </c>
      <c r="AV142" s="1">
        <v>73.93</v>
      </c>
      <c r="AW142" s="1">
        <v>7.78</v>
      </c>
      <c r="AX142" s="1" t="s">
        <v>253</v>
      </c>
      <c r="AY142" s="1" t="s">
        <v>3090</v>
      </c>
      <c r="AZ142" s="1" t="s">
        <v>201</v>
      </c>
      <c r="BA142" s="1" t="s">
        <v>105</v>
      </c>
      <c r="BB142" s="1">
        <v>73.52</v>
      </c>
      <c r="BC142" s="1">
        <v>8.42</v>
      </c>
      <c r="BD142" s="1"/>
      <c r="BE142" s="1"/>
      <c r="BF142" s="1"/>
      <c r="BG142" s="1"/>
      <c r="BH142" s="1"/>
      <c r="BI142" s="1"/>
      <c r="BJ142" s="1" t="s">
        <v>3091</v>
      </c>
      <c r="BK142" s="1" t="s">
        <v>3092</v>
      </c>
      <c r="BL142" s="1" t="s">
        <v>1335</v>
      </c>
      <c r="BM142" s="1" t="s">
        <v>3093</v>
      </c>
      <c r="BN142" s="1">
        <v>60</v>
      </c>
      <c r="BO142" s="1" t="s">
        <v>3094</v>
      </c>
      <c r="BP142" s="1" t="str">
        <f>HYPERLINK("https://nconnect.nicmar.ac.in/storage/profile/ProfilePhoto_P25700125_234987.jpg","Download")</f>
        <v>0</v>
      </c>
      <c r="BQ142" s="3"/>
      <c r="BR142" s="3"/>
    </row>
    <row r="143" spans="1:70">
      <c r="A143" s="1" t="s">
        <v>70</v>
      </c>
      <c r="B143" s="1" t="s">
        <v>441</v>
      </c>
      <c r="C143" s="1" t="s">
        <v>3095</v>
      </c>
      <c r="D143" s="1" t="s">
        <v>3096</v>
      </c>
      <c r="E143" s="1"/>
      <c r="F143" s="1" t="s">
        <v>3097</v>
      </c>
      <c r="G143" s="1" t="s">
        <v>3098</v>
      </c>
      <c r="H143" s="1" t="s">
        <v>3099</v>
      </c>
      <c r="I143" s="1" t="s">
        <v>3100</v>
      </c>
      <c r="J143" s="1">
        <v>7095626628</v>
      </c>
      <c r="K143" s="1" t="s">
        <v>148</v>
      </c>
      <c r="L143" s="1" t="s">
        <v>3101</v>
      </c>
      <c r="M143" s="1" t="s">
        <v>81</v>
      </c>
      <c r="N143" s="1" t="s">
        <v>3102</v>
      </c>
      <c r="O143" s="1"/>
      <c r="P143" s="1" t="s">
        <v>450</v>
      </c>
      <c r="Q143" s="1" t="s">
        <v>3103</v>
      </c>
      <c r="R143" s="1" t="s">
        <v>3104</v>
      </c>
      <c r="S143" s="1">
        <v>7569920980</v>
      </c>
      <c r="T143" s="1" t="s">
        <v>3105</v>
      </c>
      <c r="U143" s="1" t="s">
        <v>3106</v>
      </c>
      <c r="V143" s="1">
        <v>9505935783</v>
      </c>
      <c r="W143" s="1" t="s">
        <v>3107</v>
      </c>
      <c r="X143" s="1" t="s">
        <v>3108</v>
      </c>
      <c r="Y143" s="1" t="s">
        <v>3109</v>
      </c>
      <c r="Z143" s="1" t="s">
        <v>276</v>
      </c>
      <c r="AA143" s="1" t="s">
        <v>3110</v>
      </c>
      <c r="AB143" s="1" t="s">
        <v>3109</v>
      </c>
      <c r="AC143" s="1" t="s">
        <v>276</v>
      </c>
      <c r="AD143" s="1">
        <v>9.13</v>
      </c>
      <c r="AE143" s="1" t="s">
        <v>93</v>
      </c>
      <c r="AF143" s="1" t="s">
        <v>3111</v>
      </c>
      <c r="AG143" s="1" t="s">
        <v>2310</v>
      </c>
      <c r="AH143" s="1" t="s">
        <v>165</v>
      </c>
      <c r="AI143" s="1" t="s">
        <v>481</v>
      </c>
      <c r="AJ143" s="1">
        <v>97</v>
      </c>
      <c r="AK143" s="1">
        <v>9.7</v>
      </c>
      <c r="AL143" s="1"/>
      <c r="AM143" s="1"/>
      <c r="AN143" s="1"/>
      <c r="AO143" s="1"/>
      <c r="AP143" s="1"/>
      <c r="AQ143" s="1"/>
      <c r="AR143" s="1" t="s">
        <v>98</v>
      </c>
      <c r="AS143" s="1" t="s">
        <v>3112</v>
      </c>
      <c r="AT143" s="1" t="s">
        <v>101</v>
      </c>
      <c r="AU143" s="1" t="s">
        <v>2273</v>
      </c>
      <c r="AV143" s="1">
        <v>90.15</v>
      </c>
      <c r="AW143" s="1"/>
      <c r="AX143" s="1" t="s">
        <v>3113</v>
      </c>
      <c r="AY143" s="1" t="s">
        <v>3114</v>
      </c>
      <c r="AZ143" s="1" t="s">
        <v>852</v>
      </c>
      <c r="BA143" s="1" t="s">
        <v>1292</v>
      </c>
      <c r="BB143" s="1">
        <v>81.3</v>
      </c>
      <c r="BC143" s="1">
        <v>8.88</v>
      </c>
      <c r="BD143" s="1"/>
      <c r="BE143" s="1"/>
      <c r="BF143" s="1"/>
      <c r="BG143" s="1"/>
      <c r="BH143" s="1"/>
      <c r="BI143" s="1"/>
      <c r="BJ143" s="1" t="s">
        <v>3115</v>
      </c>
      <c r="BK143" s="1"/>
      <c r="BL143" s="1"/>
      <c r="BM143" s="1" t="s">
        <v>3116</v>
      </c>
      <c r="BN143" s="1">
        <v>41</v>
      </c>
      <c r="BO143" s="1"/>
      <c r="BP143" s="1" t="str">
        <f>HYPERLINK("https://nconnect.nicmar.ac.in/storage/profile/ProfilePhoto_P25700126_934175.jpg","Download")</f>
        <v>0</v>
      </c>
      <c r="BQ143" s="3"/>
      <c r="BR143" s="3"/>
    </row>
    <row r="144" spans="1:70">
      <c r="A144" s="1" t="s">
        <v>70</v>
      </c>
      <c r="B144" s="1" t="s">
        <v>441</v>
      </c>
      <c r="C144" s="1" t="s">
        <v>3117</v>
      </c>
      <c r="D144" s="1" t="s">
        <v>3118</v>
      </c>
      <c r="E144" s="1" t="s">
        <v>3119</v>
      </c>
      <c r="F144" s="1" t="s">
        <v>3120</v>
      </c>
      <c r="G144" s="1" t="s">
        <v>3121</v>
      </c>
      <c r="H144" s="1" t="s">
        <v>3122</v>
      </c>
      <c r="I144" s="1" t="s">
        <v>3123</v>
      </c>
      <c r="J144" s="1">
        <v>7385732663</v>
      </c>
      <c r="K144" s="1" t="s">
        <v>148</v>
      </c>
      <c r="L144" s="1" t="s">
        <v>3124</v>
      </c>
      <c r="M144" s="1" t="s">
        <v>81</v>
      </c>
      <c r="N144" s="1" t="s">
        <v>1140</v>
      </c>
      <c r="O144" s="1"/>
      <c r="P144" s="1" t="s">
        <v>1007</v>
      </c>
      <c r="Q144" s="1" t="s">
        <v>3125</v>
      </c>
      <c r="R144" s="1" t="s">
        <v>3126</v>
      </c>
      <c r="S144" s="1">
        <v>9359165126</v>
      </c>
      <c r="T144" s="1" t="s">
        <v>3127</v>
      </c>
      <c r="U144" s="1" t="s">
        <v>3128</v>
      </c>
      <c r="V144" s="1">
        <v>9021172362</v>
      </c>
      <c r="W144" s="1" t="s">
        <v>1553</v>
      </c>
      <c r="X144" s="1" t="s">
        <v>3129</v>
      </c>
      <c r="Y144" s="1" t="s">
        <v>405</v>
      </c>
      <c r="Z144" s="1" t="s">
        <v>92</v>
      </c>
      <c r="AA144" s="1" t="s">
        <v>3129</v>
      </c>
      <c r="AB144" s="1" t="s">
        <v>405</v>
      </c>
      <c r="AC144" s="1" t="s">
        <v>92</v>
      </c>
      <c r="AD144" s="1">
        <v>8.92</v>
      </c>
      <c r="AE144" s="1" t="s">
        <v>93</v>
      </c>
      <c r="AF144" s="1" t="s">
        <v>3130</v>
      </c>
      <c r="AG144" s="1" t="s">
        <v>758</v>
      </c>
      <c r="AH144" s="1" t="s">
        <v>3131</v>
      </c>
      <c r="AI144" s="1" t="s">
        <v>165</v>
      </c>
      <c r="AJ144" s="1">
        <v>82.2</v>
      </c>
      <c r="AK144" s="1">
        <v>9</v>
      </c>
      <c r="AL144" s="1" t="s">
        <v>3132</v>
      </c>
      <c r="AM144" s="1" t="s">
        <v>2348</v>
      </c>
      <c r="AN144" s="1" t="s">
        <v>433</v>
      </c>
      <c r="AO144" s="1" t="s">
        <v>360</v>
      </c>
      <c r="AP144" s="1">
        <v>66.31</v>
      </c>
      <c r="AQ144" s="1"/>
      <c r="AR144" s="1"/>
      <c r="AS144" s="1"/>
      <c r="AT144" s="1"/>
      <c r="AU144" s="1"/>
      <c r="AV144" s="1"/>
      <c r="AW144" s="1"/>
      <c r="AX144" s="1" t="s">
        <v>410</v>
      </c>
      <c r="AY144" s="1" t="s">
        <v>3133</v>
      </c>
      <c r="AZ144" s="1" t="s">
        <v>460</v>
      </c>
      <c r="BA144" s="1" t="s">
        <v>594</v>
      </c>
      <c r="BB144" s="1">
        <v>68.1</v>
      </c>
      <c r="BC144" s="1">
        <v>7.56</v>
      </c>
      <c r="BD144" s="1"/>
      <c r="BE144" s="1"/>
      <c r="BF144" s="1"/>
      <c r="BG144" s="1"/>
      <c r="BH144" s="1"/>
      <c r="BI144" s="1"/>
      <c r="BJ144" s="1" t="s">
        <v>3134</v>
      </c>
      <c r="BK144" s="1"/>
      <c r="BL144" s="1"/>
      <c r="BM144" s="1" t="s">
        <v>3135</v>
      </c>
      <c r="BN144" s="1">
        <v>23</v>
      </c>
      <c r="BO144" s="1" t="s">
        <v>3136</v>
      </c>
      <c r="BP144" s="1" t="str">
        <f>HYPERLINK("https://nconnect.nicmar.ac.in/storage/profile/ProfilePhoto_P25700127_184296.jpg","Download")</f>
        <v>0</v>
      </c>
      <c r="BQ144" s="3"/>
      <c r="BR144" s="3"/>
    </row>
    <row r="145" spans="1:70">
      <c r="A145" s="1" t="s">
        <v>70</v>
      </c>
      <c r="B145" s="1" t="s">
        <v>441</v>
      </c>
      <c r="C145" s="1" t="s">
        <v>3137</v>
      </c>
      <c r="D145" s="1" t="s">
        <v>3138</v>
      </c>
      <c r="E145" s="1"/>
      <c r="F145" s="1" t="s">
        <v>3139</v>
      </c>
      <c r="G145" s="1" t="s">
        <v>3140</v>
      </c>
      <c r="H145" s="1" t="s">
        <v>3141</v>
      </c>
      <c r="I145" s="1" t="s">
        <v>3142</v>
      </c>
      <c r="J145" s="1">
        <v>9606501819</v>
      </c>
      <c r="K145" s="1" t="s">
        <v>148</v>
      </c>
      <c r="L145" s="1" t="s">
        <v>3143</v>
      </c>
      <c r="M145" s="1" t="s">
        <v>81</v>
      </c>
      <c r="N145" s="1" t="s">
        <v>3144</v>
      </c>
      <c r="O145" s="1"/>
      <c r="P145" s="1" t="s">
        <v>450</v>
      </c>
      <c r="Q145" s="1" t="s">
        <v>3145</v>
      </c>
      <c r="R145" s="1" t="s">
        <v>3146</v>
      </c>
      <c r="S145" s="1">
        <v>9972894585</v>
      </c>
      <c r="T145" s="1" t="s">
        <v>3147</v>
      </c>
      <c r="U145" s="1" t="s">
        <v>3148</v>
      </c>
      <c r="V145" s="1">
        <v>9980537861</v>
      </c>
      <c r="W145" s="1" t="s">
        <v>3149</v>
      </c>
      <c r="X145" s="1" t="s">
        <v>3150</v>
      </c>
      <c r="Y145" s="1" t="s">
        <v>3151</v>
      </c>
      <c r="Z145" s="1" t="s">
        <v>1187</v>
      </c>
      <c r="AA145" s="1" t="s">
        <v>3150</v>
      </c>
      <c r="AB145" s="1" t="s">
        <v>3151</v>
      </c>
      <c r="AC145" s="1" t="s">
        <v>1187</v>
      </c>
      <c r="AD145" s="1">
        <v>9.05</v>
      </c>
      <c r="AE145" s="1" t="s">
        <v>93</v>
      </c>
      <c r="AF145" s="1" t="s">
        <v>3152</v>
      </c>
      <c r="AG145" s="1" t="s">
        <v>2175</v>
      </c>
      <c r="AH145" s="1" t="s">
        <v>161</v>
      </c>
      <c r="AI145" s="1" t="s">
        <v>614</v>
      </c>
      <c r="AJ145" s="1">
        <v>91.5</v>
      </c>
      <c r="AK145" s="1">
        <v>0</v>
      </c>
      <c r="AL145" s="1" t="s">
        <v>3153</v>
      </c>
      <c r="AM145" s="1" t="s">
        <v>1193</v>
      </c>
      <c r="AN145" s="1" t="s">
        <v>165</v>
      </c>
      <c r="AO145" s="1" t="s">
        <v>166</v>
      </c>
      <c r="AP145" s="1">
        <v>93.33</v>
      </c>
      <c r="AQ145" s="1">
        <v>0</v>
      </c>
      <c r="AR145" s="1"/>
      <c r="AS145" s="1"/>
      <c r="AT145" s="1"/>
      <c r="AU145" s="1"/>
      <c r="AV145" s="1"/>
      <c r="AW145" s="1"/>
      <c r="AX145" s="1" t="s">
        <v>717</v>
      </c>
      <c r="AY145" s="1" t="s">
        <v>3154</v>
      </c>
      <c r="AZ145" s="1" t="s">
        <v>101</v>
      </c>
      <c r="BA145" s="1" t="s">
        <v>229</v>
      </c>
      <c r="BB145" s="1">
        <v>77.9</v>
      </c>
      <c r="BC145" s="1">
        <v>8.54</v>
      </c>
      <c r="BD145" s="1"/>
      <c r="BE145" s="1"/>
      <c r="BF145" s="1"/>
      <c r="BG145" s="1"/>
      <c r="BH145" s="1"/>
      <c r="BI145" s="1"/>
      <c r="BJ145" s="1" t="s">
        <v>3155</v>
      </c>
      <c r="BK145" s="1" t="s">
        <v>3156</v>
      </c>
      <c r="BL145" s="1" t="s">
        <v>2215</v>
      </c>
      <c r="BM145" s="1" t="s">
        <v>3157</v>
      </c>
      <c r="BN145" s="1">
        <v>24</v>
      </c>
      <c r="BO145" s="1" t="s">
        <v>3158</v>
      </c>
      <c r="BP145" s="1" t="str">
        <f>HYPERLINK("https://nconnect.nicmar.ac.in/storage/profile/ProfilePhoto_P25700128_169427.jpg","Download")</f>
        <v>0</v>
      </c>
      <c r="BQ145" s="3"/>
      <c r="BR145" s="3"/>
    </row>
    <row r="146" spans="1:70">
      <c r="A146" s="1" t="s">
        <v>70</v>
      </c>
      <c r="B146" s="1" t="s">
        <v>441</v>
      </c>
      <c r="C146" s="1" t="s">
        <v>3159</v>
      </c>
      <c r="D146" s="1" t="s">
        <v>3160</v>
      </c>
      <c r="E146" s="1"/>
      <c r="F146" s="1" t="s">
        <v>3161</v>
      </c>
      <c r="G146" s="1" t="s">
        <v>3162</v>
      </c>
      <c r="H146" s="1" t="s">
        <v>3163</v>
      </c>
      <c r="I146" s="1" t="s">
        <v>3164</v>
      </c>
      <c r="J146" s="1">
        <v>8330872736</v>
      </c>
      <c r="K146" s="1" t="s">
        <v>148</v>
      </c>
      <c r="L146" s="1" t="s">
        <v>3165</v>
      </c>
      <c r="M146" s="1" t="s">
        <v>81</v>
      </c>
      <c r="N146" s="1" t="s">
        <v>3166</v>
      </c>
      <c r="O146" s="1"/>
      <c r="P146" s="1" t="s">
        <v>450</v>
      </c>
      <c r="Q146" s="1" t="s">
        <v>3167</v>
      </c>
      <c r="R146" s="1" t="s">
        <v>3168</v>
      </c>
      <c r="S146" s="1">
        <v>9447672243</v>
      </c>
      <c r="T146" s="1" t="s">
        <v>3169</v>
      </c>
      <c r="U146" s="1" t="s">
        <v>3170</v>
      </c>
      <c r="V146" s="1">
        <v>8289980736</v>
      </c>
      <c r="W146" s="1" t="s">
        <v>3171</v>
      </c>
      <c r="X146" s="1" t="s">
        <v>3172</v>
      </c>
      <c r="Y146" s="1" t="s">
        <v>1285</v>
      </c>
      <c r="Z146" s="1" t="s">
        <v>125</v>
      </c>
      <c r="AA146" s="1" t="s">
        <v>3172</v>
      </c>
      <c r="AB146" s="1" t="s">
        <v>1285</v>
      </c>
      <c r="AC146" s="1" t="s">
        <v>125</v>
      </c>
      <c r="AD146" s="1">
        <v>8.67</v>
      </c>
      <c r="AE146" s="1" t="s">
        <v>93</v>
      </c>
      <c r="AF146" s="1" t="s">
        <v>3173</v>
      </c>
      <c r="AG146" s="1" t="s">
        <v>3174</v>
      </c>
      <c r="AH146" s="1" t="s">
        <v>101</v>
      </c>
      <c r="AI146" s="1" t="s">
        <v>308</v>
      </c>
      <c r="AJ146" s="1">
        <v>91.6</v>
      </c>
      <c r="AK146" s="1"/>
      <c r="AL146" s="1" t="s">
        <v>3173</v>
      </c>
      <c r="AM146" s="1" t="s">
        <v>3174</v>
      </c>
      <c r="AN146" s="1" t="s">
        <v>460</v>
      </c>
      <c r="AO146" s="1" t="s">
        <v>539</v>
      </c>
      <c r="AP146" s="1">
        <v>85.8</v>
      </c>
      <c r="AQ146" s="1"/>
      <c r="AR146" s="1"/>
      <c r="AS146" s="1"/>
      <c r="AT146" s="1"/>
      <c r="AU146" s="1"/>
      <c r="AV146" s="1"/>
      <c r="AW146" s="1"/>
      <c r="AX146" s="1" t="s">
        <v>132</v>
      </c>
      <c r="AY146" s="1" t="s">
        <v>3175</v>
      </c>
      <c r="AZ146" s="1" t="s">
        <v>593</v>
      </c>
      <c r="BA146" s="1" t="s">
        <v>594</v>
      </c>
      <c r="BB146" s="1">
        <v>75</v>
      </c>
      <c r="BC146" s="1">
        <v>7.5</v>
      </c>
      <c r="BD146" s="1"/>
      <c r="BE146" s="1"/>
      <c r="BF146" s="1"/>
      <c r="BG146" s="1"/>
      <c r="BH146" s="1"/>
      <c r="BI146" s="1"/>
      <c r="BJ146" s="1" t="s">
        <v>3176</v>
      </c>
      <c r="BK146" s="1"/>
      <c r="BL146" s="1"/>
      <c r="BM146" s="1" t="s">
        <v>3177</v>
      </c>
      <c r="BN146" s="1">
        <v>10</v>
      </c>
      <c r="BO146" s="1"/>
      <c r="BP146" s="1" t="str">
        <f>HYPERLINK("https://nconnect.nicmar.ac.in/storage/profile/ProfilePhoto_P25700129_792154.jpg","Download")</f>
        <v>0</v>
      </c>
      <c r="BQ146" s="3"/>
      <c r="BR146" s="3"/>
    </row>
    <row r="147" spans="1:70">
      <c r="A147" s="1" t="s">
        <v>70</v>
      </c>
      <c r="B147" s="1" t="s">
        <v>441</v>
      </c>
      <c r="C147" s="1" t="s">
        <v>3178</v>
      </c>
      <c r="D147" s="1" t="s">
        <v>3179</v>
      </c>
      <c r="E147" s="1" t="s">
        <v>3180</v>
      </c>
      <c r="F147" s="1" t="s">
        <v>3181</v>
      </c>
      <c r="G147" s="1" t="s">
        <v>3182</v>
      </c>
      <c r="H147" s="1" t="s">
        <v>3183</v>
      </c>
      <c r="I147" s="1" t="s">
        <v>3184</v>
      </c>
      <c r="J147" s="1">
        <v>9146478193</v>
      </c>
      <c r="K147" s="1" t="s">
        <v>148</v>
      </c>
      <c r="L147" s="1" t="s">
        <v>3185</v>
      </c>
      <c r="M147" s="1" t="s">
        <v>81</v>
      </c>
      <c r="N147" s="1" t="s">
        <v>883</v>
      </c>
      <c r="O147" s="1"/>
      <c r="P147" s="1" t="s">
        <v>497</v>
      </c>
      <c r="Q147" s="1" t="s">
        <v>3186</v>
      </c>
      <c r="R147" s="1" t="s">
        <v>3180</v>
      </c>
      <c r="S147" s="1">
        <v>8999583483</v>
      </c>
      <c r="T147" s="1" t="s">
        <v>122</v>
      </c>
      <c r="U147" s="1" t="s">
        <v>3187</v>
      </c>
      <c r="V147" s="1">
        <v>9561761166</v>
      </c>
      <c r="W147" s="1" t="s">
        <v>156</v>
      </c>
      <c r="X147" s="1" t="s">
        <v>3188</v>
      </c>
      <c r="Y147" s="1" t="s">
        <v>191</v>
      </c>
      <c r="Z147" s="1" t="s">
        <v>92</v>
      </c>
      <c r="AA147" s="1" t="s">
        <v>3189</v>
      </c>
      <c r="AB147" s="1" t="s">
        <v>191</v>
      </c>
      <c r="AC147" s="1" t="s">
        <v>92</v>
      </c>
      <c r="AD147" s="1">
        <v>8.28</v>
      </c>
      <c r="AE147" s="1" t="s">
        <v>93</v>
      </c>
      <c r="AF147" s="1" t="s">
        <v>3190</v>
      </c>
      <c r="AG147" s="1" t="s">
        <v>3191</v>
      </c>
      <c r="AH147" s="1" t="s">
        <v>162</v>
      </c>
      <c r="AI147" s="1" t="s">
        <v>195</v>
      </c>
      <c r="AJ147" s="1">
        <v>83</v>
      </c>
      <c r="AK147" s="1"/>
      <c r="AL147" s="1" t="s">
        <v>3192</v>
      </c>
      <c r="AM147" s="1" t="s">
        <v>3191</v>
      </c>
      <c r="AN147" s="1" t="s">
        <v>101</v>
      </c>
      <c r="AO147" s="1" t="s">
        <v>198</v>
      </c>
      <c r="AP147" s="1">
        <v>61.69</v>
      </c>
      <c r="AQ147" s="1"/>
      <c r="AR147" s="1"/>
      <c r="AS147" s="1"/>
      <c r="AT147" s="1"/>
      <c r="AU147" s="1"/>
      <c r="AV147" s="1"/>
      <c r="AW147" s="1"/>
      <c r="AX147" s="1" t="s">
        <v>3193</v>
      </c>
      <c r="AY147" s="1" t="s">
        <v>3194</v>
      </c>
      <c r="AZ147" s="1" t="s">
        <v>433</v>
      </c>
      <c r="BA147" s="1" t="s">
        <v>202</v>
      </c>
      <c r="BB147" s="1">
        <v>64</v>
      </c>
      <c r="BC147" s="1">
        <v>7.15</v>
      </c>
      <c r="BD147" s="1"/>
      <c r="BE147" s="1"/>
      <c r="BF147" s="1"/>
      <c r="BG147" s="1"/>
      <c r="BH147" s="1"/>
      <c r="BI147" s="1"/>
      <c r="BJ147" s="1" t="s">
        <v>3195</v>
      </c>
      <c r="BK147" s="1"/>
      <c r="BL147" s="1"/>
      <c r="BM147" s="1" t="s">
        <v>3196</v>
      </c>
      <c r="BN147" s="1">
        <v>30</v>
      </c>
      <c r="BO147" s="1"/>
      <c r="BP147" s="1" t="str">
        <f>HYPERLINK("https://nconnect.nicmar.ac.in/storage/profile/ProfilePhoto_P25700130_468259.jpg","Download")</f>
        <v>0</v>
      </c>
      <c r="BQ147" s="3"/>
      <c r="BR147" s="3"/>
    </row>
    <row r="148" spans="1:70">
      <c r="A148" s="1" t="s">
        <v>70</v>
      </c>
      <c r="B148" s="1" t="s">
        <v>441</v>
      </c>
      <c r="C148" s="1" t="s">
        <v>3197</v>
      </c>
      <c r="D148" s="1" t="s">
        <v>3198</v>
      </c>
      <c r="E148" s="1"/>
      <c r="F148" s="1" t="s">
        <v>3199</v>
      </c>
      <c r="G148" s="1" t="s">
        <v>3200</v>
      </c>
      <c r="H148" s="1" t="s">
        <v>3201</v>
      </c>
      <c r="I148" s="1" t="s">
        <v>3202</v>
      </c>
      <c r="J148" s="1">
        <v>8289866254</v>
      </c>
      <c r="K148" s="1" t="s">
        <v>148</v>
      </c>
      <c r="L148" s="1" t="s">
        <v>3203</v>
      </c>
      <c r="M148" s="1" t="s">
        <v>81</v>
      </c>
      <c r="N148" s="1" t="s">
        <v>2362</v>
      </c>
      <c r="O148" s="1"/>
      <c r="P148" s="1" t="s">
        <v>472</v>
      </c>
      <c r="Q148" s="1" t="s">
        <v>3204</v>
      </c>
      <c r="R148" s="1" t="s">
        <v>3205</v>
      </c>
      <c r="S148" s="1">
        <v>9446472524</v>
      </c>
      <c r="T148" s="1" t="s">
        <v>120</v>
      </c>
      <c r="U148" s="1" t="s">
        <v>3206</v>
      </c>
      <c r="V148" s="1">
        <v>9446412524</v>
      </c>
      <c r="W148" s="1" t="s">
        <v>3207</v>
      </c>
      <c r="X148" s="1" t="s">
        <v>3208</v>
      </c>
      <c r="Y148" s="1" t="s">
        <v>3209</v>
      </c>
      <c r="Z148" s="1" t="s">
        <v>125</v>
      </c>
      <c r="AA148" s="1" t="s">
        <v>3208</v>
      </c>
      <c r="AB148" s="1" t="s">
        <v>3209</v>
      </c>
      <c r="AC148" s="1" t="s">
        <v>125</v>
      </c>
      <c r="AD148" s="1">
        <v>8.34</v>
      </c>
      <c r="AE148" s="1" t="s">
        <v>93</v>
      </c>
      <c r="AF148" s="1" t="s">
        <v>3210</v>
      </c>
      <c r="AG148" s="1" t="s">
        <v>3211</v>
      </c>
      <c r="AH148" s="1" t="s">
        <v>96</v>
      </c>
      <c r="AI148" s="1" t="s">
        <v>97</v>
      </c>
      <c r="AJ148" s="1">
        <v>90</v>
      </c>
      <c r="AK148" s="1"/>
      <c r="AL148" s="1" t="s">
        <v>3212</v>
      </c>
      <c r="AM148" s="1" t="s">
        <v>3213</v>
      </c>
      <c r="AN148" s="1" t="s">
        <v>162</v>
      </c>
      <c r="AO148" s="1" t="s">
        <v>195</v>
      </c>
      <c r="AP148" s="1">
        <v>94.08</v>
      </c>
      <c r="AQ148" s="1"/>
      <c r="AR148" s="1"/>
      <c r="AS148" s="1"/>
      <c r="AT148" s="1"/>
      <c r="AU148" s="1"/>
      <c r="AV148" s="1"/>
      <c r="AW148" s="1"/>
      <c r="AX148" s="1" t="s">
        <v>132</v>
      </c>
      <c r="AY148" s="1" t="s">
        <v>3214</v>
      </c>
      <c r="AZ148" s="1" t="s">
        <v>1043</v>
      </c>
      <c r="BA148" s="1" t="s">
        <v>1219</v>
      </c>
      <c r="BB148" s="1">
        <v>67.4</v>
      </c>
      <c r="BC148" s="1">
        <v>6.74</v>
      </c>
      <c r="BD148" s="1"/>
      <c r="BE148" s="1"/>
      <c r="BF148" s="1"/>
      <c r="BG148" s="1"/>
      <c r="BH148" s="1"/>
      <c r="BI148" s="1"/>
      <c r="BJ148" s="1" t="s">
        <v>3215</v>
      </c>
      <c r="BK148" s="1" t="s">
        <v>3216</v>
      </c>
      <c r="BL148" s="1" t="s">
        <v>1048</v>
      </c>
      <c r="BM148" s="1" t="s">
        <v>3217</v>
      </c>
      <c r="BN148" s="1">
        <v>9</v>
      </c>
      <c r="BO148" s="1" t="s">
        <v>3218</v>
      </c>
      <c r="BP148" s="1" t="str">
        <f>HYPERLINK("https://nconnect.nicmar.ac.in/storage/profile/ProfilePhoto_P25700131_136529.jpg","Download")</f>
        <v>0</v>
      </c>
      <c r="BQ148" s="3"/>
      <c r="BR148" s="3"/>
    </row>
    <row r="149" spans="1:70">
      <c r="A149" s="1" t="s">
        <v>70</v>
      </c>
      <c r="B149" s="1" t="s">
        <v>441</v>
      </c>
      <c r="C149" s="1" t="s">
        <v>3219</v>
      </c>
      <c r="D149" s="1" t="s">
        <v>3220</v>
      </c>
      <c r="E149" s="1" t="s">
        <v>2242</v>
      </c>
      <c r="F149" s="1" t="s">
        <v>3221</v>
      </c>
      <c r="G149" s="1" t="s">
        <v>3222</v>
      </c>
      <c r="H149" s="1" t="s">
        <v>3223</v>
      </c>
      <c r="I149" s="1" t="s">
        <v>3224</v>
      </c>
      <c r="J149" s="1">
        <v>9975532344</v>
      </c>
      <c r="K149" s="1" t="s">
        <v>148</v>
      </c>
      <c r="L149" s="1" t="s">
        <v>3225</v>
      </c>
      <c r="M149" s="1" t="s">
        <v>81</v>
      </c>
      <c r="N149" s="1" t="s">
        <v>1140</v>
      </c>
      <c r="O149" s="1"/>
      <c r="P149" s="1" t="s">
        <v>450</v>
      </c>
      <c r="Q149" s="1" t="s">
        <v>3226</v>
      </c>
      <c r="R149" s="1" t="s">
        <v>2242</v>
      </c>
      <c r="S149" s="1">
        <v>8421633601</v>
      </c>
      <c r="T149" s="1" t="s">
        <v>820</v>
      </c>
      <c r="U149" s="1" t="s">
        <v>3227</v>
      </c>
      <c r="V149" s="1">
        <v>9011127409</v>
      </c>
      <c r="W149" s="1" t="s">
        <v>156</v>
      </c>
      <c r="X149" s="1" t="s">
        <v>3228</v>
      </c>
      <c r="Y149" s="1" t="s">
        <v>328</v>
      </c>
      <c r="Z149" s="1" t="s">
        <v>92</v>
      </c>
      <c r="AA149" s="1" t="s">
        <v>3228</v>
      </c>
      <c r="AB149" s="1" t="s">
        <v>328</v>
      </c>
      <c r="AC149" s="1" t="s">
        <v>92</v>
      </c>
      <c r="AD149" s="1">
        <v>7.79</v>
      </c>
      <c r="AE149" s="1" t="s">
        <v>93</v>
      </c>
      <c r="AF149" s="1" t="s">
        <v>3229</v>
      </c>
      <c r="AG149" s="1" t="s">
        <v>3230</v>
      </c>
      <c r="AH149" s="1" t="s">
        <v>101</v>
      </c>
      <c r="AI149" s="1" t="s">
        <v>409</v>
      </c>
      <c r="AJ149" s="1">
        <v>71</v>
      </c>
      <c r="AK149" s="1"/>
      <c r="AL149" s="1" t="s">
        <v>3231</v>
      </c>
      <c r="AM149" s="1" t="s">
        <v>3230</v>
      </c>
      <c r="AN149" s="1" t="s">
        <v>1019</v>
      </c>
      <c r="AO149" s="1" t="s">
        <v>1148</v>
      </c>
      <c r="AP149" s="1">
        <v>93</v>
      </c>
      <c r="AQ149" s="1"/>
      <c r="AR149" s="1"/>
      <c r="AS149" s="1"/>
      <c r="AT149" s="1"/>
      <c r="AU149" s="1"/>
      <c r="AV149" s="1"/>
      <c r="AW149" s="1"/>
      <c r="AX149" s="1" t="s">
        <v>335</v>
      </c>
      <c r="AY149" s="1" t="s">
        <v>3232</v>
      </c>
      <c r="AZ149" s="1" t="s">
        <v>436</v>
      </c>
      <c r="BA149" s="1" t="s">
        <v>594</v>
      </c>
      <c r="BB149" s="1">
        <v>67.62</v>
      </c>
      <c r="BC149" s="1">
        <v>7.62</v>
      </c>
      <c r="BD149" s="1"/>
      <c r="BE149" s="1"/>
      <c r="BF149" s="1"/>
      <c r="BG149" s="1"/>
      <c r="BH149" s="1"/>
      <c r="BI149" s="1"/>
      <c r="BJ149" s="1" t="s">
        <v>567</v>
      </c>
      <c r="BK149" s="1"/>
      <c r="BL149" s="1"/>
      <c r="BM149" s="1" t="s">
        <v>3233</v>
      </c>
      <c r="BN149" s="1">
        <v>10</v>
      </c>
      <c r="BO149" s="1"/>
      <c r="BP149" s="1" t="str">
        <f>HYPERLINK("https://nconnect.nicmar.ac.in/storage/profile/ProfilePhoto_P25700132_591768.jpg","Download")</f>
        <v>0</v>
      </c>
      <c r="BQ149" s="3"/>
      <c r="BR149" s="3"/>
    </row>
    <row r="150" spans="1:70">
      <c r="A150" s="1" t="s">
        <v>70</v>
      </c>
      <c r="B150" s="1" t="s">
        <v>441</v>
      </c>
      <c r="C150" s="1" t="s">
        <v>3234</v>
      </c>
      <c r="D150" s="1" t="s">
        <v>3235</v>
      </c>
      <c r="E150" s="1" t="s">
        <v>3236</v>
      </c>
      <c r="F150" s="1" t="s">
        <v>3237</v>
      </c>
      <c r="G150" s="1" t="s">
        <v>3238</v>
      </c>
      <c r="H150" s="1" t="s">
        <v>3239</v>
      </c>
      <c r="I150" s="1" t="s">
        <v>3240</v>
      </c>
      <c r="J150" s="1">
        <v>9819507312</v>
      </c>
      <c r="K150" s="1" t="s">
        <v>148</v>
      </c>
      <c r="L150" s="1" t="s">
        <v>3241</v>
      </c>
      <c r="M150" s="1" t="s">
        <v>81</v>
      </c>
      <c r="N150" s="1" t="s">
        <v>1161</v>
      </c>
      <c r="O150" s="1"/>
      <c r="P150" s="1" t="s">
        <v>472</v>
      </c>
      <c r="Q150" s="1" t="s">
        <v>3242</v>
      </c>
      <c r="R150" s="1" t="s">
        <v>3243</v>
      </c>
      <c r="S150" s="1">
        <v>8104891124</v>
      </c>
      <c r="T150" s="1" t="s">
        <v>3244</v>
      </c>
      <c r="U150" s="1" t="s">
        <v>3245</v>
      </c>
      <c r="V150" s="1">
        <v>9819075437</v>
      </c>
      <c r="W150" s="1" t="s">
        <v>632</v>
      </c>
      <c r="X150" s="1" t="s">
        <v>3246</v>
      </c>
      <c r="Y150" s="1" t="s">
        <v>2229</v>
      </c>
      <c r="Z150" s="1" t="s">
        <v>92</v>
      </c>
      <c r="AA150" s="1" t="s">
        <v>3246</v>
      </c>
      <c r="AB150" s="1" t="s">
        <v>2229</v>
      </c>
      <c r="AC150" s="1" t="s">
        <v>92</v>
      </c>
      <c r="AD150" s="1">
        <v>8.44</v>
      </c>
      <c r="AE150" s="1" t="s">
        <v>93</v>
      </c>
      <c r="AF150" s="1" t="s">
        <v>3247</v>
      </c>
      <c r="AG150" s="1" t="s">
        <v>3248</v>
      </c>
      <c r="AH150" s="1" t="s">
        <v>162</v>
      </c>
      <c r="AI150" s="1" t="s">
        <v>195</v>
      </c>
      <c r="AJ150" s="1">
        <v>78.8</v>
      </c>
      <c r="AK150" s="1"/>
      <c r="AL150" s="1" t="s">
        <v>3249</v>
      </c>
      <c r="AM150" s="1" t="s">
        <v>3250</v>
      </c>
      <c r="AN150" s="1" t="s">
        <v>1043</v>
      </c>
      <c r="AO150" s="1" t="s">
        <v>198</v>
      </c>
      <c r="AP150" s="1">
        <v>64.62</v>
      </c>
      <c r="AQ150" s="1"/>
      <c r="AR150" s="1"/>
      <c r="AS150" s="1"/>
      <c r="AT150" s="1"/>
      <c r="AU150" s="1"/>
      <c r="AV150" s="1"/>
      <c r="AW150" s="1"/>
      <c r="AX150" s="1" t="s">
        <v>253</v>
      </c>
      <c r="AY150" s="1" t="s">
        <v>3251</v>
      </c>
      <c r="AZ150" s="1" t="s">
        <v>201</v>
      </c>
      <c r="BA150" s="1" t="s">
        <v>174</v>
      </c>
      <c r="BB150" s="1">
        <v>77.01</v>
      </c>
      <c r="BC150" s="1"/>
      <c r="BD150" s="1"/>
      <c r="BE150" s="1"/>
      <c r="BF150" s="1"/>
      <c r="BG150" s="1"/>
      <c r="BH150" s="1"/>
      <c r="BI150" s="1"/>
      <c r="BJ150" s="1" t="s">
        <v>719</v>
      </c>
      <c r="BK150" s="1"/>
      <c r="BL150" s="1"/>
      <c r="BM150" s="1" t="s">
        <v>3252</v>
      </c>
      <c r="BN150" s="1">
        <v>97</v>
      </c>
      <c r="BO150" s="1" t="s">
        <v>3253</v>
      </c>
      <c r="BP150" s="1" t="str">
        <f>HYPERLINK("https://nconnect.nicmar.ac.in/storage/profile/ProfilePhoto_P25700133_325479.jpg","Download")</f>
        <v>0</v>
      </c>
      <c r="BQ150" s="3"/>
      <c r="BR150" s="3"/>
    </row>
    <row r="151" spans="1:70">
      <c r="A151" s="1" t="s">
        <v>70</v>
      </c>
      <c r="B151" s="1" t="s">
        <v>441</v>
      </c>
      <c r="C151" s="1" t="s">
        <v>3254</v>
      </c>
      <c r="D151" s="1" t="s">
        <v>3255</v>
      </c>
      <c r="E151" s="1"/>
      <c r="F151" s="1" t="s">
        <v>3256</v>
      </c>
      <c r="G151" s="1" t="s">
        <v>3257</v>
      </c>
      <c r="H151" s="1" t="s">
        <v>3258</v>
      </c>
      <c r="I151" s="1" t="s">
        <v>3259</v>
      </c>
      <c r="J151" s="1">
        <v>9995361307</v>
      </c>
      <c r="K151" s="1" t="s">
        <v>148</v>
      </c>
      <c r="L151" s="1" t="s">
        <v>3260</v>
      </c>
      <c r="M151" s="1" t="s">
        <v>150</v>
      </c>
      <c r="N151" s="1" t="s">
        <v>3166</v>
      </c>
      <c r="O151" s="1"/>
      <c r="P151" s="1" t="s">
        <v>497</v>
      </c>
      <c r="Q151" s="1" t="s">
        <v>3261</v>
      </c>
      <c r="R151" s="1" t="s">
        <v>3262</v>
      </c>
      <c r="S151" s="1">
        <v>7510861307</v>
      </c>
      <c r="T151" s="1" t="s">
        <v>3263</v>
      </c>
      <c r="U151" s="1" t="s">
        <v>3264</v>
      </c>
      <c r="V151" s="1">
        <v>9895820148</v>
      </c>
      <c r="W151" s="1" t="s">
        <v>156</v>
      </c>
      <c r="X151" s="1" t="s">
        <v>3265</v>
      </c>
      <c r="Y151" s="1" t="s">
        <v>3209</v>
      </c>
      <c r="Z151" s="1" t="s">
        <v>125</v>
      </c>
      <c r="AA151" s="1" t="s">
        <v>3265</v>
      </c>
      <c r="AB151" s="1" t="s">
        <v>3209</v>
      </c>
      <c r="AC151" s="1" t="s">
        <v>125</v>
      </c>
      <c r="AD151" s="1">
        <v>8.74</v>
      </c>
      <c r="AE151" s="1" t="s">
        <v>93</v>
      </c>
      <c r="AF151" s="1" t="s">
        <v>3266</v>
      </c>
      <c r="AG151" s="1" t="s">
        <v>3267</v>
      </c>
      <c r="AH151" s="1" t="s">
        <v>1190</v>
      </c>
      <c r="AI151" s="1" t="s">
        <v>505</v>
      </c>
      <c r="AJ151" s="1">
        <v>92.95</v>
      </c>
      <c r="AK151" s="1"/>
      <c r="AL151" s="1" t="s">
        <v>3266</v>
      </c>
      <c r="AM151" s="1" t="s">
        <v>3267</v>
      </c>
      <c r="AN151" s="1" t="s">
        <v>161</v>
      </c>
      <c r="AO151" s="1" t="s">
        <v>1089</v>
      </c>
      <c r="AP151" s="1">
        <v>84.92</v>
      </c>
      <c r="AQ151" s="1"/>
      <c r="AR151" s="1"/>
      <c r="AS151" s="1"/>
      <c r="AT151" s="1"/>
      <c r="AU151" s="1"/>
      <c r="AV151" s="1"/>
      <c r="AW151" s="1"/>
      <c r="AX151" s="1" t="s">
        <v>132</v>
      </c>
      <c r="AY151" s="1" t="s">
        <v>3268</v>
      </c>
      <c r="AZ151" s="1" t="s">
        <v>162</v>
      </c>
      <c r="BA151" s="1" t="s">
        <v>871</v>
      </c>
      <c r="BB151" s="1">
        <v>70.15</v>
      </c>
      <c r="BC151" s="1">
        <v>7.39</v>
      </c>
      <c r="BD151" s="1"/>
      <c r="BE151" s="1"/>
      <c r="BF151" s="1"/>
      <c r="BG151" s="1"/>
      <c r="BH151" s="1"/>
      <c r="BI151" s="1"/>
      <c r="BJ151" s="1" t="s">
        <v>3269</v>
      </c>
      <c r="BK151" s="1"/>
      <c r="BL151" s="1"/>
      <c r="BM151" s="1" t="s">
        <v>3270</v>
      </c>
      <c r="BN151" s="1">
        <v>50</v>
      </c>
      <c r="BO151" s="1" t="s">
        <v>3271</v>
      </c>
      <c r="BP151" s="1" t="str">
        <f>HYPERLINK("https://nconnect.nicmar.ac.in/storage/profile/ProfilePhoto_P25700134_358914.jpg","Download")</f>
        <v>0</v>
      </c>
      <c r="BQ151" s="3"/>
      <c r="BR151" s="3"/>
    </row>
    <row r="152" spans="1:70">
      <c r="A152" s="1" t="s">
        <v>70</v>
      </c>
      <c r="B152" s="1" t="s">
        <v>441</v>
      </c>
      <c r="C152" s="1" t="s">
        <v>3272</v>
      </c>
      <c r="D152" s="1" t="s">
        <v>3273</v>
      </c>
      <c r="E152" s="1"/>
      <c r="F152" s="1" t="s">
        <v>3274</v>
      </c>
      <c r="G152" s="1" t="s">
        <v>3275</v>
      </c>
      <c r="H152" s="1" t="s">
        <v>3276</v>
      </c>
      <c r="I152" s="1" t="s">
        <v>3277</v>
      </c>
      <c r="J152" s="1">
        <v>9526572346</v>
      </c>
      <c r="K152" s="1" t="s">
        <v>148</v>
      </c>
      <c r="L152" s="1" t="s">
        <v>3278</v>
      </c>
      <c r="M152" s="1" t="s">
        <v>81</v>
      </c>
      <c r="N152" s="1" t="s">
        <v>3279</v>
      </c>
      <c r="O152" s="1"/>
      <c r="P152" s="1" t="s">
        <v>450</v>
      </c>
      <c r="Q152" s="1" t="s">
        <v>3280</v>
      </c>
      <c r="R152" s="1" t="s">
        <v>3281</v>
      </c>
      <c r="S152" s="1">
        <v>6238791056</v>
      </c>
      <c r="T152" s="1" t="s">
        <v>1595</v>
      </c>
      <c r="U152" s="1" t="s">
        <v>3282</v>
      </c>
      <c r="V152" s="1">
        <v>9846809792</v>
      </c>
      <c r="W152" s="1" t="s">
        <v>156</v>
      </c>
      <c r="X152" s="1" t="s">
        <v>3283</v>
      </c>
      <c r="Y152" s="1" t="s">
        <v>1285</v>
      </c>
      <c r="Z152" s="1" t="s">
        <v>125</v>
      </c>
      <c r="AA152" s="1" t="s">
        <v>3283</v>
      </c>
      <c r="AB152" s="1" t="s">
        <v>1285</v>
      </c>
      <c r="AC152" s="1" t="s">
        <v>125</v>
      </c>
      <c r="AD152" s="1">
        <v>8.23</v>
      </c>
      <c r="AE152" s="1" t="s">
        <v>93</v>
      </c>
      <c r="AF152" s="1" t="s">
        <v>3284</v>
      </c>
      <c r="AG152" s="1" t="s">
        <v>688</v>
      </c>
      <c r="AH152" s="1" t="s">
        <v>161</v>
      </c>
      <c r="AI152" s="1" t="s">
        <v>614</v>
      </c>
      <c r="AJ152" s="1">
        <v>93.1</v>
      </c>
      <c r="AK152" s="1">
        <v>9.8</v>
      </c>
      <c r="AL152" s="1" t="s">
        <v>3284</v>
      </c>
      <c r="AM152" s="1" t="s">
        <v>688</v>
      </c>
      <c r="AN152" s="1" t="s">
        <v>165</v>
      </c>
      <c r="AO152" s="1" t="s">
        <v>166</v>
      </c>
      <c r="AP152" s="1">
        <v>73.2</v>
      </c>
      <c r="AQ152" s="1">
        <v>7.32</v>
      </c>
      <c r="AR152" s="1"/>
      <c r="AS152" s="1"/>
      <c r="AT152" s="1"/>
      <c r="AU152" s="1"/>
      <c r="AV152" s="1"/>
      <c r="AW152" s="1"/>
      <c r="AX152" s="1" t="s">
        <v>132</v>
      </c>
      <c r="AY152" s="1" t="s">
        <v>3285</v>
      </c>
      <c r="AZ152" s="1" t="s">
        <v>169</v>
      </c>
      <c r="BA152" s="1" t="s">
        <v>284</v>
      </c>
      <c r="BB152" s="1">
        <v>75.1</v>
      </c>
      <c r="BC152" s="1"/>
      <c r="BD152" s="1"/>
      <c r="BE152" s="1"/>
      <c r="BF152" s="1"/>
      <c r="BG152" s="1"/>
      <c r="BH152" s="1"/>
      <c r="BI152" s="1"/>
      <c r="BJ152" s="1" t="s">
        <v>567</v>
      </c>
      <c r="BK152" s="1"/>
      <c r="BL152" s="1"/>
      <c r="BM152" s="1" t="s">
        <v>3286</v>
      </c>
      <c r="BN152" s="1">
        <v>60</v>
      </c>
      <c r="BO152" s="1"/>
      <c r="BP152" s="1" t="str">
        <f>HYPERLINK("https://nconnect.nicmar.ac.in/storage/profile/ProfilePhoto_P25700135_792418.jpg","Download")</f>
        <v>0</v>
      </c>
      <c r="BQ152" s="3"/>
      <c r="BR152" s="3"/>
    </row>
    <row r="153" spans="1:70">
      <c r="A153" s="1" t="s">
        <v>70</v>
      </c>
      <c r="B153" s="1" t="s">
        <v>441</v>
      </c>
      <c r="C153" s="1" t="s">
        <v>3287</v>
      </c>
      <c r="D153" s="1" t="s">
        <v>3288</v>
      </c>
      <c r="E153" s="1"/>
      <c r="F153" s="1" t="s">
        <v>3289</v>
      </c>
      <c r="G153" s="1" t="s">
        <v>3290</v>
      </c>
      <c r="H153" s="1" t="s">
        <v>3291</v>
      </c>
      <c r="I153" s="1" t="s">
        <v>3292</v>
      </c>
      <c r="J153" s="1">
        <v>9563939574</v>
      </c>
      <c r="K153" s="1" t="s">
        <v>148</v>
      </c>
      <c r="L153" s="1" t="s">
        <v>3293</v>
      </c>
      <c r="M153" s="1" t="s">
        <v>150</v>
      </c>
      <c r="N153" s="1" t="s">
        <v>3294</v>
      </c>
      <c r="O153" s="1"/>
      <c r="P153" s="1" t="s">
        <v>497</v>
      </c>
      <c r="Q153" s="1" t="s">
        <v>3295</v>
      </c>
      <c r="R153" s="1" t="s">
        <v>3296</v>
      </c>
      <c r="S153" s="1">
        <v>9434171075</v>
      </c>
      <c r="T153" s="1" t="s">
        <v>3297</v>
      </c>
      <c r="U153" s="1" t="s">
        <v>3298</v>
      </c>
      <c r="V153" s="1">
        <v>6290276437</v>
      </c>
      <c r="W153" s="1" t="s">
        <v>156</v>
      </c>
      <c r="X153" s="1" t="s">
        <v>3299</v>
      </c>
      <c r="Y153" s="1" t="s">
        <v>3300</v>
      </c>
      <c r="Z153" s="1" t="s">
        <v>1211</v>
      </c>
      <c r="AA153" s="1" t="s">
        <v>3299</v>
      </c>
      <c r="AB153" s="1" t="s">
        <v>3300</v>
      </c>
      <c r="AC153" s="1" t="s">
        <v>1211</v>
      </c>
      <c r="AD153" s="1">
        <v>8.07</v>
      </c>
      <c r="AE153" s="1" t="s">
        <v>93</v>
      </c>
      <c r="AF153" s="1" t="s">
        <v>3301</v>
      </c>
      <c r="AG153" s="1" t="s">
        <v>3302</v>
      </c>
      <c r="AH153" s="1" t="s">
        <v>3303</v>
      </c>
      <c r="AI153" s="1" t="s">
        <v>249</v>
      </c>
      <c r="AJ153" s="1">
        <v>77.28</v>
      </c>
      <c r="AK153" s="1"/>
      <c r="AL153" s="1" t="s">
        <v>3304</v>
      </c>
      <c r="AM153" s="1" t="s">
        <v>3305</v>
      </c>
      <c r="AN153" s="1" t="s">
        <v>249</v>
      </c>
      <c r="AO153" s="1" t="s">
        <v>130</v>
      </c>
      <c r="AP153" s="1">
        <v>65.2</v>
      </c>
      <c r="AQ153" s="1"/>
      <c r="AR153" s="1"/>
      <c r="AS153" s="1"/>
      <c r="AT153" s="1"/>
      <c r="AU153" s="1"/>
      <c r="AV153" s="1"/>
      <c r="AW153" s="1"/>
      <c r="AX153" s="1" t="s">
        <v>1217</v>
      </c>
      <c r="AY153" s="1" t="s">
        <v>3306</v>
      </c>
      <c r="AZ153" s="1" t="s">
        <v>252</v>
      </c>
      <c r="BA153" s="1" t="s">
        <v>169</v>
      </c>
      <c r="BB153" s="1">
        <v>67.6</v>
      </c>
      <c r="BC153" s="1">
        <v>7.54</v>
      </c>
      <c r="BD153" s="1"/>
      <c r="BE153" s="1"/>
      <c r="BF153" s="1"/>
      <c r="BG153" s="1"/>
      <c r="BH153" s="1"/>
      <c r="BI153" s="1"/>
      <c r="BJ153" s="1" t="s">
        <v>3307</v>
      </c>
      <c r="BK153" s="1" t="s">
        <v>3308</v>
      </c>
      <c r="BL153" s="1" t="s">
        <v>3309</v>
      </c>
      <c r="BM153" s="1" t="s">
        <v>3310</v>
      </c>
      <c r="BN153" s="1">
        <v>113</v>
      </c>
      <c r="BO153" s="1" t="s">
        <v>830</v>
      </c>
      <c r="BP153" s="1" t="str">
        <f>HYPERLINK("https://nconnect.nicmar.ac.in/storage/profile/ProfilePhoto_P25700136_196742.jpg","Download")</f>
        <v>0</v>
      </c>
      <c r="BQ153" s="3"/>
      <c r="BR153" s="3"/>
    </row>
    <row r="154" spans="1:70">
      <c r="A154" s="1" t="s">
        <v>70</v>
      </c>
      <c r="B154" s="1" t="s">
        <v>441</v>
      </c>
      <c r="C154" s="1" t="s">
        <v>3311</v>
      </c>
      <c r="D154" s="1" t="s">
        <v>3312</v>
      </c>
      <c r="E154" s="1"/>
      <c r="F154" s="1" t="s">
        <v>1464</v>
      </c>
      <c r="G154" s="1" t="s">
        <v>3313</v>
      </c>
      <c r="H154" s="1" t="s">
        <v>3314</v>
      </c>
      <c r="I154" s="1" t="s">
        <v>3315</v>
      </c>
      <c r="J154" s="1">
        <v>6238245494</v>
      </c>
      <c r="K154" s="1" t="s">
        <v>79</v>
      </c>
      <c r="L154" s="1" t="s">
        <v>3316</v>
      </c>
      <c r="M154" s="1" t="s">
        <v>81</v>
      </c>
      <c r="N154" s="1" t="s">
        <v>3166</v>
      </c>
      <c r="O154" s="1"/>
      <c r="P154" s="1" t="s">
        <v>497</v>
      </c>
      <c r="Q154" s="1" t="s">
        <v>3317</v>
      </c>
      <c r="R154" s="1" t="s">
        <v>3318</v>
      </c>
      <c r="S154" s="1">
        <v>9847297977</v>
      </c>
      <c r="T154" s="1" t="s">
        <v>3319</v>
      </c>
      <c r="U154" s="1" t="s">
        <v>3320</v>
      </c>
      <c r="V154" s="1">
        <v>9847493320</v>
      </c>
      <c r="W154" s="1" t="s">
        <v>3321</v>
      </c>
      <c r="X154" s="1" t="s">
        <v>3322</v>
      </c>
      <c r="Y154" s="1" t="s">
        <v>3209</v>
      </c>
      <c r="Z154" s="1" t="s">
        <v>125</v>
      </c>
      <c r="AA154" s="1" t="s">
        <v>3322</v>
      </c>
      <c r="AB154" s="1" t="s">
        <v>3209</v>
      </c>
      <c r="AC154" s="1" t="s">
        <v>125</v>
      </c>
      <c r="AD154" s="1">
        <v>8.2</v>
      </c>
      <c r="AE154" s="1" t="s">
        <v>93</v>
      </c>
      <c r="AF154" s="1" t="s">
        <v>3323</v>
      </c>
      <c r="AG154" s="1" t="s">
        <v>3324</v>
      </c>
      <c r="AH154" s="1" t="s">
        <v>165</v>
      </c>
      <c r="AI154" s="1" t="s">
        <v>166</v>
      </c>
      <c r="AJ154" s="1">
        <v>82.83</v>
      </c>
      <c r="AK154" s="1"/>
      <c r="AL154" s="1" t="s">
        <v>3323</v>
      </c>
      <c r="AM154" s="1" t="s">
        <v>3324</v>
      </c>
      <c r="AN154" s="1" t="s">
        <v>433</v>
      </c>
      <c r="AO154" s="1" t="s">
        <v>173</v>
      </c>
      <c r="AP154" s="1">
        <v>75.2</v>
      </c>
      <c r="AQ154" s="1"/>
      <c r="AR154" s="1"/>
      <c r="AS154" s="1"/>
      <c r="AT154" s="1"/>
      <c r="AU154" s="1"/>
      <c r="AV154" s="1"/>
      <c r="AW154" s="1"/>
      <c r="AX154" s="1" t="s">
        <v>132</v>
      </c>
      <c r="AY154" s="1" t="s">
        <v>3325</v>
      </c>
      <c r="AZ154" s="1" t="s">
        <v>228</v>
      </c>
      <c r="BA154" s="1" t="s">
        <v>202</v>
      </c>
      <c r="BB154" s="1">
        <v>68.8</v>
      </c>
      <c r="BC154" s="1"/>
      <c r="BD154" s="1"/>
      <c r="BE154" s="1"/>
      <c r="BF154" s="1"/>
      <c r="BG154" s="1"/>
      <c r="BH154" s="1"/>
      <c r="BI154" s="1"/>
      <c r="BJ154" s="1" t="s">
        <v>3326</v>
      </c>
      <c r="BK154" s="1" t="s">
        <v>3327</v>
      </c>
      <c r="BL154" s="1" t="s">
        <v>1022</v>
      </c>
      <c r="BM154" s="1" t="s">
        <v>3328</v>
      </c>
      <c r="BN154" s="1">
        <v>8</v>
      </c>
      <c r="BO154" s="1"/>
      <c r="BP154" s="1" t="str">
        <f>HYPERLINK("https://nconnect.nicmar.ac.in/storage/profile/ProfilePhoto_P25700137_823974.jpg","Download")</f>
        <v>0</v>
      </c>
      <c r="BQ154" s="3"/>
      <c r="BR154" s="3"/>
    </row>
    <row r="155" spans="1:70">
      <c r="A155" s="1" t="s">
        <v>70</v>
      </c>
      <c r="B155" s="1" t="s">
        <v>441</v>
      </c>
      <c r="C155" s="1" t="s">
        <v>3329</v>
      </c>
      <c r="D155" s="1" t="s">
        <v>3330</v>
      </c>
      <c r="E155" s="1"/>
      <c r="F155" s="1" t="s">
        <v>3331</v>
      </c>
      <c r="G155" s="1" t="s">
        <v>3332</v>
      </c>
      <c r="H155" s="1" t="s">
        <v>3333</v>
      </c>
      <c r="I155" s="1" t="s">
        <v>3334</v>
      </c>
      <c r="J155" s="1">
        <v>7068336907</v>
      </c>
      <c r="K155" s="1" t="s">
        <v>79</v>
      </c>
      <c r="L155" s="1" t="s">
        <v>3335</v>
      </c>
      <c r="M155" s="1" t="s">
        <v>81</v>
      </c>
      <c r="N155" s="1" t="s">
        <v>241</v>
      </c>
      <c r="O155" s="1"/>
      <c r="P155" s="1" t="s">
        <v>497</v>
      </c>
      <c r="Q155" s="1" t="s">
        <v>3336</v>
      </c>
      <c r="R155" s="1" t="s">
        <v>3337</v>
      </c>
      <c r="S155" s="1">
        <v>9044024038</v>
      </c>
      <c r="T155" s="1" t="s">
        <v>216</v>
      </c>
      <c r="U155" s="1" t="s">
        <v>3338</v>
      </c>
      <c r="V155" s="1">
        <v>8090008254</v>
      </c>
      <c r="W155" s="1" t="s">
        <v>156</v>
      </c>
      <c r="X155" s="1" t="s">
        <v>3339</v>
      </c>
      <c r="Y155" s="1" t="s">
        <v>3340</v>
      </c>
      <c r="Z155" s="1" t="s">
        <v>534</v>
      </c>
      <c r="AA155" s="1" t="s">
        <v>3339</v>
      </c>
      <c r="AB155" s="1" t="s">
        <v>3340</v>
      </c>
      <c r="AC155" s="1" t="s">
        <v>534</v>
      </c>
      <c r="AD155" s="1">
        <v>8.36</v>
      </c>
      <c r="AE155" s="1" t="s">
        <v>93</v>
      </c>
      <c r="AF155" s="1" t="s">
        <v>3341</v>
      </c>
      <c r="AG155" s="1" t="s">
        <v>758</v>
      </c>
      <c r="AH155" s="1" t="s">
        <v>161</v>
      </c>
      <c r="AI155" s="1" t="s">
        <v>614</v>
      </c>
      <c r="AJ155" s="1">
        <v>95</v>
      </c>
      <c r="AK155" s="1">
        <v>10</v>
      </c>
      <c r="AL155" s="1" t="s">
        <v>3342</v>
      </c>
      <c r="AM155" s="1" t="s">
        <v>758</v>
      </c>
      <c r="AN155" s="1" t="s">
        <v>165</v>
      </c>
      <c r="AO155" s="1" t="s">
        <v>166</v>
      </c>
      <c r="AP155" s="1">
        <v>72.6</v>
      </c>
      <c r="AQ155" s="1"/>
      <c r="AR155" s="1"/>
      <c r="AS155" s="1"/>
      <c r="AT155" s="1"/>
      <c r="AU155" s="1"/>
      <c r="AV155" s="1"/>
      <c r="AW155" s="1"/>
      <c r="AX155" s="1" t="s">
        <v>3343</v>
      </c>
      <c r="AY155" s="1" t="s">
        <v>3343</v>
      </c>
      <c r="AZ155" s="1" t="s">
        <v>433</v>
      </c>
      <c r="BA155" s="1" t="s">
        <v>229</v>
      </c>
      <c r="BB155" s="1">
        <v>72.2</v>
      </c>
      <c r="BC155" s="1"/>
      <c r="BD155" s="1"/>
      <c r="BE155" s="1"/>
      <c r="BF155" s="1"/>
      <c r="BG155" s="1"/>
      <c r="BH155" s="1"/>
      <c r="BI155" s="1"/>
      <c r="BJ155" s="1" t="s">
        <v>3344</v>
      </c>
      <c r="BK155" s="1" t="s">
        <v>3345</v>
      </c>
      <c r="BL155" s="1" t="s">
        <v>287</v>
      </c>
      <c r="BM155" s="1" t="s">
        <v>3346</v>
      </c>
      <c r="BN155" s="1">
        <v>8</v>
      </c>
      <c r="BO155" s="1" t="s">
        <v>3347</v>
      </c>
      <c r="BP155" s="1" t="str">
        <f>HYPERLINK("https://nconnect.nicmar.ac.in/storage/profile/ProfilePhoto_P25700138_159438.jpg","Download")</f>
        <v>0</v>
      </c>
      <c r="BQ155" s="3"/>
      <c r="BR155" s="3"/>
    </row>
    <row r="156" spans="1:70">
      <c r="A156" s="1" t="s">
        <v>70</v>
      </c>
      <c r="B156" s="1" t="s">
        <v>441</v>
      </c>
      <c r="C156" s="1" t="s">
        <v>3348</v>
      </c>
      <c r="D156" s="1" t="s">
        <v>2838</v>
      </c>
      <c r="E156" s="1" t="s">
        <v>3349</v>
      </c>
      <c r="F156" s="1" t="s">
        <v>3350</v>
      </c>
      <c r="G156" s="1" t="s">
        <v>3351</v>
      </c>
      <c r="H156" s="1" t="s">
        <v>3352</v>
      </c>
      <c r="I156" s="1" t="s">
        <v>3353</v>
      </c>
      <c r="J156" s="1">
        <v>8329386839</v>
      </c>
      <c r="K156" s="1" t="s">
        <v>79</v>
      </c>
      <c r="L156" s="1" t="s">
        <v>3354</v>
      </c>
      <c r="M156" s="1" t="s">
        <v>81</v>
      </c>
      <c r="N156" s="1" t="s">
        <v>3355</v>
      </c>
      <c r="O156" s="1"/>
      <c r="P156" s="1" t="s">
        <v>450</v>
      </c>
      <c r="Q156" s="1" t="s">
        <v>3356</v>
      </c>
      <c r="R156" s="1" t="s">
        <v>3349</v>
      </c>
      <c r="S156" s="1">
        <v>9423358067</v>
      </c>
      <c r="T156" s="1" t="s">
        <v>3244</v>
      </c>
      <c r="U156" s="1" t="s">
        <v>3357</v>
      </c>
      <c r="V156" s="1">
        <v>8793338575</v>
      </c>
      <c r="W156" s="1" t="s">
        <v>156</v>
      </c>
      <c r="X156" s="1" t="s">
        <v>3358</v>
      </c>
      <c r="Y156" s="1" t="s">
        <v>191</v>
      </c>
      <c r="Z156" s="1" t="s">
        <v>92</v>
      </c>
      <c r="AA156" s="1" t="s">
        <v>3359</v>
      </c>
      <c r="AB156" s="1" t="s">
        <v>304</v>
      </c>
      <c r="AC156" s="1" t="s">
        <v>92</v>
      </c>
      <c r="AD156" s="1">
        <v>9.0</v>
      </c>
      <c r="AE156" s="1" t="s">
        <v>93</v>
      </c>
      <c r="AF156" s="1" t="s">
        <v>3360</v>
      </c>
      <c r="AG156" s="1" t="s">
        <v>3361</v>
      </c>
      <c r="AH156" s="1" t="s">
        <v>165</v>
      </c>
      <c r="AI156" s="1" t="s">
        <v>101</v>
      </c>
      <c r="AJ156" s="1">
        <v>77.8</v>
      </c>
      <c r="AK156" s="1">
        <v>0</v>
      </c>
      <c r="AL156" s="1"/>
      <c r="AM156" s="1"/>
      <c r="AN156" s="1"/>
      <c r="AO156" s="1"/>
      <c r="AP156" s="1"/>
      <c r="AQ156" s="1"/>
      <c r="AR156" s="1" t="s">
        <v>98</v>
      </c>
      <c r="AS156" s="1" t="s">
        <v>3362</v>
      </c>
      <c r="AT156" s="1" t="s">
        <v>1043</v>
      </c>
      <c r="AU156" s="1" t="s">
        <v>436</v>
      </c>
      <c r="AV156" s="1">
        <v>89.95</v>
      </c>
      <c r="AW156" s="1">
        <v>0</v>
      </c>
      <c r="AX156" s="1" t="s">
        <v>666</v>
      </c>
      <c r="AY156" s="1" t="s">
        <v>3363</v>
      </c>
      <c r="AZ156" s="1" t="s">
        <v>852</v>
      </c>
      <c r="BA156" s="1" t="s">
        <v>1067</v>
      </c>
      <c r="BB156" s="1">
        <v>70.85</v>
      </c>
      <c r="BC156" s="1">
        <v>7.78</v>
      </c>
      <c r="BD156" s="1"/>
      <c r="BE156" s="1"/>
      <c r="BF156" s="1"/>
      <c r="BG156" s="1"/>
      <c r="BH156" s="1"/>
      <c r="BI156" s="1"/>
      <c r="BJ156" s="1" t="s">
        <v>3364</v>
      </c>
      <c r="BK156" s="1"/>
      <c r="BL156" s="1"/>
      <c r="BM156" s="1" t="s">
        <v>3365</v>
      </c>
      <c r="BN156" s="1">
        <v>40</v>
      </c>
      <c r="BO156" s="1" t="s">
        <v>3366</v>
      </c>
      <c r="BP156" s="1" t="str">
        <f>HYPERLINK("https://nconnect.nicmar.ac.in/storage/profile/ProfilePhoto_P25700139_421357.jpg","Download")</f>
        <v>0</v>
      </c>
      <c r="BQ156" s="3"/>
      <c r="BR156" s="3"/>
    </row>
    <row r="157" spans="1:70">
      <c r="A157" s="1" t="s">
        <v>70</v>
      </c>
      <c r="B157" s="1" t="s">
        <v>441</v>
      </c>
      <c r="C157" s="1" t="s">
        <v>3367</v>
      </c>
      <c r="D157" s="1" t="s">
        <v>3368</v>
      </c>
      <c r="E157" s="1" t="s">
        <v>3369</v>
      </c>
      <c r="F157" s="1" t="s">
        <v>1156</v>
      </c>
      <c r="G157" s="1" t="s">
        <v>3370</v>
      </c>
      <c r="H157" s="1" t="s">
        <v>3371</v>
      </c>
      <c r="I157" s="1" t="s">
        <v>3372</v>
      </c>
      <c r="J157" s="1">
        <v>9067925520</v>
      </c>
      <c r="K157" s="1" t="s">
        <v>79</v>
      </c>
      <c r="L157" s="1" t="s">
        <v>3373</v>
      </c>
      <c r="M157" s="1" t="s">
        <v>81</v>
      </c>
      <c r="N157" s="1" t="s">
        <v>3374</v>
      </c>
      <c r="O157" s="1" t="s">
        <v>3375</v>
      </c>
      <c r="P157" s="1" t="s">
        <v>84</v>
      </c>
      <c r="Q157" s="1" t="s">
        <v>3376</v>
      </c>
      <c r="R157" s="1" t="s">
        <v>3377</v>
      </c>
      <c r="S157" s="1">
        <v>9860129290</v>
      </c>
      <c r="T157" s="1" t="s">
        <v>3378</v>
      </c>
      <c r="U157" s="1" t="s">
        <v>3379</v>
      </c>
      <c r="V157" s="1">
        <v>9970087332</v>
      </c>
      <c r="W157" s="1" t="s">
        <v>3380</v>
      </c>
      <c r="X157" s="1" t="s">
        <v>3381</v>
      </c>
      <c r="Y157" s="1" t="s">
        <v>890</v>
      </c>
      <c r="Z157" s="1" t="s">
        <v>92</v>
      </c>
      <c r="AA157" s="1" t="s">
        <v>3382</v>
      </c>
      <c r="AB157" s="1" t="s">
        <v>191</v>
      </c>
      <c r="AC157" s="1" t="s">
        <v>92</v>
      </c>
      <c r="AD157" s="1">
        <v>8.18</v>
      </c>
      <c r="AE157" s="1" t="s">
        <v>93</v>
      </c>
      <c r="AF157" s="1" t="s">
        <v>3383</v>
      </c>
      <c r="AG157" s="1" t="s">
        <v>3384</v>
      </c>
      <c r="AH157" s="1" t="s">
        <v>101</v>
      </c>
      <c r="AI157" s="1" t="s">
        <v>308</v>
      </c>
      <c r="AJ157" s="1">
        <v>85.6</v>
      </c>
      <c r="AK157" s="1"/>
      <c r="AL157" s="1" t="s">
        <v>3385</v>
      </c>
      <c r="AM157" s="1" t="s">
        <v>3386</v>
      </c>
      <c r="AN157" s="1" t="s">
        <v>460</v>
      </c>
      <c r="AO157" s="1" t="s">
        <v>436</v>
      </c>
      <c r="AP157" s="1">
        <v>90.83</v>
      </c>
      <c r="AQ157" s="1"/>
      <c r="AR157" s="1"/>
      <c r="AS157" s="1"/>
      <c r="AT157" s="1"/>
      <c r="AU157" s="1"/>
      <c r="AV157" s="1"/>
      <c r="AW157" s="1"/>
      <c r="AX157" s="1" t="s">
        <v>361</v>
      </c>
      <c r="AY157" s="1" t="s">
        <v>3387</v>
      </c>
      <c r="AZ157" s="1" t="s">
        <v>852</v>
      </c>
      <c r="BA157" s="1" t="s">
        <v>829</v>
      </c>
      <c r="BB157" s="1">
        <v>69.2</v>
      </c>
      <c r="BC157" s="1">
        <v>7.67</v>
      </c>
      <c r="BD157" s="1"/>
      <c r="BE157" s="1"/>
      <c r="BF157" s="1"/>
      <c r="BG157" s="1"/>
      <c r="BH157" s="1"/>
      <c r="BI157" s="1"/>
      <c r="BJ157" s="1" t="s">
        <v>3388</v>
      </c>
      <c r="BK157" s="1"/>
      <c r="BL157" s="1"/>
      <c r="BM157" s="1" t="s">
        <v>3389</v>
      </c>
      <c r="BN157" s="1">
        <v>13</v>
      </c>
      <c r="BO157" s="1" t="s">
        <v>3390</v>
      </c>
      <c r="BP157" s="1" t="str">
        <f>HYPERLINK("https://nconnect.nicmar.ac.in/storage/profile/ProfilePhoto_P25700140_347569.jpg","Download")</f>
        <v>0</v>
      </c>
      <c r="BQ157" s="3"/>
      <c r="BR157" s="3"/>
    </row>
    <row r="158" spans="1:70">
      <c r="A158" s="1" t="s">
        <v>70</v>
      </c>
      <c r="B158" s="1" t="s">
        <v>441</v>
      </c>
      <c r="C158" s="1" t="s">
        <v>3391</v>
      </c>
      <c r="D158" s="1" t="s">
        <v>3392</v>
      </c>
      <c r="E158" s="1" t="s">
        <v>999</v>
      </c>
      <c r="F158" s="1" t="s">
        <v>1339</v>
      </c>
      <c r="G158" s="1" t="s">
        <v>3393</v>
      </c>
      <c r="H158" s="1" t="s">
        <v>3394</v>
      </c>
      <c r="I158" s="1" t="s">
        <v>3395</v>
      </c>
      <c r="J158" s="1">
        <v>9544952840</v>
      </c>
      <c r="K158" s="1" t="s">
        <v>148</v>
      </c>
      <c r="L158" s="1" t="s">
        <v>3396</v>
      </c>
      <c r="M158" s="1" t="s">
        <v>81</v>
      </c>
      <c r="N158" s="1" t="s">
        <v>680</v>
      </c>
      <c r="O158" s="1"/>
      <c r="P158" s="1" t="s">
        <v>450</v>
      </c>
      <c r="Q158" s="1" t="s">
        <v>3397</v>
      </c>
      <c r="R158" s="1" t="s">
        <v>3398</v>
      </c>
      <c r="S158" s="1">
        <v>9961232601</v>
      </c>
      <c r="T158" s="1" t="s">
        <v>820</v>
      </c>
      <c r="U158" s="1" t="s">
        <v>3399</v>
      </c>
      <c r="V158" s="1">
        <v>9995843595</v>
      </c>
      <c r="W158" s="1" t="s">
        <v>1234</v>
      </c>
      <c r="X158" s="1" t="s">
        <v>3400</v>
      </c>
      <c r="Y158" s="1" t="s">
        <v>1261</v>
      </c>
      <c r="Z158" s="1" t="s">
        <v>125</v>
      </c>
      <c r="AA158" s="1" t="s">
        <v>3400</v>
      </c>
      <c r="AB158" s="1" t="s">
        <v>1261</v>
      </c>
      <c r="AC158" s="1" t="s">
        <v>125</v>
      </c>
      <c r="AD158" s="1">
        <v>7.56</v>
      </c>
      <c r="AE158" s="1" t="s">
        <v>93</v>
      </c>
      <c r="AF158" s="1" t="s">
        <v>3401</v>
      </c>
      <c r="AG158" s="1" t="s">
        <v>307</v>
      </c>
      <c r="AH158" s="1" t="s">
        <v>162</v>
      </c>
      <c r="AI158" s="1" t="s">
        <v>165</v>
      </c>
      <c r="AJ158" s="1">
        <v>83.6</v>
      </c>
      <c r="AK158" s="1">
        <v>8.8</v>
      </c>
      <c r="AL158" s="1" t="s">
        <v>3401</v>
      </c>
      <c r="AM158" s="1" t="s">
        <v>307</v>
      </c>
      <c r="AN158" s="1" t="s">
        <v>101</v>
      </c>
      <c r="AO158" s="1" t="s">
        <v>537</v>
      </c>
      <c r="AP158" s="1">
        <v>60.6</v>
      </c>
      <c r="AQ158" s="1">
        <v>6</v>
      </c>
      <c r="AR158" s="1"/>
      <c r="AS158" s="1"/>
      <c r="AT158" s="1"/>
      <c r="AU158" s="1"/>
      <c r="AV158" s="1"/>
      <c r="AW158" s="1"/>
      <c r="AX158" s="1" t="s">
        <v>132</v>
      </c>
      <c r="AY158" s="1" t="s">
        <v>3402</v>
      </c>
      <c r="AZ158" s="1" t="s">
        <v>310</v>
      </c>
      <c r="BA158" s="1" t="s">
        <v>202</v>
      </c>
      <c r="BB158" s="1">
        <v>65.5</v>
      </c>
      <c r="BC158" s="1">
        <v>6.55</v>
      </c>
      <c r="BD158" s="1"/>
      <c r="BE158" s="1"/>
      <c r="BF158" s="1"/>
      <c r="BG158" s="1"/>
      <c r="BH158" s="1"/>
      <c r="BI158" s="1"/>
      <c r="BJ158" s="1" t="s">
        <v>3403</v>
      </c>
      <c r="BK158" s="1"/>
      <c r="BL158" s="1"/>
      <c r="BM158" s="1" t="s">
        <v>3404</v>
      </c>
      <c r="BN158" s="1">
        <v>9</v>
      </c>
      <c r="BO158" s="1"/>
      <c r="BP158" s="1" t="str">
        <f>HYPERLINK("https://nconnect.nicmar.ac.in/storage/profile/ProfilePhoto_P25700141_362759.jpg","Download")</f>
        <v>0</v>
      </c>
      <c r="BQ158" s="3"/>
      <c r="BR158" s="3"/>
    </row>
    <row r="159" spans="1:70">
      <c r="A159" s="1" t="s">
        <v>70</v>
      </c>
      <c r="B159" s="1" t="s">
        <v>441</v>
      </c>
      <c r="C159" s="1" t="s">
        <v>3405</v>
      </c>
      <c r="D159" s="1" t="s">
        <v>3406</v>
      </c>
      <c r="E159" s="1"/>
      <c r="F159" s="1" t="s">
        <v>1358</v>
      </c>
      <c r="G159" s="1" t="s">
        <v>3407</v>
      </c>
      <c r="H159" s="1" t="s">
        <v>3408</v>
      </c>
      <c r="I159" s="1" t="s">
        <v>3409</v>
      </c>
      <c r="J159" s="1">
        <v>8576913349</v>
      </c>
      <c r="K159" s="1" t="s">
        <v>79</v>
      </c>
      <c r="L159" s="1" t="s">
        <v>3410</v>
      </c>
      <c r="M159" s="1" t="s">
        <v>81</v>
      </c>
      <c r="N159" s="1" t="s">
        <v>3411</v>
      </c>
      <c r="O159" s="1"/>
      <c r="P159" s="1" t="s">
        <v>497</v>
      </c>
      <c r="Q159" s="1" t="s">
        <v>3412</v>
      </c>
      <c r="R159" s="1" t="s">
        <v>3413</v>
      </c>
      <c r="S159" s="1">
        <v>9415767684</v>
      </c>
      <c r="T159" s="1" t="s">
        <v>3414</v>
      </c>
      <c r="U159" s="1" t="s">
        <v>3415</v>
      </c>
      <c r="V159" s="1">
        <v>7880669985</v>
      </c>
      <c r="W159" s="1" t="s">
        <v>1234</v>
      </c>
      <c r="X159" s="1" t="s">
        <v>3416</v>
      </c>
      <c r="Y159" s="1" t="s">
        <v>1038</v>
      </c>
      <c r="Z159" s="1" t="s">
        <v>534</v>
      </c>
      <c r="AA159" s="1" t="s">
        <v>3416</v>
      </c>
      <c r="AB159" s="1" t="s">
        <v>1038</v>
      </c>
      <c r="AC159" s="1" t="s">
        <v>534</v>
      </c>
      <c r="AD159" s="1">
        <v>7.66</v>
      </c>
      <c r="AE159" s="1" t="s">
        <v>93</v>
      </c>
      <c r="AF159" s="1" t="s">
        <v>3417</v>
      </c>
      <c r="AG159" s="1" t="s">
        <v>3418</v>
      </c>
      <c r="AH159" s="1" t="s">
        <v>1191</v>
      </c>
      <c r="AI159" s="1" t="s">
        <v>131</v>
      </c>
      <c r="AJ159" s="1">
        <v>78.6</v>
      </c>
      <c r="AK159" s="1">
        <v>0</v>
      </c>
      <c r="AL159" s="1" t="s">
        <v>3419</v>
      </c>
      <c r="AM159" s="1" t="s">
        <v>307</v>
      </c>
      <c r="AN159" s="1" t="s">
        <v>279</v>
      </c>
      <c r="AO159" s="1" t="s">
        <v>165</v>
      </c>
      <c r="AP159" s="1">
        <v>67.8</v>
      </c>
      <c r="AQ159" s="1">
        <v>0</v>
      </c>
      <c r="AR159" s="1"/>
      <c r="AS159" s="1"/>
      <c r="AT159" s="1"/>
      <c r="AU159" s="1"/>
      <c r="AV159" s="1"/>
      <c r="AW159" s="1"/>
      <c r="AX159" s="1" t="s">
        <v>2625</v>
      </c>
      <c r="AY159" s="1" t="s">
        <v>3420</v>
      </c>
      <c r="AZ159" s="1" t="s">
        <v>383</v>
      </c>
      <c r="BA159" s="1" t="s">
        <v>135</v>
      </c>
      <c r="BB159" s="1">
        <v>71.33</v>
      </c>
      <c r="BC159" s="1">
        <v>6.28</v>
      </c>
      <c r="BD159" s="1"/>
      <c r="BE159" s="1"/>
      <c r="BF159" s="1"/>
      <c r="BG159" s="1"/>
      <c r="BH159" s="1"/>
      <c r="BI159" s="1"/>
      <c r="BJ159" s="1" t="s">
        <v>255</v>
      </c>
      <c r="BK159" s="1" t="s">
        <v>3421</v>
      </c>
      <c r="BL159" s="1" t="s">
        <v>3422</v>
      </c>
      <c r="BM159" s="1" t="s">
        <v>3423</v>
      </c>
      <c r="BN159" s="1">
        <v>12</v>
      </c>
      <c r="BO159" s="1"/>
      <c r="BP159" s="1" t="str">
        <f>HYPERLINK("https://nconnect.nicmar.ac.in/storage/profile/ProfilePhoto_P25700142_683421.jpg","Download")</f>
        <v>0</v>
      </c>
      <c r="BQ159" s="3"/>
      <c r="BR159" s="3"/>
    </row>
    <row r="160" spans="1:70">
      <c r="A160" s="1" t="s">
        <v>70</v>
      </c>
      <c r="B160" s="1" t="s">
        <v>441</v>
      </c>
      <c r="C160" s="1" t="s">
        <v>3424</v>
      </c>
      <c r="D160" s="1" t="s">
        <v>3425</v>
      </c>
      <c r="E160" s="1"/>
      <c r="F160" s="1" t="s">
        <v>3426</v>
      </c>
      <c r="G160" s="1" t="s">
        <v>3427</v>
      </c>
      <c r="H160" s="1" t="s">
        <v>3428</v>
      </c>
      <c r="I160" s="1" t="s">
        <v>3429</v>
      </c>
      <c r="J160" s="1">
        <v>9672384492</v>
      </c>
      <c r="K160" s="1" t="s">
        <v>148</v>
      </c>
      <c r="L160" s="1" t="s">
        <v>3430</v>
      </c>
      <c r="M160" s="1" t="s">
        <v>81</v>
      </c>
      <c r="N160" s="1" t="s">
        <v>241</v>
      </c>
      <c r="O160" s="1"/>
      <c r="P160" s="1" t="s">
        <v>472</v>
      </c>
      <c r="Q160" s="1" t="s">
        <v>3431</v>
      </c>
      <c r="R160" s="1" t="s">
        <v>3432</v>
      </c>
      <c r="S160" s="1">
        <v>9302820540</v>
      </c>
      <c r="T160" s="1" t="s">
        <v>3433</v>
      </c>
      <c r="U160" s="1" t="s">
        <v>3434</v>
      </c>
      <c r="V160" s="1">
        <v>8269395849</v>
      </c>
      <c r="W160" s="1" t="s">
        <v>89</v>
      </c>
      <c r="X160" s="1" t="s">
        <v>3435</v>
      </c>
      <c r="Y160" s="1" t="s">
        <v>3436</v>
      </c>
      <c r="Z160" s="1" t="s">
        <v>3437</v>
      </c>
      <c r="AA160" s="1" t="s">
        <v>3435</v>
      </c>
      <c r="AB160" s="1" t="s">
        <v>3436</v>
      </c>
      <c r="AC160" s="1" t="s">
        <v>3437</v>
      </c>
      <c r="AD160" s="1">
        <v>8.31</v>
      </c>
      <c r="AE160" s="1" t="s">
        <v>93</v>
      </c>
      <c r="AF160" s="1" t="s">
        <v>3438</v>
      </c>
      <c r="AG160" s="1" t="s">
        <v>307</v>
      </c>
      <c r="AH160" s="1" t="s">
        <v>3439</v>
      </c>
      <c r="AI160" s="1" t="s">
        <v>1239</v>
      </c>
      <c r="AJ160" s="1">
        <v>85.5</v>
      </c>
      <c r="AK160" s="1">
        <v>9</v>
      </c>
      <c r="AL160" s="1" t="s">
        <v>3438</v>
      </c>
      <c r="AM160" s="1" t="s">
        <v>3440</v>
      </c>
      <c r="AN160" s="1" t="s">
        <v>1088</v>
      </c>
      <c r="AO160" s="1" t="s">
        <v>614</v>
      </c>
      <c r="AP160" s="1">
        <v>65.4</v>
      </c>
      <c r="AQ160" s="1"/>
      <c r="AR160" s="1"/>
      <c r="AS160" s="1"/>
      <c r="AT160" s="1"/>
      <c r="AU160" s="1"/>
      <c r="AV160" s="1"/>
      <c r="AW160" s="1"/>
      <c r="AX160" s="1" t="s">
        <v>3441</v>
      </c>
      <c r="AY160" s="1" t="s">
        <v>3441</v>
      </c>
      <c r="AZ160" s="1" t="s">
        <v>134</v>
      </c>
      <c r="BA160" s="1" t="s">
        <v>828</v>
      </c>
      <c r="BB160" s="1">
        <v>63.45</v>
      </c>
      <c r="BC160" s="1">
        <v>6.98</v>
      </c>
      <c r="BD160" s="1"/>
      <c r="BE160" s="1"/>
      <c r="BF160" s="1"/>
      <c r="BG160" s="1"/>
      <c r="BH160" s="1"/>
      <c r="BI160" s="1"/>
      <c r="BJ160" s="1" t="s">
        <v>3442</v>
      </c>
      <c r="BK160" s="1" t="s">
        <v>3443</v>
      </c>
      <c r="BL160" s="1" t="s">
        <v>3444</v>
      </c>
      <c r="BM160" s="1" t="s">
        <v>3445</v>
      </c>
      <c r="BN160" s="1">
        <v>19</v>
      </c>
      <c r="BO160" s="1"/>
      <c r="BP160" s="1" t="str">
        <f>HYPERLINK("https://nconnect.nicmar.ac.in/storage/profile/ProfilePhoto_P25700143_172536.jpg","Download")</f>
        <v>0</v>
      </c>
      <c r="BQ160" s="3"/>
      <c r="BR160" s="3"/>
    </row>
    <row r="161" spans="1:70">
      <c r="A161" s="1" t="s">
        <v>70</v>
      </c>
      <c r="B161" s="1" t="s">
        <v>441</v>
      </c>
      <c r="C161" s="1" t="s">
        <v>3446</v>
      </c>
      <c r="D161" s="1" t="s">
        <v>3447</v>
      </c>
      <c r="E161" s="1" t="s">
        <v>3448</v>
      </c>
      <c r="F161" s="1" t="s">
        <v>3449</v>
      </c>
      <c r="G161" s="1" t="s">
        <v>3450</v>
      </c>
      <c r="H161" s="1" t="s">
        <v>3451</v>
      </c>
      <c r="I161" s="1" t="s">
        <v>3452</v>
      </c>
      <c r="J161" s="1">
        <v>7083023252</v>
      </c>
      <c r="K161" s="1" t="s">
        <v>148</v>
      </c>
      <c r="L161" s="1" t="s">
        <v>3453</v>
      </c>
      <c r="M161" s="1" t="s">
        <v>81</v>
      </c>
      <c r="N161" s="1" t="s">
        <v>751</v>
      </c>
      <c r="O161" s="1" t="s">
        <v>3454</v>
      </c>
      <c r="P161" s="1" t="s">
        <v>84</v>
      </c>
      <c r="Q161" s="1" t="s">
        <v>3455</v>
      </c>
      <c r="R161" s="1" t="s">
        <v>3456</v>
      </c>
      <c r="S161" s="1">
        <v>9326969111</v>
      </c>
      <c r="T161" s="1" t="s">
        <v>3457</v>
      </c>
      <c r="U161" s="1" t="s">
        <v>3458</v>
      </c>
      <c r="V161" s="1">
        <v>9325354255</v>
      </c>
      <c r="W161" s="1" t="s">
        <v>3459</v>
      </c>
      <c r="X161" s="1" t="s">
        <v>3460</v>
      </c>
      <c r="Y161" s="1" t="s">
        <v>405</v>
      </c>
      <c r="Z161" s="1" t="s">
        <v>92</v>
      </c>
      <c r="AA161" s="1" t="s">
        <v>3461</v>
      </c>
      <c r="AB161" s="1" t="s">
        <v>405</v>
      </c>
      <c r="AC161" s="1" t="s">
        <v>92</v>
      </c>
      <c r="AD161" s="1">
        <v>9.0</v>
      </c>
      <c r="AE161" s="1" t="s">
        <v>93</v>
      </c>
      <c r="AF161" s="1" t="s">
        <v>3462</v>
      </c>
      <c r="AG161" s="1" t="s">
        <v>3463</v>
      </c>
      <c r="AH161" s="1" t="s">
        <v>2290</v>
      </c>
      <c r="AI161" s="1" t="s">
        <v>1089</v>
      </c>
      <c r="AJ161" s="1">
        <v>89.8</v>
      </c>
      <c r="AK161" s="1"/>
      <c r="AL161" s="1" t="s">
        <v>3464</v>
      </c>
      <c r="AM161" s="1" t="s">
        <v>3463</v>
      </c>
      <c r="AN161" s="1" t="s">
        <v>162</v>
      </c>
      <c r="AO161" s="1" t="s">
        <v>1455</v>
      </c>
      <c r="AP161" s="1">
        <v>69.08</v>
      </c>
      <c r="AQ161" s="1"/>
      <c r="AR161" s="1"/>
      <c r="AS161" s="1"/>
      <c r="AT161" s="1"/>
      <c r="AU161" s="1"/>
      <c r="AV161" s="1"/>
      <c r="AW161" s="1"/>
      <c r="AX161" s="1" t="s">
        <v>3465</v>
      </c>
      <c r="AY161" s="1" t="s">
        <v>3133</v>
      </c>
      <c r="AZ161" s="1" t="s">
        <v>101</v>
      </c>
      <c r="BA161" s="1" t="s">
        <v>174</v>
      </c>
      <c r="BB161" s="1">
        <v>73.3</v>
      </c>
      <c r="BC161" s="1"/>
      <c r="BD161" s="1"/>
      <c r="BE161" s="1"/>
      <c r="BF161" s="1"/>
      <c r="BG161" s="1"/>
      <c r="BH161" s="1"/>
      <c r="BI161" s="1"/>
      <c r="BJ161" s="1" t="s">
        <v>3466</v>
      </c>
      <c r="BK161" s="1" t="s">
        <v>3467</v>
      </c>
      <c r="BL161" s="1" t="s">
        <v>2434</v>
      </c>
      <c r="BM161" s="1" t="s">
        <v>3468</v>
      </c>
      <c r="BN161" s="1">
        <v>43</v>
      </c>
      <c r="BO161" s="1" t="s">
        <v>3469</v>
      </c>
      <c r="BP161" s="1" t="str">
        <f>HYPERLINK("https://nconnect.nicmar.ac.in/storage/profile/ProfilePhoto_P25700144_267184.jpg","Download")</f>
        <v>0</v>
      </c>
      <c r="BQ161" s="3"/>
      <c r="BR161" s="3"/>
    </row>
    <row r="162" spans="1:70">
      <c r="A162" s="1" t="s">
        <v>70</v>
      </c>
      <c r="B162" s="1" t="s">
        <v>441</v>
      </c>
      <c r="C162" s="1" t="s">
        <v>3470</v>
      </c>
      <c r="D162" s="1" t="s">
        <v>1888</v>
      </c>
      <c r="E162" s="1"/>
      <c r="F162" s="1" t="s">
        <v>3471</v>
      </c>
      <c r="G162" s="1" t="s">
        <v>3472</v>
      </c>
      <c r="H162" s="1" t="s">
        <v>3473</v>
      </c>
      <c r="I162" s="1" t="s">
        <v>3474</v>
      </c>
      <c r="J162" s="1">
        <v>7095686464</v>
      </c>
      <c r="K162" s="1" t="s">
        <v>79</v>
      </c>
      <c r="L162" s="1" t="s">
        <v>3475</v>
      </c>
      <c r="M162" s="1" t="s">
        <v>81</v>
      </c>
      <c r="N162" s="1" t="s">
        <v>3476</v>
      </c>
      <c r="O162" s="1"/>
      <c r="P162" s="1" t="s">
        <v>450</v>
      </c>
      <c r="Q162" s="1" t="s">
        <v>3477</v>
      </c>
      <c r="R162" s="1" t="s">
        <v>3478</v>
      </c>
      <c r="S162" s="1">
        <v>9440917196</v>
      </c>
      <c r="T162" s="1" t="s">
        <v>3479</v>
      </c>
      <c r="U162" s="1" t="s">
        <v>3480</v>
      </c>
      <c r="V162" s="1">
        <v>9492335142</v>
      </c>
      <c r="W162" s="1" t="s">
        <v>273</v>
      </c>
      <c r="X162" s="1" t="s">
        <v>3481</v>
      </c>
      <c r="Y162" s="1" t="s">
        <v>3482</v>
      </c>
      <c r="Z162" s="1" t="s">
        <v>276</v>
      </c>
      <c r="AA162" s="1" t="s">
        <v>3481</v>
      </c>
      <c r="AB162" s="1" t="s">
        <v>3482</v>
      </c>
      <c r="AC162" s="1" t="s">
        <v>276</v>
      </c>
      <c r="AD162" s="1">
        <v>9.6</v>
      </c>
      <c r="AE162" s="1" t="s">
        <v>93</v>
      </c>
      <c r="AF162" s="1" t="s">
        <v>3483</v>
      </c>
      <c r="AG162" s="1" t="s">
        <v>3484</v>
      </c>
      <c r="AH162" s="1" t="s">
        <v>97</v>
      </c>
      <c r="AI162" s="1" t="s">
        <v>689</v>
      </c>
      <c r="AJ162" s="1">
        <v>95</v>
      </c>
      <c r="AK162" s="1">
        <v>10</v>
      </c>
      <c r="AL162" s="1" t="s">
        <v>3485</v>
      </c>
      <c r="AM162" s="1" t="s">
        <v>2486</v>
      </c>
      <c r="AN162" s="1" t="s">
        <v>165</v>
      </c>
      <c r="AO162" s="1" t="s">
        <v>308</v>
      </c>
      <c r="AP162" s="1">
        <v>93.2</v>
      </c>
      <c r="AQ162" s="1">
        <v>9.32</v>
      </c>
      <c r="AR162" s="1"/>
      <c r="AS162" s="1"/>
      <c r="AT162" s="1"/>
      <c r="AU162" s="1"/>
      <c r="AV162" s="1"/>
      <c r="AW162" s="1"/>
      <c r="AX162" s="1" t="s">
        <v>3485</v>
      </c>
      <c r="AY162" s="1" t="s">
        <v>3486</v>
      </c>
      <c r="AZ162" s="1" t="s">
        <v>433</v>
      </c>
      <c r="BA162" s="1" t="s">
        <v>935</v>
      </c>
      <c r="BB162" s="1">
        <v>98</v>
      </c>
      <c r="BC162" s="1">
        <v>9.8</v>
      </c>
      <c r="BD162" s="1"/>
      <c r="BE162" s="1"/>
      <c r="BF162" s="1"/>
      <c r="BG162" s="1"/>
      <c r="BH162" s="1"/>
      <c r="BI162" s="1"/>
      <c r="BJ162" s="1" t="s">
        <v>3487</v>
      </c>
      <c r="BK162" s="1"/>
      <c r="BL162" s="1"/>
      <c r="BM162" s="1" t="s">
        <v>3488</v>
      </c>
      <c r="BN162" s="1">
        <v>7</v>
      </c>
      <c r="BO162" s="1" t="s">
        <v>3489</v>
      </c>
      <c r="BP162" s="1" t="str">
        <f>HYPERLINK("https://nconnect.nicmar.ac.in/storage/profile/ProfilePhoto_P25700145_843721.jpg","Download")</f>
        <v>0</v>
      </c>
      <c r="BQ162" s="3"/>
      <c r="BR162" s="3"/>
    </row>
    <row r="163" spans="1:70">
      <c r="A163" s="1" t="s">
        <v>70</v>
      </c>
      <c r="B163" s="1" t="s">
        <v>441</v>
      </c>
      <c r="C163" s="1" t="s">
        <v>3490</v>
      </c>
      <c r="D163" s="1" t="s">
        <v>3491</v>
      </c>
      <c r="E163" s="1" t="s">
        <v>111</v>
      </c>
      <c r="F163" s="1" t="s">
        <v>112</v>
      </c>
      <c r="G163" s="1" t="s">
        <v>3492</v>
      </c>
      <c r="H163" s="1" t="s">
        <v>3493</v>
      </c>
      <c r="I163" s="1" t="s">
        <v>3494</v>
      </c>
      <c r="J163" s="1">
        <v>8075638788</v>
      </c>
      <c r="K163" s="1" t="s">
        <v>148</v>
      </c>
      <c r="L163" s="1" t="s">
        <v>3495</v>
      </c>
      <c r="M163" s="1" t="s">
        <v>81</v>
      </c>
      <c r="N163" s="1" t="s">
        <v>3496</v>
      </c>
      <c r="O163" s="1"/>
      <c r="P163" s="1" t="s">
        <v>497</v>
      </c>
      <c r="Q163" s="1" t="s">
        <v>3497</v>
      </c>
      <c r="R163" s="1" t="s">
        <v>3498</v>
      </c>
      <c r="S163" s="1">
        <v>9495224246</v>
      </c>
      <c r="T163" s="1" t="s">
        <v>3499</v>
      </c>
      <c r="U163" s="1" t="s">
        <v>3500</v>
      </c>
      <c r="V163" s="1">
        <v>9496226561</v>
      </c>
      <c r="W163" s="1" t="s">
        <v>3501</v>
      </c>
      <c r="X163" s="1" t="s">
        <v>3502</v>
      </c>
      <c r="Y163" s="1" t="s">
        <v>686</v>
      </c>
      <c r="Z163" s="1" t="s">
        <v>125</v>
      </c>
      <c r="AA163" s="1" t="s">
        <v>3502</v>
      </c>
      <c r="AB163" s="1" t="s">
        <v>686</v>
      </c>
      <c r="AC163" s="1" t="s">
        <v>125</v>
      </c>
      <c r="AD163" s="1">
        <v>7.99</v>
      </c>
      <c r="AE163" s="1" t="s">
        <v>93</v>
      </c>
      <c r="AF163" s="1" t="s">
        <v>3503</v>
      </c>
      <c r="AG163" s="1" t="s">
        <v>3504</v>
      </c>
      <c r="AH163" s="1" t="s">
        <v>614</v>
      </c>
      <c r="AI163" s="1" t="s">
        <v>195</v>
      </c>
      <c r="AJ163" s="1">
        <v>86.66</v>
      </c>
      <c r="AK163" s="1"/>
      <c r="AL163" s="1" t="s">
        <v>3503</v>
      </c>
      <c r="AM163" s="1" t="s">
        <v>3505</v>
      </c>
      <c r="AN163" s="1" t="s">
        <v>165</v>
      </c>
      <c r="AO163" s="1" t="s">
        <v>409</v>
      </c>
      <c r="AP163" s="1">
        <v>78.1</v>
      </c>
      <c r="AQ163" s="1"/>
      <c r="AR163" s="1"/>
      <c r="AS163" s="1"/>
      <c r="AT163" s="1"/>
      <c r="AU163" s="1"/>
      <c r="AV163" s="1"/>
      <c r="AW163" s="1"/>
      <c r="AX163" s="1" t="s">
        <v>132</v>
      </c>
      <c r="AY163" s="1" t="s">
        <v>3506</v>
      </c>
      <c r="AZ163" s="1" t="s">
        <v>310</v>
      </c>
      <c r="BA163" s="1" t="s">
        <v>174</v>
      </c>
      <c r="BB163" s="1">
        <v>70.8</v>
      </c>
      <c r="BC163" s="1">
        <v>7.08</v>
      </c>
      <c r="BD163" s="1"/>
      <c r="BE163" s="1"/>
      <c r="BF163" s="1"/>
      <c r="BG163" s="1"/>
      <c r="BH163" s="1"/>
      <c r="BI163" s="1"/>
      <c r="BJ163" s="1" t="s">
        <v>3507</v>
      </c>
      <c r="BK163" s="1" t="s">
        <v>3508</v>
      </c>
      <c r="BL163" s="1" t="s">
        <v>1048</v>
      </c>
      <c r="BM163" s="1" t="s">
        <v>3509</v>
      </c>
      <c r="BN163" s="1">
        <v>9</v>
      </c>
      <c r="BO163" s="1"/>
      <c r="BP163" s="1" t="str">
        <f>HYPERLINK("https://nconnect.nicmar.ac.in/storage/profile/ProfilePhoto_P25700146_681345.jpg","Download")</f>
        <v>0</v>
      </c>
      <c r="BQ163" s="3"/>
      <c r="BR163" s="3"/>
    </row>
    <row r="164" spans="1:70">
      <c r="A164" s="1" t="s">
        <v>70</v>
      </c>
      <c r="B164" s="1" t="s">
        <v>441</v>
      </c>
      <c r="C164" s="1" t="s">
        <v>3510</v>
      </c>
      <c r="D164" s="1" t="s">
        <v>3511</v>
      </c>
      <c r="E164" s="1" t="s">
        <v>3512</v>
      </c>
      <c r="F164" s="1" t="s">
        <v>3513</v>
      </c>
      <c r="G164" s="1" t="s">
        <v>3514</v>
      </c>
      <c r="H164" s="1" t="s">
        <v>3515</v>
      </c>
      <c r="I164" s="1" t="s">
        <v>3516</v>
      </c>
      <c r="J164" s="1">
        <v>7057998763</v>
      </c>
      <c r="K164" s="1" t="s">
        <v>79</v>
      </c>
      <c r="L164" s="1" t="s">
        <v>3517</v>
      </c>
      <c r="M164" s="1" t="s">
        <v>81</v>
      </c>
      <c r="N164" s="1" t="s">
        <v>3518</v>
      </c>
      <c r="O164" s="1"/>
      <c r="P164" s="1" t="s">
        <v>472</v>
      </c>
      <c r="Q164" s="1" t="s">
        <v>3519</v>
      </c>
      <c r="R164" s="1" t="s">
        <v>3512</v>
      </c>
      <c r="S164" s="1">
        <v>7020753253</v>
      </c>
      <c r="T164" s="1" t="s">
        <v>377</v>
      </c>
      <c r="U164" s="1" t="s">
        <v>3520</v>
      </c>
      <c r="V164" s="1">
        <v>7020753052</v>
      </c>
      <c r="W164" s="1" t="s">
        <v>122</v>
      </c>
      <c r="X164" s="1" t="s">
        <v>3521</v>
      </c>
      <c r="Y164" s="1" t="s">
        <v>328</v>
      </c>
      <c r="Z164" s="1" t="s">
        <v>92</v>
      </c>
      <c r="AA164" s="1" t="s">
        <v>3521</v>
      </c>
      <c r="AB164" s="1" t="s">
        <v>328</v>
      </c>
      <c r="AC164" s="1" t="s">
        <v>92</v>
      </c>
      <c r="AD164" s="1">
        <v>8.36</v>
      </c>
      <c r="AE164" s="1" t="s">
        <v>93</v>
      </c>
      <c r="AF164" s="1" t="s">
        <v>3522</v>
      </c>
      <c r="AG164" s="1" t="s">
        <v>3523</v>
      </c>
      <c r="AH164" s="1" t="s">
        <v>279</v>
      </c>
      <c r="AI164" s="1" t="s">
        <v>195</v>
      </c>
      <c r="AJ164" s="1">
        <v>72.8</v>
      </c>
      <c r="AK164" s="1"/>
      <c r="AL164" s="1" t="s">
        <v>3524</v>
      </c>
      <c r="AM164" s="1" t="s">
        <v>3523</v>
      </c>
      <c r="AN164" s="1" t="s">
        <v>1455</v>
      </c>
      <c r="AO164" s="1" t="s">
        <v>198</v>
      </c>
      <c r="AP164" s="1">
        <v>64.92</v>
      </c>
      <c r="AQ164" s="1"/>
      <c r="AR164" s="1"/>
      <c r="AS164" s="1"/>
      <c r="AT164" s="1"/>
      <c r="AU164" s="1"/>
      <c r="AV164" s="1"/>
      <c r="AW164" s="1"/>
      <c r="AX164" s="1" t="s">
        <v>335</v>
      </c>
      <c r="AY164" s="1" t="s">
        <v>3525</v>
      </c>
      <c r="AZ164" s="1" t="s">
        <v>201</v>
      </c>
      <c r="BA164" s="1" t="s">
        <v>174</v>
      </c>
      <c r="BB164" s="1">
        <v>73.7</v>
      </c>
      <c r="BC164" s="1">
        <v>8.48</v>
      </c>
      <c r="BD164" s="1"/>
      <c r="BE164" s="1"/>
      <c r="BF164" s="1"/>
      <c r="BG164" s="1"/>
      <c r="BH164" s="1"/>
      <c r="BI164" s="1"/>
      <c r="BJ164" s="1" t="s">
        <v>3526</v>
      </c>
      <c r="BK164" s="1"/>
      <c r="BL164" s="1"/>
      <c r="BM164" s="1" t="s">
        <v>3527</v>
      </c>
      <c r="BN164" s="1">
        <v>75</v>
      </c>
      <c r="BO164" s="1" t="s">
        <v>3528</v>
      </c>
      <c r="BP164" s="1" t="str">
        <f>HYPERLINK("https://nconnect.nicmar.ac.in/storage/profile/ProfilePhoto_P25700147_396871.jpg","Download")</f>
        <v>0</v>
      </c>
      <c r="BQ164" s="3"/>
      <c r="BR164" s="3"/>
    </row>
    <row r="165" spans="1:70">
      <c r="A165" s="1" t="s">
        <v>70</v>
      </c>
      <c r="B165" s="1" t="s">
        <v>441</v>
      </c>
      <c r="C165" s="1" t="s">
        <v>3529</v>
      </c>
      <c r="D165" s="1" t="s">
        <v>3530</v>
      </c>
      <c r="E165" s="1" t="s">
        <v>3531</v>
      </c>
      <c r="F165" s="1" t="s">
        <v>3532</v>
      </c>
      <c r="G165" s="1" t="s">
        <v>3533</v>
      </c>
      <c r="H165" s="1" t="s">
        <v>3534</v>
      </c>
      <c r="I165" s="1" t="s">
        <v>3535</v>
      </c>
      <c r="J165" s="1">
        <v>9912223421</v>
      </c>
      <c r="K165" s="1" t="s">
        <v>79</v>
      </c>
      <c r="L165" s="1" t="s">
        <v>3536</v>
      </c>
      <c r="M165" s="1" t="s">
        <v>81</v>
      </c>
      <c r="N165" s="1" t="s">
        <v>1788</v>
      </c>
      <c r="O165" s="1"/>
      <c r="P165" s="1" t="s">
        <v>497</v>
      </c>
      <c r="Q165" s="1" t="s">
        <v>3537</v>
      </c>
      <c r="R165" s="1" t="s">
        <v>3538</v>
      </c>
      <c r="S165" s="1">
        <v>9666580285</v>
      </c>
      <c r="T165" s="1" t="s">
        <v>154</v>
      </c>
      <c r="U165" s="1" t="s">
        <v>3539</v>
      </c>
      <c r="V165" s="1">
        <v>7093580285</v>
      </c>
      <c r="W165" s="1" t="s">
        <v>156</v>
      </c>
      <c r="X165" s="1" t="s">
        <v>3540</v>
      </c>
      <c r="Y165" s="1" t="s">
        <v>3541</v>
      </c>
      <c r="Z165" s="1" t="s">
        <v>276</v>
      </c>
      <c r="AA165" s="1" t="s">
        <v>3540</v>
      </c>
      <c r="AB165" s="1" t="s">
        <v>3541</v>
      </c>
      <c r="AC165" s="1" t="s">
        <v>276</v>
      </c>
      <c r="AD165" s="1">
        <v>9.11</v>
      </c>
      <c r="AE165" s="1" t="s">
        <v>93</v>
      </c>
      <c r="AF165" s="1" t="s">
        <v>3542</v>
      </c>
      <c r="AG165" s="1" t="s">
        <v>2310</v>
      </c>
      <c r="AH165" s="1" t="s">
        <v>101</v>
      </c>
      <c r="AI165" s="1" t="s">
        <v>537</v>
      </c>
      <c r="AJ165" s="1">
        <v>95</v>
      </c>
      <c r="AK165" s="1"/>
      <c r="AL165" s="1" t="s">
        <v>3543</v>
      </c>
      <c r="AM165" s="1" t="s">
        <v>2312</v>
      </c>
      <c r="AN165" s="1" t="s">
        <v>433</v>
      </c>
      <c r="AO165" s="1" t="s">
        <v>1169</v>
      </c>
      <c r="AP165" s="1">
        <v>95.8</v>
      </c>
      <c r="AQ165" s="1"/>
      <c r="AR165" s="1"/>
      <c r="AS165" s="1"/>
      <c r="AT165" s="1"/>
      <c r="AU165" s="1"/>
      <c r="AV165" s="1"/>
      <c r="AW165" s="1"/>
      <c r="AX165" s="1" t="s">
        <v>3113</v>
      </c>
      <c r="AY165" s="1" t="s">
        <v>3544</v>
      </c>
      <c r="AZ165" s="1" t="s">
        <v>135</v>
      </c>
      <c r="BA165" s="1" t="s">
        <v>594</v>
      </c>
      <c r="BB165" s="1">
        <v>73.8</v>
      </c>
      <c r="BC165" s="1">
        <v>8.13</v>
      </c>
      <c r="BD165" s="1"/>
      <c r="BE165" s="1"/>
      <c r="BF165" s="1"/>
      <c r="BG165" s="1"/>
      <c r="BH165" s="1"/>
      <c r="BI165" s="1"/>
      <c r="BJ165" s="1" t="s">
        <v>3545</v>
      </c>
      <c r="BK165" s="1"/>
      <c r="BL165" s="1"/>
      <c r="BM165" s="1" t="s">
        <v>3546</v>
      </c>
      <c r="BN165" s="1">
        <v>29</v>
      </c>
      <c r="BO165" s="1"/>
      <c r="BP165" s="1" t="str">
        <f>HYPERLINK("https://nconnect.nicmar.ac.in/storage/profile/ProfilePhoto_P25700148_324976.jpg","Download")</f>
        <v>0</v>
      </c>
      <c r="BQ165" s="3"/>
      <c r="BR165" s="3"/>
    </row>
    <row r="166" spans="1:70">
      <c r="A166" s="1" t="s">
        <v>70</v>
      </c>
      <c r="B166" s="1" t="s">
        <v>441</v>
      </c>
      <c r="C166" s="1" t="s">
        <v>3547</v>
      </c>
      <c r="D166" s="1" t="s">
        <v>3548</v>
      </c>
      <c r="E166" s="1" t="s">
        <v>2419</v>
      </c>
      <c r="F166" s="1" t="s">
        <v>3549</v>
      </c>
      <c r="G166" s="1" t="s">
        <v>3550</v>
      </c>
      <c r="H166" s="1" t="s">
        <v>3551</v>
      </c>
      <c r="I166" s="1" t="s">
        <v>3552</v>
      </c>
      <c r="J166" s="1">
        <v>9356983364</v>
      </c>
      <c r="K166" s="1" t="s">
        <v>79</v>
      </c>
      <c r="L166" s="1" t="s">
        <v>3553</v>
      </c>
      <c r="M166" s="1" t="s">
        <v>81</v>
      </c>
      <c r="N166" s="1" t="s">
        <v>151</v>
      </c>
      <c r="O166" s="1"/>
      <c r="P166" s="1" t="s">
        <v>450</v>
      </c>
      <c r="Q166" s="1" t="s">
        <v>3554</v>
      </c>
      <c r="R166" s="1" t="s">
        <v>2419</v>
      </c>
      <c r="S166" s="1">
        <v>9637679179</v>
      </c>
      <c r="T166" s="1" t="s">
        <v>2344</v>
      </c>
      <c r="U166" s="1" t="s">
        <v>3555</v>
      </c>
      <c r="V166" s="1">
        <v>8010478216</v>
      </c>
      <c r="W166" s="1" t="s">
        <v>2344</v>
      </c>
      <c r="X166" s="1" t="s">
        <v>3556</v>
      </c>
      <c r="Y166" s="1" t="s">
        <v>3557</v>
      </c>
      <c r="Z166" s="1" t="s">
        <v>92</v>
      </c>
      <c r="AA166" s="1" t="s">
        <v>3556</v>
      </c>
      <c r="AB166" s="1" t="s">
        <v>3557</v>
      </c>
      <c r="AC166" s="1" t="s">
        <v>92</v>
      </c>
      <c r="AD166" s="1">
        <v>7.59</v>
      </c>
      <c r="AE166" s="1" t="s">
        <v>93</v>
      </c>
      <c r="AF166" s="1" t="s">
        <v>3558</v>
      </c>
      <c r="AG166" s="1" t="s">
        <v>3559</v>
      </c>
      <c r="AH166" s="1" t="s">
        <v>165</v>
      </c>
      <c r="AI166" s="1" t="s">
        <v>281</v>
      </c>
      <c r="AJ166" s="1">
        <v>84</v>
      </c>
      <c r="AK166" s="1"/>
      <c r="AL166" s="1"/>
      <c r="AM166" s="1"/>
      <c r="AN166" s="1"/>
      <c r="AO166" s="1"/>
      <c r="AP166" s="1"/>
      <c r="AQ166" s="1"/>
      <c r="AR166" s="1" t="s">
        <v>434</v>
      </c>
      <c r="AS166" s="1" t="s">
        <v>3560</v>
      </c>
      <c r="AT166" s="1" t="s">
        <v>1043</v>
      </c>
      <c r="AU166" s="1" t="s">
        <v>436</v>
      </c>
      <c r="AV166" s="1">
        <v>84.26</v>
      </c>
      <c r="AW166" s="1"/>
      <c r="AX166" s="1" t="s">
        <v>361</v>
      </c>
      <c r="AY166" s="1" t="s">
        <v>3561</v>
      </c>
      <c r="AZ166" s="1" t="s">
        <v>852</v>
      </c>
      <c r="BA166" s="1" t="s">
        <v>202</v>
      </c>
      <c r="BB166" s="1">
        <v>65.1</v>
      </c>
      <c r="BC166" s="1">
        <v>7.26</v>
      </c>
      <c r="BD166" s="1"/>
      <c r="BE166" s="1"/>
      <c r="BF166" s="1"/>
      <c r="BG166" s="1"/>
      <c r="BH166" s="1"/>
      <c r="BI166" s="1"/>
      <c r="BJ166" s="1" t="s">
        <v>830</v>
      </c>
      <c r="BK166" s="1"/>
      <c r="BL166" s="1"/>
      <c r="BM166" s="1" t="s">
        <v>3562</v>
      </c>
      <c r="BN166" s="1">
        <v>8</v>
      </c>
      <c r="BO166" s="1"/>
      <c r="BP166" s="1" t="str">
        <f>HYPERLINK("https://nconnect.nicmar.ac.in/storage/profile/ProfilePhoto_P25700150_725196.jpg","Download")</f>
        <v>0</v>
      </c>
      <c r="BQ166" s="3"/>
      <c r="BR166" s="3"/>
    </row>
    <row r="167" spans="1:70">
      <c r="A167" s="1" t="s">
        <v>70</v>
      </c>
      <c r="B167" s="1" t="s">
        <v>441</v>
      </c>
      <c r="C167" s="1" t="s">
        <v>3563</v>
      </c>
      <c r="D167" s="1" t="s">
        <v>3564</v>
      </c>
      <c r="E167" s="1" t="s">
        <v>3565</v>
      </c>
      <c r="F167" s="1" t="s">
        <v>1339</v>
      </c>
      <c r="G167" s="1" t="s">
        <v>3566</v>
      </c>
      <c r="H167" s="1" t="s">
        <v>3567</v>
      </c>
      <c r="I167" s="1" t="s">
        <v>3568</v>
      </c>
      <c r="J167" s="1">
        <v>9544771062</v>
      </c>
      <c r="K167" s="1" t="s">
        <v>79</v>
      </c>
      <c r="L167" s="1" t="s">
        <v>3569</v>
      </c>
      <c r="M167" s="1" t="s">
        <v>81</v>
      </c>
      <c r="N167" s="1" t="s">
        <v>3166</v>
      </c>
      <c r="O167" s="1"/>
      <c r="P167" s="1" t="s">
        <v>450</v>
      </c>
      <c r="Q167" s="1" t="s">
        <v>3570</v>
      </c>
      <c r="R167" s="1" t="s">
        <v>3571</v>
      </c>
      <c r="S167" s="1">
        <v>9447478542</v>
      </c>
      <c r="T167" s="1" t="s">
        <v>87</v>
      </c>
      <c r="U167" s="1" t="s">
        <v>3572</v>
      </c>
      <c r="V167" s="1">
        <v>9037255594</v>
      </c>
      <c r="W167" s="1" t="s">
        <v>122</v>
      </c>
      <c r="X167" s="1" t="s">
        <v>3573</v>
      </c>
      <c r="Y167" s="1" t="s">
        <v>3574</v>
      </c>
      <c r="Z167" s="1" t="s">
        <v>125</v>
      </c>
      <c r="AA167" s="1" t="s">
        <v>3573</v>
      </c>
      <c r="AB167" s="1" t="s">
        <v>3574</v>
      </c>
      <c r="AC167" s="1" t="s">
        <v>125</v>
      </c>
      <c r="AD167" s="1">
        <v>8.47</v>
      </c>
      <c r="AE167" s="1" t="s">
        <v>93</v>
      </c>
      <c r="AF167" s="1" t="s">
        <v>3575</v>
      </c>
      <c r="AG167" s="1" t="s">
        <v>3576</v>
      </c>
      <c r="AH167" s="1" t="s">
        <v>165</v>
      </c>
      <c r="AI167" s="1" t="s">
        <v>166</v>
      </c>
      <c r="AJ167" s="1">
        <v>82.1</v>
      </c>
      <c r="AK167" s="1"/>
      <c r="AL167" s="1" t="s">
        <v>3575</v>
      </c>
      <c r="AM167" s="1" t="s">
        <v>3576</v>
      </c>
      <c r="AN167" s="1" t="s">
        <v>433</v>
      </c>
      <c r="AO167" s="1" t="s">
        <v>173</v>
      </c>
      <c r="AP167" s="1">
        <v>90.6</v>
      </c>
      <c r="AQ167" s="1"/>
      <c r="AR167" s="1"/>
      <c r="AS167" s="1"/>
      <c r="AT167" s="1"/>
      <c r="AU167" s="1"/>
      <c r="AV167" s="1"/>
      <c r="AW167" s="1"/>
      <c r="AX167" s="1" t="s">
        <v>132</v>
      </c>
      <c r="AY167" s="1" t="s">
        <v>3577</v>
      </c>
      <c r="AZ167" s="1" t="s">
        <v>871</v>
      </c>
      <c r="BA167" s="1" t="s">
        <v>202</v>
      </c>
      <c r="BB167" s="1">
        <v>72.8</v>
      </c>
      <c r="BC167" s="1">
        <v>7.28</v>
      </c>
      <c r="BD167" s="1"/>
      <c r="BE167" s="1"/>
      <c r="BF167" s="1"/>
      <c r="BG167" s="1"/>
      <c r="BH167" s="1"/>
      <c r="BI167" s="1"/>
      <c r="BJ167" s="1" t="s">
        <v>255</v>
      </c>
      <c r="BK167" s="1"/>
      <c r="BL167" s="1"/>
      <c r="BM167" s="1" t="s">
        <v>3578</v>
      </c>
      <c r="BN167" s="1">
        <v>32</v>
      </c>
      <c r="BO167" s="1"/>
      <c r="BP167" s="1" t="str">
        <f>HYPERLINK("https://nconnect.nicmar.ac.in/storage/profile/ProfilePhoto_P25700151_798532.jpg","Download")</f>
        <v>0</v>
      </c>
      <c r="BQ167" s="3"/>
      <c r="BR167" s="3"/>
    </row>
    <row r="168" spans="1:70">
      <c r="A168" s="1" t="s">
        <v>70</v>
      </c>
      <c r="B168" s="1" t="s">
        <v>441</v>
      </c>
      <c r="C168" s="1" t="s">
        <v>3579</v>
      </c>
      <c r="D168" s="1" t="s">
        <v>3580</v>
      </c>
      <c r="E168" s="1" t="s">
        <v>3581</v>
      </c>
      <c r="F168" s="1" t="s">
        <v>3582</v>
      </c>
      <c r="G168" s="1" t="s">
        <v>3583</v>
      </c>
      <c r="H168" s="1" t="s">
        <v>3584</v>
      </c>
      <c r="I168" s="1" t="s">
        <v>3585</v>
      </c>
      <c r="J168" s="1">
        <v>9370223063</v>
      </c>
      <c r="K168" s="1" t="s">
        <v>79</v>
      </c>
      <c r="L168" s="1" t="s">
        <v>3586</v>
      </c>
      <c r="M168" s="1" t="s">
        <v>81</v>
      </c>
      <c r="N168" s="1" t="s">
        <v>3587</v>
      </c>
      <c r="O168" s="1"/>
      <c r="P168" s="1" t="s">
        <v>472</v>
      </c>
      <c r="Q168" s="1" t="s">
        <v>3588</v>
      </c>
      <c r="R168" s="1" t="s">
        <v>3581</v>
      </c>
      <c r="S168" s="1">
        <v>9561241685</v>
      </c>
      <c r="T168" s="1" t="s">
        <v>87</v>
      </c>
      <c r="U168" s="1" t="s">
        <v>3589</v>
      </c>
      <c r="V168" s="1">
        <v>8788521371</v>
      </c>
      <c r="W168" s="1" t="s">
        <v>3590</v>
      </c>
      <c r="X168" s="1" t="s">
        <v>3591</v>
      </c>
      <c r="Y168" s="1" t="s">
        <v>191</v>
      </c>
      <c r="Z168" s="1" t="s">
        <v>92</v>
      </c>
      <c r="AA168" s="1" t="s">
        <v>3591</v>
      </c>
      <c r="AB168" s="1" t="s">
        <v>191</v>
      </c>
      <c r="AC168" s="1" t="s">
        <v>92</v>
      </c>
      <c r="AD168" s="1">
        <v>7.15</v>
      </c>
      <c r="AE168" s="1" t="s">
        <v>93</v>
      </c>
      <c r="AF168" s="1" t="s">
        <v>3592</v>
      </c>
      <c r="AG168" s="1" t="s">
        <v>160</v>
      </c>
      <c r="AH168" s="1" t="s">
        <v>1190</v>
      </c>
      <c r="AI168" s="1" t="s">
        <v>101</v>
      </c>
      <c r="AJ168" s="1">
        <v>78.8</v>
      </c>
      <c r="AK168" s="1"/>
      <c r="AL168" s="1"/>
      <c r="AM168" s="1"/>
      <c r="AN168" s="1"/>
      <c r="AO168" s="1"/>
      <c r="AP168" s="1"/>
      <c r="AQ168" s="1"/>
      <c r="AR168" s="1" t="s">
        <v>434</v>
      </c>
      <c r="AS168" s="1" t="s">
        <v>3593</v>
      </c>
      <c r="AT168" s="1" t="s">
        <v>101</v>
      </c>
      <c r="AU168" s="1" t="s">
        <v>1378</v>
      </c>
      <c r="AV168" s="1">
        <v>68.89</v>
      </c>
      <c r="AW168" s="1"/>
      <c r="AX168" s="1" t="s">
        <v>361</v>
      </c>
      <c r="AY168" s="1" t="s">
        <v>3594</v>
      </c>
      <c r="AZ168" s="1" t="s">
        <v>2775</v>
      </c>
      <c r="BA168" s="1" t="s">
        <v>829</v>
      </c>
      <c r="BB168" s="1">
        <v>69</v>
      </c>
      <c r="BC168" s="1"/>
      <c r="BD168" s="1"/>
      <c r="BE168" s="1"/>
      <c r="BF168" s="1"/>
      <c r="BG168" s="1"/>
      <c r="BH168" s="1"/>
      <c r="BI168" s="1"/>
      <c r="BJ168" s="1" t="s">
        <v>567</v>
      </c>
      <c r="BK168" s="1"/>
      <c r="BL168" s="1"/>
      <c r="BM168" s="1" t="s">
        <v>3595</v>
      </c>
      <c r="BN168" s="1">
        <v>35</v>
      </c>
      <c r="BO168" s="1"/>
      <c r="BP168" s="1" t="str">
        <f>HYPERLINK("https://nconnect.nicmar.ac.in/storage/profile/ProfilePhoto_P25700152_346972.jpg","Download")</f>
        <v>0</v>
      </c>
      <c r="BQ168" s="3"/>
      <c r="BR168" s="3"/>
    </row>
    <row r="169" spans="1:70">
      <c r="A169" s="1" t="s">
        <v>70</v>
      </c>
      <c r="B169" s="1" t="s">
        <v>441</v>
      </c>
      <c r="C169" s="1" t="s">
        <v>3596</v>
      </c>
      <c r="D169" s="1" t="s">
        <v>3597</v>
      </c>
      <c r="E169" s="1"/>
      <c r="F169" s="1" t="s">
        <v>3598</v>
      </c>
      <c r="G169" s="1" t="s">
        <v>3599</v>
      </c>
      <c r="H169" s="1" t="s">
        <v>3600</v>
      </c>
      <c r="I169" s="1" t="s">
        <v>3601</v>
      </c>
      <c r="J169" s="1">
        <v>8790556579</v>
      </c>
      <c r="K169" s="1" t="s">
        <v>79</v>
      </c>
      <c r="L169" s="1" t="s">
        <v>3602</v>
      </c>
      <c r="M169" s="1" t="s">
        <v>81</v>
      </c>
      <c r="N169" s="1" t="s">
        <v>1427</v>
      </c>
      <c r="O169" s="1"/>
      <c r="P169" s="1" t="s">
        <v>450</v>
      </c>
      <c r="Q169" s="1" t="s">
        <v>3603</v>
      </c>
      <c r="R169" s="1" t="s">
        <v>3604</v>
      </c>
      <c r="S169" s="1">
        <v>9177433255</v>
      </c>
      <c r="T169" s="1" t="s">
        <v>3605</v>
      </c>
      <c r="U169" s="1" t="s">
        <v>3606</v>
      </c>
      <c r="V169" s="1">
        <v>9177433255</v>
      </c>
      <c r="W169" s="1" t="s">
        <v>3607</v>
      </c>
      <c r="X169" s="1" t="s">
        <v>3608</v>
      </c>
      <c r="Y169" s="1" t="s">
        <v>3609</v>
      </c>
      <c r="Z169" s="1" t="s">
        <v>276</v>
      </c>
      <c r="AA169" s="1" t="s">
        <v>3608</v>
      </c>
      <c r="AB169" s="1" t="s">
        <v>3609</v>
      </c>
      <c r="AC169" s="1" t="s">
        <v>276</v>
      </c>
      <c r="AD169" s="1">
        <v>9.06</v>
      </c>
      <c r="AE169" s="1" t="s">
        <v>93</v>
      </c>
      <c r="AF169" s="1" t="s">
        <v>3610</v>
      </c>
      <c r="AG169" s="1" t="s">
        <v>3611</v>
      </c>
      <c r="AH169" s="1" t="s">
        <v>161</v>
      </c>
      <c r="AI169" s="1" t="s">
        <v>1089</v>
      </c>
      <c r="AJ169" s="1">
        <v>83.6</v>
      </c>
      <c r="AK169" s="1">
        <v>8.8</v>
      </c>
      <c r="AL169" s="1" t="s">
        <v>3052</v>
      </c>
      <c r="AM169" s="1" t="s">
        <v>2312</v>
      </c>
      <c r="AN169" s="1" t="s">
        <v>165</v>
      </c>
      <c r="AO169" s="1" t="s">
        <v>281</v>
      </c>
      <c r="AP169" s="1">
        <v>94</v>
      </c>
      <c r="AQ169" s="1">
        <v>0</v>
      </c>
      <c r="AR169" s="1"/>
      <c r="AS169" s="1"/>
      <c r="AT169" s="1"/>
      <c r="AU169" s="1"/>
      <c r="AV169" s="1"/>
      <c r="AW169" s="1"/>
      <c r="AX169" s="1" t="s">
        <v>2313</v>
      </c>
      <c r="AY169" s="1" t="s">
        <v>3612</v>
      </c>
      <c r="AZ169" s="1" t="s">
        <v>201</v>
      </c>
      <c r="BA169" s="1" t="s">
        <v>174</v>
      </c>
      <c r="BB169" s="1">
        <v>65.48</v>
      </c>
      <c r="BC169" s="1">
        <v>6.78</v>
      </c>
      <c r="BD169" s="1"/>
      <c r="BE169" s="1"/>
      <c r="BF169" s="1"/>
      <c r="BG169" s="1"/>
      <c r="BH169" s="1"/>
      <c r="BI169" s="1"/>
      <c r="BJ169" s="1" t="s">
        <v>3613</v>
      </c>
      <c r="BK169" s="1"/>
      <c r="BL169" s="1"/>
      <c r="BM169" s="1" t="s">
        <v>3614</v>
      </c>
      <c r="BN169" s="1">
        <v>35</v>
      </c>
      <c r="BO169" s="1" t="s">
        <v>3615</v>
      </c>
      <c r="BP169" s="1" t="str">
        <f>HYPERLINK("https://nconnect.nicmar.ac.in/storage/profile/ProfilePhoto_P25700153_315628.jpg","Download")</f>
        <v>0</v>
      </c>
      <c r="BQ169" s="3"/>
      <c r="BR169" s="3"/>
    </row>
    <row r="170" spans="1:70">
      <c r="A170" s="1" t="s">
        <v>70</v>
      </c>
      <c r="B170" s="1" t="s">
        <v>441</v>
      </c>
      <c r="C170" s="1" t="s">
        <v>3616</v>
      </c>
      <c r="D170" s="1" t="s">
        <v>856</v>
      </c>
      <c r="E170" s="1"/>
      <c r="F170" s="1" t="s">
        <v>1298</v>
      </c>
      <c r="G170" s="1" t="s">
        <v>3617</v>
      </c>
      <c r="H170" s="1" t="s">
        <v>3618</v>
      </c>
      <c r="I170" s="1" t="s">
        <v>3619</v>
      </c>
      <c r="J170" s="1">
        <v>9011297067</v>
      </c>
      <c r="K170" s="1" t="s">
        <v>79</v>
      </c>
      <c r="L170" s="1" t="s">
        <v>2324</v>
      </c>
      <c r="M170" s="1" t="s">
        <v>81</v>
      </c>
      <c r="N170" s="1" t="s">
        <v>241</v>
      </c>
      <c r="O170" s="1"/>
      <c r="P170" s="1" t="s">
        <v>1007</v>
      </c>
      <c r="Q170" s="1" t="s">
        <v>3620</v>
      </c>
      <c r="R170" s="1" t="s">
        <v>3621</v>
      </c>
      <c r="S170" s="1">
        <v>9822116580</v>
      </c>
      <c r="T170" s="1" t="s">
        <v>820</v>
      </c>
      <c r="U170" s="1" t="s">
        <v>3622</v>
      </c>
      <c r="V170" s="1">
        <v>9960039776</v>
      </c>
      <c r="W170" s="1" t="s">
        <v>820</v>
      </c>
      <c r="X170" s="1" t="s">
        <v>3623</v>
      </c>
      <c r="Y170" s="1" t="s">
        <v>191</v>
      </c>
      <c r="Z170" s="1" t="s">
        <v>92</v>
      </c>
      <c r="AA170" s="1" t="s">
        <v>3623</v>
      </c>
      <c r="AB170" s="1" t="s">
        <v>191</v>
      </c>
      <c r="AC170" s="1" t="s">
        <v>92</v>
      </c>
      <c r="AD170" s="1">
        <v>8.31</v>
      </c>
      <c r="AE170" s="1" t="s">
        <v>93</v>
      </c>
      <c r="AF170" s="1" t="s">
        <v>3624</v>
      </c>
      <c r="AG170" s="1" t="s">
        <v>2154</v>
      </c>
      <c r="AH170" s="1" t="s">
        <v>166</v>
      </c>
      <c r="AI170" s="1" t="s">
        <v>308</v>
      </c>
      <c r="AJ170" s="1">
        <v>84</v>
      </c>
      <c r="AK170" s="1"/>
      <c r="AL170" s="1" t="s">
        <v>3625</v>
      </c>
      <c r="AM170" s="1" t="s">
        <v>160</v>
      </c>
      <c r="AN170" s="1" t="s">
        <v>201</v>
      </c>
      <c r="AO170" s="1" t="s">
        <v>828</v>
      </c>
      <c r="AP170" s="1">
        <v>91</v>
      </c>
      <c r="AQ170" s="1"/>
      <c r="AR170" s="1"/>
      <c r="AS170" s="1"/>
      <c r="AT170" s="1"/>
      <c r="AU170" s="1"/>
      <c r="AV170" s="1"/>
      <c r="AW170" s="1"/>
      <c r="AX170" s="1" t="s">
        <v>361</v>
      </c>
      <c r="AY170" s="1" t="s">
        <v>1108</v>
      </c>
      <c r="AZ170" s="1" t="s">
        <v>852</v>
      </c>
      <c r="BA170" s="1" t="s">
        <v>829</v>
      </c>
      <c r="BB170" s="1">
        <v>66.3</v>
      </c>
      <c r="BC170" s="1">
        <v>7.45</v>
      </c>
      <c r="BD170" s="1"/>
      <c r="BE170" s="1"/>
      <c r="BF170" s="1"/>
      <c r="BG170" s="1"/>
      <c r="BH170" s="1"/>
      <c r="BI170" s="1"/>
      <c r="BJ170" s="1" t="s">
        <v>1293</v>
      </c>
      <c r="BK170" s="1"/>
      <c r="BL170" s="1"/>
      <c r="BM170" s="1" t="s">
        <v>3626</v>
      </c>
      <c r="BN170" s="1">
        <v>13</v>
      </c>
      <c r="BO170" s="1" t="s">
        <v>3627</v>
      </c>
      <c r="BP170" s="1" t="str">
        <f>HYPERLINK("https://nconnect.nicmar.ac.in/storage/profile/ProfilePhoto_P25700154_792485.jpg","Download")</f>
        <v>0</v>
      </c>
      <c r="BQ170" s="3"/>
      <c r="BR170" s="3"/>
    </row>
    <row r="171" spans="1:70">
      <c r="A171" s="1" t="s">
        <v>70</v>
      </c>
      <c r="B171" s="1" t="s">
        <v>441</v>
      </c>
      <c r="C171" s="1" t="s">
        <v>3628</v>
      </c>
      <c r="D171" s="1" t="s">
        <v>3629</v>
      </c>
      <c r="E171" s="1"/>
      <c r="F171" s="1" t="s">
        <v>345</v>
      </c>
      <c r="G171" s="1" t="s">
        <v>3630</v>
      </c>
      <c r="H171" s="1" t="s">
        <v>3631</v>
      </c>
      <c r="I171" s="1" t="s">
        <v>3632</v>
      </c>
      <c r="J171" s="1">
        <v>8910562186</v>
      </c>
      <c r="K171" s="1" t="s">
        <v>79</v>
      </c>
      <c r="L171" s="1" t="s">
        <v>3633</v>
      </c>
      <c r="M171" s="1" t="s">
        <v>81</v>
      </c>
      <c r="N171" s="1" t="s">
        <v>3634</v>
      </c>
      <c r="O171" s="1"/>
      <c r="P171" s="1" t="s">
        <v>497</v>
      </c>
      <c r="Q171" s="1" t="s">
        <v>3635</v>
      </c>
      <c r="R171" s="1" t="s">
        <v>3636</v>
      </c>
      <c r="S171" s="1">
        <v>7278584228</v>
      </c>
      <c r="T171" s="1" t="s">
        <v>120</v>
      </c>
      <c r="U171" s="1" t="s">
        <v>3637</v>
      </c>
      <c r="V171" s="1">
        <v>9525075402</v>
      </c>
      <c r="W171" s="1" t="s">
        <v>1234</v>
      </c>
      <c r="X171" s="1" t="s">
        <v>3638</v>
      </c>
      <c r="Y171" s="1" t="s">
        <v>3639</v>
      </c>
      <c r="Z171" s="1" t="s">
        <v>1211</v>
      </c>
      <c r="AA171" s="1" t="s">
        <v>3638</v>
      </c>
      <c r="AB171" s="1" t="s">
        <v>3639</v>
      </c>
      <c r="AC171" s="1" t="s">
        <v>1211</v>
      </c>
      <c r="AD171" s="1">
        <v>8.24</v>
      </c>
      <c r="AE171" s="1" t="s">
        <v>93</v>
      </c>
      <c r="AF171" s="1" t="s">
        <v>3640</v>
      </c>
      <c r="AG171" s="1" t="s">
        <v>3641</v>
      </c>
      <c r="AH171" s="1" t="s">
        <v>1191</v>
      </c>
      <c r="AI171" s="1" t="s">
        <v>614</v>
      </c>
      <c r="AJ171" s="1">
        <v>72.2</v>
      </c>
      <c r="AK171" s="1">
        <v>7.6</v>
      </c>
      <c r="AL171" s="1" t="s">
        <v>3642</v>
      </c>
      <c r="AM171" s="1" t="s">
        <v>3643</v>
      </c>
      <c r="AN171" s="1" t="s">
        <v>165</v>
      </c>
      <c r="AO171" s="1" t="s">
        <v>101</v>
      </c>
      <c r="AP171" s="1">
        <v>65</v>
      </c>
      <c r="AQ171" s="1"/>
      <c r="AR171" s="1"/>
      <c r="AS171" s="1"/>
      <c r="AT171" s="1"/>
      <c r="AU171" s="1"/>
      <c r="AV171" s="1"/>
      <c r="AW171" s="1"/>
      <c r="AX171" s="1" t="s">
        <v>3644</v>
      </c>
      <c r="AY171" s="1" t="s">
        <v>3645</v>
      </c>
      <c r="AZ171" s="1" t="s">
        <v>1043</v>
      </c>
      <c r="BA171" s="1" t="s">
        <v>284</v>
      </c>
      <c r="BB171" s="1">
        <v>79.2</v>
      </c>
      <c r="BC171" s="1">
        <v>8.67</v>
      </c>
      <c r="BD171" s="1"/>
      <c r="BE171" s="1"/>
      <c r="BF171" s="1"/>
      <c r="BG171" s="1"/>
      <c r="BH171" s="1"/>
      <c r="BI171" s="1"/>
      <c r="BJ171" s="1" t="s">
        <v>3646</v>
      </c>
      <c r="BK171" s="1" t="s">
        <v>3647</v>
      </c>
      <c r="BL171" s="1" t="s">
        <v>1824</v>
      </c>
      <c r="BM171" s="1" t="s">
        <v>3648</v>
      </c>
      <c r="BN171" s="1">
        <v>23</v>
      </c>
      <c r="BO171" s="1"/>
      <c r="BP171" s="1" t="str">
        <f>HYPERLINK("https://nconnect.nicmar.ac.in/storage/profile/ProfilePhoto_P25700155_624518.jpg","Download")</f>
        <v>0</v>
      </c>
      <c r="BQ171" s="3"/>
      <c r="BR171" s="3"/>
    </row>
    <row r="172" spans="1:70">
      <c r="A172" s="1" t="s">
        <v>70</v>
      </c>
      <c r="B172" s="1" t="s">
        <v>441</v>
      </c>
      <c r="C172" s="1" t="s">
        <v>3649</v>
      </c>
      <c r="D172" s="1" t="s">
        <v>3650</v>
      </c>
      <c r="E172" s="1" t="s">
        <v>3651</v>
      </c>
      <c r="F172" s="1" t="s">
        <v>3652</v>
      </c>
      <c r="G172" s="1" t="s">
        <v>3653</v>
      </c>
      <c r="H172" s="1" t="s">
        <v>3654</v>
      </c>
      <c r="I172" s="1" t="s">
        <v>3655</v>
      </c>
      <c r="J172" s="1">
        <v>7219270032</v>
      </c>
      <c r="K172" s="1" t="s">
        <v>79</v>
      </c>
      <c r="L172" s="1" t="s">
        <v>3656</v>
      </c>
      <c r="M172" s="1" t="s">
        <v>81</v>
      </c>
      <c r="N172" s="1" t="s">
        <v>605</v>
      </c>
      <c r="O172" s="1"/>
      <c r="P172" s="1" t="s">
        <v>450</v>
      </c>
      <c r="Q172" s="1" t="s">
        <v>3657</v>
      </c>
      <c r="R172" s="1" t="s">
        <v>3658</v>
      </c>
      <c r="S172" s="1">
        <v>9561086754</v>
      </c>
      <c r="T172" s="1" t="s">
        <v>3659</v>
      </c>
      <c r="U172" s="1" t="s">
        <v>1724</v>
      </c>
      <c r="V172" s="1">
        <v>7350590996</v>
      </c>
      <c r="W172" s="1" t="s">
        <v>3660</v>
      </c>
      <c r="X172" s="1" t="s">
        <v>3661</v>
      </c>
      <c r="Y172" s="1" t="s">
        <v>191</v>
      </c>
      <c r="Z172" s="1" t="s">
        <v>92</v>
      </c>
      <c r="AA172" s="1" t="s">
        <v>3661</v>
      </c>
      <c r="AB172" s="1" t="s">
        <v>191</v>
      </c>
      <c r="AC172" s="1" t="s">
        <v>92</v>
      </c>
      <c r="AD172" s="1">
        <v>8.67</v>
      </c>
      <c r="AE172" s="1" t="s">
        <v>93</v>
      </c>
      <c r="AF172" s="1" t="s">
        <v>3662</v>
      </c>
      <c r="AG172" s="1" t="s">
        <v>2755</v>
      </c>
      <c r="AH172" s="1" t="s">
        <v>96</v>
      </c>
      <c r="AI172" s="1" t="s">
        <v>161</v>
      </c>
      <c r="AJ172" s="1">
        <v>86.2</v>
      </c>
      <c r="AK172" s="1"/>
      <c r="AL172" s="1"/>
      <c r="AM172" s="1"/>
      <c r="AN172" s="1"/>
      <c r="AO172" s="1"/>
      <c r="AP172" s="1"/>
      <c r="AQ172" s="1"/>
      <c r="AR172" s="1" t="s">
        <v>98</v>
      </c>
      <c r="AS172" s="1" t="s">
        <v>3663</v>
      </c>
      <c r="AT172" s="1" t="s">
        <v>100</v>
      </c>
      <c r="AU172" s="1" t="s">
        <v>166</v>
      </c>
      <c r="AV172" s="1">
        <v>76.94</v>
      </c>
      <c r="AW172" s="1"/>
      <c r="AX172" s="1" t="s">
        <v>361</v>
      </c>
      <c r="AY172" s="1" t="s">
        <v>3664</v>
      </c>
      <c r="AZ172" s="1" t="s">
        <v>169</v>
      </c>
      <c r="BA172" s="1" t="s">
        <v>539</v>
      </c>
      <c r="BB172" s="1">
        <v>67.64</v>
      </c>
      <c r="BC172" s="1">
        <v>7.72</v>
      </c>
      <c r="BD172" s="1"/>
      <c r="BE172" s="1"/>
      <c r="BF172" s="1"/>
      <c r="BG172" s="1"/>
      <c r="BH172" s="1"/>
      <c r="BI172" s="1"/>
      <c r="BJ172" s="1" t="s">
        <v>567</v>
      </c>
      <c r="BK172" s="1" t="s">
        <v>3665</v>
      </c>
      <c r="BL172" s="1" t="s">
        <v>3309</v>
      </c>
      <c r="BM172" s="1" t="s">
        <v>3666</v>
      </c>
      <c r="BN172" s="1">
        <v>12</v>
      </c>
      <c r="BO172" s="1"/>
      <c r="BP172" s="1" t="str">
        <f>HYPERLINK("https://nconnect.nicmar.ac.in/storage/profile/ProfilePhoto_P25700156_149783.jpg","Download")</f>
        <v>0</v>
      </c>
      <c r="BQ172" s="3"/>
      <c r="BR172" s="3"/>
    </row>
    <row r="173" spans="1:70">
      <c r="A173" s="1" t="s">
        <v>70</v>
      </c>
      <c r="B173" s="1" t="s">
        <v>441</v>
      </c>
      <c r="C173" s="1" t="s">
        <v>3667</v>
      </c>
      <c r="D173" s="1" t="s">
        <v>3668</v>
      </c>
      <c r="E173" s="1" t="s">
        <v>1053</v>
      </c>
      <c r="F173" s="1" t="s">
        <v>1847</v>
      </c>
      <c r="G173" s="1" t="s">
        <v>3669</v>
      </c>
      <c r="H173" s="1" t="s">
        <v>3670</v>
      </c>
      <c r="I173" s="1" t="s">
        <v>3671</v>
      </c>
      <c r="J173" s="1">
        <v>8369126082</v>
      </c>
      <c r="K173" s="1" t="s">
        <v>79</v>
      </c>
      <c r="L173" s="1" t="s">
        <v>1730</v>
      </c>
      <c r="M173" s="1" t="s">
        <v>81</v>
      </c>
      <c r="N173" s="1" t="s">
        <v>2424</v>
      </c>
      <c r="O173" s="1"/>
      <c r="P173" s="1" t="s">
        <v>1007</v>
      </c>
      <c r="Q173" s="1" t="s">
        <v>3672</v>
      </c>
      <c r="R173" s="1" t="s">
        <v>3673</v>
      </c>
      <c r="S173" s="1">
        <v>9820791864</v>
      </c>
      <c r="T173" s="1" t="s">
        <v>632</v>
      </c>
      <c r="U173" s="1" t="s">
        <v>3674</v>
      </c>
      <c r="V173" s="1">
        <v>9867552462</v>
      </c>
      <c r="W173" s="1" t="s">
        <v>156</v>
      </c>
      <c r="X173" s="1" t="s">
        <v>3675</v>
      </c>
      <c r="Y173" s="1" t="s">
        <v>1857</v>
      </c>
      <c r="Z173" s="1" t="s">
        <v>92</v>
      </c>
      <c r="AA173" s="1" t="s">
        <v>3675</v>
      </c>
      <c r="AB173" s="1" t="s">
        <v>1857</v>
      </c>
      <c r="AC173" s="1" t="s">
        <v>92</v>
      </c>
      <c r="AD173" s="1">
        <v>9.02</v>
      </c>
      <c r="AE173" s="1" t="s">
        <v>93</v>
      </c>
      <c r="AF173" s="1" t="s">
        <v>3676</v>
      </c>
      <c r="AG173" s="1" t="s">
        <v>3677</v>
      </c>
      <c r="AH173" s="1" t="s">
        <v>165</v>
      </c>
      <c r="AI173" s="1" t="s">
        <v>281</v>
      </c>
      <c r="AJ173" s="1">
        <v>75.4</v>
      </c>
      <c r="AK173" s="1"/>
      <c r="AL173" s="1"/>
      <c r="AM173" s="1"/>
      <c r="AN173" s="1"/>
      <c r="AO173" s="1"/>
      <c r="AP173" s="1"/>
      <c r="AQ173" s="1"/>
      <c r="AR173" s="1" t="s">
        <v>98</v>
      </c>
      <c r="AS173" s="1" t="s">
        <v>3678</v>
      </c>
      <c r="AT173" s="1" t="s">
        <v>1043</v>
      </c>
      <c r="AU173" s="1" t="s">
        <v>1378</v>
      </c>
      <c r="AV173" s="1">
        <v>76.26</v>
      </c>
      <c r="AW173" s="1"/>
      <c r="AX173" s="1" t="s">
        <v>666</v>
      </c>
      <c r="AY173" s="1" t="s">
        <v>3679</v>
      </c>
      <c r="AZ173" s="1" t="s">
        <v>2775</v>
      </c>
      <c r="BA173" s="1" t="s">
        <v>829</v>
      </c>
      <c r="BB173" s="1">
        <v>70.01</v>
      </c>
      <c r="BC173" s="1"/>
      <c r="BD173" s="1"/>
      <c r="BE173" s="1"/>
      <c r="BF173" s="1"/>
      <c r="BG173" s="1"/>
      <c r="BH173" s="1"/>
      <c r="BI173" s="1"/>
      <c r="BJ173" s="1" t="s">
        <v>3680</v>
      </c>
      <c r="BK173" s="1"/>
      <c r="BL173" s="1"/>
      <c r="BM173" s="1" t="s">
        <v>3681</v>
      </c>
      <c r="BN173" s="1">
        <v>13</v>
      </c>
      <c r="BO173" s="1" t="s">
        <v>3682</v>
      </c>
      <c r="BP173" s="1" t="str">
        <f>HYPERLINK("https://nconnect.nicmar.ac.in/storage/profile/6a740a27e3ca8.png","Download")</f>
        <v>0</v>
      </c>
      <c r="BQ173" s="3"/>
      <c r="BR173" s="3"/>
    </row>
    <row r="174" spans="1:70">
      <c r="A174" s="1" t="s">
        <v>70</v>
      </c>
      <c r="B174" s="1" t="s">
        <v>441</v>
      </c>
      <c r="C174" s="1" t="s">
        <v>3683</v>
      </c>
      <c r="D174" s="1" t="s">
        <v>3684</v>
      </c>
      <c r="E174" s="1" t="s">
        <v>392</v>
      </c>
      <c r="F174" s="1" t="s">
        <v>3685</v>
      </c>
      <c r="G174" s="1" t="s">
        <v>3686</v>
      </c>
      <c r="H174" s="1" t="s">
        <v>3687</v>
      </c>
      <c r="I174" s="1" t="s">
        <v>3688</v>
      </c>
      <c r="J174" s="1">
        <v>7057924898</v>
      </c>
      <c r="K174" s="1" t="s">
        <v>79</v>
      </c>
      <c r="L174" s="1" t="s">
        <v>3689</v>
      </c>
      <c r="M174" s="1" t="s">
        <v>81</v>
      </c>
      <c r="N174" s="1" t="s">
        <v>1140</v>
      </c>
      <c r="O174" s="1"/>
      <c r="P174" s="1" t="s">
        <v>472</v>
      </c>
      <c r="Q174" s="1" t="s">
        <v>3690</v>
      </c>
      <c r="R174" s="1" t="s">
        <v>3691</v>
      </c>
      <c r="S174" s="1">
        <v>9226246190</v>
      </c>
      <c r="T174" s="1" t="s">
        <v>2344</v>
      </c>
      <c r="U174" s="1" t="s">
        <v>3692</v>
      </c>
      <c r="V174" s="1">
        <v>9421704498</v>
      </c>
      <c r="W174" s="1" t="s">
        <v>2344</v>
      </c>
      <c r="X174" s="1" t="s">
        <v>3693</v>
      </c>
      <c r="Y174" s="1" t="s">
        <v>405</v>
      </c>
      <c r="Z174" s="1" t="s">
        <v>92</v>
      </c>
      <c r="AA174" s="1" t="s">
        <v>3693</v>
      </c>
      <c r="AB174" s="1" t="s">
        <v>405</v>
      </c>
      <c r="AC174" s="1" t="s">
        <v>92</v>
      </c>
      <c r="AD174" s="1">
        <v>8.64</v>
      </c>
      <c r="AE174" s="1" t="s">
        <v>93</v>
      </c>
      <c r="AF174" s="1" t="s">
        <v>3694</v>
      </c>
      <c r="AG174" s="1" t="s">
        <v>160</v>
      </c>
      <c r="AH174" s="1" t="s">
        <v>1435</v>
      </c>
      <c r="AI174" s="1" t="s">
        <v>505</v>
      </c>
      <c r="AJ174" s="1">
        <v>90.4</v>
      </c>
      <c r="AK174" s="1"/>
      <c r="AL174" s="1" t="s">
        <v>3695</v>
      </c>
      <c r="AM174" s="1" t="s">
        <v>160</v>
      </c>
      <c r="AN174" s="1" t="s">
        <v>1214</v>
      </c>
      <c r="AO174" s="1" t="s">
        <v>507</v>
      </c>
      <c r="AP174" s="1">
        <v>76.15</v>
      </c>
      <c r="AQ174" s="1"/>
      <c r="AR174" s="1"/>
      <c r="AS174" s="1"/>
      <c r="AT174" s="1"/>
      <c r="AU174" s="1"/>
      <c r="AV174" s="1"/>
      <c r="AW174" s="1"/>
      <c r="AX174" s="1" t="s">
        <v>410</v>
      </c>
      <c r="AY174" s="1" t="s">
        <v>3696</v>
      </c>
      <c r="AZ174" s="1" t="s">
        <v>279</v>
      </c>
      <c r="BA174" s="1" t="s">
        <v>871</v>
      </c>
      <c r="BB174" s="1">
        <v>65.6</v>
      </c>
      <c r="BC174" s="1"/>
      <c r="BD174" s="1" t="s">
        <v>410</v>
      </c>
      <c r="BE174" s="1" t="s">
        <v>1561</v>
      </c>
      <c r="BF174" s="1" t="s">
        <v>1622</v>
      </c>
      <c r="BG174" s="1" t="s">
        <v>105</v>
      </c>
      <c r="BH174" s="1">
        <v>86.2</v>
      </c>
      <c r="BI174" s="1"/>
      <c r="BJ174" s="1" t="s">
        <v>3697</v>
      </c>
      <c r="BK174" s="1" t="s">
        <v>3698</v>
      </c>
      <c r="BL174" s="1" t="s">
        <v>1151</v>
      </c>
      <c r="BM174" s="1" t="s">
        <v>3699</v>
      </c>
      <c r="BN174" s="1">
        <v>88</v>
      </c>
      <c r="BO174" s="1" t="s">
        <v>3700</v>
      </c>
      <c r="BP174" s="1" t="str">
        <f>HYPERLINK("https://nconnect.nicmar.ac.in/storage/profile/ProfilePhoto_P25700158_196843.jpg","Download")</f>
        <v>0</v>
      </c>
      <c r="BQ174" s="3"/>
      <c r="BR174" s="3"/>
    </row>
    <row r="175" spans="1:70">
      <c r="A175" s="1" t="s">
        <v>70</v>
      </c>
      <c r="B175" s="1" t="s">
        <v>441</v>
      </c>
      <c r="C175" s="1" t="s">
        <v>3701</v>
      </c>
      <c r="D175" s="1" t="s">
        <v>3702</v>
      </c>
      <c r="E175" s="1" t="s">
        <v>3703</v>
      </c>
      <c r="F175" s="1" t="s">
        <v>3704</v>
      </c>
      <c r="G175" s="1" t="s">
        <v>3705</v>
      </c>
      <c r="H175" s="1" t="s">
        <v>3706</v>
      </c>
      <c r="I175" s="1" t="s">
        <v>3707</v>
      </c>
      <c r="J175" s="1">
        <v>9653190231</v>
      </c>
      <c r="K175" s="1" t="s">
        <v>79</v>
      </c>
      <c r="L175" s="1" t="s">
        <v>3708</v>
      </c>
      <c r="M175" s="1" t="s">
        <v>81</v>
      </c>
      <c r="N175" s="1" t="s">
        <v>3709</v>
      </c>
      <c r="O175" s="1"/>
      <c r="P175" s="1" t="s">
        <v>472</v>
      </c>
      <c r="Q175" s="1" t="s">
        <v>3710</v>
      </c>
      <c r="R175" s="1" t="s">
        <v>3703</v>
      </c>
      <c r="S175" s="1">
        <v>8007779051</v>
      </c>
      <c r="T175" s="1" t="s">
        <v>3711</v>
      </c>
      <c r="U175" s="1" t="s">
        <v>3712</v>
      </c>
      <c r="V175" s="1">
        <v>9820339741</v>
      </c>
      <c r="W175" s="1" t="s">
        <v>156</v>
      </c>
      <c r="X175" s="1" t="s">
        <v>3713</v>
      </c>
      <c r="Y175" s="1" t="s">
        <v>1857</v>
      </c>
      <c r="Z175" s="1" t="s">
        <v>92</v>
      </c>
      <c r="AA175" s="1" t="s">
        <v>3714</v>
      </c>
      <c r="AB175" s="1" t="s">
        <v>191</v>
      </c>
      <c r="AC175" s="1" t="s">
        <v>92</v>
      </c>
      <c r="AD175" s="1">
        <v>8.36</v>
      </c>
      <c r="AE175" s="1" t="s">
        <v>93</v>
      </c>
      <c r="AF175" s="1" t="s">
        <v>3715</v>
      </c>
      <c r="AG175" s="1" t="s">
        <v>3716</v>
      </c>
      <c r="AH175" s="1" t="s">
        <v>165</v>
      </c>
      <c r="AI175" s="1" t="s">
        <v>281</v>
      </c>
      <c r="AJ175" s="1">
        <v>61.6</v>
      </c>
      <c r="AK175" s="1"/>
      <c r="AL175" s="1"/>
      <c r="AM175" s="1"/>
      <c r="AN175" s="1"/>
      <c r="AO175" s="1"/>
      <c r="AP175" s="1"/>
      <c r="AQ175" s="1"/>
      <c r="AR175" s="1" t="s">
        <v>98</v>
      </c>
      <c r="AS175" s="1" t="s">
        <v>3717</v>
      </c>
      <c r="AT175" s="1" t="s">
        <v>1043</v>
      </c>
      <c r="AU175" s="1" t="s">
        <v>436</v>
      </c>
      <c r="AV175" s="1">
        <v>87.37</v>
      </c>
      <c r="AW175" s="1"/>
      <c r="AX175" s="1" t="s">
        <v>253</v>
      </c>
      <c r="AY175" s="1" t="s">
        <v>3718</v>
      </c>
      <c r="AZ175" s="1" t="s">
        <v>436</v>
      </c>
      <c r="BA175" s="1" t="s">
        <v>413</v>
      </c>
      <c r="BB175" s="1">
        <v>61.08</v>
      </c>
      <c r="BC175" s="1">
        <v>6.73</v>
      </c>
      <c r="BD175" s="1"/>
      <c r="BE175" s="1"/>
      <c r="BF175" s="1"/>
      <c r="BG175" s="1"/>
      <c r="BH175" s="1"/>
      <c r="BI175" s="1"/>
      <c r="BJ175" s="1" t="s">
        <v>567</v>
      </c>
      <c r="BK175" s="1" t="s">
        <v>3719</v>
      </c>
      <c r="BL175" s="1" t="s">
        <v>2569</v>
      </c>
      <c r="BM175" s="1" t="s">
        <v>3720</v>
      </c>
      <c r="BN175" s="1">
        <v>11</v>
      </c>
      <c r="BO175" s="1"/>
      <c r="BP175" s="1" t="str">
        <f>HYPERLINK("https://nconnect.nicmar.ac.in/storage/profile/ProfilePhoto_P25700159_791628.jpg","Download")</f>
        <v>0</v>
      </c>
      <c r="BQ175" s="3"/>
      <c r="BR175" s="3"/>
    </row>
    <row r="176" spans="1:70">
      <c r="A176" s="1" t="s">
        <v>70</v>
      </c>
      <c r="B176" s="1" t="s">
        <v>441</v>
      </c>
      <c r="C176" s="1" t="s">
        <v>3721</v>
      </c>
      <c r="D176" s="1" t="s">
        <v>3564</v>
      </c>
      <c r="E176" s="1" t="s">
        <v>3722</v>
      </c>
      <c r="F176" s="1" t="s">
        <v>1156</v>
      </c>
      <c r="G176" s="1" t="s">
        <v>3723</v>
      </c>
      <c r="H176" s="1" t="s">
        <v>3724</v>
      </c>
      <c r="I176" s="1" t="s">
        <v>3725</v>
      </c>
      <c r="J176" s="1">
        <v>8530039495</v>
      </c>
      <c r="K176" s="1" t="s">
        <v>79</v>
      </c>
      <c r="L176" s="1" t="s">
        <v>3726</v>
      </c>
      <c r="M176" s="1" t="s">
        <v>81</v>
      </c>
      <c r="N176" s="1" t="s">
        <v>883</v>
      </c>
      <c r="O176" s="1"/>
      <c r="P176" s="1" t="s">
        <v>450</v>
      </c>
      <c r="Q176" s="1" t="s">
        <v>3727</v>
      </c>
      <c r="R176" s="1" t="s">
        <v>3722</v>
      </c>
      <c r="S176" s="1">
        <v>9822263222</v>
      </c>
      <c r="T176" s="1" t="s">
        <v>820</v>
      </c>
      <c r="U176" s="1" t="s">
        <v>1103</v>
      </c>
      <c r="V176" s="1">
        <v>8805791153</v>
      </c>
      <c r="W176" s="1" t="s">
        <v>273</v>
      </c>
      <c r="X176" s="1" t="s">
        <v>3728</v>
      </c>
      <c r="Y176" s="1" t="s">
        <v>1963</v>
      </c>
      <c r="Z176" s="1" t="s">
        <v>92</v>
      </c>
      <c r="AA176" s="1" t="s">
        <v>3728</v>
      </c>
      <c r="AB176" s="1" t="s">
        <v>1963</v>
      </c>
      <c r="AC176" s="1" t="s">
        <v>92</v>
      </c>
      <c r="AD176" s="1">
        <v>8.95</v>
      </c>
      <c r="AE176" s="1" t="s">
        <v>93</v>
      </c>
      <c r="AF176" s="1" t="s">
        <v>3729</v>
      </c>
      <c r="AG176" s="1" t="s">
        <v>3730</v>
      </c>
      <c r="AH176" s="1" t="s">
        <v>281</v>
      </c>
      <c r="AI176" s="1" t="s">
        <v>409</v>
      </c>
      <c r="AJ176" s="1">
        <v>88</v>
      </c>
      <c r="AK176" s="1"/>
      <c r="AL176" s="1"/>
      <c r="AM176" s="1"/>
      <c r="AN176" s="1"/>
      <c r="AO176" s="1"/>
      <c r="AP176" s="1"/>
      <c r="AQ176" s="1"/>
      <c r="AR176" s="1" t="s">
        <v>98</v>
      </c>
      <c r="AS176" s="1" t="s">
        <v>1965</v>
      </c>
      <c r="AT176" s="1" t="s">
        <v>201</v>
      </c>
      <c r="AU176" s="1" t="s">
        <v>284</v>
      </c>
      <c r="AV176" s="1">
        <v>80.5</v>
      </c>
      <c r="AW176" s="1"/>
      <c r="AX176" s="1" t="s">
        <v>3731</v>
      </c>
      <c r="AY176" s="1" t="s">
        <v>3732</v>
      </c>
      <c r="AZ176" s="1" t="s">
        <v>1777</v>
      </c>
      <c r="BA176" s="1" t="s">
        <v>543</v>
      </c>
      <c r="BB176" s="1">
        <v>66.8</v>
      </c>
      <c r="BC176" s="1">
        <v>7.43</v>
      </c>
      <c r="BD176" s="1"/>
      <c r="BE176" s="1"/>
      <c r="BF176" s="1"/>
      <c r="BG176" s="1"/>
      <c r="BH176" s="1"/>
      <c r="BI176" s="1"/>
      <c r="BJ176" s="1" t="s">
        <v>3733</v>
      </c>
      <c r="BK176" s="1"/>
      <c r="BL176" s="1"/>
      <c r="BM176" s="1" t="s">
        <v>3734</v>
      </c>
      <c r="BN176" s="1">
        <v>9</v>
      </c>
      <c r="BO176" s="1" t="s">
        <v>3735</v>
      </c>
      <c r="BP176" s="1" t="str">
        <f>HYPERLINK("https://nconnect.nicmar.ac.in/storage/profile/ProfilePhoto_P25700160_274951.jpg","Download")</f>
        <v>0</v>
      </c>
      <c r="BQ176" s="3"/>
      <c r="BR176" s="3"/>
    </row>
    <row r="177" spans="1:70">
      <c r="A177" s="1" t="s">
        <v>70</v>
      </c>
      <c r="B177" s="1" t="s">
        <v>441</v>
      </c>
      <c r="C177" s="1" t="s">
        <v>3736</v>
      </c>
      <c r="D177" s="1" t="s">
        <v>3737</v>
      </c>
      <c r="E177" s="1"/>
      <c r="F177" s="1" t="s">
        <v>3738</v>
      </c>
      <c r="G177" s="1" t="s">
        <v>3739</v>
      </c>
      <c r="H177" s="1" t="s">
        <v>3740</v>
      </c>
      <c r="I177" s="1" t="s">
        <v>3741</v>
      </c>
      <c r="J177" s="1">
        <v>6364236471</v>
      </c>
      <c r="K177" s="1" t="s">
        <v>79</v>
      </c>
      <c r="L177" s="1" t="s">
        <v>3742</v>
      </c>
      <c r="M177" s="1" t="s">
        <v>81</v>
      </c>
      <c r="N177" s="1" t="s">
        <v>3743</v>
      </c>
      <c r="O177" s="1"/>
      <c r="P177" s="1" t="s">
        <v>1007</v>
      </c>
      <c r="Q177" s="1" t="s">
        <v>3744</v>
      </c>
      <c r="R177" s="1" t="s">
        <v>3745</v>
      </c>
      <c r="S177" s="1">
        <v>9731650754</v>
      </c>
      <c r="T177" s="1" t="s">
        <v>154</v>
      </c>
      <c r="U177" s="1" t="s">
        <v>3746</v>
      </c>
      <c r="V177" s="1">
        <v>7411122048</v>
      </c>
      <c r="W177" s="1" t="s">
        <v>273</v>
      </c>
      <c r="X177" s="1" t="s">
        <v>3747</v>
      </c>
      <c r="Y177" s="1" t="s">
        <v>3748</v>
      </c>
      <c r="Z177" s="1" t="s">
        <v>1187</v>
      </c>
      <c r="AA177" s="1" t="s">
        <v>3747</v>
      </c>
      <c r="AB177" s="1" t="s">
        <v>3748</v>
      </c>
      <c r="AC177" s="1" t="s">
        <v>1187</v>
      </c>
      <c r="AD177" s="1">
        <v>8.39</v>
      </c>
      <c r="AE177" s="1" t="s">
        <v>93</v>
      </c>
      <c r="AF177" s="1" t="s">
        <v>3749</v>
      </c>
      <c r="AG177" s="1" t="s">
        <v>1920</v>
      </c>
      <c r="AH177" s="1" t="s">
        <v>162</v>
      </c>
      <c r="AI177" s="1" t="s">
        <v>689</v>
      </c>
      <c r="AJ177" s="1">
        <v>86.4</v>
      </c>
      <c r="AK177" s="1"/>
      <c r="AL177" s="1" t="s">
        <v>3750</v>
      </c>
      <c r="AM177" s="1" t="s">
        <v>3751</v>
      </c>
      <c r="AN177" s="1" t="s">
        <v>165</v>
      </c>
      <c r="AO177" s="1" t="s">
        <v>409</v>
      </c>
      <c r="AP177" s="1">
        <v>88.16</v>
      </c>
      <c r="AQ177" s="1"/>
      <c r="AR177" s="1"/>
      <c r="AS177" s="1"/>
      <c r="AT177" s="1"/>
      <c r="AU177" s="1"/>
      <c r="AV177" s="1"/>
      <c r="AW177" s="1"/>
      <c r="AX177" s="1" t="s">
        <v>3752</v>
      </c>
      <c r="AY177" s="1" t="s">
        <v>3753</v>
      </c>
      <c r="AZ177" s="1" t="s">
        <v>201</v>
      </c>
      <c r="BA177" s="1" t="s">
        <v>229</v>
      </c>
      <c r="BB177" s="1">
        <v>81.4</v>
      </c>
      <c r="BC177" s="1">
        <v>8.14</v>
      </c>
      <c r="BD177" s="1"/>
      <c r="BE177" s="1"/>
      <c r="BF177" s="1"/>
      <c r="BG177" s="1"/>
      <c r="BH177" s="1"/>
      <c r="BI177" s="1"/>
      <c r="BJ177" s="1" t="s">
        <v>3754</v>
      </c>
      <c r="BK177" s="1" t="s">
        <v>3755</v>
      </c>
      <c r="BL177" s="1" t="s">
        <v>1129</v>
      </c>
      <c r="BM177" s="1" t="s">
        <v>3756</v>
      </c>
      <c r="BN177" s="1">
        <v>16</v>
      </c>
      <c r="BO177" s="1" t="s">
        <v>3757</v>
      </c>
      <c r="BP177" s="1" t="str">
        <f>HYPERLINK("https://nconnect.nicmar.ac.in/storage/profile/ProfilePhoto_P25700161_896127.jpg","Download")</f>
        <v>0</v>
      </c>
      <c r="BQ177" s="3"/>
      <c r="BR177" s="3"/>
    </row>
    <row r="178" spans="1:70">
      <c r="A178" s="1" t="s">
        <v>70</v>
      </c>
      <c r="B178" s="1" t="s">
        <v>441</v>
      </c>
      <c r="C178" s="1" t="s">
        <v>3758</v>
      </c>
      <c r="D178" s="1" t="s">
        <v>3759</v>
      </c>
      <c r="E178" s="1" t="s">
        <v>111</v>
      </c>
      <c r="F178" s="1" t="s">
        <v>111</v>
      </c>
      <c r="G178" s="1" t="s">
        <v>3760</v>
      </c>
      <c r="H178" s="1" t="s">
        <v>3761</v>
      </c>
      <c r="I178" s="1" t="s">
        <v>3762</v>
      </c>
      <c r="J178" s="1">
        <v>9961092275</v>
      </c>
      <c r="K178" s="1" t="s">
        <v>148</v>
      </c>
      <c r="L178" s="1" t="s">
        <v>679</v>
      </c>
      <c r="M178" s="1" t="s">
        <v>81</v>
      </c>
      <c r="N178" s="1" t="s">
        <v>2362</v>
      </c>
      <c r="O178" s="1"/>
      <c r="P178" s="1" t="s">
        <v>472</v>
      </c>
      <c r="Q178" s="1" t="s">
        <v>3763</v>
      </c>
      <c r="R178" s="1" t="s">
        <v>3764</v>
      </c>
      <c r="S178" s="1">
        <v>9447026728</v>
      </c>
      <c r="T178" s="1" t="s">
        <v>3765</v>
      </c>
      <c r="U178" s="1" t="s">
        <v>3766</v>
      </c>
      <c r="V178" s="1">
        <v>9495727098</v>
      </c>
      <c r="W178" s="1" t="s">
        <v>3767</v>
      </c>
      <c r="X178" s="1" t="s">
        <v>3768</v>
      </c>
      <c r="Y178" s="1" t="s">
        <v>686</v>
      </c>
      <c r="Z178" s="1" t="s">
        <v>125</v>
      </c>
      <c r="AA178" s="1" t="s">
        <v>3769</v>
      </c>
      <c r="AB178" s="1" t="s">
        <v>3209</v>
      </c>
      <c r="AC178" s="1" t="s">
        <v>125</v>
      </c>
      <c r="AD178" s="1">
        <v>8.49</v>
      </c>
      <c r="AE178" s="1" t="s">
        <v>93</v>
      </c>
      <c r="AF178" s="1" t="s">
        <v>3770</v>
      </c>
      <c r="AG178" s="1" t="s">
        <v>3771</v>
      </c>
      <c r="AH178" s="1" t="s">
        <v>162</v>
      </c>
      <c r="AI178" s="1" t="s">
        <v>165</v>
      </c>
      <c r="AJ178" s="1">
        <v>85.5</v>
      </c>
      <c r="AK178" s="1">
        <v>9</v>
      </c>
      <c r="AL178" s="1" t="s">
        <v>3770</v>
      </c>
      <c r="AM178" s="1" t="s">
        <v>3771</v>
      </c>
      <c r="AN178" s="1" t="s">
        <v>101</v>
      </c>
      <c r="AO178" s="1" t="s">
        <v>308</v>
      </c>
      <c r="AP178" s="1">
        <v>80.8</v>
      </c>
      <c r="AQ178" s="1"/>
      <c r="AR178" s="1"/>
      <c r="AS178" s="1"/>
      <c r="AT178" s="1"/>
      <c r="AU178" s="1"/>
      <c r="AV178" s="1"/>
      <c r="AW178" s="1"/>
      <c r="AX178" s="1" t="s">
        <v>132</v>
      </c>
      <c r="AY178" s="1" t="s">
        <v>3772</v>
      </c>
      <c r="AZ178" s="1" t="s">
        <v>310</v>
      </c>
      <c r="BA178" s="1" t="s">
        <v>229</v>
      </c>
      <c r="BB178" s="1">
        <v>78.7</v>
      </c>
      <c r="BC178" s="1">
        <v>7.87</v>
      </c>
      <c r="BD178" s="1"/>
      <c r="BE178" s="1"/>
      <c r="BF178" s="1"/>
      <c r="BG178" s="1"/>
      <c r="BH178" s="1"/>
      <c r="BI178" s="1"/>
      <c r="BJ178" s="1" t="s">
        <v>364</v>
      </c>
      <c r="BK178" s="1" t="s">
        <v>3773</v>
      </c>
      <c r="BL178" s="1" t="s">
        <v>1540</v>
      </c>
      <c r="BM178" s="1" t="s">
        <v>3774</v>
      </c>
      <c r="BN178" s="1">
        <v>8</v>
      </c>
      <c r="BO178" s="1"/>
      <c r="BP178" s="1" t="str">
        <f>HYPERLINK("https://nconnect.nicmar.ac.in/storage/profile/ProfilePhoto_P25700162_326594.jpg","Download")</f>
        <v>0</v>
      </c>
      <c r="BQ178" s="3"/>
      <c r="BR178" s="3"/>
    </row>
    <row r="179" spans="1:70">
      <c r="A179" s="1" t="s">
        <v>70</v>
      </c>
      <c r="B179" s="1" t="s">
        <v>441</v>
      </c>
      <c r="C179" s="1" t="s">
        <v>3775</v>
      </c>
      <c r="D179" s="1" t="s">
        <v>3776</v>
      </c>
      <c r="E179" s="1"/>
      <c r="F179" s="1" t="s">
        <v>3777</v>
      </c>
      <c r="G179" s="1" t="s">
        <v>3778</v>
      </c>
      <c r="H179" s="1" t="s">
        <v>3779</v>
      </c>
      <c r="I179" s="1" t="s">
        <v>3780</v>
      </c>
      <c r="J179" s="1">
        <v>9971229943</v>
      </c>
      <c r="K179" s="1" t="s">
        <v>148</v>
      </c>
      <c r="L179" s="1" t="s">
        <v>3781</v>
      </c>
      <c r="M179" s="1" t="s">
        <v>81</v>
      </c>
      <c r="N179" s="1" t="s">
        <v>241</v>
      </c>
      <c r="O179" s="1"/>
      <c r="P179" s="1" t="s">
        <v>450</v>
      </c>
      <c r="Q179" s="1" t="s">
        <v>3782</v>
      </c>
      <c r="R179" s="1" t="s">
        <v>3783</v>
      </c>
      <c r="S179" s="1">
        <v>9810388086</v>
      </c>
      <c r="T179" s="1" t="s">
        <v>820</v>
      </c>
      <c r="U179" s="1" t="s">
        <v>3784</v>
      </c>
      <c r="V179" s="1">
        <v>8076957747</v>
      </c>
      <c r="W179" s="1" t="s">
        <v>820</v>
      </c>
      <c r="X179" s="1" t="s">
        <v>3785</v>
      </c>
      <c r="Y179" s="1" t="s">
        <v>3786</v>
      </c>
      <c r="Z179" s="1" t="s">
        <v>534</v>
      </c>
      <c r="AA179" s="1" t="s">
        <v>3785</v>
      </c>
      <c r="AB179" s="1" t="s">
        <v>3786</v>
      </c>
      <c r="AC179" s="1" t="s">
        <v>534</v>
      </c>
      <c r="AD179" s="1">
        <v>9.38</v>
      </c>
      <c r="AE179" s="1" t="s">
        <v>93</v>
      </c>
      <c r="AF179" s="1" t="s">
        <v>3787</v>
      </c>
      <c r="AG179" s="1" t="s">
        <v>3788</v>
      </c>
      <c r="AH179" s="1" t="s">
        <v>3789</v>
      </c>
      <c r="AI179" s="1" t="s">
        <v>165</v>
      </c>
      <c r="AJ179" s="1">
        <v>95</v>
      </c>
      <c r="AK179" s="1">
        <v>10</v>
      </c>
      <c r="AL179" s="1" t="s">
        <v>3787</v>
      </c>
      <c r="AM179" s="1" t="s">
        <v>3788</v>
      </c>
      <c r="AN179" s="1" t="s">
        <v>3789</v>
      </c>
      <c r="AO179" s="1" t="s">
        <v>308</v>
      </c>
      <c r="AP179" s="1">
        <v>96</v>
      </c>
      <c r="AQ179" s="1"/>
      <c r="AR179" s="1"/>
      <c r="AS179" s="1"/>
      <c r="AT179" s="1"/>
      <c r="AU179" s="1"/>
      <c r="AV179" s="1"/>
      <c r="AW179" s="1"/>
      <c r="AX179" s="1" t="s">
        <v>3790</v>
      </c>
      <c r="AY179" s="1" t="s">
        <v>3791</v>
      </c>
      <c r="AZ179" s="1" t="s">
        <v>201</v>
      </c>
      <c r="BA179" s="1" t="s">
        <v>413</v>
      </c>
      <c r="BB179" s="1">
        <v>91.6</v>
      </c>
      <c r="BC179" s="1">
        <v>9.16</v>
      </c>
      <c r="BD179" s="1"/>
      <c r="BE179" s="1"/>
      <c r="BF179" s="1"/>
      <c r="BG179" s="1"/>
      <c r="BH179" s="1"/>
      <c r="BI179" s="1"/>
      <c r="BJ179" s="1" t="s">
        <v>3792</v>
      </c>
      <c r="BK179" s="1" t="s">
        <v>3793</v>
      </c>
      <c r="BL179" s="1" t="s">
        <v>2569</v>
      </c>
      <c r="BM179" s="1" t="s">
        <v>3794</v>
      </c>
      <c r="BN179" s="1">
        <v>24</v>
      </c>
      <c r="BO179" s="1" t="s">
        <v>3795</v>
      </c>
      <c r="BP179" s="1" t="str">
        <f>HYPERLINK("https://nconnect.nicmar.ac.in/storage/profile/ProfilePhoto_P25700163_913852.jpg","Download")</f>
        <v>0</v>
      </c>
      <c r="BQ179" s="3"/>
      <c r="BR179" s="3"/>
    </row>
    <row r="180" spans="1:70">
      <c r="A180" s="1" t="s">
        <v>70</v>
      </c>
      <c r="B180" s="1" t="s">
        <v>441</v>
      </c>
      <c r="C180" s="1" t="s">
        <v>3796</v>
      </c>
      <c r="D180" s="1" t="s">
        <v>3797</v>
      </c>
      <c r="E180" s="1" t="s">
        <v>3798</v>
      </c>
      <c r="F180" s="1" t="s">
        <v>3799</v>
      </c>
      <c r="G180" s="1" t="s">
        <v>3800</v>
      </c>
      <c r="H180" s="1" t="s">
        <v>3801</v>
      </c>
      <c r="I180" s="1" t="s">
        <v>3802</v>
      </c>
      <c r="J180" s="1">
        <v>9392957400</v>
      </c>
      <c r="K180" s="1" t="s">
        <v>79</v>
      </c>
      <c r="L180" s="1" t="s">
        <v>3803</v>
      </c>
      <c r="M180" s="1" t="s">
        <v>81</v>
      </c>
      <c r="N180" s="1" t="s">
        <v>3804</v>
      </c>
      <c r="O180" s="1"/>
      <c r="P180" s="1" t="s">
        <v>472</v>
      </c>
      <c r="Q180" s="1" t="s">
        <v>3805</v>
      </c>
      <c r="R180" s="1" t="s">
        <v>3806</v>
      </c>
      <c r="S180" s="1">
        <v>9748452426</v>
      </c>
      <c r="T180" s="1" t="s">
        <v>3807</v>
      </c>
      <c r="U180" s="1" t="s">
        <v>3808</v>
      </c>
      <c r="V180" s="1">
        <v>9948756222</v>
      </c>
      <c r="W180" s="1" t="s">
        <v>3809</v>
      </c>
      <c r="X180" s="1" t="s">
        <v>3810</v>
      </c>
      <c r="Y180" s="1" t="s">
        <v>1432</v>
      </c>
      <c r="Z180" s="1" t="s">
        <v>276</v>
      </c>
      <c r="AA180" s="1" t="s">
        <v>3810</v>
      </c>
      <c r="AB180" s="1" t="s">
        <v>1432</v>
      </c>
      <c r="AC180" s="1" t="s">
        <v>276</v>
      </c>
      <c r="AD180" s="1">
        <v>8.15</v>
      </c>
      <c r="AE180" s="1" t="s">
        <v>93</v>
      </c>
      <c r="AF180" s="1" t="s">
        <v>3811</v>
      </c>
      <c r="AG180" s="1" t="s">
        <v>3812</v>
      </c>
      <c r="AH180" s="1" t="s">
        <v>3813</v>
      </c>
      <c r="AI180" s="1" t="s">
        <v>308</v>
      </c>
      <c r="AJ180" s="1">
        <v>80.6</v>
      </c>
      <c r="AK180" s="1"/>
      <c r="AL180" s="1" t="s">
        <v>3052</v>
      </c>
      <c r="AM180" s="1" t="s">
        <v>3814</v>
      </c>
      <c r="AN180" s="1" t="s">
        <v>310</v>
      </c>
      <c r="AO180" s="1" t="s">
        <v>539</v>
      </c>
      <c r="AP180" s="1">
        <v>90.3</v>
      </c>
      <c r="AQ180" s="1"/>
      <c r="AR180" s="1"/>
      <c r="AS180" s="1"/>
      <c r="AT180" s="1"/>
      <c r="AU180" s="1"/>
      <c r="AV180" s="1"/>
      <c r="AW180" s="1"/>
      <c r="AX180" s="1" t="s">
        <v>3815</v>
      </c>
      <c r="AY180" s="1" t="s">
        <v>3816</v>
      </c>
      <c r="AZ180" s="1" t="s">
        <v>135</v>
      </c>
      <c r="BA180" s="1" t="s">
        <v>543</v>
      </c>
      <c r="BB180" s="1">
        <v>60.13</v>
      </c>
      <c r="BC180" s="1"/>
      <c r="BD180" s="1"/>
      <c r="BE180" s="1"/>
      <c r="BF180" s="1"/>
      <c r="BG180" s="1"/>
      <c r="BH180" s="1"/>
      <c r="BI180" s="1"/>
      <c r="BJ180" s="1" t="s">
        <v>364</v>
      </c>
      <c r="BK180" s="1"/>
      <c r="BL180" s="1"/>
      <c r="BM180" s="1" t="s">
        <v>3817</v>
      </c>
      <c r="BN180" s="1">
        <v>13</v>
      </c>
      <c r="BO180" s="1"/>
      <c r="BP180" s="1" t="str">
        <f>HYPERLINK("https://nconnect.nicmar.ac.in/storage/profile/ProfilePhoto_P25700164_746531.jpg","Download")</f>
        <v>0</v>
      </c>
      <c r="BQ180" s="3"/>
      <c r="BR180" s="3"/>
    </row>
    <row r="181" spans="1:70">
      <c r="A181" s="1" t="s">
        <v>70</v>
      </c>
      <c r="B181" s="1" t="s">
        <v>441</v>
      </c>
      <c r="C181" s="1" t="s">
        <v>3818</v>
      </c>
      <c r="D181" s="1" t="s">
        <v>3819</v>
      </c>
      <c r="E181" s="1"/>
      <c r="F181" s="1" t="s">
        <v>520</v>
      </c>
      <c r="G181" s="1" t="s">
        <v>3820</v>
      </c>
      <c r="H181" s="1" t="s">
        <v>3821</v>
      </c>
      <c r="I181" s="1" t="s">
        <v>3822</v>
      </c>
      <c r="J181" s="1">
        <v>7678285133</v>
      </c>
      <c r="K181" s="1" t="s">
        <v>79</v>
      </c>
      <c r="L181" s="1" t="s">
        <v>3823</v>
      </c>
      <c r="M181" s="1" t="s">
        <v>81</v>
      </c>
      <c r="N181" s="1" t="s">
        <v>241</v>
      </c>
      <c r="O181" s="1"/>
      <c r="P181" s="1" t="s">
        <v>450</v>
      </c>
      <c r="Q181" s="1" t="s">
        <v>3824</v>
      </c>
      <c r="R181" s="1" t="s">
        <v>3825</v>
      </c>
      <c r="S181" s="1">
        <v>9810080989</v>
      </c>
      <c r="T181" s="1" t="s">
        <v>820</v>
      </c>
      <c r="U181" s="1" t="s">
        <v>3826</v>
      </c>
      <c r="V181" s="1">
        <v>9311332321</v>
      </c>
      <c r="W181" s="1" t="s">
        <v>89</v>
      </c>
      <c r="X181" s="1" t="s">
        <v>3827</v>
      </c>
      <c r="Y181" s="1" t="s">
        <v>3786</v>
      </c>
      <c r="Z181" s="1" t="s">
        <v>534</v>
      </c>
      <c r="AA181" s="1" t="s">
        <v>3827</v>
      </c>
      <c r="AB181" s="1" t="s">
        <v>3786</v>
      </c>
      <c r="AC181" s="1" t="s">
        <v>534</v>
      </c>
      <c r="AD181" s="1">
        <v>9.03</v>
      </c>
      <c r="AE181" s="1" t="s">
        <v>93</v>
      </c>
      <c r="AF181" s="1" t="s">
        <v>3828</v>
      </c>
      <c r="AG181" s="1" t="s">
        <v>3829</v>
      </c>
      <c r="AH181" s="1" t="s">
        <v>279</v>
      </c>
      <c r="AI181" s="1" t="s">
        <v>195</v>
      </c>
      <c r="AJ181" s="1">
        <v>93.1</v>
      </c>
      <c r="AK181" s="1">
        <v>9.8</v>
      </c>
      <c r="AL181" s="1" t="s">
        <v>3828</v>
      </c>
      <c r="AM181" s="1" t="s">
        <v>3829</v>
      </c>
      <c r="AN181" s="1" t="s">
        <v>481</v>
      </c>
      <c r="AO181" s="1" t="s">
        <v>308</v>
      </c>
      <c r="AP181" s="1">
        <v>91.4</v>
      </c>
      <c r="AQ181" s="1">
        <v>0</v>
      </c>
      <c r="AR181" s="1"/>
      <c r="AS181" s="1"/>
      <c r="AT181" s="1"/>
      <c r="AU181" s="1"/>
      <c r="AV181" s="1"/>
      <c r="AW181" s="1"/>
      <c r="AX181" s="1" t="s">
        <v>3830</v>
      </c>
      <c r="AY181" s="1" t="s">
        <v>3831</v>
      </c>
      <c r="AZ181" s="1" t="s">
        <v>310</v>
      </c>
      <c r="BA181" s="1" t="s">
        <v>174</v>
      </c>
      <c r="BB181" s="1">
        <v>85.4</v>
      </c>
      <c r="BC181" s="1">
        <v>8.54</v>
      </c>
      <c r="BD181" s="1"/>
      <c r="BE181" s="1"/>
      <c r="BF181" s="1"/>
      <c r="BG181" s="1"/>
      <c r="BH181" s="1"/>
      <c r="BI181" s="1"/>
      <c r="BJ181" s="1" t="s">
        <v>3832</v>
      </c>
      <c r="BK181" s="1"/>
      <c r="BL181" s="1"/>
      <c r="BM181" s="1" t="s">
        <v>3833</v>
      </c>
      <c r="BN181" s="1">
        <v>39</v>
      </c>
      <c r="BO181" s="1"/>
      <c r="BP181" s="1" t="str">
        <f>HYPERLINK("https://nconnect.nicmar.ac.in/storage/profile/ProfilePhoto_P25700165_376415.jpg","Download")</f>
        <v>0</v>
      </c>
      <c r="BQ181" s="3"/>
      <c r="BR181" s="3"/>
    </row>
    <row r="182" spans="1:70">
      <c r="A182" s="1" t="s">
        <v>70</v>
      </c>
      <c r="B182" s="1" t="s">
        <v>441</v>
      </c>
      <c r="C182" s="1" t="s">
        <v>3834</v>
      </c>
      <c r="D182" s="1" t="s">
        <v>367</v>
      </c>
      <c r="E182" s="1" t="s">
        <v>3835</v>
      </c>
      <c r="F182" s="1" t="s">
        <v>3836</v>
      </c>
      <c r="G182" s="1" t="s">
        <v>3837</v>
      </c>
      <c r="H182" s="1" t="s">
        <v>3838</v>
      </c>
      <c r="I182" s="1" t="s">
        <v>3839</v>
      </c>
      <c r="J182" s="1">
        <v>7559435455</v>
      </c>
      <c r="K182" s="1" t="s">
        <v>79</v>
      </c>
      <c r="L182" s="1" t="s">
        <v>2674</v>
      </c>
      <c r="M182" s="1" t="s">
        <v>81</v>
      </c>
      <c r="N182" s="1" t="s">
        <v>2424</v>
      </c>
      <c r="O182" s="1"/>
      <c r="P182" s="1" t="s">
        <v>450</v>
      </c>
      <c r="Q182" s="1" t="s">
        <v>3840</v>
      </c>
      <c r="R182" s="1" t="s">
        <v>3841</v>
      </c>
      <c r="S182" s="1">
        <v>9673928999</v>
      </c>
      <c r="T182" s="1" t="s">
        <v>906</v>
      </c>
      <c r="U182" s="1" t="s">
        <v>3842</v>
      </c>
      <c r="V182" s="1">
        <v>9765211617</v>
      </c>
      <c r="W182" s="1" t="s">
        <v>273</v>
      </c>
      <c r="X182" s="1" t="s">
        <v>3843</v>
      </c>
      <c r="Y182" s="1" t="s">
        <v>191</v>
      </c>
      <c r="Z182" s="1" t="s">
        <v>92</v>
      </c>
      <c r="AA182" s="1" t="s">
        <v>3844</v>
      </c>
      <c r="AB182" s="1" t="s">
        <v>158</v>
      </c>
      <c r="AC182" s="1" t="s">
        <v>92</v>
      </c>
      <c r="AD182" s="1">
        <v>7.97</v>
      </c>
      <c r="AE182" s="1" t="s">
        <v>93</v>
      </c>
      <c r="AF182" s="1" t="s">
        <v>3845</v>
      </c>
      <c r="AG182" s="1" t="s">
        <v>777</v>
      </c>
      <c r="AH182" s="1" t="s">
        <v>162</v>
      </c>
      <c r="AI182" s="1" t="s">
        <v>308</v>
      </c>
      <c r="AJ182" s="1">
        <v>84.6</v>
      </c>
      <c r="AK182" s="1"/>
      <c r="AL182" s="1" t="s">
        <v>3846</v>
      </c>
      <c r="AM182" s="1" t="s">
        <v>3847</v>
      </c>
      <c r="AN182" s="1" t="s">
        <v>310</v>
      </c>
      <c r="AO182" s="1" t="s">
        <v>1148</v>
      </c>
      <c r="AP182" s="1">
        <v>84.5</v>
      </c>
      <c r="AQ182" s="1"/>
      <c r="AR182" s="1"/>
      <c r="AS182" s="1"/>
      <c r="AT182" s="1"/>
      <c r="AU182" s="1"/>
      <c r="AV182" s="1"/>
      <c r="AW182" s="1"/>
      <c r="AX182" s="1" t="s">
        <v>361</v>
      </c>
      <c r="AY182" s="1" t="s">
        <v>3848</v>
      </c>
      <c r="AZ182" s="1" t="s">
        <v>852</v>
      </c>
      <c r="BA182" s="1" t="s">
        <v>543</v>
      </c>
      <c r="BB182" s="1">
        <v>75.5</v>
      </c>
      <c r="BC182" s="1">
        <v>8.3</v>
      </c>
      <c r="BD182" s="1"/>
      <c r="BE182" s="1"/>
      <c r="BF182" s="1"/>
      <c r="BG182" s="1"/>
      <c r="BH182" s="1"/>
      <c r="BI182" s="1"/>
      <c r="BJ182" s="1" t="s">
        <v>364</v>
      </c>
      <c r="BK182" s="1"/>
      <c r="BL182" s="1"/>
      <c r="BM182" s="1" t="s">
        <v>3849</v>
      </c>
      <c r="BN182" s="1">
        <v>28</v>
      </c>
      <c r="BO182" s="1"/>
      <c r="BP182" s="1" t="str">
        <f>HYPERLINK("https://nconnect.nicmar.ac.in/storage/profile/ProfilePhoto_P25700166_763589.jpg","Download")</f>
        <v>0</v>
      </c>
      <c r="BQ182" s="3"/>
      <c r="BR182" s="3"/>
    </row>
    <row r="183" spans="1:70">
      <c r="A183" s="1" t="s">
        <v>70</v>
      </c>
      <c r="B183" s="1" t="s">
        <v>441</v>
      </c>
      <c r="C183" s="1" t="s">
        <v>3850</v>
      </c>
      <c r="D183" s="1" t="s">
        <v>3851</v>
      </c>
      <c r="E183" s="1"/>
      <c r="F183" s="1" t="s">
        <v>3852</v>
      </c>
      <c r="G183" s="1" t="s">
        <v>3853</v>
      </c>
      <c r="H183" s="1" t="s">
        <v>3854</v>
      </c>
      <c r="I183" s="1" t="s">
        <v>3855</v>
      </c>
      <c r="J183" s="1">
        <v>9441056172</v>
      </c>
      <c r="K183" s="1" t="s">
        <v>79</v>
      </c>
      <c r="L183" s="1" t="s">
        <v>3856</v>
      </c>
      <c r="M183" s="1" t="s">
        <v>81</v>
      </c>
      <c r="N183" s="1" t="s">
        <v>3857</v>
      </c>
      <c r="O183" s="1"/>
      <c r="P183" s="1" t="s">
        <v>497</v>
      </c>
      <c r="Q183" s="1" t="s">
        <v>3858</v>
      </c>
      <c r="R183" s="1" t="s">
        <v>3859</v>
      </c>
      <c r="S183" s="1">
        <v>9945279015</v>
      </c>
      <c r="T183" s="1" t="s">
        <v>820</v>
      </c>
      <c r="U183" s="1" t="s">
        <v>3860</v>
      </c>
      <c r="V183" s="1">
        <v>9440883642</v>
      </c>
      <c r="W183" s="1" t="s">
        <v>3861</v>
      </c>
      <c r="X183" s="1" t="s">
        <v>3862</v>
      </c>
      <c r="Y183" s="1" t="s">
        <v>3863</v>
      </c>
      <c r="Z183" s="1" t="s">
        <v>276</v>
      </c>
      <c r="AA183" s="1" t="s">
        <v>3862</v>
      </c>
      <c r="AB183" s="1" t="s">
        <v>3863</v>
      </c>
      <c r="AC183" s="1" t="s">
        <v>276</v>
      </c>
      <c r="AD183" s="1">
        <v>8.23</v>
      </c>
      <c r="AE183" s="1" t="s">
        <v>93</v>
      </c>
      <c r="AF183" s="1" t="s">
        <v>3864</v>
      </c>
      <c r="AG183" s="1" t="s">
        <v>1396</v>
      </c>
      <c r="AH183" s="1" t="s">
        <v>165</v>
      </c>
      <c r="AI183" s="1" t="s">
        <v>481</v>
      </c>
      <c r="AJ183" s="1">
        <v>90</v>
      </c>
      <c r="AK183" s="1"/>
      <c r="AL183" s="1" t="s">
        <v>3864</v>
      </c>
      <c r="AM183" s="1" t="s">
        <v>3053</v>
      </c>
      <c r="AN183" s="1" t="s">
        <v>101</v>
      </c>
      <c r="AO183" s="1" t="s">
        <v>460</v>
      </c>
      <c r="AP183" s="1">
        <v>65.4</v>
      </c>
      <c r="AQ183" s="1"/>
      <c r="AR183" s="1"/>
      <c r="AS183" s="1"/>
      <c r="AT183" s="1"/>
      <c r="AU183" s="1"/>
      <c r="AV183" s="1"/>
      <c r="AW183" s="1"/>
      <c r="AX183" s="1" t="s">
        <v>1194</v>
      </c>
      <c r="AY183" s="1" t="s">
        <v>3865</v>
      </c>
      <c r="AZ183" s="1" t="s">
        <v>363</v>
      </c>
      <c r="BA183" s="1" t="s">
        <v>202</v>
      </c>
      <c r="BB183" s="1">
        <v>68.4</v>
      </c>
      <c r="BC183" s="1"/>
      <c r="BD183" s="1"/>
      <c r="BE183" s="1"/>
      <c r="BF183" s="1"/>
      <c r="BG183" s="1"/>
      <c r="BH183" s="1"/>
      <c r="BI183" s="1"/>
      <c r="BJ183" s="1" t="s">
        <v>2275</v>
      </c>
      <c r="BK183" s="1"/>
      <c r="BL183" s="1"/>
      <c r="BM183" s="1" t="s">
        <v>3866</v>
      </c>
      <c r="BN183" s="1">
        <v>38</v>
      </c>
      <c r="BO183" s="1"/>
      <c r="BP183" s="1" t="str">
        <f>HYPERLINK("https://nconnect.nicmar.ac.in/storage/profile/ProfilePhoto_P25700167_351762.jpg","Download")</f>
        <v>0</v>
      </c>
      <c r="BQ183" s="3"/>
      <c r="BR183" s="3"/>
    </row>
    <row r="184" spans="1:70">
      <c r="A184" s="1" t="s">
        <v>70</v>
      </c>
      <c r="B184" s="1" t="s">
        <v>441</v>
      </c>
      <c r="C184" s="1" t="s">
        <v>3867</v>
      </c>
      <c r="D184" s="1" t="s">
        <v>3868</v>
      </c>
      <c r="E184" s="1"/>
      <c r="F184" s="1" t="s">
        <v>3869</v>
      </c>
      <c r="G184" s="1" t="s">
        <v>3870</v>
      </c>
      <c r="H184" s="1" t="s">
        <v>3871</v>
      </c>
      <c r="I184" s="1" t="s">
        <v>3872</v>
      </c>
      <c r="J184" s="1">
        <v>9908717046</v>
      </c>
      <c r="K184" s="1" t="s">
        <v>79</v>
      </c>
      <c r="L184" s="1" t="s">
        <v>3873</v>
      </c>
      <c r="M184" s="1" t="s">
        <v>81</v>
      </c>
      <c r="N184" s="1" t="s">
        <v>3874</v>
      </c>
      <c r="O184" s="1"/>
      <c r="P184" s="1" t="s">
        <v>472</v>
      </c>
      <c r="Q184" s="1" t="s">
        <v>3875</v>
      </c>
      <c r="R184" s="1" t="s">
        <v>3876</v>
      </c>
      <c r="S184" s="1">
        <v>8328535737</v>
      </c>
      <c r="T184" s="1" t="s">
        <v>3877</v>
      </c>
      <c r="U184" s="1" t="s">
        <v>3878</v>
      </c>
      <c r="V184" s="1">
        <v>6301738627</v>
      </c>
      <c r="W184" s="1" t="s">
        <v>531</v>
      </c>
      <c r="X184" s="1" t="s">
        <v>3879</v>
      </c>
      <c r="Y184" s="1" t="s">
        <v>1898</v>
      </c>
      <c r="Z184" s="1" t="s">
        <v>276</v>
      </c>
      <c r="AA184" s="1" t="s">
        <v>3879</v>
      </c>
      <c r="AB184" s="1" t="s">
        <v>1898</v>
      </c>
      <c r="AC184" s="1" t="s">
        <v>276</v>
      </c>
      <c r="AD184" s="1">
        <v>7.87</v>
      </c>
      <c r="AE184" s="1" t="s">
        <v>93</v>
      </c>
      <c r="AF184" s="1" t="s">
        <v>3880</v>
      </c>
      <c r="AG184" s="1" t="s">
        <v>3881</v>
      </c>
      <c r="AH184" s="1" t="s">
        <v>195</v>
      </c>
      <c r="AI184" s="1" t="s">
        <v>481</v>
      </c>
      <c r="AJ184" s="1">
        <v>83</v>
      </c>
      <c r="AK184" s="1">
        <v>8.3</v>
      </c>
      <c r="AL184" s="1" t="s">
        <v>3882</v>
      </c>
      <c r="AM184" s="1" t="s">
        <v>3883</v>
      </c>
      <c r="AN184" s="1" t="s">
        <v>310</v>
      </c>
      <c r="AO184" s="1" t="s">
        <v>173</v>
      </c>
      <c r="AP184" s="1">
        <v>57.92</v>
      </c>
      <c r="AQ184" s="1">
        <v>6.19</v>
      </c>
      <c r="AR184" s="1"/>
      <c r="AS184" s="1"/>
      <c r="AT184" s="1"/>
      <c r="AU184" s="1"/>
      <c r="AV184" s="1"/>
      <c r="AW184" s="1"/>
      <c r="AX184" s="1" t="s">
        <v>3884</v>
      </c>
      <c r="AY184" s="1" t="s">
        <v>3885</v>
      </c>
      <c r="AZ184" s="1" t="s">
        <v>173</v>
      </c>
      <c r="BA184" s="1" t="s">
        <v>1067</v>
      </c>
      <c r="BB184" s="1">
        <v>56.7</v>
      </c>
      <c r="BC184" s="1">
        <v>6.42</v>
      </c>
      <c r="BD184" s="1"/>
      <c r="BE184" s="1"/>
      <c r="BF184" s="1"/>
      <c r="BG184" s="1"/>
      <c r="BH184" s="1"/>
      <c r="BI184" s="1"/>
      <c r="BJ184" s="1" t="s">
        <v>3886</v>
      </c>
      <c r="BK184" s="1"/>
      <c r="BL184" s="1"/>
      <c r="BM184" s="1" t="s">
        <v>3887</v>
      </c>
      <c r="BN184" s="1">
        <v>26</v>
      </c>
      <c r="BO184" s="1"/>
      <c r="BP184" s="1" t="str">
        <f>HYPERLINK("https://nconnect.nicmar.ac.in/storage/profile/ProfilePhoto_P25700168_965724.jpg","Download")</f>
        <v>0</v>
      </c>
      <c r="BQ184" s="3"/>
      <c r="BR184" s="3"/>
    </row>
    <row r="185" spans="1:70">
      <c r="A185" s="1" t="s">
        <v>70</v>
      </c>
      <c r="B185" s="1" t="s">
        <v>441</v>
      </c>
      <c r="C185" s="1" t="s">
        <v>3888</v>
      </c>
      <c r="D185" s="1" t="s">
        <v>3889</v>
      </c>
      <c r="E185" s="1" t="s">
        <v>3890</v>
      </c>
      <c r="F185" s="1" t="s">
        <v>3891</v>
      </c>
      <c r="G185" s="1" t="s">
        <v>3892</v>
      </c>
      <c r="H185" s="1" t="s">
        <v>3893</v>
      </c>
      <c r="I185" s="1" t="s">
        <v>3894</v>
      </c>
      <c r="J185" s="1">
        <v>9156403403</v>
      </c>
      <c r="K185" s="1" t="s">
        <v>148</v>
      </c>
      <c r="L185" s="1" t="s">
        <v>3895</v>
      </c>
      <c r="M185" s="1" t="s">
        <v>81</v>
      </c>
      <c r="N185" s="1" t="s">
        <v>1140</v>
      </c>
      <c r="O185" s="1"/>
      <c r="P185" s="1" t="s">
        <v>450</v>
      </c>
      <c r="Q185" s="1" t="s">
        <v>3896</v>
      </c>
      <c r="R185" s="1" t="s">
        <v>3890</v>
      </c>
      <c r="S185" s="1">
        <v>9860505903</v>
      </c>
      <c r="T185" s="1" t="s">
        <v>906</v>
      </c>
      <c r="U185" s="1" t="s">
        <v>1874</v>
      </c>
      <c r="V185" s="1">
        <v>8600289306</v>
      </c>
      <c r="W185" s="1" t="s">
        <v>89</v>
      </c>
      <c r="X185" s="1" t="s">
        <v>3897</v>
      </c>
      <c r="Y185" s="1" t="s">
        <v>379</v>
      </c>
      <c r="Z185" s="1" t="s">
        <v>92</v>
      </c>
      <c r="AA185" s="1" t="s">
        <v>3897</v>
      </c>
      <c r="AB185" s="1" t="s">
        <v>379</v>
      </c>
      <c r="AC185" s="1" t="s">
        <v>92</v>
      </c>
      <c r="AD185" s="1">
        <v>9.57</v>
      </c>
      <c r="AE185" s="1" t="s">
        <v>93</v>
      </c>
      <c r="AF185" s="1" t="s">
        <v>3898</v>
      </c>
      <c r="AG185" s="1" t="s">
        <v>3899</v>
      </c>
      <c r="AH185" s="1" t="s">
        <v>1088</v>
      </c>
      <c r="AI185" s="1" t="s">
        <v>614</v>
      </c>
      <c r="AJ185" s="1">
        <v>89.3</v>
      </c>
      <c r="AK185" s="1">
        <v>9.4</v>
      </c>
      <c r="AL185" s="1" t="s">
        <v>3900</v>
      </c>
      <c r="AM185" s="1" t="s">
        <v>3901</v>
      </c>
      <c r="AN185" s="1" t="s">
        <v>165</v>
      </c>
      <c r="AO185" s="1" t="s">
        <v>166</v>
      </c>
      <c r="AP185" s="1">
        <v>89.23</v>
      </c>
      <c r="AQ185" s="1"/>
      <c r="AR185" s="1"/>
      <c r="AS185" s="1"/>
      <c r="AT185" s="1"/>
      <c r="AU185" s="1"/>
      <c r="AV185" s="1"/>
      <c r="AW185" s="1"/>
      <c r="AX185" s="1" t="s">
        <v>976</v>
      </c>
      <c r="AY185" s="1" t="s">
        <v>3902</v>
      </c>
      <c r="AZ185" s="1" t="s">
        <v>169</v>
      </c>
      <c r="BA185" s="1" t="s">
        <v>229</v>
      </c>
      <c r="BB185" s="1">
        <v>83.31</v>
      </c>
      <c r="BC185" s="1">
        <v>8.77</v>
      </c>
      <c r="BD185" s="1"/>
      <c r="BE185" s="1"/>
      <c r="BF185" s="1"/>
      <c r="BG185" s="1"/>
      <c r="BH185" s="1"/>
      <c r="BI185" s="1"/>
      <c r="BJ185" s="1" t="s">
        <v>3903</v>
      </c>
      <c r="BK185" s="1" t="s">
        <v>3904</v>
      </c>
      <c r="BL185" s="1" t="s">
        <v>1129</v>
      </c>
      <c r="BM185" s="1" t="s">
        <v>3905</v>
      </c>
      <c r="BN185" s="1">
        <v>26</v>
      </c>
      <c r="BO185" s="1" t="s">
        <v>3906</v>
      </c>
      <c r="BP185" s="1" t="str">
        <f>HYPERLINK("https://nconnect.nicmar.ac.in/storage/profile/ProfilePhoto_P25700169_478621.jpg","Download")</f>
        <v>0</v>
      </c>
      <c r="BQ185" s="3"/>
      <c r="BR185" s="3"/>
    </row>
    <row r="186" spans="1:70">
      <c r="A186" s="1" t="s">
        <v>70</v>
      </c>
      <c r="B186" s="1" t="s">
        <v>441</v>
      </c>
      <c r="C186" s="1" t="s">
        <v>3907</v>
      </c>
      <c r="D186" s="1" t="s">
        <v>3908</v>
      </c>
      <c r="E186" s="1"/>
      <c r="F186" s="1" t="s">
        <v>940</v>
      </c>
      <c r="G186" s="1" t="s">
        <v>3909</v>
      </c>
      <c r="H186" s="1" t="s">
        <v>3910</v>
      </c>
      <c r="I186" s="1" t="s">
        <v>3911</v>
      </c>
      <c r="J186" s="1">
        <v>8628051005</v>
      </c>
      <c r="K186" s="1" t="s">
        <v>79</v>
      </c>
      <c r="L186" s="1" t="s">
        <v>3912</v>
      </c>
      <c r="M186" s="1" t="s">
        <v>81</v>
      </c>
      <c r="N186" s="1" t="s">
        <v>2991</v>
      </c>
      <c r="O186" s="1"/>
      <c r="P186" s="1" t="s">
        <v>450</v>
      </c>
      <c r="Q186" s="1" t="s">
        <v>3913</v>
      </c>
      <c r="R186" s="1" t="s">
        <v>3914</v>
      </c>
      <c r="S186" s="1">
        <v>9501232100</v>
      </c>
      <c r="T186" s="1" t="s">
        <v>3915</v>
      </c>
      <c r="U186" s="1" t="s">
        <v>3916</v>
      </c>
      <c r="V186" s="1">
        <v>9418046030</v>
      </c>
      <c r="W186" s="1" t="s">
        <v>3917</v>
      </c>
      <c r="X186" s="1" t="s">
        <v>3918</v>
      </c>
      <c r="Y186" s="1" t="s">
        <v>3919</v>
      </c>
      <c r="Z186" s="1" t="s">
        <v>2619</v>
      </c>
      <c r="AA186" s="1" t="s">
        <v>3918</v>
      </c>
      <c r="AB186" s="1" t="s">
        <v>3919</v>
      </c>
      <c r="AC186" s="1" t="s">
        <v>2619</v>
      </c>
      <c r="AD186" s="1">
        <v>7.2</v>
      </c>
      <c r="AE186" s="1" t="s">
        <v>93</v>
      </c>
      <c r="AF186" s="1" t="s">
        <v>3920</v>
      </c>
      <c r="AG186" s="1" t="s">
        <v>777</v>
      </c>
      <c r="AH186" s="1" t="s">
        <v>195</v>
      </c>
      <c r="AI186" s="1" t="s">
        <v>281</v>
      </c>
      <c r="AJ186" s="1">
        <v>61.8</v>
      </c>
      <c r="AK186" s="1">
        <v>0</v>
      </c>
      <c r="AL186" s="1" t="s">
        <v>3921</v>
      </c>
      <c r="AM186" s="1" t="s">
        <v>777</v>
      </c>
      <c r="AN186" s="1" t="s">
        <v>409</v>
      </c>
      <c r="AO186" s="1" t="s">
        <v>590</v>
      </c>
      <c r="AP186" s="1">
        <v>63.2</v>
      </c>
      <c r="AQ186" s="1">
        <v>0</v>
      </c>
      <c r="AR186" s="1"/>
      <c r="AS186" s="1"/>
      <c r="AT186" s="1"/>
      <c r="AU186" s="1"/>
      <c r="AV186" s="1"/>
      <c r="AW186" s="1"/>
      <c r="AX186" s="1" t="s">
        <v>3922</v>
      </c>
      <c r="AY186" s="1" t="s">
        <v>3923</v>
      </c>
      <c r="AZ186" s="1" t="s">
        <v>871</v>
      </c>
      <c r="BA186" s="1" t="s">
        <v>1067</v>
      </c>
      <c r="BB186" s="1">
        <v>70.5</v>
      </c>
      <c r="BC186" s="1">
        <v>7.05</v>
      </c>
      <c r="BD186" s="1"/>
      <c r="BE186" s="1"/>
      <c r="BF186" s="1"/>
      <c r="BG186" s="1"/>
      <c r="BH186" s="1"/>
      <c r="BI186" s="1"/>
      <c r="BJ186" s="1" t="s">
        <v>364</v>
      </c>
      <c r="BK186" s="1"/>
      <c r="BL186" s="1"/>
      <c r="BM186" s="1" t="s">
        <v>3924</v>
      </c>
      <c r="BN186" s="1">
        <v>45</v>
      </c>
      <c r="BO186" s="1"/>
      <c r="BP186" s="1" t="str">
        <f>HYPERLINK("https://nconnect.nicmar.ac.in/storage/profile/ProfilePhoto_P25700170_489362.jpg","Download")</f>
        <v>0</v>
      </c>
      <c r="BQ186" s="3"/>
      <c r="BR186" s="3"/>
    </row>
    <row r="187" spans="1:70">
      <c r="A187" s="1" t="s">
        <v>70</v>
      </c>
      <c r="B187" s="1" t="s">
        <v>441</v>
      </c>
      <c r="C187" s="1" t="s">
        <v>3925</v>
      </c>
      <c r="D187" s="1" t="s">
        <v>3926</v>
      </c>
      <c r="E187" s="1"/>
      <c r="F187" s="1" t="s">
        <v>3927</v>
      </c>
      <c r="G187" s="1" t="s">
        <v>3928</v>
      </c>
      <c r="H187" s="1" t="s">
        <v>3929</v>
      </c>
      <c r="I187" s="1" t="s">
        <v>3930</v>
      </c>
      <c r="J187" s="1">
        <v>7980670867</v>
      </c>
      <c r="K187" s="1" t="s">
        <v>79</v>
      </c>
      <c r="L187" s="1" t="s">
        <v>3931</v>
      </c>
      <c r="M187" s="1" t="s">
        <v>81</v>
      </c>
      <c r="N187" s="1" t="s">
        <v>3932</v>
      </c>
      <c r="O187" s="1"/>
      <c r="P187" s="1" t="s">
        <v>450</v>
      </c>
      <c r="Q187" s="1" t="s">
        <v>3933</v>
      </c>
      <c r="R187" s="1" t="s">
        <v>3934</v>
      </c>
      <c r="S187" s="1">
        <v>9073192519</v>
      </c>
      <c r="T187" s="1" t="s">
        <v>120</v>
      </c>
      <c r="U187" s="1" t="s">
        <v>3935</v>
      </c>
      <c r="V187" s="1">
        <v>9433860343</v>
      </c>
      <c r="W187" s="1" t="s">
        <v>120</v>
      </c>
      <c r="X187" s="1" t="s">
        <v>3936</v>
      </c>
      <c r="Y187" s="1" t="s">
        <v>3937</v>
      </c>
      <c r="Z187" s="1" t="s">
        <v>1211</v>
      </c>
      <c r="AA187" s="1" t="s">
        <v>3936</v>
      </c>
      <c r="AB187" s="1" t="s">
        <v>3937</v>
      </c>
      <c r="AC187" s="1" t="s">
        <v>1211</v>
      </c>
      <c r="AD187" s="1">
        <v>8.77</v>
      </c>
      <c r="AE187" s="1" t="s">
        <v>93</v>
      </c>
      <c r="AF187" s="1" t="s">
        <v>3938</v>
      </c>
      <c r="AG187" s="1" t="s">
        <v>2154</v>
      </c>
      <c r="AH187" s="1" t="s">
        <v>1371</v>
      </c>
      <c r="AI187" s="1" t="s">
        <v>332</v>
      </c>
      <c r="AJ187" s="1">
        <v>74.57</v>
      </c>
      <c r="AK187" s="1"/>
      <c r="AL187" s="1" t="s">
        <v>3939</v>
      </c>
      <c r="AM187" s="1" t="s">
        <v>2154</v>
      </c>
      <c r="AN187" s="1" t="s">
        <v>3940</v>
      </c>
      <c r="AO187" s="1" t="s">
        <v>1435</v>
      </c>
      <c r="AP187" s="1">
        <v>61.33</v>
      </c>
      <c r="AQ187" s="1"/>
      <c r="AR187" s="1"/>
      <c r="AS187" s="1"/>
      <c r="AT187" s="1"/>
      <c r="AU187" s="1"/>
      <c r="AV187" s="1"/>
      <c r="AW187" s="1"/>
      <c r="AX187" s="1" t="s">
        <v>1217</v>
      </c>
      <c r="AY187" s="1" t="s">
        <v>3941</v>
      </c>
      <c r="AZ187" s="1" t="s">
        <v>1559</v>
      </c>
      <c r="BA187" s="1" t="s">
        <v>383</v>
      </c>
      <c r="BB187" s="1">
        <v>68.8</v>
      </c>
      <c r="BC187" s="1">
        <v>7.63</v>
      </c>
      <c r="BD187" s="1"/>
      <c r="BE187" s="1"/>
      <c r="BF187" s="1"/>
      <c r="BG187" s="1"/>
      <c r="BH187" s="1"/>
      <c r="BI187" s="1"/>
      <c r="BJ187" s="1" t="s">
        <v>3942</v>
      </c>
      <c r="BK187" s="1" t="s">
        <v>3943</v>
      </c>
      <c r="BL187" s="1" t="s">
        <v>3944</v>
      </c>
      <c r="BM187" s="1" t="s">
        <v>3945</v>
      </c>
      <c r="BN187" s="1">
        <v>25</v>
      </c>
      <c r="BO187" s="1" t="s">
        <v>3946</v>
      </c>
      <c r="BP187" s="1" t="str">
        <f>HYPERLINK("https://nconnect.nicmar.ac.in/storage/profile/ProfilePhoto_P25700171_586279.jpg","Download")</f>
        <v>0</v>
      </c>
      <c r="BQ187" s="3"/>
      <c r="BR187" s="3"/>
    </row>
    <row r="188" spans="1:70">
      <c r="A188" s="1" t="s">
        <v>70</v>
      </c>
      <c r="B188" s="1" t="s">
        <v>441</v>
      </c>
      <c r="C188" s="1" t="s">
        <v>3947</v>
      </c>
      <c r="D188" s="1" t="s">
        <v>3948</v>
      </c>
      <c r="E188" s="1" t="s">
        <v>2592</v>
      </c>
      <c r="F188" s="1" t="s">
        <v>1156</v>
      </c>
      <c r="G188" s="1" t="s">
        <v>3949</v>
      </c>
      <c r="H188" s="1" t="s">
        <v>3950</v>
      </c>
      <c r="I188" s="1" t="s">
        <v>3951</v>
      </c>
      <c r="J188" s="1">
        <v>8108181970</v>
      </c>
      <c r="K188" s="1" t="s">
        <v>148</v>
      </c>
      <c r="L188" s="1" t="s">
        <v>3952</v>
      </c>
      <c r="M188" s="1" t="s">
        <v>81</v>
      </c>
      <c r="N188" s="1" t="s">
        <v>1140</v>
      </c>
      <c r="O188" s="1"/>
      <c r="P188" s="1" t="s">
        <v>2035</v>
      </c>
      <c r="Q188" s="1" t="s">
        <v>3953</v>
      </c>
      <c r="R188" s="1" t="s">
        <v>3954</v>
      </c>
      <c r="S188" s="1">
        <v>9222467061</v>
      </c>
      <c r="T188" s="1" t="s">
        <v>820</v>
      </c>
      <c r="U188" s="1" t="s">
        <v>3955</v>
      </c>
      <c r="V188" s="1">
        <v>9167146470</v>
      </c>
      <c r="W188" s="1" t="s">
        <v>273</v>
      </c>
      <c r="X188" s="1" t="s">
        <v>3956</v>
      </c>
      <c r="Y188" s="1" t="s">
        <v>991</v>
      </c>
      <c r="Z188" s="1" t="s">
        <v>92</v>
      </c>
      <c r="AA188" s="1" t="s">
        <v>3956</v>
      </c>
      <c r="AB188" s="1" t="s">
        <v>991</v>
      </c>
      <c r="AC188" s="1" t="s">
        <v>92</v>
      </c>
      <c r="AD188" s="1">
        <v>7.16</v>
      </c>
      <c r="AE188" s="1" t="s">
        <v>93</v>
      </c>
      <c r="AF188" s="1" t="s">
        <v>3957</v>
      </c>
      <c r="AG188" s="1" t="s">
        <v>3958</v>
      </c>
      <c r="AH188" s="1" t="s">
        <v>162</v>
      </c>
      <c r="AI188" s="1" t="s">
        <v>195</v>
      </c>
      <c r="AJ188" s="1">
        <v>67</v>
      </c>
      <c r="AK188" s="1"/>
      <c r="AL188" s="1" t="s">
        <v>3959</v>
      </c>
      <c r="AM188" s="1" t="s">
        <v>3960</v>
      </c>
      <c r="AN188" s="1" t="s">
        <v>101</v>
      </c>
      <c r="AO188" s="1" t="s">
        <v>198</v>
      </c>
      <c r="AP188" s="1">
        <v>61.85</v>
      </c>
      <c r="AQ188" s="1"/>
      <c r="AR188" s="1"/>
      <c r="AS188" s="1"/>
      <c r="AT188" s="1"/>
      <c r="AU188" s="1"/>
      <c r="AV188" s="1"/>
      <c r="AW188" s="1"/>
      <c r="AX188" s="1" t="s">
        <v>3961</v>
      </c>
      <c r="AY188" s="1" t="s">
        <v>3962</v>
      </c>
      <c r="AZ188" s="1" t="s">
        <v>310</v>
      </c>
      <c r="BA188" s="1" t="s">
        <v>2352</v>
      </c>
      <c r="BB188" s="1">
        <v>60</v>
      </c>
      <c r="BC188" s="1">
        <v>8.1</v>
      </c>
      <c r="BD188" s="1"/>
      <c r="BE188" s="1"/>
      <c r="BF188" s="1"/>
      <c r="BG188" s="1"/>
      <c r="BH188" s="1"/>
      <c r="BI188" s="1"/>
      <c r="BJ188" s="1" t="s">
        <v>3963</v>
      </c>
      <c r="BK188" s="1" t="s">
        <v>3964</v>
      </c>
      <c r="BL188" s="1" t="s">
        <v>3965</v>
      </c>
      <c r="BM188" s="1" t="s">
        <v>3966</v>
      </c>
      <c r="BN188" s="1">
        <v>40</v>
      </c>
      <c r="BO188" s="1" t="s">
        <v>3967</v>
      </c>
      <c r="BP188" s="1" t="str">
        <f>HYPERLINK("https://nconnect.nicmar.ac.in/storage/profile/ProfilePhoto_P25700172_489631.jpg","Download")</f>
        <v>0</v>
      </c>
      <c r="BQ188" s="3"/>
      <c r="BR188" s="3"/>
    </row>
    <row r="189" spans="1:70">
      <c r="A189" s="1" t="s">
        <v>70</v>
      </c>
      <c r="B189" s="1" t="s">
        <v>441</v>
      </c>
      <c r="C189" s="1" t="s">
        <v>3968</v>
      </c>
      <c r="D189" s="1" t="s">
        <v>3969</v>
      </c>
      <c r="E189" s="1" t="s">
        <v>1724</v>
      </c>
      <c r="F189" s="1" t="s">
        <v>3970</v>
      </c>
      <c r="G189" s="1" t="s">
        <v>3971</v>
      </c>
      <c r="H189" s="1" t="s">
        <v>3972</v>
      </c>
      <c r="I189" s="1" t="s">
        <v>3973</v>
      </c>
      <c r="J189" s="1">
        <v>7798109599</v>
      </c>
      <c r="K189" s="1" t="s">
        <v>148</v>
      </c>
      <c r="L189" s="1" t="s">
        <v>3974</v>
      </c>
      <c r="M189" s="1" t="s">
        <v>150</v>
      </c>
      <c r="N189" s="1" t="s">
        <v>1140</v>
      </c>
      <c r="O189" s="1" t="s">
        <v>3975</v>
      </c>
      <c r="P189" s="1" t="s">
        <v>472</v>
      </c>
      <c r="Q189" s="1" t="s">
        <v>3976</v>
      </c>
      <c r="R189" s="1" t="s">
        <v>3977</v>
      </c>
      <c r="S189" s="1">
        <v>8830002525</v>
      </c>
      <c r="T189" s="1" t="s">
        <v>325</v>
      </c>
      <c r="U189" s="1" t="s">
        <v>3978</v>
      </c>
      <c r="V189" s="1">
        <v>9422332043</v>
      </c>
      <c r="W189" s="1" t="s">
        <v>156</v>
      </c>
      <c r="X189" s="1" t="s">
        <v>3979</v>
      </c>
      <c r="Y189" s="1" t="s">
        <v>191</v>
      </c>
      <c r="Z189" s="1" t="s">
        <v>92</v>
      </c>
      <c r="AA189" s="1" t="s">
        <v>3980</v>
      </c>
      <c r="AB189" s="1" t="s">
        <v>1754</v>
      </c>
      <c r="AC189" s="1" t="s">
        <v>92</v>
      </c>
      <c r="AD189" s="1">
        <v>8.76</v>
      </c>
      <c r="AE189" s="1" t="s">
        <v>93</v>
      </c>
      <c r="AF189" s="1" t="s">
        <v>1877</v>
      </c>
      <c r="AG189" s="1" t="s">
        <v>160</v>
      </c>
      <c r="AH189" s="1" t="s">
        <v>3303</v>
      </c>
      <c r="AI189" s="1" t="s">
        <v>3981</v>
      </c>
      <c r="AJ189" s="1">
        <v>88.55</v>
      </c>
      <c r="AK189" s="1"/>
      <c r="AL189" s="1" t="s">
        <v>3982</v>
      </c>
      <c r="AM189" s="1" t="s">
        <v>160</v>
      </c>
      <c r="AN189" s="1" t="s">
        <v>1190</v>
      </c>
      <c r="AO189" s="1" t="s">
        <v>3983</v>
      </c>
      <c r="AP189" s="1">
        <v>64.62</v>
      </c>
      <c r="AQ189" s="1"/>
      <c r="AR189" s="1"/>
      <c r="AS189" s="1"/>
      <c r="AT189" s="1"/>
      <c r="AU189" s="1"/>
      <c r="AV189" s="1"/>
      <c r="AW189" s="1"/>
      <c r="AX189" s="1" t="s">
        <v>361</v>
      </c>
      <c r="AY189" s="1" t="s">
        <v>3984</v>
      </c>
      <c r="AZ189" s="1" t="s">
        <v>96</v>
      </c>
      <c r="BA189" s="1" t="s">
        <v>956</v>
      </c>
      <c r="BB189" s="1">
        <v>66.24</v>
      </c>
      <c r="BC189" s="1">
        <v>7.44</v>
      </c>
      <c r="BD189" s="1"/>
      <c r="BE189" s="1"/>
      <c r="BF189" s="1"/>
      <c r="BG189" s="1"/>
      <c r="BH189" s="1"/>
      <c r="BI189" s="1"/>
      <c r="BJ189" s="1" t="s">
        <v>3985</v>
      </c>
      <c r="BK189" s="1" t="s">
        <v>3986</v>
      </c>
      <c r="BL189" s="1" t="s">
        <v>3987</v>
      </c>
      <c r="BM189" s="1" t="s">
        <v>3988</v>
      </c>
      <c r="BN189" s="1">
        <v>34</v>
      </c>
      <c r="BO189" s="1"/>
      <c r="BP189" s="1" t="str">
        <f>HYPERLINK("https://nconnect.nicmar.ac.in/storage/profile/ProfilePhoto_P25700174_784592.jpg","Download")</f>
        <v>0</v>
      </c>
      <c r="BQ189" s="3"/>
      <c r="BR189" s="3"/>
    </row>
    <row r="190" spans="1:70">
      <c r="A190" s="1" t="s">
        <v>70</v>
      </c>
      <c r="B190" s="1" t="s">
        <v>441</v>
      </c>
      <c r="C190" s="1" t="s">
        <v>3989</v>
      </c>
      <c r="D190" s="1" t="s">
        <v>3990</v>
      </c>
      <c r="E190" s="1" t="s">
        <v>1828</v>
      </c>
      <c r="F190" s="1" t="s">
        <v>3991</v>
      </c>
      <c r="G190" s="1" t="s">
        <v>3992</v>
      </c>
      <c r="H190" s="1" t="s">
        <v>3993</v>
      </c>
      <c r="I190" s="1" t="s">
        <v>3994</v>
      </c>
      <c r="J190" s="1">
        <v>7892922882</v>
      </c>
      <c r="K190" s="1" t="s">
        <v>148</v>
      </c>
      <c r="L190" s="1" t="s">
        <v>3995</v>
      </c>
      <c r="M190" s="1" t="s">
        <v>81</v>
      </c>
      <c r="N190" s="1" t="s">
        <v>3996</v>
      </c>
      <c r="O190" s="1"/>
      <c r="P190" s="1" t="s">
        <v>472</v>
      </c>
      <c r="Q190" s="1" t="s">
        <v>3997</v>
      </c>
      <c r="R190" s="1" t="s">
        <v>3998</v>
      </c>
      <c r="S190" s="1">
        <v>9449799979</v>
      </c>
      <c r="T190" s="1" t="s">
        <v>820</v>
      </c>
      <c r="U190" s="1" t="s">
        <v>3999</v>
      </c>
      <c r="V190" s="1">
        <v>9481938444</v>
      </c>
      <c r="W190" s="1" t="s">
        <v>89</v>
      </c>
      <c r="X190" s="1" t="s">
        <v>4000</v>
      </c>
      <c r="Y190" s="1" t="s">
        <v>4001</v>
      </c>
      <c r="Z190" s="1" t="s">
        <v>1187</v>
      </c>
      <c r="AA190" s="1" t="s">
        <v>4002</v>
      </c>
      <c r="AB190" s="1" t="s">
        <v>4001</v>
      </c>
      <c r="AC190" s="1" t="s">
        <v>1187</v>
      </c>
      <c r="AD190" s="1">
        <v>7.57</v>
      </c>
      <c r="AE190" s="1" t="s">
        <v>93</v>
      </c>
      <c r="AF190" s="1" t="s">
        <v>4003</v>
      </c>
      <c r="AG190" s="1" t="s">
        <v>4004</v>
      </c>
      <c r="AH190" s="1" t="s">
        <v>162</v>
      </c>
      <c r="AI190" s="1" t="s">
        <v>165</v>
      </c>
      <c r="AJ190" s="1">
        <v>89.3</v>
      </c>
      <c r="AK190" s="1">
        <v>9.4</v>
      </c>
      <c r="AL190" s="1" t="s">
        <v>4005</v>
      </c>
      <c r="AM190" s="1" t="s">
        <v>4006</v>
      </c>
      <c r="AN190" s="1" t="s">
        <v>101</v>
      </c>
      <c r="AO190" s="1" t="s">
        <v>537</v>
      </c>
      <c r="AP190" s="1">
        <v>66.1</v>
      </c>
      <c r="AQ190" s="1"/>
      <c r="AR190" s="1"/>
      <c r="AS190" s="1"/>
      <c r="AT190" s="1"/>
      <c r="AU190" s="1"/>
      <c r="AV190" s="1"/>
      <c r="AW190" s="1"/>
      <c r="AX190" s="1" t="s">
        <v>4007</v>
      </c>
      <c r="AY190" s="1" t="s">
        <v>4008</v>
      </c>
      <c r="AZ190" s="1" t="s">
        <v>174</v>
      </c>
      <c r="BA190" s="1" t="s">
        <v>1067</v>
      </c>
      <c r="BB190" s="1">
        <v>64.9</v>
      </c>
      <c r="BC190" s="1">
        <v>7.24</v>
      </c>
      <c r="BD190" s="1"/>
      <c r="BE190" s="1"/>
      <c r="BF190" s="1"/>
      <c r="BG190" s="1"/>
      <c r="BH190" s="1"/>
      <c r="BI190" s="1"/>
      <c r="BJ190" s="1" t="s">
        <v>4009</v>
      </c>
      <c r="BK190" s="1"/>
      <c r="BL190" s="1"/>
      <c r="BM190" s="1" t="s">
        <v>4010</v>
      </c>
      <c r="BN190" s="1">
        <v>26</v>
      </c>
      <c r="BO190" s="1" t="s">
        <v>4011</v>
      </c>
      <c r="BP190" s="1" t="str">
        <f>HYPERLINK("https://nconnect.nicmar.ac.in/storage/profile/ProfilePhoto_P25700175_314862.jpg","Download")</f>
        <v>0</v>
      </c>
      <c r="BQ190" s="3"/>
      <c r="BR190" s="3"/>
    </row>
    <row r="191" spans="1:70">
      <c r="A191" s="1" t="s">
        <v>70</v>
      </c>
      <c r="B191" s="1" t="s">
        <v>441</v>
      </c>
      <c r="C191" s="1" t="s">
        <v>4012</v>
      </c>
      <c r="D191" s="1" t="s">
        <v>4013</v>
      </c>
      <c r="E191" s="1" t="s">
        <v>4014</v>
      </c>
      <c r="F191" s="1" t="s">
        <v>1026</v>
      </c>
      <c r="G191" s="1" t="s">
        <v>4015</v>
      </c>
      <c r="H191" s="1" t="s">
        <v>4016</v>
      </c>
      <c r="I191" s="1" t="s">
        <v>4017</v>
      </c>
      <c r="J191" s="1">
        <v>7899657629</v>
      </c>
      <c r="K191" s="1" t="s">
        <v>79</v>
      </c>
      <c r="L191" s="1" t="s">
        <v>4018</v>
      </c>
      <c r="M191" s="1" t="s">
        <v>81</v>
      </c>
      <c r="N191" s="1" t="s">
        <v>4019</v>
      </c>
      <c r="O191" s="1"/>
      <c r="P191" s="1" t="s">
        <v>472</v>
      </c>
      <c r="Q191" s="1" t="s">
        <v>4020</v>
      </c>
      <c r="R191" s="1" t="s">
        <v>4021</v>
      </c>
      <c r="S191" s="1">
        <v>9008743435</v>
      </c>
      <c r="T191" s="1" t="s">
        <v>122</v>
      </c>
      <c r="U191" s="1" t="s">
        <v>4022</v>
      </c>
      <c r="V191" s="1">
        <v>9008743436</v>
      </c>
      <c r="W191" s="1" t="s">
        <v>273</v>
      </c>
      <c r="X191" s="1" t="s">
        <v>4023</v>
      </c>
      <c r="Y191" s="1" t="s">
        <v>1186</v>
      </c>
      <c r="Z191" s="1" t="s">
        <v>1187</v>
      </c>
      <c r="AA191" s="1" t="s">
        <v>4023</v>
      </c>
      <c r="AB191" s="1" t="s">
        <v>1186</v>
      </c>
      <c r="AC191" s="1" t="s">
        <v>1187</v>
      </c>
      <c r="AD191" s="1">
        <v>7.98</v>
      </c>
      <c r="AE191" s="1" t="s">
        <v>93</v>
      </c>
      <c r="AF191" s="1" t="s">
        <v>4024</v>
      </c>
      <c r="AG191" s="1" t="s">
        <v>4025</v>
      </c>
      <c r="AH191" s="1" t="s">
        <v>165</v>
      </c>
      <c r="AI191" s="1" t="s">
        <v>166</v>
      </c>
      <c r="AJ191" s="1">
        <v>72</v>
      </c>
      <c r="AK191" s="1">
        <v>0</v>
      </c>
      <c r="AL191" s="1" t="s">
        <v>4026</v>
      </c>
      <c r="AM191" s="1" t="s">
        <v>4027</v>
      </c>
      <c r="AN191" s="1" t="s">
        <v>433</v>
      </c>
      <c r="AO191" s="1" t="s">
        <v>173</v>
      </c>
      <c r="AP191" s="1">
        <v>82.16</v>
      </c>
      <c r="AQ191" s="1">
        <v>0</v>
      </c>
      <c r="AR191" s="1"/>
      <c r="AS191" s="1"/>
      <c r="AT191" s="1"/>
      <c r="AU191" s="1"/>
      <c r="AV191" s="1"/>
      <c r="AW191" s="1"/>
      <c r="AX191" s="1" t="s">
        <v>4028</v>
      </c>
      <c r="AY191" s="1" t="s">
        <v>4029</v>
      </c>
      <c r="AZ191" s="1" t="s">
        <v>871</v>
      </c>
      <c r="BA191" s="1" t="s">
        <v>1067</v>
      </c>
      <c r="BB191" s="1">
        <v>65.4</v>
      </c>
      <c r="BC191" s="1">
        <v>7.29</v>
      </c>
      <c r="BD191" s="1"/>
      <c r="BE191" s="1"/>
      <c r="BF191" s="1"/>
      <c r="BG191" s="1"/>
      <c r="BH191" s="1"/>
      <c r="BI191" s="1"/>
      <c r="BJ191" s="1" t="s">
        <v>4030</v>
      </c>
      <c r="BK191" s="1"/>
      <c r="BL191" s="1"/>
      <c r="BM191" s="1" t="s">
        <v>4031</v>
      </c>
      <c r="BN191" s="1">
        <v>47</v>
      </c>
      <c r="BO191" s="1"/>
      <c r="BP191" s="1" t="str">
        <f>HYPERLINK("https://nconnect.nicmar.ac.in/storage/profile/ProfilePhoto_P25700176_125376.jpg","Download")</f>
        <v>0</v>
      </c>
      <c r="BQ191" s="3"/>
      <c r="BR191" s="3"/>
    </row>
    <row r="192" spans="1:70">
      <c r="A192" s="1" t="s">
        <v>70</v>
      </c>
      <c r="B192" s="1" t="s">
        <v>441</v>
      </c>
      <c r="C192" s="1" t="s">
        <v>4032</v>
      </c>
      <c r="D192" s="1" t="s">
        <v>4033</v>
      </c>
      <c r="E192" s="1" t="s">
        <v>4034</v>
      </c>
      <c r="F192" s="1" t="s">
        <v>4035</v>
      </c>
      <c r="G192" s="1" t="s">
        <v>4036</v>
      </c>
      <c r="H192" s="1" t="s">
        <v>4037</v>
      </c>
      <c r="I192" s="1" t="s">
        <v>4038</v>
      </c>
      <c r="J192" s="1">
        <v>7977657557</v>
      </c>
      <c r="K192" s="1" t="s">
        <v>79</v>
      </c>
      <c r="L192" s="1" t="s">
        <v>4039</v>
      </c>
      <c r="M192" s="1" t="s">
        <v>81</v>
      </c>
      <c r="N192" s="1" t="s">
        <v>4040</v>
      </c>
      <c r="O192" s="1"/>
      <c r="P192" s="1" t="s">
        <v>1007</v>
      </c>
      <c r="Q192" s="1" t="s">
        <v>4041</v>
      </c>
      <c r="R192" s="1" t="s">
        <v>4042</v>
      </c>
      <c r="S192" s="1">
        <v>9702396969</v>
      </c>
      <c r="T192" s="1" t="s">
        <v>820</v>
      </c>
      <c r="U192" s="1" t="s">
        <v>4043</v>
      </c>
      <c r="V192" s="1">
        <v>9702465656</v>
      </c>
      <c r="W192" s="1" t="s">
        <v>273</v>
      </c>
      <c r="X192" s="1" t="s">
        <v>4044</v>
      </c>
      <c r="Y192" s="1" t="s">
        <v>2229</v>
      </c>
      <c r="Z192" s="1" t="s">
        <v>92</v>
      </c>
      <c r="AA192" s="1" t="s">
        <v>4044</v>
      </c>
      <c r="AB192" s="1" t="s">
        <v>2229</v>
      </c>
      <c r="AC192" s="1" t="s">
        <v>92</v>
      </c>
      <c r="AD192" s="1">
        <v>7.77</v>
      </c>
      <c r="AE192" s="1" t="s">
        <v>93</v>
      </c>
      <c r="AF192" s="1" t="s">
        <v>4045</v>
      </c>
      <c r="AG192" s="1" t="s">
        <v>307</v>
      </c>
      <c r="AH192" s="1" t="s">
        <v>279</v>
      </c>
      <c r="AI192" s="1" t="s">
        <v>165</v>
      </c>
      <c r="AJ192" s="1">
        <v>69.6</v>
      </c>
      <c r="AK192" s="1">
        <v>7.6</v>
      </c>
      <c r="AL192" s="1"/>
      <c r="AM192" s="1"/>
      <c r="AN192" s="1"/>
      <c r="AO192" s="1"/>
      <c r="AP192" s="1"/>
      <c r="AQ192" s="1"/>
      <c r="AR192" s="1" t="s">
        <v>434</v>
      </c>
      <c r="AS192" s="1" t="s">
        <v>4046</v>
      </c>
      <c r="AT192" s="1" t="s">
        <v>225</v>
      </c>
      <c r="AU192" s="1" t="s">
        <v>436</v>
      </c>
      <c r="AV192" s="1">
        <v>90.2</v>
      </c>
      <c r="AW192" s="1"/>
      <c r="AX192" s="1" t="s">
        <v>253</v>
      </c>
      <c r="AY192" s="1" t="s">
        <v>4047</v>
      </c>
      <c r="AZ192" s="1" t="s">
        <v>542</v>
      </c>
      <c r="BA192" s="1" t="s">
        <v>1067</v>
      </c>
      <c r="BB192" s="1">
        <v>64.24</v>
      </c>
      <c r="BC192" s="1">
        <v>7.03</v>
      </c>
      <c r="BD192" s="1"/>
      <c r="BE192" s="1"/>
      <c r="BF192" s="1"/>
      <c r="BG192" s="1"/>
      <c r="BH192" s="1"/>
      <c r="BI192" s="1"/>
      <c r="BJ192" s="1" t="s">
        <v>4048</v>
      </c>
      <c r="BK192" s="1"/>
      <c r="BL192" s="1"/>
      <c r="BM192" s="1" t="s">
        <v>4049</v>
      </c>
      <c r="BN192" s="1">
        <v>55</v>
      </c>
      <c r="BO192" s="1" t="s">
        <v>4050</v>
      </c>
      <c r="BP192" s="1" t="str">
        <f>HYPERLINK("https://nconnect.nicmar.ac.in/storage/profile/ProfilePhoto_P25700177_264735.jpg","Download")</f>
        <v>0</v>
      </c>
      <c r="BQ192" s="3"/>
      <c r="BR192" s="3"/>
    </row>
    <row r="193" spans="1:70">
      <c r="A193" s="1" t="s">
        <v>70</v>
      </c>
      <c r="B193" s="1" t="s">
        <v>441</v>
      </c>
      <c r="C193" s="1" t="s">
        <v>4051</v>
      </c>
      <c r="D193" s="1" t="s">
        <v>4052</v>
      </c>
      <c r="E193" s="1" t="s">
        <v>4053</v>
      </c>
      <c r="F193" s="1" t="s">
        <v>4054</v>
      </c>
      <c r="G193" s="1" t="s">
        <v>4055</v>
      </c>
      <c r="H193" s="1" t="s">
        <v>4056</v>
      </c>
      <c r="I193" s="1" t="s">
        <v>4057</v>
      </c>
      <c r="J193" s="1">
        <v>7075506481</v>
      </c>
      <c r="K193" s="1" t="s">
        <v>79</v>
      </c>
      <c r="L193" s="1" t="s">
        <v>4058</v>
      </c>
      <c r="M193" s="1" t="s">
        <v>81</v>
      </c>
      <c r="N193" s="1" t="s">
        <v>3045</v>
      </c>
      <c r="O193" s="1"/>
      <c r="P193" s="1" t="s">
        <v>497</v>
      </c>
      <c r="Q193" s="1" t="s">
        <v>4059</v>
      </c>
      <c r="R193" s="1" t="s">
        <v>4060</v>
      </c>
      <c r="S193" s="1">
        <v>9440019918</v>
      </c>
      <c r="T193" s="1" t="s">
        <v>4061</v>
      </c>
      <c r="U193" s="1" t="s">
        <v>4062</v>
      </c>
      <c r="V193" s="1">
        <v>9441045007</v>
      </c>
      <c r="W193" s="1" t="s">
        <v>1553</v>
      </c>
      <c r="X193" s="1" t="s">
        <v>4063</v>
      </c>
      <c r="Y193" s="1" t="s">
        <v>4064</v>
      </c>
      <c r="Z193" s="1" t="s">
        <v>456</v>
      </c>
      <c r="AA193" s="1" t="s">
        <v>4063</v>
      </c>
      <c r="AB193" s="1" t="s">
        <v>4064</v>
      </c>
      <c r="AC193" s="1" t="s">
        <v>456</v>
      </c>
      <c r="AD193" s="1">
        <v>9.11</v>
      </c>
      <c r="AE193" s="1" t="s">
        <v>93</v>
      </c>
      <c r="AF193" s="1" t="s">
        <v>4065</v>
      </c>
      <c r="AG193" s="1" t="s">
        <v>4066</v>
      </c>
      <c r="AH193" s="1" t="s">
        <v>101</v>
      </c>
      <c r="AI193" s="1" t="s">
        <v>308</v>
      </c>
      <c r="AJ193" s="1">
        <v>95</v>
      </c>
      <c r="AK193" s="1">
        <v>9.5</v>
      </c>
      <c r="AL193" s="1" t="s">
        <v>4067</v>
      </c>
      <c r="AM193" s="1" t="s">
        <v>3053</v>
      </c>
      <c r="AN193" s="1" t="s">
        <v>460</v>
      </c>
      <c r="AO193" s="1" t="s">
        <v>828</v>
      </c>
      <c r="AP193" s="1">
        <v>91.8</v>
      </c>
      <c r="AQ193" s="1">
        <v>0</v>
      </c>
      <c r="AR193" s="1"/>
      <c r="AS193" s="1"/>
      <c r="AT193" s="1"/>
      <c r="AU193" s="1"/>
      <c r="AV193" s="1"/>
      <c r="AW193" s="1"/>
      <c r="AX193" s="1" t="s">
        <v>4068</v>
      </c>
      <c r="AY193" s="1" t="s">
        <v>4069</v>
      </c>
      <c r="AZ193" s="1" t="s">
        <v>436</v>
      </c>
      <c r="BA193" s="1" t="s">
        <v>543</v>
      </c>
      <c r="BB193" s="1">
        <v>78.1</v>
      </c>
      <c r="BC193" s="1">
        <v>8.31</v>
      </c>
      <c r="BD193" s="1"/>
      <c r="BE193" s="1"/>
      <c r="BF193" s="1"/>
      <c r="BG193" s="1"/>
      <c r="BH193" s="1"/>
      <c r="BI193" s="1"/>
      <c r="BJ193" s="1" t="s">
        <v>4070</v>
      </c>
      <c r="BK193" s="1"/>
      <c r="BL193" s="1"/>
      <c r="BM193" s="1" t="s">
        <v>4071</v>
      </c>
      <c r="BN193" s="1">
        <v>15</v>
      </c>
      <c r="BO193" s="1" t="s">
        <v>4072</v>
      </c>
      <c r="BP193" s="1" t="str">
        <f>HYPERLINK("https://nconnect.nicmar.ac.in/storage/profile/ProfilePhoto_P25700178_586319.jpg","Download")</f>
        <v>0</v>
      </c>
      <c r="BQ193" s="3"/>
      <c r="BR193" s="3"/>
    </row>
    <row r="194" spans="1:70">
      <c r="A194" s="1" t="s">
        <v>70</v>
      </c>
      <c r="B194" s="1" t="s">
        <v>441</v>
      </c>
      <c r="C194" s="1" t="s">
        <v>4073</v>
      </c>
      <c r="D194" s="1" t="s">
        <v>4074</v>
      </c>
      <c r="E194" s="1"/>
      <c r="F194" s="1" t="s">
        <v>574</v>
      </c>
      <c r="G194" s="1" t="s">
        <v>4075</v>
      </c>
      <c r="H194" s="1" t="s">
        <v>4076</v>
      </c>
      <c r="I194" s="1" t="s">
        <v>4077</v>
      </c>
      <c r="J194" s="1">
        <v>7349289566</v>
      </c>
      <c r="K194" s="1" t="s">
        <v>148</v>
      </c>
      <c r="L194" s="1" t="s">
        <v>4078</v>
      </c>
      <c r="M194" s="1" t="s">
        <v>81</v>
      </c>
      <c r="N194" s="1" t="s">
        <v>4079</v>
      </c>
      <c r="O194" s="1"/>
      <c r="P194" s="1" t="s">
        <v>497</v>
      </c>
      <c r="Q194" s="1" t="s">
        <v>4080</v>
      </c>
      <c r="R194" s="1" t="s">
        <v>4081</v>
      </c>
      <c r="S194" s="1">
        <v>9986356499</v>
      </c>
      <c r="T194" s="1" t="s">
        <v>4082</v>
      </c>
      <c r="U194" s="1" t="s">
        <v>4083</v>
      </c>
      <c r="V194" s="1">
        <v>8217482200</v>
      </c>
      <c r="W194" s="1" t="s">
        <v>273</v>
      </c>
      <c r="X194" s="1" t="s">
        <v>4084</v>
      </c>
      <c r="Y194" s="1" t="s">
        <v>4085</v>
      </c>
      <c r="Z194" s="1" t="s">
        <v>1187</v>
      </c>
      <c r="AA194" s="1" t="s">
        <v>4084</v>
      </c>
      <c r="AB194" s="1" t="s">
        <v>4085</v>
      </c>
      <c r="AC194" s="1" t="s">
        <v>1187</v>
      </c>
      <c r="AD194" s="1">
        <v>8.13</v>
      </c>
      <c r="AE194" s="1" t="s">
        <v>93</v>
      </c>
      <c r="AF194" s="1" t="s">
        <v>4086</v>
      </c>
      <c r="AG194" s="1" t="s">
        <v>713</v>
      </c>
      <c r="AH194" s="1" t="s">
        <v>165</v>
      </c>
      <c r="AI194" s="1" t="s">
        <v>481</v>
      </c>
      <c r="AJ194" s="1">
        <v>76.48</v>
      </c>
      <c r="AK194" s="1"/>
      <c r="AL194" s="1" t="s">
        <v>4087</v>
      </c>
      <c r="AM194" s="1" t="s">
        <v>1193</v>
      </c>
      <c r="AN194" s="1" t="s">
        <v>310</v>
      </c>
      <c r="AO194" s="1" t="s">
        <v>590</v>
      </c>
      <c r="AP194" s="1">
        <v>61.83</v>
      </c>
      <c r="AQ194" s="1"/>
      <c r="AR194" s="1"/>
      <c r="AS194" s="1"/>
      <c r="AT194" s="1"/>
      <c r="AU194" s="1"/>
      <c r="AV194" s="1"/>
      <c r="AW194" s="1"/>
      <c r="AX194" s="1" t="s">
        <v>4088</v>
      </c>
      <c r="AY194" s="1" t="s">
        <v>4088</v>
      </c>
      <c r="AZ194" s="1" t="s">
        <v>228</v>
      </c>
      <c r="BA194" s="1" t="s">
        <v>1109</v>
      </c>
      <c r="BB194" s="1">
        <v>76.2</v>
      </c>
      <c r="BC194" s="1">
        <v>7.62</v>
      </c>
      <c r="BD194" s="1"/>
      <c r="BE194" s="1"/>
      <c r="BF194" s="1"/>
      <c r="BG194" s="1"/>
      <c r="BH194" s="1"/>
      <c r="BI194" s="1"/>
      <c r="BJ194" s="1" t="s">
        <v>4089</v>
      </c>
      <c r="BK194" s="1"/>
      <c r="BL194" s="1"/>
      <c r="BM194" s="1" t="s">
        <v>4090</v>
      </c>
      <c r="BN194" s="1">
        <v>13</v>
      </c>
      <c r="BO194" s="1"/>
      <c r="BP194" s="1" t="str">
        <f>HYPERLINK("https://nconnect.nicmar.ac.in/storage/profile/ProfilePhoto_P25700179_795823.jpg","Download")</f>
        <v>0</v>
      </c>
      <c r="BQ194" s="3"/>
      <c r="BR194" s="3"/>
    </row>
    <row r="195" spans="1:70">
      <c r="A195" s="1" t="s">
        <v>70</v>
      </c>
      <c r="B195" s="1" t="s">
        <v>441</v>
      </c>
      <c r="C195" s="1" t="s">
        <v>4091</v>
      </c>
      <c r="D195" s="1" t="s">
        <v>1867</v>
      </c>
      <c r="E195" s="1" t="s">
        <v>4092</v>
      </c>
      <c r="F195" s="1" t="s">
        <v>4093</v>
      </c>
      <c r="G195" s="1" t="s">
        <v>4094</v>
      </c>
      <c r="H195" s="1" t="s">
        <v>4095</v>
      </c>
      <c r="I195" s="1" t="s">
        <v>4096</v>
      </c>
      <c r="J195" s="1">
        <v>7620386685</v>
      </c>
      <c r="K195" s="1" t="s">
        <v>79</v>
      </c>
      <c r="L195" s="1" t="s">
        <v>4097</v>
      </c>
      <c r="M195" s="1" t="s">
        <v>81</v>
      </c>
      <c r="N195" s="1" t="s">
        <v>4098</v>
      </c>
      <c r="O195" s="1"/>
      <c r="P195" s="1" t="s">
        <v>497</v>
      </c>
      <c r="Q195" s="1" t="s">
        <v>4099</v>
      </c>
      <c r="R195" s="1" t="s">
        <v>4100</v>
      </c>
      <c r="S195" s="1">
        <v>7385016938</v>
      </c>
      <c r="T195" s="1" t="s">
        <v>4101</v>
      </c>
      <c r="U195" s="1" t="s">
        <v>4102</v>
      </c>
      <c r="V195" s="1">
        <v>8080758346</v>
      </c>
      <c r="W195" s="1" t="s">
        <v>4103</v>
      </c>
      <c r="X195" s="1" t="s">
        <v>4104</v>
      </c>
      <c r="Y195" s="1" t="s">
        <v>158</v>
      </c>
      <c r="Z195" s="1" t="s">
        <v>92</v>
      </c>
      <c r="AA195" s="1" t="s">
        <v>4104</v>
      </c>
      <c r="AB195" s="1" t="s">
        <v>158</v>
      </c>
      <c r="AC195" s="1" t="s">
        <v>92</v>
      </c>
      <c r="AD195" s="1">
        <v>8.74</v>
      </c>
      <c r="AE195" s="1" t="s">
        <v>93</v>
      </c>
      <c r="AF195" s="1" t="s">
        <v>4105</v>
      </c>
      <c r="AG195" s="1" t="s">
        <v>4106</v>
      </c>
      <c r="AH195" s="1" t="s">
        <v>162</v>
      </c>
      <c r="AI195" s="1" t="s">
        <v>481</v>
      </c>
      <c r="AJ195" s="1">
        <v>73.6</v>
      </c>
      <c r="AK195" s="1"/>
      <c r="AL195" s="1" t="s">
        <v>4107</v>
      </c>
      <c r="AM195" s="1" t="s">
        <v>4106</v>
      </c>
      <c r="AN195" s="1" t="s">
        <v>101</v>
      </c>
      <c r="AO195" s="1" t="s">
        <v>590</v>
      </c>
      <c r="AP195" s="1">
        <v>63.85</v>
      </c>
      <c r="AQ195" s="1"/>
      <c r="AR195" s="1"/>
      <c r="AS195" s="1"/>
      <c r="AT195" s="1"/>
      <c r="AU195" s="1"/>
      <c r="AV195" s="1"/>
      <c r="AW195" s="1"/>
      <c r="AX195" s="1" t="s">
        <v>4108</v>
      </c>
      <c r="AY195" s="1" t="s">
        <v>1580</v>
      </c>
      <c r="AZ195" s="1" t="s">
        <v>173</v>
      </c>
      <c r="BA195" s="1" t="s">
        <v>4109</v>
      </c>
      <c r="BB195" s="1">
        <v>78.27</v>
      </c>
      <c r="BC195" s="1">
        <v>9.21</v>
      </c>
      <c r="BD195" s="1"/>
      <c r="BE195" s="1"/>
      <c r="BF195" s="1"/>
      <c r="BG195" s="1"/>
      <c r="BH195" s="1"/>
      <c r="BI195" s="1"/>
      <c r="BJ195" s="1" t="s">
        <v>4110</v>
      </c>
      <c r="BK195" s="1" t="s">
        <v>4111</v>
      </c>
      <c r="BL195" s="1" t="s">
        <v>1048</v>
      </c>
      <c r="BM195" s="1" t="s">
        <v>4112</v>
      </c>
      <c r="BN195" s="1">
        <v>39</v>
      </c>
      <c r="BO195" s="1" t="s">
        <v>4113</v>
      </c>
      <c r="BP195" s="1" t="str">
        <f>HYPERLINK("https://nconnect.nicmar.ac.in/storage/profile/ProfilePhoto_P25700180_516437.jpg","Download")</f>
        <v>0</v>
      </c>
      <c r="BQ195" s="3"/>
      <c r="BR195" s="3"/>
    </row>
    <row r="196" spans="1:70">
      <c r="A196" s="1" t="s">
        <v>70</v>
      </c>
      <c r="B196" s="1" t="s">
        <v>441</v>
      </c>
      <c r="C196" s="1" t="s">
        <v>4114</v>
      </c>
      <c r="D196" s="1" t="s">
        <v>4115</v>
      </c>
      <c r="E196" s="1"/>
      <c r="F196" s="1" t="s">
        <v>4116</v>
      </c>
      <c r="G196" s="1" t="s">
        <v>4117</v>
      </c>
      <c r="H196" s="1" t="s">
        <v>4118</v>
      </c>
      <c r="I196" s="1" t="s">
        <v>4119</v>
      </c>
      <c r="J196" s="1">
        <v>7558098383</v>
      </c>
      <c r="K196" s="1" t="s">
        <v>79</v>
      </c>
      <c r="L196" s="1" t="s">
        <v>3726</v>
      </c>
      <c r="M196" s="1" t="s">
        <v>81</v>
      </c>
      <c r="N196" s="1" t="s">
        <v>2362</v>
      </c>
      <c r="O196" s="1"/>
      <c r="P196" s="1" t="s">
        <v>472</v>
      </c>
      <c r="Q196" s="1" t="s">
        <v>4120</v>
      </c>
      <c r="R196" s="1" t="s">
        <v>4121</v>
      </c>
      <c r="S196" s="1">
        <v>9895706823</v>
      </c>
      <c r="T196" s="1" t="s">
        <v>87</v>
      </c>
      <c r="U196" s="1" t="s">
        <v>4122</v>
      </c>
      <c r="V196" s="1">
        <v>9446340119</v>
      </c>
      <c r="W196" s="1" t="s">
        <v>273</v>
      </c>
      <c r="X196" s="1" t="s">
        <v>4123</v>
      </c>
      <c r="Y196" s="1" t="s">
        <v>686</v>
      </c>
      <c r="Z196" s="1" t="s">
        <v>125</v>
      </c>
      <c r="AA196" s="1" t="s">
        <v>4123</v>
      </c>
      <c r="AB196" s="1" t="s">
        <v>686</v>
      </c>
      <c r="AC196" s="1" t="s">
        <v>125</v>
      </c>
      <c r="AD196" s="1">
        <v>7.49</v>
      </c>
      <c r="AE196" s="1" t="s">
        <v>93</v>
      </c>
      <c r="AF196" s="1" t="s">
        <v>4124</v>
      </c>
      <c r="AG196" s="1" t="s">
        <v>307</v>
      </c>
      <c r="AH196" s="1" t="s">
        <v>101</v>
      </c>
      <c r="AI196" s="1" t="s">
        <v>308</v>
      </c>
      <c r="AJ196" s="1">
        <v>80.8</v>
      </c>
      <c r="AK196" s="1"/>
      <c r="AL196" s="1" t="s">
        <v>4124</v>
      </c>
      <c r="AM196" s="1" t="s">
        <v>307</v>
      </c>
      <c r="AN196" s="1" t="s">
        <v>590</v>
      </c>
      <c r="AO196" s="1" t="s">
        <v>539</v>
      </c>
      <c r="AP196" s="1">
        <v>83</v>
      </c>
      <c r="AQ196" s="1"/>
      <c r="AR196" s="1"/>
      <c r="AS196" s="1"/>
      <c r="AT196" s="1"/>
      <c r="AU196" s="1"/>
      <c r="AV196" s="1"/>
      <c r="AW196" s="1"/>
      <c r="AX196" s="1" t="s">
        <v>4125</v>
      </c>
      <c r="AY196" s="1" t="s">
        <v>4126</v>
      </c>
      <c r="AZ196" s="1" t="s">
        <v>436</v>
      </c>
      <c r="BA196" s="1" t="s">
        <v>543</v>
      </c>
      <c r="BB196" s="1">
        <v>66.1</v>
      </c>
      <c r="BC196" s="1">
        <v>6.61</v>
      </c>
      <c r="BD196" s="1"/>
      <c r="BE196" s="1"/>
      <c r="BF196" s="1"/>
      <c r="BG196" s="1"/>
      <c r="BH196" s="1"/>
      <c r="BI196" s="1"/>
      <c r="BJ196" s="1" t="s">
        <v>4127</v>
      </c>
      <c r="BK196" s="1"/>
      <c r="BL196" s="1"/>
      <c r="BM196" s="1" t="s">
        <v>4128</v>
      </c>
      <c r="BN196" s="1">
        <v>10</v>
      </c>
      <c r="BO196" s="1"/>
      <c r="BP196" s="1" t="str">
        <f>HYPERLINK("https://nconnect.nicmar.ac.in/storage/profile/ProfilePhoto_P25700181_536927.jpg","Download")</f>
        <v>0</v>
      </c>
      <c r="BQ196" s="3"/>
      <c r="BR196" s="3"/>
    </row>
    <row r="197" spans="1:70">
      <c r="A197" s="1" t="s">
        <v>70</v>
      </c>
      <c r="B197" s="1" t="s">
        <v>441</v>
      </c>
      <c r="C197" s="1" t="s">
        <v>4129</v>
      </c>
      <c r="D197" s="1" t="s">
        <v>111</v>
      </c>
      <c r="E197" s="1"/>
      <c r="F197" s="1" t="s">
        <v>4130</v>
      </c>
      <c r="G197" s="1" t="s">
        <v>4131</v>
      </c>
      <c r="H197" s="1" t="s">
        <v>4132</v>
      </c>
      <c r="I197" s="1" t="s">
        <v>4133</v>
      </c>
      <c r="J197" s="1">
        <v>6372758397</v>
      </c>
      <c r="K197" s="1" t="s">
        <v>148</v>
      </c>
      <c r="L197" s="1" t="s">
        <v>4134</v>
      </c>
      <c r="M197" s="1" t="s">
        <v>81</v>
      </c>
      <c r="N197" s="1" t="s">
        <v>862</v>
      </c>
      <c r="O197" s="1"/>
      <c r="P197" s="1" t="s">
        <v>497</v>
      </c>
      <c r="Q197" s="1" t="s">
        <v>4135</v>
      </c>
      <c r="R197" s="1" t="s">
        <v>4136</v>
      </c>
      <c r="S197" s="1">
        <v>6370177381</v>
      </c>
      <c r="T197" s="1" t="s">
        <v>4137</v>
      </c>
      <c r="U197" s="1" t="s">
        <v>4138</v>
      </c>
      <c r="V197" s="1">
        <v>7008527945</v>
      </c>
      <c r="W197" s="1" t="s">
        <v>531</v>
      </c>
      <c r="X197" s="1" t="s">
        <v>4139</v>
      </c>
      <c r="Y197" s="1" t="s">
        <v>4140</v>
      </c>
      <c r="Z197" s="1" t="s">
        <v>846</v>
      </c>
      <c r="AA197" s="1" t="s">
        <v>4139</v>
      </c>
      <c r="AB197" s="1" t="s">
        <v>4140</v>
      </c>
      <c r="AC197" s="1" t="s">
        <v>846</v>
      </c>
      <c r="AD197" s="1">
        <v>8.81</v>
      </c>
      <c r="AE197" s="1" t="s">
        <v>93</v>
      </c>
      <c r="AF197" s="1" t="s">
        <v>4141</v>
      </c>
      <c r="AG197" s="1" t="s">
        <v>307</v>
      </c>
      <c r="AH197" s="1" t="s">
        <v>1089</v>
      </c>
      <c r="AI197" s="1" t="s">
        <v>195</v>
      </c>
      <c r="AJ197" s="1">
        <v>87.4</v>
      </c>
      <c r="AK197" s="1">
        <v>9.2</v>
      </c>
      <c r="AL197" s="1" t="s">
        <v>4142</v>
      </c>
      <c r="AM197" s="1" t="s">
        <v>307</v>
      </c>
      <c r="AN197" s="1" t="s">
        <v>169</v>
      </c>
      <c r="AO197" s="1" t="s">
        <v>308</v>
      </c>
      <c r="AP197" s="1">
        <v>70.4</v>
      </c>
      <c r="AQ197" s="1">
        <v>6.6</v>
      </c>
      <c r="AR197" s="1"/>
      <c r="AS197" s="1"/>
      <c r="AT197" s="1"/>
      <c r="AU197" s="1"/>
      <c r="AV197" s="1"/>
      <c r="AW197" s="1"/>
      <c r="AX197" s="1" t="s">
        <v>4143</v>
      </c>
      <c r="AY197" s="1" t="s">
        <v>4144</v>
      </c>
      <c r="AZ197" s="1" t="s">
        <v>104</v>
      </c>
      <c r="BA197" s="1" t="s">
        <v>413</v>
      </c>
      <c r="BB197" s="1">
        <v>80</v>
      </c>
      <c r="BC197" s="1">
        <v>8.5</v>
      </c>
      <c r="BD197" s="1"/>
      <c r="BE197" s="1"/>
      <c r="BF197" s="1"/>
      <c r="BG197" s="1"/>
      <c r="BH197" s="1"/>
      <c r="BI197" s="1"/>
      <c r="BJ197" s="1" t="s">
        <v>4145</v>
      </c>
      <c r="BK197" s="1" t="s">
        <v>4146</v>
      </c>
      <c r="BL197" s="1" t="s">
        <v>1022</v>
      </c>
      <c r="BM197" s="1" t="s">
        <v>4147</v>
      </c>
      <c r="BN197" s="1">
        <v>60</v>
      </c>
      <c r="BO197" s="1"/>
      <c r="BP197" s="1" t="str">
        <f>HYPERLINK("https://nconnect.nicmar.ac.in/storage/profile/ProfilePhoto_P25700182_253687.jpg","Download")</f>
        <v>0</v>
      </c>
      <c r="BQ197" s="3"/>
      <c r="BR197" s="3"/>
    </row>
    <row r="198" spans="1:70">
      <c r="A198" s="1" t="s">
        <v>70</v>
      </c>
      <c r="B198" s="1" t="s">
        <v>441</v>
      </c>
      <c r="C198" s="1" t="s">
        <v>4148</v>
      </c>
      <c r="D198" s="1" t="s">
        <v>452</v>
      </c>
      <c r="E198" s="1"/>
      <c r="F198" s="1" t="s">
        <v>4149</v>
      </c>
      <c r="G198" s="1" t="s">
        <v>4150</v>
      </c>
      <c r="H198" s="1" t="s">
        <v>4151</v>
      </c>
      <c r="I198" s="1" t="s">
        <v>4152</v>
      </c>
      <c r="J198" s="1">
        <v>9100203588</v>
      </c>
      <c r="K198" s="1" t="s">
        <v>79</v>
      </c>
      <c r="L198" s="1" t="s">
        <v>4153</v>
      </c>
      <c r="M198" s="1" t="s">
        <v>81</v>
      </c>
      <c r="N198" s="1" t="s">
        <v>2638</v>
      </c>
      <c r="O198" s="1"/>
      <c r="P198" s="1" t="s">
        <v>497</v>
      </c>
      <c r="Q198" s="1" t="s">
        <v>4154</v>
      </c>
      <c r="R198" s="1" t="s">
        <v>4155</v>
      </c>
      <c r="S198" s="1">
        <v>9640353310</v>
      </c>
      <c r="T198" s="1" t="s">
        <v>154</v>
      </c>
      <c r="U198" s="1" t="s">
        <v>4156</v>
      </c>
      <c r="V198" s="1">
        <v>7337097087</v>
      </c>
      <c r="W198" s="1" t="s">
        <v>156</v>
      </c>
      <c r="X198" s="1" t="s">
        <v>4157</v>
      </c>
      <c r="Y198" s="1" t="s">
        <v>455</v>
      </c>
      <c r="Z198" s="1" t="s">
        <v>456</v>
      </c>
      <c r="AA198" s="1" t="s">
        <v>4157</v>
      </c>
      <c r="AB198" s="1" t="s">
        <v>455</v>
      </c>
      <c r="AC198" s="1" t="s">
        <v>456</v>
      </c>
      <c r="AD198" s="1">
        <v>8.74</v>
      </c>
      <c r="AE198" s="1" t="s">
        <v>93</v>
      </c>
      <c r="AF198" s="1" t="s">
        <v>4158</v>
      </c>
      <c r="AG198" s="1" t="s">
        <v>4159</v>
      </c>
      <c r="AH198" s="1" t="s">
        <v>162</v>
      </c>
      <c r="AI198" s="1" t="s">
        <v>195</v>
      </c>
      <c r="AJ198" s="1">
        <v>92</v>
      </c>
      <c r="AK198" s="1">
        <v>9.2</v>
      </c>
      <c r="AL198" s="1" t="s">
        <v>4160</v>
      </c>
      <c r="AM198" s="1" t="s">
        <v>3053</v>
      </c>
      <c r="AN198" s="1" t="s">
        <v>165</v>
      </c>
      <c r="AO198" s="1" t="s">
        <v>409</v>
      </c>
      <c r="AP198" s="1">
        <v>96.7</v>
      </c>
      <c r="AQ198" s="1">
        <v>0</v>
      </c>
      <c r="AR198" s="1"/>
      <c r="AS198" s="1"/>
      <c r="AT198" s="1"/>
      <c r="AU198" s="1"/>
      <c r="AV198" s="1"/>
      <c r="AW198" s="1"/>
      <c r="AX198" s="1" t="s">
        <v>4161</v>
      </c>
      <c r="AY198" s="1" t="s">
        <v>4162</v>
      </c>
      <c r="AZ198" s="1" t="s">
        <v>201</v>
      </c>
      <c r="BA198" s="1" t="s">
        <v>935</v>
      </c>
      <c r="BB198" s="1">
        <v>78.6</v>
      </c>
      <c r="BC198" s="1">
        <v>8.36</v>
      </c>
      <c r="BD198" s="1"/>
      <c r="BE198" s="1"/>
      <c r="BF198" s="1"/>
      <c r="BG198" s="1"/>
      <c r="BH198" s="1"/>
      <c r="BI198" s="1"/>
      <c r="BJ198" s="1" t="s">
        <v>4163</v>
      </c>
      <c r="BK198" s="1" t="s">
        <v>4164</v>
      </c>
      <c r="BL198" s="1" t="s">
        <v>4165</v>
      </c>
      <c r="BM198" s="1" t="s">
        <v>4166</v>
      </c>
      <c r="BN198" s="1">
        <v>17</v>
      </c>
      <c r="BO198" s="1" t="s">
        <v>3615</v>
      </c>
      <c r="BP198" s="1" t="str">
        <f>HYPERLINK("https://nconnect.nicmar.ac.in/storage/profile/ProfilePhoto_P25700183_831792.jpg","Download")</f>
        <v>0</v>
      </c>
      <c r="BQ198" s="3"/>
      <c r="BR198" s="3"/>
    </row>
    <row r="199" spans="1:70">
      <c r="A199" s="1" t="s">
        <v>70</v>
      </c>
      <c r="B199" s="1" t="s">
        <v>441</v>
      </c>
      <c r="C199" s="1" t="s">
        <v>4167</v>
      </c>
      <c r="D199" s="1" t="s">
        <v>4168</v>
      </c>
      <c r="E199" s="1" t="s">
        <v>4169</v>
      </c>
      <c r="F199" s="1" t="s">
        <v>4170</v>
      </c>
      <c r="G199" s="1" t="s">
        <v>4171</v>
      </c>
      <c r="H199" s="1" t="s">
        <v>4172</v>
      </c>
      <c r="I199" s="1" t="s">
        <v>4173</v>
      </c>
      <c r="J199" s="1">
        <v>9359994587</v>
      </c>
      <c r="K199" s="1" t="s">
        <v>79</v>
      </c>
      <c r="L199" s="1" t="s">
        <v>4174</v>
      </c>
      <c r="M199" s="1" t="s">
        <v>81</v>
      </c>
      <c r="N199" s="1" t="s">
        <v>1140</v>
      </c>
      <c r="O199" s="1"/>
      <c r="P199" s="1" t="s">
        <v>1007</v>
      </c>
      <c r="Q199" s="1" t="s">
        <v>4175</v>
      </c>
      <c r="R199" s="1" t="s">
        <v>4169</v>
      </c>
      <c r="S199" s="1">
        <v>9822654343</v>
      </c>
      <c r="T199" s="1" t="s">
        <v>754</v>
      </c>
      <c r="U199" s="1" t="s">
        <v>4176</v>
      </c>
      <c r="V199" s="1">
        <v>9422395100</v>
      </c>
      <c r="W199" s="1" t="s">
        <v>1234</v>
      </c>
      <c r="X199" s="1" t="s">
        <v>4177</v>
      </c>
      <c r="Y199" s="1" t="s">
        <v>191</v>
      </c>
      <c r="Z199" s="1" t="s">
        <v>92</v>
      </c>
      <c r="AA199" s="1" t="s">
        <v>4177</v>
      </c>
      <c r="AB199" s="1" t="s">
        <v>191</v>
      </c>
      <c r="AC199" s="1" t="s">
        <v>92</v>
      </c>
      <c r="AD199" s="1">
        <v>8.44</v>
      </c>
      <c r="AE199" s="1" t="s">
        <v>93</v>
      </c>
      <c r="AF199" s="1" t="s">
        <v>4178</v>
      </c>
      <c r="AG199" s="1" t="s">
        <v>4179</v>
      </c>
      <c r="AH199" s="1" t="s">
        <v>162</v>
      </c>
      <c r="AI199" s="1" t="s">
        <v>281</v>
      </c>
      <c r="AJ199" s="1">
        <v>78.2</v>
      </c>
      <c r="AK199" s="1"/>
      <c r="AL199" s="1" t="s">
        <v>4180</v>
      </c>
      <c r="AM199" s="1" t="s">
        <v>4181</v>
      </c>
      <c r="AN199" s="1" t="s">
        <v>433</v>
      </c>
      <c r="AO199" s="1" t="s">
        <v>360</v>
      </c>
      <c r="AP199" s="1">
        <v>60.15</v>
      </c>
      <c r="AQ199" s="1"/>
      <c r="AR199" s="1"/>
      <c r="AS199" s="1"/>
      <c r="AT199" s="1"/>
      <c r="AU199" s="1"/>
      <c r="AV199" s="1"/>
      <c r="AW199" s="1"/>
      <c r="AX199" s="1" t="s">
        <v>4182</v>
      </c>
      <c r="AY199" s="1" t="s">
        <v>4183</v>
      </c>
      <c r="AZ199" s="1" t="s">
        <v>852</v>
      </c>
      <c r="BA199" s="1" t="s">
        <v>829</v>
      </c>
      <c r="BB199" s="1">
        <v>70.7</v>
      </c>
      <c r="BC199" s="1">
        <v>7.82</v>
      </c>
      <c r="BD199" s="1"/>
      <c r="BE199" s="1"/>
      <c r="BF199" s="1"/>
      <c r="BG199" s="1"/>
      <c r="BH199" s="1"/>
      <c r="BI199" s="1"/>
      <c r="BJ199" s="1" t="s">
        <v>4184</v>
      </c>
      <c r="BK199" s="1"/>
      <c r="BL199" s="1"/>
      <c r="BM199" s="1" t="s">
        <v>4185</v>
      </c>
      <c r="BN199" s="1">
        <v>14</v>
      </c>
      <c r="BO199" s="1" t="s">
        <v>4186</v>
      </c>
      <c r="BP199" s="1" t="str">
        <f>HYPERLINK("https://nconnect.nicmar.ac.in/storage/profile/ProfilePhoto_P25700184_536872.jpg","Download")</f>
        <v>0</v>
      </c>
      <c r="BQ199" s="3"/>
      <c r="BR199" s="3"/>
    </row>
    <row r="200" spans="1:70">
      <c r="A200" s="1" t="s">
        <v>70</v>
      </c>
      <c r="B200" s="1" t="s">
        <v>441</v>
      </c>
      <c r="C200" s="1" t="s">
        <v>4187</v>
      </c>
      <c r="D200" s="1" t="s">
        <v>4188</v>
      </c>
      <c r="E200" s="1"/>
      <c r="F200" s="1" t="s">
        <v>4189</v>
      </c>
      <c r="G200" s="1" t="s">
        <v>4190</v>
      </c>
      <c r="H200" s="1" t="s">
        <v>4191</v>
      </c>
      <c r="I200" s="1" t="s">
        <v>4192</v>
      </c>
      <c r="J200" s="1">
        <v>8660189311</v>
      </c>
      <c r="K200" s="1" t="s">
        <v>148</v>
      </c>
      <c r="L200" s="1" t="s">
        <v>4193</v>
      </c>
      <c r="M200" s="1" t="s">
        <v>81</v>
      </c>
      <c r="N200" s="1" t="s">
        <v>4194</v>
      </c>
      <c r="O200" s="1"/>
      <c r="P200" s="1" t="s">
        <v>450</v>
      </c>
      <c r="Q200" s="1" t="s">
        <v>4195</v>
      </c>
      <c r="R200" s="1" t="s">
        <v>4196</v>
      </c>
      <c r="S200" s="1">
        <v>9620192474</v>
      </c>
      <c r="T200" s="1" t="s">
        <v>1472</v>
      </c>
      <c r="U200" s="1" t="s">
        <v>4197</v>
      </c>
      <c r="V200" s="1">
        <v>9480050762</v>
      </c>
      <c r="W200" s="1" t="s">
        <v>531</v>
      </c>
      <c r="X200" s="1" t="s">
        <v>4198</v>
      </c>
      <c r="Y200" s="1" t="s">
        <v>3151</v>
      </c>
      <c r="Z200" s="1" t="s">
        <v>1187</v>
      </c>
      <c r="AA200" s="1" t="s">
        <v>4198</v>
      </c>
      <c r="AB200" s="1" t="s">
        <v>3151</v>
      </c>
      <c r="AC200" s="1" t="s">
        <v>1187</v>
      </c>
      <c r="AD200" s="1">
        <v>8.87</v>
      </c>
      <c r="AE200" s="1" t="s">
        <v>93</v>
      </c>
      <c r="AF200" s="1" t="s">
        <v>4199</v>
      </c>
      <c r="AG200" s="1" t="s">
        <v>1817</v>
      </c>
      <c r="AH200" s="1" t="s">
        <v>162</v>
      </c>
      <c r="AI200" s="1" t="s">
        <v>165</v>
      </c>
      <c r="AJ200" s="1">
        <v>91.2</v>
      </c>
      <c r="AK200" s="1">
        <v>9.6</v>
      </c>
      <c r="AL200" s="1" t="s">
        <v>4200</v>
      </c>
      <c r="AM200" s="1" t="s">
        <v>1817</v>
      </c>
      <c r="AN200" s="1" t="s">
        <v>165</v>
      </c>
      <c r="AO200" s="1" t="s">
        <v>537</v>
      </c>
      <c r="AP200" s="1">
        <v>73.1</v>
      </c>
      <c r="AQ200" s="1"/>
      <c r="AR200" s="1"/>
      <c r="AS200" s="1"/>
      <c r="AT200" s="1"/>
      <c r="AU200" s="1"/>
      <c r="AV200" s="1"/>
      <c r="AW200" s="1"/>
      <c r="AX200" s="1" t="s">
        <v>4201</v>
      </c>
      <c r="AY200" s="1" t="s">
        <v>4202</v>
      </c>
      <c r="AZ200" s="1" t="s">
        <v>310</v>
      </c>
      <c r="BA200" s="1" t="s">
        <v>1067</v>
      </c>
      <c r="BB200" s="1">
        <v>74.4</v>
      </c>
      <c r="BC200" s="1">
        <v>8.19</v>
      </c>
      <c r="BD200" s="1"/>
      <c r="BE200" s="1"/>
      <c r="BF200" s="1"/>
      <c r="BG200" s="1"/>
      <c r="BH200" s="1"/>
      <c r="BI200" s="1"/>
      <c r="BJ200" s="1" t="s">
        <v>4203</v>
      </c>
      <c r="BK200" s="1" t="s">
        <v>4204</v>
      </c>
      <c r="BL200" s="1" t="s">
        <v>287</v>
      </c>
      <c r="BM200" s="1" t="s">
        <v>4205</v>
      </c>
      <c r="BN200" s="1">
        <v>24</v>
      </c>
      <c r="BO200" s="1"/>
      <c r="BP200" s="1" t="str">
        <f>HYPERLINK("https://nconnect.nicmar.ac.in/storage/profile/ProfilePhoto_P25700185_527946.jpg","Download")</f>
        <v>0</v>
      </c>
      <c r="BQ200" s="3"/>
      <c r="BR200" s="3"/>
    </row>
    <row r="201" spans="1:70">
      <c r="A201" s="1" t="s">
        <v>70</v>
      </c>
      <c r="B201" s="1" t="s">
        <v>441</v>
      </c>
      <c r="C201" s="1" t="s">
        <v>4206</v>
      </c>
      <c r="D201" s="1" t="s">
        <v>744</v>
      </c>
      <c r="E201" s="1" t="s">
        <v>4207</v>
      </c>
      <c r="F201" s="1" t="s">
        <v>4208</v>
      </c>
      <c r="G201" s="1" t="s">
        <v>4209</v>
      </c>
      <c r="H201" s="1" t="s">
        <v>4210</v>
      </c>
      <c r="I201" s="1" t="s">
        <v>4211</v>
      </c>
      <c r="J201" s="1">
        <v>9657676965</v>
      </c>
      <c r="K201" s="1" t="s">
        <v>79</v>
      </c>
      <c r="L201" s="1" t="s">
        <v>4212</v>
      </c>
      <c r="M201" s="1" t="s">
        <v>81</v>
      </c>
      <c r="N201" s="1" t="s">
        <v>4213</v>
      </c>
      <c r="O201" s="1"/>
      <c r="P201" s="1" t="s">
        <v>450</v>
      </c>
      <c r="Q201" s="1" t="s">
        <v>4214</v>
      </c>
      <c r="R201" s="1" t="s">
        <v>4215</v>
      </c>
      <c r="S201" s="1">
        <v>9881447676</v>
      </c>
      <c r="T201" s="1" t="s">
        <v>4216</v>
      </c>
      <c r="U201" s="1" t="s">
        <v>4217</v>
      </c>
      <c r="V201" s="1">
        <v>9075728686</v>
      </c>
      <c r="W201" s="1" t="s">
        <v>273</v>
      </c>
      <c r="X201" s="1" t="s">
        <v>4218</v>
      </c>
      <c r="Y201" s="1" t="s">
        <v>1963</v>
      </c>
      <c r="Z201" s="1" t="s">
        <v>92</v>
      </c>
      <c r="AA201" s="1" t="s">
        <v>4218</v>
      </c>
      <c r="AB201" s="1" t="s">
        <v>1963</v>
      </c>
      <c r="AC201" s="1" t="s">
        <v>92</v>
      </c>
      <c r="AD201" s="1">
        <v>8.05</v>
      </c>
      <c r="AE201" s="1" t="s">
        <v>93</v>
      </c>
      <c r="AF201" s="1" t="s">
        <v>4219</v>
      </c>
      <c r="AG201" s="1" t="s">
        <v>4220</v>
      </c>
      <c r="AH201" s="1" t="s">
        <v>3303</v>
      </c>
      <c r="AI201" s="1" t="s">
        <v>165</v>
      </c>
      <c r="AJ201" s="1">
        <v>84.8</v>
      </c>
      <c r="AK201" s="1"/>
      <c r="AL201" s="1" t="s">
        <v>4221</v>
      </c>
      <c r="AM201" s="1" t="s">
        <v>4220</v>
      </c>
      <c r="AN201" s="1" t="s">
        <v>383</v>
      </c>
      <c r="AO201" s="1" t="s">
        <v>198</v>
      </c>
      <c r="AP201" s="1">
        <v>65.69</v>
      </c>
      <c r="AQ201" s="1"/>
      <c r="AR201" s="1"/>
      <c r="AS201" s="1"/>
      <c r="AT201" s="1"/>
      <c r="AU201" s="1"/>
      <c r="AV201" s="1"/>
      <c r="AW201" s="1"/>
      <c r="AX201" s="1" t="s">
        <v>4222</v>
      </c>
      <c r="AY201" s="1" t="s">
        <v>4223</v>
      </c>
      <c r="AZ201" s="1" t="s">
        <v>310</v>
      </c>
      <c r="BA201" s="1" t="s">
        <v>174</v>
      </c>
      <c r="BB201" s="1">
        <v>68.88</v>
      </c>
      <c r="BC201" s="1">
        <v>7.25</v>
      </c>
      <c r="BD201" s="1"/>
      <c r="BE201" s="1"/>
      <c r="BF201" s="1"/>
      <c r="BG201" s="1"/>
      <c r="BH201" s="1"/>
      <c r="BI201" s="1"/>
      <c r="BJ201" s="1" t="s">
        <v>4224</v>
      </c>
      <c r="BK201" s="1" t="s">
        <v>4225</v>
      </c>
      <c r="BL201" s="1" t="s">
        <v>569</v>
      </c>
      <c r="BM201" s="1" t="s">
        <v>4226</v>
      </c>
      <c r="BN201" s="1">
        <v>12</v>
      </c>
      <c r="BO201" s="1"/>
      <c r="BP201" s="1" t="str">
        <f>HYPERLINK("https://nconnect.nicmar.ac.in/storage/profile/ProfilePhoto_P25700186_952671.jpg","Download")</f>
        <v>0</v>
      </c>
      <c r="BQ201" s="3"/>
      <c r="BR201" s="3"/>
    </row>
    <row r="202" spans="1:70">
      <c r="A202" s="1" t="s">
        <v>70</v>
      </c>
      <c r="B202" s="1" t="s">
        <v>441</v>
      </c>
      <c r="C202" s="1" t="s">
        <v>4227</v>
      </c>
      <c r="D202" s="1" t="s">
        <v>4228</v>
      </c>
      <c r="E202" s="1" t="s">
        <v>4229</v>
      </c>
      <c r="F202" s="1" t="s">
        <v>1156</v>
      </c>
      <c r="G202" s="1" t="s">
        <v>4230</v>
      </c>
      <c r="H202" s="1" t="s">
        <v>4231</v>
      </c>
      <c r="I202" s="1" t="s">
        <v>4232</v>
      </c>
      <c r="J202" s="1">
        <v>9819070657</v>
      </c>
      <c r="K202" s="1" t="s">
        <v>79</v>
      </c>
      <c r="L202" s="1" t="s">
        <v>4233</v>
      </c>
      <c r="M202" s="1" t="s">
        <v>81</v>
      </c>
      <c r="N202" s="1" t="s">
        <v>1140</v>
      </c>
      <c r="O202" s="1"/>
      <c r="P202" s="1" t="s">
        <v>497</v>
      </c>
      <c r="Q202" s="1" t="s">
        <v>4234</v>
      </c>
      <c r="R202" s="1" t="s">
        <v>4235</v>
      </c>
      <c r="S202" s="1">
        <v>9819997174</v>
      </c>
      <c r="T202" s="1" t="s">
        <v>4236</v>
      </c>
      <c r="U202" s="1" t="s">
        <v>4237</v>
      </c>
      <c r="V202" s="1">
        <v>9969335002</v>
      </c>
      <c r="W202" s="1" t="s">
        <v>4236</v>
      </c>
      <c r="X202" s="1" t="s">
        <v>4238</v>
      </c>
      <c r="Y202" s="1" t="s">
        <v>2229</v>
      </c>
      <c r="Z202" s="1" t="s">
        <v>92</v>
      </c>
      <c r="AA202" s="1" t="s">
        <v>4238</v>
      </c>
      <c r="AB202" s="1" t="s">
        <v>2229</v>
      </c>
      <c r="AC202" s="1" t="s">
        <v>92</v>
      </c>
      <c r="AD202" s="1">
        <v>8.66</v>
      </c>
      <c r="AE202" s="1" t="s">
        <v>93</v>
      </c>
      <c r="AF202" s="1" t="s">
        <v>4239</v>
      </c>
      <c r="AG202" s="1" t="s">
        <v>4240</v>
      </c>
      <c r="AH202" s="1" t="s">
        <v>4241</v>
      </c>
      <c r="AI202" s="1" t="s">
        <v>97</v>
      </c>
      <c r="AJ202" s="1">
        <v>71</v>
      </c>
      <c r="AK202" s="1"/>
      <c r="AL202" s="1" t="s">
        <v>4242</v>
      </c>
      <c r="AM202" s="1" t="s">
        <v>4243</v>
      </c>
      <c r="AN202" s="1" t="s">
        <v>4244</v>
      </c>
      <c r="AO202" s="1" t="s">
        <v>508</v>
      </c>
      <c r="AP202" s="1">
        <v>68</v>
      </c>
      <c r="AQ202" s="1"/>
      <c r="AR202" s="1"/>
      <c r="AS202" s="1"/>
      <c r="AT202" s="1"/>
      <c r="AU202" s="1"/>
      <c r="AV202" s="1"/>
      <c r="AW202" s="1"/>
      <c r="AX202" s="1" t="s">
        <v>4245</v>
      </c>
      <c r="AY202" s="1" t="s">
        <v>4246</v>
      </c>
      <c r="AZ202" s="1" t="s">
        <v>225</v>
      </c>
      <c r="BA202" s="1" t="s">
        <v>539</v>
      </c>
      <c r="BB202" s="1">
        <v>81</v>
      </c>
      <c r="BC202" s="1">
        <v>8.85</v>
      </c>
      <c r="BD202" s="1" t="s">
        <v>4246</v>
      </c>
      <c r="BE202" s="1" t="s">
        <v>1561</v>
      </c>
      <c r="BF202" s="1" t="s">
        <v>436</v>
      </c>
      <c r="BG202" s="1" t="s">
        <v>1245</v>
      </c>
      <c r="BH202" s="1">
        <v>85.6</v>
      </c>
      <c r="BI202" s="1">
        <v>9.31</v>
      </c>
      <c r="BJ202" s="1" t="s">
        <v>364</v>
      </c>
      <c r="BK202" s="1" t="s">
        <v>4247</v>
      </c>
      <c r="BL202" s="1" t="s">
        <v>762</v>
      </c>
      <c r="BM202" s="1" t="s">
        <v>4248</v>
      </c>
      <c r="BN202" s="1">
        <v>67</v>
      </c>
      <c r="BO202" s="1"/>
      <c r="BP202" s="1" t="str">
        <f>HYPERLINK("https://nconnect.nicmar.ac.in/storage/profile/ProfilePhoto_P25700187_358146.jpg","Download")</f>
        <v>0</v>
      </c>
      <c r="BQ202" s="3"/>
      <c r="BR202" s="3"/>
    </row>
    <row r="203" spans="1:70">
      <c r="A203" s="1" t="s">
        <v>70</v>
      </c>
      <c r="B203" s="1" t="s">
        <v>441</v>
      </c>
      <c r="C203" s="1" t="s">
        <v>4249</v>
      </c>
      <c r="D203" s="1" t="s">
        <v>4250</v>
      </c>
      <c r="E203" s="1"/>
      <c r="F203" s="1" t="s">
        <v>793</v>
      </c>
      <c r="G203" s="1" t="s">
        <v>4251</v>
      </c>
      <c r="H203" s="1" t="s">
        <v>4252</v>
      </c>
      <c r="I203" s="1" t="s">
        <v>4253</v>
      </c>
      <c r="J203" s="1">
        <v>7550151319</v>
      </c>
      <c r="K203" s="1" t="s">
        <v>79</v>
      </c>
      <c r="L203" s="1" t="s">
        <v>4254</v>
      </c>
      <c r="M203" s="1" t="s">
        <v>81</v>
      </c>
      <c r="N203" s="1" t="s">
        <v>4255</v>
      </c>
      <c r="O203" s="1"/>
      <c r="P203" s="1" t="s">
        <v>1007</v>
      </c>
      <c r="Q203" s="1" t="s">
        <v>4256</v>
      </c>
      <c r="R203" s="1" t="s">
        <v>4257</v>
      </c>
      <c r="S203" s="1">
        <v>9444411061</v>
      </c>
      <c r="T203" s="1" t="s">
        <v>820</v>
      </c>
      <c r="U203" s="1" t="s">
        <v>4258</v>
      </c>
      <c r="V203" s="1">
        <v>9952050377</v>
      </c>
      <c r="W203" s="1" t="s">
        <v>273</v>
      </c>
      <c r="X203" s="1" t="s">
        <v>4259</v>
      </c>
      <c r="Y203" s="1" t="s">
        <v>4260</v>
      </c>
      <c r="Z203" s="1" t="s">
        <v>559</v>
      </c>
      <c r="AA203" s="1" t="s">
        <v>4259</v>
      </c>
      <c r="AB203" s="1" t="s">
        <v>4260</v>
      </c>
      <c r="AC203" s="1" t="s">
        <v>559</v>
      </c>
      <c r="AD203" s="1">
        <v>9.23</v>
      </c>
      <c r="AE203" s="1" t="s">
        <v>93</v>
      </c>
      <c r="AF203" s="1" t="s">
        <v>4261</v>
      </c>
      <c r="AG203" s="1" t="s">
        <v>307</v>
      </c>
      <c r="AH203" s="1" t="s">
        <v>481</v>
      </c>
      <c r="AI203" s="1" t="s">
        <v>308</v>
      </c>
      <c r="AJ203" s="1">
        <v>87.8</v>
      </c>
      <c r="AK203" s="1"/>
      <c r="AL203" s="1" t="s">
        <v>4261</v>
      </c>
      <c r="AM203" s="1" t="s">
        <v>307</v>
      </c>
      <c r="AN203" s="1" t="s">
        <v>956</v>
      </c>
      <c r="AO203" s="1" t="s">
        <v>539</v>
      </c>
      <c r="AP203" s="1">
        <v>88.8</v>
      </c>
      <c r="AQ203" s="1"/>
      <c r="AR203" s="1"/>
      <c r="AS203" s="1"/>
      <c r="AT203" s="1"/>
      <c r="AU203" s="1"/>
      <c r="AV203" s="1"/>
      <c r="AW203" s="1"/>
      <c r="AX203" s="1" t="s">
        <v>564</v>
      </c>
      <c r="AY203" s="1" t="s">
        <v>4262</v>
      </c>
      <c r="AZ203" s="1" t="s">
        <v>135</v>
      </c>
      <c r="BA203" s="1" t="s">
        <v>829</v>
      </c>
      <c r="BB203" s="1">
        <v>86.9</v>
      </c>
      <c r="BC203" s="1">
        <v>8.69</v>
      </c>
      <c r="BD203" s="1"/>
      <c r="BE203" s="1"/>
      <c r="BF203" s="1"/>
      <c r="BG203" s="1"/>
      <c r="BH203" s="1"/>
      <c r="BI203" s="1"/>
      <c r="BJ203" s="1" t="s">
        <v>4263</v>
      </c>
      <c r="BK203" s="1"/>
      <c r="BL203" s="1"/>
      <c r="BM203" s="1" t="s">
        <v>4264</v>
      </c>
      <c r="BN203" s="1">
        <v>12</v>
      </c>
      <c r="BO203" s="1" t="s">
        <v>4265</v>
      </c>
      <c r="BP203" s="1" t="str">
        <f>HYPERLINK("https://nconnect.nicmar.ac.in/storage/profile/ProfilePhoto_P25700188_342579.jpg","Download")</f>
        <v>0</v>
      </c>
      <c r="BQ203" s="3"/>
      <c r="BR203" s="3"/>
    </row>
    <row r="204" spans="1:70">
      <c r="A204" s="1" t="s">
        <v>70</v>
      </c>
      <c r="B204" s="1" t="s">
        <v>441</v>
      </c>
      <c r="C204" s="1" t="s">
        <v>4266</v>
      </c>
      <c r="D204" s="1" t="s">
        <v>4267</v>
      </c>
      <c r="E204" s="1" t="s">
        <v>4268</v>
      </c>
      <c r="F204" s="1" t="s">
        <v>4269</v>
      </c>
      <c r="G204" s="1" t="s">
        <v>4270</v>
      </c>
      <c r="H204" s="1" t="s">
        <v>4271</v>
      </c>
      <c r="I204" s="1" t="s">
        <v>4272</v>
      </c>
      <c r="J204" s="1">
        <v>9130984881</v>
      </c>
      <c r="K204" s="1" t="s">
        <v>79</v>
      </c>
      <c r="L204" s="1" t="s">
        <v>4273</v>
      </c>
      <c r="M204" s="1" t="s">
        <v>81</v>
      </c>
      <c r="N204" s="1" t="s">
        <v>4274</v>
      </c>
      <c r="O204" s="1"/>
      <c r="P204" s="1" t="s">
        <v>497</v>
      </c>
      <c r="Q204" s="1" t="s">
        <v>4275</v>
      </c>
      <c r="R204" s="1" t="s">
        <v>4268</v>
      </c>
      <c r="S204" s="1">
        <v>9096905159</v>
      </c>
      <c r="T204" s="1" t="s">
        <v>154</v>
      </c>
      <c r="U204" s="1" t="s">
        <v>4276</v>
      </c>
      <c r="V204" s="1">
        <v>9226880455</v>
      </c>
      <c r="W204" s="1" t="s">
        <v>156</v>
      </c>
      <c r="X204" s="1" t="s">
        <v>4277</v>
      </c>
      <c r="Y204" s="1" t="s">
        <v>1754</v>
      </c>
      <c r="Z204" s="1" t="s">
        <v>92</v>
      </c>
      <c r="AA204" s="1" t="s">
        <v>4277</v>
      </c>
      <c r="AB204" s="1" t="s">
        <v>1754</v>
      </c>
      <c r="AC204" s="1" t="s">
        <v>92</v>
      </c>
      <c r="AD204" s="1" t="s">
        <v>93</v>
      </c>
      <c r="AE204" s="1" t="s">
        <v>93</v>
      </c>
      <c r="AF204" s="1" t="s">
        <v>4278</v>
      </c>
      <c r="AG204" s="1" t="s">
        <v>4279</v>
      </c>
      <c r="AH204" s="1" t="s">
        <v>161</v>
      </c>
      <c r="AI204" s="1" t="s">
        <v>162</v>
      </c>
      <c r="AJ204" s="1">
        <v>79.8</v>
      </c>
      <c r="AK204" s="1"/>
      <c r="AL204" s="1" t="s">
        <v>4280</v>
      </c>
      <c r="AM204" s="1" t="s">
        <v>4279</v>
      </c>
      <c r="AN204" s="1" t="s">
        <v>165</v>
      </c>
      <c r="AO204" s="1" t="s">
        <v>166</v>
      </c>
      <c r="AP204" s="1">
        <v>68.46</v>
      </c>
      <c r="AQ204" s="1"/>
      <c r="AR204" s="1"/>
      <c r="AS204" s="1"/>
      <c r="AT204" s="1"/>
      <c r="AU204" s="1"/>
      <c r="AV204" s="1"/>
      <c r="AW204" s="1"/>
      <c r="AX204" s="1" t="s">
        <v>4281</v>
      </c>
      <c r="AY204" s="1" t="s">
        <v>4282</v>
      </c>
      <c r="AZ204" s="1" t="s">
        <v>169</v>
      </c>
      <c r="BA204" s="1" t="s">
        <v>1800</v>
      </c>
      <c r="BB204" s="1">
        <v>74.3</v>
      </c>
      <c r="BC204" s="1">
        <v>7.43</v>
      </c>
      <c r="BD204" s="1"/>
      <c r="BE204" s="1"/>
      <c r="BF204" s="1"/>
      <c r="BG204" s="1"/>
      <c r="BH204" s="1"/>
      <c r="BI204" s="1"/>
      <c r="BJ204" s="1" t="s">
        <v>255</v>
      </c>
      <c r="BK204" s="1"/>
      <c r="BL204" s="1"/>
      <c r="BM204" s="1"/>
      <c r="BN204" s="1"/>
      <c r="BO204" s="1"/>
      <c r="BP204" s="1" t="str">
        <f>HYPERLINK("https://nconnect.nicmar.ac.in/storage/profile/ProfilePhoto_P25700189_658327.jpg","Download")</f>
        <v>0</v>
      </c>
      <c r="BQ204" s="3"/>
      <c r="BR204" s="3"/>
    </row>
    <row r="205" spans="1:70">
      <c r="A205" s="1" t="s">
        <v>70</v>
      </c>
      <c r="B205" s="1" t="s">
        <v>441</v>
      </c>
      <c r="C205" s="1" t="s">
        <v>4283</v>
      </c>
      <c r="D205" s="1" t="s">
        <v>4284</v>
      </c>
      <c r="E205" s="1" t="s">
        <v>519</v>
      </c>
      <c r="F205" s="1" t="s">
        <v>520</v>
      </c>
      <c r="G205" s="1" t="s">
        <v>4285</v>
      </c>
      <c r="H205" s="1" t="s">
        <v>4286</v>
      </c>
      <c r="I205" s="1" t="s">
        <v>4287</v>
      </c>
      <c r="J205" s="1">
        <v>9079801566</v>
      </c>
      <c r="K205" s="1" t="s">
        <v>79</v>
      </c>
      <c r="L205" s="1" t="s">
        <v>4288</v>
      </c>
      <c r="M205" s="1" t="s">
        <v>81</v>
      </c>
      <c r="N205" s="1" t="s">
        <v>4289</v>
      </c>
      <c r="O205" s="1"/>
      <c r="P205" s="1" t="s">
        <v>472</v>
      </c>
      <c r="Q205" s="1" t="s">
        <v>4290</v>
      </c>
      <c r="R205" s="1" t="s">
        <v>4291</v>
      </c>
      <c r="S205" s="1">
        <v>8005694959</v>
      </c>
      <c r="T205" s="1" t="s">
        <v>3414</v>
      </c>
      <c r="U205" s="1" t="s">
        <v>4292</v>
      </c>
      <c r="V205" s="1">
        <v>8824707689</v>
      </c>
      <c r="W205" s="1" t="s">
        <v>156</v>
      </c>
      <c r="X205" s="1" t="s">
        <v>4293</v>
      </c>
      <c r="Y205" s="1" t="s">
        <v>2125</v>
      </c>
      <c r="Z205" s="1" t="s">
        <v>2126</v>
      </c>
      <c r="AA205" s="1" t="s">
        <v>4293</v>
      </c>
      <c r="AB205" s="1" t="s">
        <v>2125</v>
      </c>
      <c r="AC205" s="1" t="s">
        <v>2126</v>
      </c>
      <c r="AD205" s="1">
        <v>9.11</v>
      </c>
      <c r="AE205" s="1" t="s">
        <v>93</v>
      </c>
      <c r="AF205" s="1" t="s">
        <v>4294</v>
      </c>
      <c r="AG205" s="1" t="s">
        <v>4295</v>
      </c>
      <c r="AH205" s="1" t="s">
        <v>1191</v>
      </c>
      <c r="AI205" s="1" t="s">
        <v>161</v>
      </c>
      <c r="AJ205" s="1">
        <v>86.17</v>
      </c>
      <c r="AK205" s="1"/>
      <c r="AL205" s="1" t="s">
        <v>4296</v>
      </c>
      <c r="AM205" s="1" t="s">
        <v>4295</v>
      </c>
      <c r="AN205" s="1" t="s">
        <v>279</v>
      </c>
      <c r="AO205" s="1" t="s">
        <v>562</v>
      </c>
      <c r="AP205" s="1">
        <v>81.6</v>
      </c>
      <c r="AQ205" s="1"/>
      <c r="AR205" s="1"/>
      <c r="AS205" s="1"/>
      <c r="AT205" s="1"/>
      <c r="AU205" s="1"/>
      <c r="AV205" s="1"/>
      <c r="AW205" s="1"/>
      <c r="AX205" s="1" t="s">
        <v>4297</v>
      </c>
      <c r="AY205" s="1" t="s">
        <v>4298</v>
      </c>
      <c r="AZ205" s="1" t="s">
        <v>383</v>
      </c>
      <c r="BA205" s="1" t="s">
        <v>828</v>
      </c>
      <c r="BB205" s="1">
        <v>85</v>
      </c>
      <c r="BC205" s="1">
        <v>8.15</v>
      </c>
      <c r="BD205" s="1"/>
      <c r="BE205" s="1"/>
      <c r="BF205" s="1"/>
      <c r="BG205" s="1"/>
      <c r="BH205" s="1"/>
      <c r="BI205" s="1"/>
      <c r="BJ205" s="1" t="s">
        <v>4299</v>
      </c>
      <c r="BK205" s="1" t="s">
        <v>4300</v>
      </c>
      <c r="BL205" s="1" t="s">
        <v>1824</v>
      </c>
      <c r="BM205" s="1" t="s">
        <v>4301</v>
      </c>
      <c r="BN205" s="1">
        <v>12</v>
      </c>
      <c r="BO205" s="1" t="s">
        <v>4302</v>
      </c>
      <c r="BP205" s="1" t="str">
        <f>HYPERLINK("https://nconnect.nicmar.ac.in/storage/profile/ProfilePhoto_P25700190_285367.jpg","Download")</f>
        <v>0</v>
      </c>
      <c r="BQ205" s="3"/>
      <c r="BR205" s="3"/>
    </row>
    <row r="206" spans="1:70">
      <c r="A206" s="1" t="s">
        <v>70</v>
      </c>
      <c r="B206" s="1" t="s">
        <v>441</v>
      </c>
      <c r="C206" s="1" t="s">
        <v>4303</v>
      </c>
      <c r="D206" s="1" t="s">
        <v>1482</v>
      </c>
      <c r="E206" s="1" t="s">
        <v>4304</v>
      </c>
      <c r="F206" s="1" t="s">
        <v>2420</v>
      </c>
      <c r="G206" s="1" t="s">
        <v>4305</v>
      </c>
      <c r="H206" s="1" t="s">
        <v>4306</v>
      </c>
      <c r="I206" s="1" t="s">
        <v>4307</v>
      </c>
      <c r="J206" s="1">
        <v>9370050608</v>
      </c>
      <c r="K206" s="1" t="s">
        <v>79</v>
      </c>
      <c r="L206" s="1" t="s">
        <v>4308</v>
      </c>
      <c r="M206" s="1" t="s">
        <v>81</v>
      </c>
      <c r="N206" s="1" t="s">
        <v>3587</v>
      </c>
      <c r="O206" s="1"/>
      <c r="P206" s="1"/>
      <c r="Q206" s="1" t="s">
        <v>4309</v>
      </c>
      <c r="R206" s="1" t="s">
        <v>4310</v>
      </c>
      <c r="S206" s="1">
        <v>9923802386</v>
      </c>
      <c r="T206" s="1" t="s">
        <v>632</v>
      </c>
      <c r="U206" s="1" t="s">
        <v>4311</v>
      </c>
      <c r="V206" s="1">
        <v>8329103997</v>
      </c>
      <c r="W206" s="1" t="s">
        <v>156</v>
      </c>
      <c r="X206" s="1" t="s">
        <v>4312</v>
      </c>
      <c r="Y206" s="1" t="s">
        <v>4313</v>
      </c>
      <c r="Z206" s="1" t="s">
        <v>92</v>
      </c>
      <c r="AA206" s="1" t="s">
        <v>4312</v>
      </c>
      <c r="AB206" s="1" t="s">
        <v>4313</v>
      </c>
      <c r="AC206" s="1" t="s">
        <v>92</v>
      </c>
      <c r="AD206" s="1">
        <v>8.59</v>
      </c>
      <c r="AE206" s="1" t="s">
        <v>93</v>
      </c>
      <c r="AF206" s="1" t="s">
        <v>4314</v>
      </c>
      <c r="AG206" s="1" t="s">
        <v>1942</v>
      </c>
      <c r="AH206" s="1" t="s">
        <v>165</v>
      </c>
      <c r="AI206" s="1" t="s">
        <v>101</v>
      </c>
      <c r="AJ206" s="1">
        <v>93</v>
      </c>
      <c r="AK206" s="1"/>
      <c r="AL206" s="1"/>
      <c r="AM206" s="1"/>
      <c r="AN206" s="1"/>
      <c r="AO206" s="1"/>
      <c r="AP206" s="1"/>
      <c r="AQ206" s="1"/>
      <c r="AR206" s="1" t="s">
        <v>434</v>
      </c>
      <c r="AS206" s="1" t="s">
        <v>4315</v>
      </c>
      <c r="AT206" s="1" t="s">
        <v>1043</v>
      </c>
      <c r="AU206" s="1" t="s">
        <v>826</v>
      </c>
      <c r="AV206" s="1">
        <v>95.16</v>
      </c>
      <c r="AW206" s="1"/>
      <c r="AX206" s="1" t="s">
        <v>666</v>
      </c>
      <c r="AY206" s="1" t="s">
        <v>4316</v>
      </c>
      <c r="AZ206" s="1" t="s">
        <v>852</v>
      </c>
      <c r="BA206" s="1" t="s">
        <v>202</v>
      </c>
      <c r="BB206" s="1">
        <v>83.92</v>
      </c>
      <c r="BC206" s="1">
        <v>9.72</v>
      </c>
      <c r="BD206" s="1"/>
      <c r="BE206" s="1"/>
      <c r="BF206" s="1"/>
      <c r="BG206" s="1"/>
      <c r="BH206" s="1"/>
      <c r="BI206" s="1"/>
      <c r="BJ206" s="1" t="s">
        <v>4317</v>
      </c>
      <c r="BK206" s="1" t="s">
        <v>4318</v>
      </c>
      <c r="BL206" s="1" t="s">
        <v>1048</v>
      </c>
      <c r="BM206" s="1" t="s">
        <v>4319</v>
      </c>
      <c r="BN206" s="1">
        <v>20</v>
      </c>
      <c r="BO206" s="1"/>
      <c r="BP206" s="1" t="str">
        <f>HYPERLINK("https://nconnect.nicmar.ac.in/storage/profile/ProfilePhoto_P25700191_975138.jpg","Download")</f>
        <v>0</v>
      </c>
      <c r="BQ206" s="3"/>
      <c r="BR206" s="3"/>
    </row>
    <row r="207" spans="1:70">
      <c r="A207" s="1" t="s">
        <v>70</v>
      </c>
      <c r="B207" s="1" t="s">
        <v>441</v>
      </c>
      <c r="C207" s="1" t="s">
        <v>4320</v>
      </c>
      <c r="D207" s="1" t="s">
        <v>2219</v>
      </c>
      <c r="E207" s="1" t="s">
        <v>4321</v>
      </c>
      <c r="F207" s="1" t="s">
        <v>4322</v>
      </c>
      <c r="G207" s="1" t="s">
        <v>4323</v>
      </c>
      <c r="H207" s="1" t="s">
        <v>4324</v>
      </c>
      <c r="I207" s="1" t="s">
        <v>4325</v>
      </c>
      <c r="J207" s="1">
        <v>7666818616</v>
      </c>
      <c r="K207" s="1" t="s">
        <v>79</v>
      </c>
      <c r="L207" s="1" t="s">
        <v>4326</v>
      </c>
      <c r="M207" s="1" t="s">
        <v>81</v>
      </c>
      <c r="N207" s="1" t="s">
        <v>4327</v>
      </c>
      <c r="O207" s="1"/>
      <c r="P207" s="1" t="s">
        <v>497</v>
      </c>
      <c r="Q207" s="1" t="s">
        <v>4328</v>
      </c>
      <c r="R207" s="1" t="s">
        <v>4321</v>
      </c>
      <c r="S207" s="1">
        <v>9819123215</v>
      </c>
      <c r="T207" s="1" t="s">
        <v>4329</v>
      </c>
      <c r="U207" s="1" t="s">
        <v>4330</v>
      </c>
      <c r="V207" s="1">
        <v>9833409215</v>
      </c>
      <c r="W207" s="1" t="s">
        <v>273</v>
      </c>
      <c r="X207" s="1" t="s">
        <v>4331</v>
      </c>
      <c r="Y207" s="1" t="s">
        <v>2229</v>
      </c>
      <c r="Z207" s="1" t="s">
        <v>92</v>
      </c>
      <c r="AA207" s="1" t="s">
        <v>4331</v>
      </c>
      <c r="AB207" s="1" t="s">
        <v>2229</v>
      </c>
      <c r="AC207" s="1" t="s">
        <v>92</v>
      </c>
      <c r="AD207" s="1">
        <v>7.72</v>
      </c>
      <c r="AE207" s="1" t="s">
        <v>93</v>
      </c>
      <c r="AF207" s="1" t="s">
        <v>4332</v>
      </c>
      <c r="AG207" s="1" t="s">
        <v>4333</v>
      </c>
      <c r="AH207" s="1" t="s">
        <v>161</v>
      </c>
      <c r="AI207" s="1" t="s">
        <v>614</v>
      </c>
      <c r="AJ207" s="1">
        <v>86.67</v>
      </c>
      <c r="AK207" s="1"/>
      <c r="AL207" s="1" t="s">
        <v>4334</v>
      </c>
      <c r="AM207" s="1" t="s">
        <v>4335</v>
      </c>
      <c r="AN207" s="1" t="s">
        <v>614</v>
      </c>
      <c r="AO207" s="1" t="s">
        <v>1455</v>
      </c>
      <c r="AP207" s="1">
        <v>74.92</v>
      </c>
      <c r="AQ207" s="1"/>
      <c r="AR207" s="1"/>
      <c r="AS207" s="1"/>
      <c r="AT207" s="1"/>
      <c r="AU207" s="1"/>
      <c r="AV207" s="1"/>
      <c r="AW207" s="1"/>
      <c r="AX207" s="1" t="s">
        <v>253</v>
      </c>
      <c r="AY207" s="1" t="s">
        <v>4336</v>
      </c>
      <c r="AZ207" s="1" t="s">
        <v>101</v>
      </c>
      <c r="BA207" s="1" t="s">
        <v>935</v>
      </c>
      <c r="BB207" s="1">
        <v>66.39</v>
      </c>
      <c r="BC207" s="1">
        <v>7.35</v>
      </c>
      <c r="BD207" s="1"/>
      <c r="BE207" s="1"/>
      <c r="BF207" s="1"/>
      <c r="BG207" s="1"/>
      <c r="BH207" s="1"/>
      <c r="BI207" s="1"/>
      <c r="BJ207" s="1" t="s">
        <v>364</v>
      </c>
      <c r="BK207" s="1" t="s">
        <v>4337</v>
      </c>
      <c r="BL207" s="1" t="s">
        <v>569</v>
      </c>
      <c r="BM207" s="1" t="s">
        <v>4338</v>
      </c>
      <c r="BN207" s="1">
        <v>8</v>
      </c>
      <c r="BO207" s="1"/>
      <c r="BP207" s="1" t="str">
        <f>HYPERLINK("https://nconnect.nicmar.ac.in/storage/profile/ProfilePhoto_P25700192_921356.jpg","Download")</f>
        <v>0</v>
      </c>
      <c r="BQ207" s="3"/>
      <c r="BR207" s="3"/>
    </row>
    <row r="208" spans="1:70">
      <c r="A208" s="1" t="s">
        <v>70</v>
      </c>
      <c r="B208" s="1" t="s">
        <v>441</v>
      </c>
      <c r="C208" s="1" t="s">
        <v>4339</v>
      </c>
      <c r="D208" s="1" t="s">
        <v>4340</v>
      </c>
      <c r="E208" s="1" t="s">
        <v>4341</v>
      </c>
      <c r="F208" s="1" t="s">
        <v>4342</v>
      </c>
      <c r="G208" s="1" t="s">
        <v>4343</v>
      </c>
      <c r="H208" s="1" t="s">
        <v>4344</v>
      </c>
      <c r="I208" s="1" t="s">
        <v>4345</v>
      </c>
      <c r="J208" s="1">
        <v>9322756868</v>
      </c>
      <c r="K208" s="1" t="s">
        <v>79</v>
      </c>
      <c r="L208" s="1" t="s">
        <v>4346</v>
      </c>
      <c r="M208" s="1" t="s">
        <v>81</v>
      </c>
      <c r="N208" s="1" t="s">
        <v>3065</v>
      </c>
      <c r="O208" s="1"/>
      <c r="P208" s="1" t="s">
        <v>450</v>
      </c>
      <c r="Q208" s="1" t="s">
        <v>4347</v>
      </c>
      <c r="R208" s="1" t="s">
        <v>4348</v>
      </c>
      <c r="S208" s="1">
        <v>9850824624</v>
      </c>
      <c r="T208" s="1" t="s">
        <v>1595</v>
      </c>
      <c r="U208" s="1" t="s">
        <v>4349</v>
      </c>
      <c r="V208" s="1">
        <v>9049649000</v>
      </c>
      <c r="W208" s="1" t="s">
        <v>1234</v>
      </c>
      <c r="X208" s="1" t="s">
        <v>4350</v>
      </c>
      <c r="Y208" s="1" t="s">
        <v>191</v>
      </c>
      <c r="Z208" s="1" t="s">
        <v>92</v>
      </c>
      <c r="AA208" s="1" t="s">
        <v>4350</v>
      </c>
      <c r="AB208" s="1" t="s">
        <v>191</v>
      </c>
      <c r="AC208" s="1" t="s">
        <v>92</v>
      </c>
      <c r="AD208" s="1">
        <v>8.8</v>
      </c>
      <c r="AE208" s="1" t="s">
        <v>93</v>
      </c>
      <c r="AF208" s="1" t="s">
        <v>4351</v>
      </c>
      <c r="AG208" s="1" t="s">
        <v>307</v>
      </c>
      <c r="AH208" s="1" t="s">
        <v>101</v>
      </c>
      <c r="AI208" s="1" t="s">
        <v>308</v>
      </c>
      <c r="AJ208" s="1">
        <v>78.4</v>
      </c>
      <c r="AK208" s="1"/>
      <c r="AL208" s="1" t="s">
        <v>4352</v>
      </c>
      <c r="AM208" s="1" t="s">
        <v>4353</v>
      </c>
      <c r="AN208" s="1" t="s">
        <v>1019</v>
      </c>
      <c r="AO208" s="1" t="s">
        <v>436</v>
      </c>
      <c r="AP208" s="1">
        <v>76.83</v>
      </c>
      <c r="AQ208" s="1"/>
      <c r="AR208" s="1"/>
      <c r="AS208" s="1"/>
      <c r="AT208" s="1"/>
      <c r="AU208" s="1"/>
      <c r="AV208" s="1"/>
      <c r="AW208" s="1"/>
      <c r="AX208" s="1" t="s">
        <v>4354</v>
      </c>
      <c r="AY208" s="1" t="s">
        <v>4355</v>
      </c>
      <c r="AZ208" s="1" t="s">
        <v>436</v>
      </c>
      <c r="BA208" s="1" t="s">
        <v>594</v>
      </c>
      <c r="BB208" s="1">
        <v>87.6</v>
      </c>
      <c r="BC208" s="1">
        <v>8.76</v>
      </c>
      <c r="BD208" s="1"/>
      <c r="BE208" s="1"/>
      <c r="BF208" s="1"/>
      <c r="BG208" s="1"/>
      <c r="BH208" s="1"/>
      <c r="BI208" s="1"/>
      <c r="BJ208" s="1" t="s">
        <v>1293</v>
      </c>
      <c r="BK208" s="1"/>
      <c r="BL208" s="1"/>
      <c r="BM208" s="1" t="s">
        <v>4356</v>
      </c>
      <c r="BN208" s="1">
        <v>29</v>
      </c>
      <c r="BO208" s="1"/>
      <c r="BP208" s="1" t="str">
        <f>HYPERLINK("https://nconnect.nicmar.ac.in/storage/profile/ProfilePhoto_P25700193_714259.jpg","Download")</f>
        <v>0</v>
      </c>
      <c r="BQ208" s="3"/>
      <c r="BR208" s="3"/>
    </row>
    <row r="209" spans="1:70">
      <c r="A209" s="1" t="s">
        <v>70</v>
      </c>
      <c r="B209" s="1" t="s">
        <v>441</v>
      </c>
      <c r="C209" s="1" t="s">
        <v>4357</v>
      </c>
      <c r="D209" s="1" t="s">
        <v>4358</v>
      </c>
      <c r="E209" s="1"/>
      <c r="F209" s="1" t="s">
        <v>4359</v>
      </c>
      <c r="G209" s="1" t="s">
        <v>4360</v>
      </c>
      <c r="H209" s="1" t="s">
        <v>4361</v>
      </c>
      <c r="I209" s="1" t="s">
        <v>4362</v>
      </c>
      <c r="J209" s="1">
        <v>8526305610</v>
      </c>
      <c r="K209" s="1" t="s">
        <v>79</v>
      </c>
      <c r="L209" s="1" t="s">
        <v>4363</v>
      </c>
      <c r="M209" s="1" t="s">
        <v>81</v>
      </c>
      <c r="N209" s="1" t="s">
        <v>4364</v>
      </c>
      <c r="O209" s="1"/>
      <c r="P209" s="1" t="s">
        <v>472</v>
      </c>
      <c r="Q209" s="1" t="s">
        <v>4365</v>
      </c>
      <c r="R209" s="1" t="s">
        <v>4366</v>
      </c>
      <c r="S209" s="1">
        <v>9486258645</v>
      </c>
      <c r="T209" s="1" t="s">
        <v>4367</v>
      </c>
      <c r="U209" s="1" t="s">
        <v>4368</v>
      </c>
      <c r="V209" s="1">
        <v>9659393483</v>
      </c>
      <c r="W209" s="1" t="s">
        <v>89</v>
      </c>
      <c r="X209" s="1" t="s">
        <v>4369</v>
      </c>
      <c r="Y209" s="1" t="s">
        <v>4370</v>
      </c>
      <c r="Z209" s="1" t="s">
        <v>559</v>
      </c>
      <c r="AA209" s="1" t="s">
        <v>4369</v>
      </c>
      <c r="AB209" s="1" t="s">
        <v>4370</v>
      </c>
      <c r="AC209" s="1" t="s">
        <v>559</v>
      </c>
      <c r="AD209" s="1">
        <v>8.44</v>
      </c>
      <c r="AE209" s="1" t="s">
        <v>93</v>
      </c>
      <c r="AF209" s="1" t="s">
        <v>4371</v>
      </c>
      <c r="AG209" s="1" t="s">
        <v>4372</v>
      </c>
      <c r="AH209" s="1" t="s">
        <v>162</v>
      </c>
      <c r="AI209" s="1" t="s">
        <v>195</v>
      </c>
      <c r="AJ209" s="1">
        <v>97</v>
      </c>
      <c r="AK209" s="1"/>
      <c r="AL209" s="1" t="s">
        <v>4373</v>
      </c>
      <c r="AM209" s="1" t="s">
        <v>4374</v>
      </c>
      <c r="AN209" s="1" t="s">
        <v>101</v>
      </c>
      <c r="AO209" s="1" t="s">
        <v>409</v>
      </c>
      <c r="AP209" s="1">
        <v>79.4</v>
      </c>
      <c r="AQ209" s="1">
        <v>0</v>
      </c>
      <c r="AR209" s="1"/>
      <c r="AS209" s="1"/>
      <c r="AT209" s="1"/>
      <c r="AU209" s="1"/>
      <c r="AV209" s="1"/>
      <c r="AW209" s="1"/>
      <c r="AX209" s="1" t="s">
        <v>4375</v>
      </c>
      <c r="AY209" s="1" t="s">
        <v>4376</v>
      </c>
      <c r="AZ209" s="1" t="s">
        <v>201</v>
      </c>
      <c r="BA209" s="1" t="s">
        <v>566</v>
      </c>
      <c r="BB209" s="1">
        <v>84.8</v>
      </c>
      <c r="BC209" s="1"/>
      <c r="BD209" s="1"/>
      <c r="BE209" s="1"/>
      <c r="BF209" s="1"/>
      <c r="BG209" s="1"/>
      <c r="BH209" s="1"/>
      <c r="BI209" s="1"/>
      <c r="BJ209" s="1" t="s">
        <v>4377</v>
      </c>
      <c r="BK209" s="1" t="s">
        <v>4378</v>
      </c>
      <c r="BL209" s="1" t="s">
        <v>2295</v>
      </c>
      <c r="BM209" s="1" t="s">
        <v>4379</v>
      </c>
      <c r="BN209" s="1">
        <v>8</v>
      </c>
      <c r="BO209" s="1" t="s">
        <v>4380</v>
      </c>
      <c r="BP209" s="1" t="str">
        <f>HYPERLINK("https://nconnect.nicmar.ac.in/storage/profile/ProfilePhoto_P25700194_912563.jpg","Download")</f>
        <v>0</v>
      </c>
      <c r="BQ209" s="3"/>
      <c r="BR209" s="3"/>
    </row>
    <row r="210" spans="1:70">
      <c r="A210" s="1" t="s">
        <v>70</v>
      </c>
      <c r="B210" s="1" t="s">
        <v>441</v>
      </c>
      <c r="C210" s="1" t="s">
        <v>4381</v>
      </c>
      <c r="D210" s="1" t="s">
        <v>1073</v>
      </c>
      <c r="E210" s="1" t="s">
        <v>4382</v>
      </c>
      <c r="F210" s="1" t="s">
        <v>4383</v>
      </c>
      <c r="G210" s="1" t="s">
        <v>4384</v>
      </c>
      <c r="H210" s="1" t="s">
        <v>4385</v>
      </c>
      <c r="I210" s="1" t="s">
        <v>4386</v>
      </c>
      <c r="J210" s="1">
        <v>8308454031</v>
      </c>
      <c r="K210" s="1" t="s">
        <v>79</v>
      </c>
      <c r="L210" s="1" t="s">
        <v>4387</v>
      </c>
      <c r="M210" s="1" t="s">
        <v>81</v>
      </c>
      <c r="N210" s="1" t="s">
        <v>605</v>
      </c>
      <c r="O210" s="1"/>
      <c r="P210" s="1" t="s">
        <v>497</v>
      </c>
      <c r="Q210" s="1" t="s">
        <v>4388</v>
      </c>
      <c r="R210" s="1" t="s">
        <v>4382</v>
      </c>
      <c r="S210" s="1">
        <v>9545884217</v>
      </c>
      <c r="T210" s="1" t="s">
        <v>154</v>
      </c>
      <c r="U210" s="1" t="s">
        <v>4389</v>
      </c>
      <c r="V210" s="1">
        <v>8308454031</v>
      </c>
      <c r="W210" s="1" t="s">
        <v>156</v>
      </c>
      <c r="X210" s="1" t="s">
        <v>4390</v>
      </c>
      <c r="Y210" s="1" t="s">
        <v>191</v>
      </c>
      <c r="Z210" s="1" t="s">
        <v>92</v>
      </c>
      <c r="AA210" s="1" t="s">
        <v>4391</v>
      </c>
      <c r="AB210" s="1" t="s">
        <v>405</v>
      </c>
      <c r="AC210" s="1" t="s">
        <v>92</v>
      </c>
      <c r="AD210" s="1">
        <v>9.05</v>
      </c>
      <c r="AE210" s="1" t="s">
        <v>93</v>
      </c>
      <c r="AF210" s="1" t="s">
        <v>4392</v>
      </c>
      <c r="AG210" s="1" t="s">
        <v>4393</v>
      </c>
      <c r="AH210" s="1" t="s">
        <v>1435</v>
      </c>
      <c r="AI210" s="1" t="s">
        <v>505</v>
      </c>
      <c r="AJ210" s="1">
        <v>96</v>
      </c>
      <c r="AK210" s="1"/>
      <c r="AL210" s="1"/>
      <c r="AM210" s="1"/>
      <c r="AN210" s="1"/>
      <c r="AO210" s="1"/>
      <c r="AP210" s="1"/>
      <c r="AQ210" s="1"/>
      <c r="AR210" s="1" t="s">
        <v>98</v>
      </c>
      <c r="AS210" s="1" t="s">
        <v>4394</v>
      </c>
      <c r="AT210" s="1" t="s">
        <v>252</v>
      </c>
      <c r="AU210" s="1" t="s">
        <v>165</v>
      </c>
      <c r="AV210" s="1">
        <v>91.19</v>
      </c>
      <c r="AW210" s="1"/>
      <c r="AX210" s="1" t="s">
        <v>4395</v>
      </c>
      <c r="AY210" s="1" t="s">
        <v>4396</v>
      </c>
      <c r="AZ210" s="1" t="s">
        <v>225</v>
      </c>
      <c r="BA210" s="1" t="s">
        <v>170</v>
      </c>
      <c r="BB210" s="1">
        <v>80.1</v>
      </c>
      <c r="BC210" s="1">
        <v>8.76</v>
      </c>
      <c r="BD210" s="1"/>
      <c r="BE210" s="1"/>
      <c r="BF210" s="1"/>
      <c r="BG210" s="1"/>
      <c r="BH210" s="1"/>
      <c r="BI210" s="1"/>
      <c r="BJ210" s="1" t="s">
        <v>4397</v>
      </c>
      <c r="BK210" s="1" t="s">
        <v>4398</v>
      </c>
      <c r="BL210" s="1" t="s">
        <v>4399</v>
      </c>
      <c r="BM210" s="1" t="s">
        <v>4400</v>
      </c>
      <c r="BN210" s="1">
        <v>10</v>
      </c>
      <c r="BO210" s="1"/>
      <c r="BP210" s="1" t="str">
        <f>HYPERLINK("https://nconnect.nicmar.ac.in/storage/profile/ProfilePhoto_P25700195_426391.jpg","Download")</f>
        <v>0</v>
      </c>
      <c r="BQ210" s="3"/>
      <c r="BR210" s="3"/>
    </row>
    <row r="211" spans="1:70">
      <c r="A211" s="1" t="s">
        <v>70</v>
      </c>
      <c r="B211" s="1" t="s">
        <v>441</v>
      </c>
      <c r="C211" s="1" t="s">
        <v>4401</v>
      </c>
      <c r="D211" s="1" t="s">
        <v>4402</v>
      </c>
      <c r="E211" s="1" t="s">
        <v>4321</v>
      </c>
      <c r="F211" s="1" t="s">
        <v>4403</v>
      </c>
      <c r="G211" s="1" t="s">
        <v>4404</v>
      </c>
      <c r="H211" s="1" t="s">
        <v>4405</v>
      </c>
      <c r="I211" s="1" t="s">
        <v>4406</v>
      </c>
      <c r="J211" s="1">
        <v>8010307133</v>
      </c>
      <c r="K211" s="1" t="s">
        <v>148</v>
      </c>
      <c r="L211" s="1" t="s">
        <v>985</v>
      </c>
      <c r="M211" s="1" t="s">
        <v>81</v>
      </c>
      <c r="N211" s="1" t="s">
        <v>605</v>
      </c>
      <c r="O211" s="1"/>
      <c r="P211" s="1" t="s">
        <v>656</v>
      </c>
      <c r="Q211" s="1" t="s">
        <v>4407</v>
      </c>
      <c r="R211" s="1" t="s">
        <v>4408</v>
      </c>
      <c r="S211" s="1">
        <v>8888836437</v>
      </c>
      <c r="T211" s="1" t="s">
        <v>3321</v>
      </c>
      <c r="U211" s="1" t="s">
        <v>4409</v>
      </c>
      <c r="V211" s="1">
        <v>8378976437</v>
      </c>
      <c r="W211" s="1" t="s">
        <v>89</v>
      </c>
      <c r="X211" s="1" t="s">
        <v>4410</v>
      </c>
      <c r="Y211" s="1" t="s">
        <v>91</v>
      </c>
      <c r="Z211" s="1" t="s">
        <v>92</v>
      </c>
      <c r="AA211" s="1" t="s">
        <v>4410</v>
      </c>
      <c r="AB211" s="1" t="s">
        <v>91</v>
      </c>
      <c r="AC211" s="1" t="s">
        <v>92</v>
      </c>
      <c r="AD211" s="1">
        <v>7.44</v>
      </c>
      <c r="AE211" s="1" t="s">
        <v>93</v>
      </c>
      <c r="AF211" s="1" t="s">
        <v>4411</v>
      </c>
      <c r="AG211" s="1" t="s">
        <v>160</v>
      </c>
      <c r="AH211" s="1" t="s">
        <v>165</v>
      </c>
      <c r="AI211" s="1" t="s">
        <v>101</v>
      </c>
      <c r="AJ211" s="1">
        <v>78.2</v>
      </c>
      <c r="AK211" s="1"/>
      <c r="AL211" s="1" t="s">
        <v>4412</v>
      </c>
      <c r="AM211" s="1" t="s">
        <v>160</v>
      </c>
      <c r="AN211" s="1" t="s">
        <v>169</v>
      </c>
      <c r="AO211" s="1" t="s">
        <v>1019</v>
      </c>
      <c r="AP211" s="1">
        <v>67.54</v>
      </c>
      <c r="AQ211" s="1"/>
      <c r="AR211" s="1"/>
      <c r="AS211" s="1"/>
      <c r="AT211" s="1"/>
      <c r="AU211" s="1"/>
      <c r="AV211" s="1"/>
      <c r="AW211" s="1"/>
      <c r="AX211" s="1" t="s">
        <v>361</v>
      </c>
      <c r="AY211" s="1" t="s">
        <v>4413</v>
      </c>
      <c r="AZ211" s="1" t="s">
        <v>460</v>
      </c>
      <c r="BA211" s="1" t="s">
        <v>829</v>
      </c>
      <c r="BB211" s="1">
        <v>68.08</v>
      </c>
      <c r="BC211" s="1">
        <v>7.65</v>
      </c>
      <c r="BD211" s="1"/>
      <c r="BE211" s="1"/>
      <c r="BF211" s="1"/>
      <c r="BG211" s="1"/>
      <c r="BH211" s="1"/>
      <c r="BI211" s="1"/>
      <c r="BJ211" s="1" t="s">
        <v>4414</v>
      </c>
      <c r="BK211" s="1"/>
      <c r="BL211" s="1"/>
      <c r="BM211" s="1" t="s">
        <v>4415</v>
      </c>
      <c r="BN211" s="1">
        <v>33</v>
      </c>
      <c r="BO211" s="1"/>
      <c r="BP211" s="1" t="str">
        <f>HYPERLINK("https://nconnect.nicmar.ac.in/storage/profile/ProfilePhoto_P25700196_149528.jpg","Download")</f>
        <v>0</v>
      </c>
      <c r="BQ211" s="3"/>
      <c r="BR211" s="3"/>
    </row>
    <row r="212" spans="1:70">
      <c r="A212" s="1" t="s">
        <v>70</v>
      </c>
      <c r="B212" s="1" t="s">
        <v>441</v>
      </c>
      <c r="C212" s="1" t="s">
        <v>4416</v>
      </c>
      <c r="D212" s="1" t="s">
        <v>392</v>
      </c>
      <c r="E212" s="1" t="s">
        <v>111</v>
      </c>
      <c r="F212" s="1" t="s">
        <v>4417</v>
      </c>
      <c r="G212" s="1" t="s">
        <v>4418</v>
      </c>
      <c r="H212" s="1" t="s">
        <v>4419</v>
      </c>
      <c r="I212" s="1" t="s">
        <v>4420</v>
      </c>
      <c r="J212" s="1">
        <v>9886216180</v>
      </c>
      <c r="K212" s="1" t="s">
        <v>79</v>
      </c>
      <c r="L212" s="1" t="s">
        <v>4421</v>
      </c>
      <c r="M212" s="1" t="s">
        <v>81</v>
      </c>
      <c r="N212" s="1" t="s">
        <v>4422</v>
      </c>
      <c r="O212" s="1"/>
      <c r="P212" s="1" t="s">
        <v>450</v>
      </c>
      <c r="Q212" s="1" t="s">
        <v>4423</v>
      </c>
      <c r="R212" s="1" t="s">
        <v>4424</v>
      </c>
      <c r="S212" s="1">
        <v>9964599940</v>
      </c>
      <c r="T212" s="1" t="s">
        <v>4425</v>
      </c>
      <c r="U212" s="1" t="s">
        <v>4426</v>
      </c>
      <c r="V212" s="1">
        <v>9964599940</v>
      </c>
      <c r="W212" s="1" t="s">
        <v>2539</v>
      </c>
      <c r="X212" s="1" t="s">
        <v>4427</v>
      </c>
      <c r="Y212" s="1" t="s">
        <v>4428</v>
      </c>
      <c r="Z212" s="1" t="s">
        <v>1187</v>
      </c>
      <c r="AA212" s="1" t="s">
        <v>4427</v>
      </c>
      <c r="AB212" s="1" t="s">
        <v>4428</v>
      </c>
      <c r="AC212" s="1" t="s">
        <v>1187</v>
      </c>
      <c r="AD212" s="1">
        <v>7.32</v>
      </c>
      <c r="AE212" s="1" t="s">
        <v>93</v>
      </c>
      <c r="AF212" s="1" t="s">
        <v>4429</v>
      </c>
      <c r="AG212" s="1" t="s">
        <v>4430</v>
      </c>
      <c r="AH212" s="1" t="s">
        <v>166</v>
      </c>
      <c r="AI212" s="1" t="s">
        <v>308</v>
      </c>
      <c r="AJ212" s="1">
        <v>78.2</v>
      </c>
      <c r="AK212" s="1"/>
      <c r="AL212" s="1" t="s">
        <v>4431</v>
      </c>
      <c r="AM212" s="1" t="s">
        <v>4432</v>
      </c>
      <c r="AN212" s="1" t="s">
        <v>310</v>
      </c>
      <c r="AO212" s="1" t="s">
        <v>539</v>
      </c>
      <c r="AP212" s="1">
        <v>78.5</v>
      </c>
      <c r="AQ212" s="1"/>
      <c r="AR212" s="1"/>
      <c r="AS212" s="1"/>
      <c r="AT212" s="1"/>
      <c r="AU212" s="1"/>
      <c r="AV212" s="1"/>
      <c r="AW212" s="1"/>
      <c r="AX212" s="1" t="s">
        <v>1602</v>
      </c>
      <c r="AY212" s="1" t="s">
        <v>4433</v>
      </c>
      <c r="AZ212" s="1" t="s">
        <v>852</v>
      </c>
      <c r="BA212" s="1" t="s">
        <v>829</v>
      </c>
      <c r="BB212" s="1">
        <v>68.1</v>
      </c>
      <c r="BC212" s="1">
        <v>7.56</v>
      </c>
      <c r="BD212" s="1"/>
      <c r="BE212" s="1"/>
      <c r="BF212" s="1"/>
      <c r="BG212" s="1"/>
      <c r="BH212" s="1"/>
      <c r="BI212" s="1"/>
      <c r="BJ212" s="1" t="s">
        <v>4434</v>
      </c>
      <c r="BK212" s="1"/>
      <c r="BL212" s="1"/>
      <c r="BM212" s="1" t="s">
        <v>4435</v>
      </c>
      <c r="BN212" s="1">
        <v>16</v>
      </c>
      <c r="BO212" s="1" t="s">
        <v>4436</v>
      </c>
      <c r="BP212" s="1" t="str">
        <f>HYPERLINK("https://nconnect.nicmar.ac.in/storage/profile/ProfilePhoto_P25700197_524673.jpg","Download")</f>
        <v>0</v>
      </c>
      <c r="BQ212" s="3"/>
      <c r="BR212" s="3"/>
    </row>
    <row r="213" spans="1:70">
      <c r="A213" s="1" t="s">
        <v>70</v>
      </c>
      <c r="B213" s="1" t="s">
        <v>441</v>
      </c>
      <c r="C213" s="1" t="s">
        <v>4437</v>
      </c>
      <c r="D213" s="1" t="s">
        <v>4438</v>
      </c>
      <c r="E213" s="1" t="s">
        <v>2838</v>
      </c>
      <c r="F213" s="1" t="s">
        <v>765</v>
      </c>
      <c r="G213" s="1" t="s">
        <v>4439</v>
      </c>
      <c r="H213" s="1" t="s">
        <v>4440</v>
      </c>
      <c r="I213" s="1" t="s">
        <v>4441</v>
      </c>
      <c r="J213" s="1">
        <v>9776461408</v>
      </c>
      <c r="K213" s="1" t="s">
        <v>79</v>
      </c>
      <c r="L213" s="1" t="s">
        <v>3101</v>
      </c>
      <c r="M213" s="1" t="s">
        <v>81</v>
      </c>
      <c r="N213" s="1" t="s">
        <v>4442</v>
      </c>
      <c r="O213" s="1"/>
      <c r="P213" s="1" t="s">
        <v>450</v>
      </c>
      <c r="Q213" s="1" t="s">
        <v>4443</v>
      </c>
      <c r="R213" s="1" t="s">
        <v>4444</v>
      </c>
      <c r="S213" s="1">
        <v>9438108270</v>
      </c>
      <c r="T213" s="1" t="s">
        <v>2972</v>
      </c>
      <c r="U213" s="1" t="s">
        <v>4445</v>
      </c>
      <c r="V213" s="1">
        <v>9861137041</v>
      </c>
      <c r="W213" s="1" t="s">
        <v>122</v>
      </c>
      <c r="X213" s="1" t="s">
        <v>4446</v>
      </c>
      <c r="Y213" s="1" t="s">
        <v>4447</v>
      </c>
      <c r="Z213" s="1" t="s">
        <v>846</v>
      </c>
      <c r="AA213" s="1" t="s">
        <v>4446</v>
      </c>
      <c r="AB213" s="1" t="s">
        <v>4447</v>
      </c>
      <c r="AC213" s="1" t="s">
        <v>846</v>
      </c>
      <c r="AD213" s="1">
        <v>7.85</v>
      </c>
      <c r="AE213" s="1" t="s">
        <v>93</v>
      </c>
      <c r="AF213" s="1" t="s">
        <v>3811</v>
      </c>
      <c r="AG213" s="1" t="s">
        <v>4448</v>
      </c>
      <c r="AH213" s="1" t="s">
        <v>4449</v>
      </c>
      <c r="AI213" s="1" t="s">
        <v>562</v>
      </c>
      <c r="AJ213" s="1">
        <v>78.8</v>
      </c>
      <c r="AK213" s="1"/>
      <c r="AL213" s="1"/>
      <c r="AM213" s="1"/>
      <c r="AN213" s="1"/>
      <c r="AO213" s="1"/>
      <c r="AP213" s="1"/>
      <c r="AQ213" s="1"/>
      <c r="AR213" s="1" t="s">
        <v>98</v>
      </c>
      <c r="AS213" s="1" t="s">
        <v>4450</v>
      </c>
      <c r="AT213" s="1" t="s">
        <v>225</v>
      </c>
      <c r="AU213" s="1" t="s">
        <v>170</v>
      </c>
      <c r="AV213" s="1">
        <v>79.84</v>
      </c>
      <c r="AW213" s="1"/>
      <c r="AX213" s="1" t="s">
        <v>4451</v>
      </c>
      <c r="AY213" s="1" t="s">
        <v>4452</v>
      </c>
      <c r="AZ213" s="1" t="s">
        <v>173</v>
      </c>
      <c r="BA213" s="1" t="s">
        <v>1219</v>
      </c>
      <c r="BB213" s="1">
        <v>63.7</v>
      </c>
      <c r="BC213" s="1">
        <v>6.87</v>
      </c>
      <c r="BD213" s="1"/>
      <c r="BE213" s="1"/>
      <c r="BF213" s="1"/>
      <c r="BG213" s="1"/>
      <c r="BH213" s="1"/>
      <c r="BI213" s="1"/>
      <c r="BJ213" s="1" t="s">
        <v>4453</v>
      </c>
      <c r="BK213" s="1" t="s">
        <v>4454</v>
      </c>
      <c r="BL213" s="1" t="s">
        <v>287</v>
      </c>
      <c r="BM213" s="1" t="s">
        <v>4455</v>
      </c>
      <c r="BN213" s="1">
        <v>8</v>
      </c>
      <c r="BO213" s="1"/>
      <c r="BP213" s="1" t="str">
        <f>HYPERLINK("https://nconnect.nicmar.ac.in/storage/profile/ProfilePhoto_P25700198_974621.jpg","Download")</f>
        <v>0</v>
      </c>
      <c r="BQ213" s="3"/>
      <c r="BR213" s="3"/>
    </row>
    <row r="214" spans="1:70">
      <c r="A214" s="1" t="s">
        <v>70</v>
      </c>
      <c r="B214" s="1" t="s">
        <v>441</v>
      </c>
      <c r="C214" s="1" t="s">
        <v>4456</v>
      </c>
      <c r="D214" s="1" t="s">
        <v>1482</v>
      </c>
      <c r="E214" s="1" t="s">
        <v>4457</v>
      </c>
      <c r="F214" s="1" t="s">
        <v>2420</v>
      </c>
      <c r="G214" s="1" t="s">
        <v>4458</v>
      </c>
      <c r="H214" s="1" t="s">
        <v>4459</v>
      </c>
      <c r="I214" s="1" t="s">
        <v>4460</v>
      </c>
      <c r="J214" s="1">
        <v>9307185858</v>
      </c>
      <c r="K214" s="1" t="s">
        <v>79</v>
      </c>
      <c r="L214" s="1" t="s">
        <v>4461</v>
      </c>
      <c r="M214" s="1" t="s">
        <v>81</v>
      </c>
      <c r="N214" s="1" t="s">
        <v>605</v>
      </c>
      <c r="O214" s="1"/>
      <c r="P214" s="1" t="s">
        <v>497</v>
      </c>
      <c r="Q214" s="1" t="s">
        <v>4462</v>
      </c>
      <c r="R214" s="1" t="s">
        <v>4457</v>
      </c>
      <c r="S214" s="1">
        <v>8698968383</v>
      </c>
      <c r="T214" s="1" t="s">
        <v>154</v>
      </c>
      <c r="U214" s="1" t="s">
        <v>4463</v>
      </c>
      <c r="V214" s="1">
        <v>9271985777</v>
      </c>
      <c r="W214" s="1" t="s">
        <v>156</v>
      </c>
      <c r="X214" s="1" t="s">
        <v>4464</v>
      </c>
      <c r="Y214" s="1" t="s">
        <v>991</v>
      </c>
      <c r="Z214" s="1" t="s">
        <v>92</v>
      </c>
      <c r="AA214" s="1" t="s">
        <v>4464</v>
      </c>
      <c r="AB214" s="1" t="s">
        <v>991</v>
      </c>
      <c r="AC214" s="1" t="s">
        <v>92</v>
      </c>
      <c r="AD214" s="1">
        <v>8.18</v>
      </c>
      <c r="AE214" s="1" t="s">
        <v>93</v>
      </c>
      <c r="AF214" s="1" t="s">
        <v>4465</v>
      </c>
      <c r="AG214" s="1" t="s">
        <v>613</v>
      </c>
      <c r="AH214" s="1" t="s">
        <v>101</v>
      </c>
      <c r="AI214" s="1" t="s">
        <v>308</v>
      </c>
      <c r="AJ214" s="1">
        <v>78</v>
      </c>
      <c r="AK214" s="1"/>
      <c r="AL214" s="1" t="s">
        <v>4466</v>
      </c>
      <c r="AM214" s="1" t="s">
        <v>616</v>
      </c>
      <c r="AN214" s="1" t="s">
        <v>871</v>
      </c>
      <c r="AO214" s="1" t="s">
        <v>436</v>
      </c>
      <c r="AP214" s="1">
        <v>78.67</v>
      </c>
      <c r="AQ214" s="1"/>
      <c r="AR214" s="1"/>
      <c r="AS214" s="1"/>
      <c r="AT214" s="1"/>
      <c r="AU214" s="1"/>
      <c r="AV214" s="1"/>
      <c r="AW214" s="1"/>
      <c r="AX214" s="1" t="s">
        <v>666</v>
      </c>
      <c r="AY214" s="1" t="s">
        <v>4467</v>
      </c>
      <c r="AZ214" s="1" t="s">
        <v>539</v>
      </c>
      <c r="BA214" s="1" t="s">
        <v>829</v>
      </c>
      <c r="BB214" s="1">
        <v>70.01</v>
      </c>
      <c r="BC214" s="1">
        <v>7.84</v>
      </c>
      <c r="BD214" s="1"/>
      <c r="BE214" s="1"/>
      <c r="BF214" s="1"/>
      <c r="BG214" s="1"/>
      <c r="BH214" s="1"/>
      <c r="BI214" s="1"/>
      <c r="BJ214" s="1" t="s">
        <v>567</v>
      </c>
      <c r="BK214" s="1"/>
      <c r="BL214" s="1"/>
      <c r="BM214" s="1" t="s">
        <v>4468</v>
      </c>
      <c r="BN214" s="1">
        <v>7</v>
      </c>
      <c r="BO214" s="1"/>
      <c r="BP214" s="1" t="str">
        <f>HYPERLINK("https://nconnect.nicmar.ac.in/storage/profile/ProfilePhoto_P25700200_862795.jpg","Download")</f>
        <v>0</v>
      </c>
      <c r="BQ214" s="3"/>
      <c r="BR214" s="3"/>
    </row>
    <row r="215" spans="1:70">
      <c r="A215" s="1" t="s">
        <v>70</v>
      </c>
      <c r="B215" s="1" t="s">
        <v>441</v>
      </c>
      <c r="C215" s="1" t="s">
        <v>4469</v>
      </c>
      <c r="D215" s="1" t="s">
        <v>4470</v>
      </c>
      <c r="E215" s="1"/>
      <c r="F215" s="1" t="s">
        <v>4471</v>
      </c>
      <c r="G215" s="1" t="s">
        <v>4472</v>
      </c>
      <c r="H215" s="1" t="s">
        <v>4473</v>
      </c>
      <c r="I215" s="1" t="s">
        <v>4474</v>
      </c>
      <c r="J215" s="1">
        <v>9353411914</v>
      </c>
      <c r="K215" s="1" t="s">
        <v>79</v>
      </c>
      <c r="L215" s="1" t="s">
        <v>4475</v>
      </c>
      <c r="M215" s="1" t="s">
        <v>81</v>
      </c>
      <c r="N215" s="1" t="s">
        <v>4476</v>
      </c>
      <c r="O215" s="1"/>
      <c r="P215" s="1" t="s">
        <v>497</v>
      </c>
      <c r="Q215" s="1" t="s">
        <v>4477</v>
      </c>
      <c r="R215" s="1" t="s">
        <v>4478</v>
      </c>
      <c r="S215" s="1">
        <v>8151830711</v>
      </c>
      <c r="T215" s="1" t="s">
        <v>120</v>
      </c>
      <c r="U215" s="1" t="s">
        <v>4479</v>
      </c>
      <c r="V215" s="1">
        <v>8618808660</v>
      </c>
      <c r="W215" s="1" t="s">
        <v>120</v>
      </c>
      <c r="X215" s="1" t="s">
        <v>4480</v>
      </c>
      <c r="Y215" s="1" t="s">
        <v>3151</v>
      </c>
      <c r="Z215" s="1" t="s">
        <v>1187</v>
      </c>
      <c r="AA215" s="1" t="s">
        <v>4480</v>
      </c>
      <c r="AB215" s="1" t="s">
        <v>3151</v>
      </c>
      <c r="AC215" s="1" t="s">
        <v>1187</v>
      </c>
      <c r="AD215" s="1">
        <v>7.85</v>
      </c>
      <c r="AE215" s="1" t="s">
        <v>93</v>
      </c>
      <c r="AF215" s="1" t="s">
        <v>4481</v>
      </c>
      <c r="AG215" s="1" t="s">
        <v>4482</v>
      </c>
      <c r="AH215" s="1" t="s">
        <v>1371</v>
      </c>
      <c r="AI215" s="1" t="s">
        <v>409</v>
      </c>
      <c r="AJ215" s="1">
        <v>80.8</v>
      </c>
      <c r="AK215" s="1">
        <v>0</v>
      </c>
      <c r="AL215" s="1" t="s">
        <v>4483</v>
      </c>
      <c r="AM215" s="1" t="s">
        <v>4484</v>
      </c>
      <c r="AN215" s="1" t="s">
        <v>537</v>
      </c>
      <c r="AO215" s="1" t="s">
        <v>539</v>
      </c>
      <c r="AP215" s="1">
        <v>81.4</v>
      </c>
      <c r="AQ215" s="1">
        <v>0</v>
      </c>
      <c r="AR215" s="1"/>
      <c r="AS215" s="1"/>
      <c r="AT215" s="1"/>
      <c r="AU215" s="1"/>
      <c r="AV215" s="1"/>
      <c r="AW215" s="1"/>
      <c r="AX215" s="1" t="s">
        <v>540</v>
      </c>
      <c r="AY215" s="1" t="s">
        <v>4485</v>
      </c>
      <c r="AZ215" s="1" t="s">
        <v>436</v>
      </c>
      <c r="BA215" s="1" t="s">
        <v>594</v>
      </c>
      <c r="BB215" s="1">
        <v>75.7</v>
      </c>
      <c r="BC215" s="1">
        <v>7.57</v>
      </c>
      <c r="BD215" s="1"/>
      <c r="BE215" s="1"/>
      <c r="BF215" s="1"/>
      <c r="BG215" s="1"/>
      <c r="BH215" s="1"/>
      <c r="BI215" s="1"/>
      <c r="BJ215" s="1" t="s">
        <v>255</v>
      </c>
      <c r="BK215" s="1"/>
      <c r="BL215" s="1"/>
      <c r="BM215" s="1" t="s">
        <v>4486</v>
      </c>
      <c r="BN215" s="1">
        <v>12</v>
      </c>
      <c r="BO215" s="1"/>
      <c r="BP215" s="1" t="str">
        <f>HYPERLINK("https://nconnect.nicmar.ac.in/storage/profile/ProfilePhoto_P25700201_524138.jpg","Download")</f>
        <v>0</v>
      </c>
      <c r="BQ215" s="3"/>
      <c r="BR215" s="3"/>
    </row>
    <row r="216" spans="1:70">
      <c r="A216" s="1" t="s">
        <v>70</v>
      </c>
      <c r="B216" s="1" t="s">
        <v>441</v>
      </c>
      <c r="C216" s="1" t="s">
        <v>4487</v>
      </c>
      <c r="D216" s="1" t="s">
        <v>4488</v>
      </c>
      <c r="E216" s="1" t="s">
        <v>1339</v>
      </c>
      <c r="F216" s="1" t="s">
        <v>345</v>
      </c>
      <c r="G216" s="1" t="s">
        <v>4489</v>
      </c>
      <c r="H216" s="1" t="s">
        <v>4490</v>
      </c>
      <c r="I216" s="1" t="s">
        <v>4491</v>
      </c>
      <c r="J216" s="1">
        <v>9606016692</v>
      </c>
      <c r="K216" s="1" t="s">
        <v>79</v>
      </c>
      <c r="L216" s="1" t="s">
        <v>4492</v>
      </c>
      <c r="M216" s="1" t="s">
        <v>81</v>
      </c>
      <c r="N216" s="1" t="s">
        <v>4493</v>
      </c>
      <c r="O216" s="1"/>
      <c r="P216" s="1" t="s">
        <v>1007</v>
      </c>
      <c r="Q216" s="1" t="s">
        <v>4494</v>
      </c>
      <c r="R216" s="1" t="s">
        <v>4495</v>
      </c>
      <c r="S216" s="1">
        <v>9449109576</v>
      </c>
      <c r="T216" s="1" t="s">
        <v>4496</v>
      </c>
      <c r="U216" s="1" t="s">
        <v>4497</v>
      </c>
      <c r="V216" s="1">
        <v>9035882994</v>
      </c>
      <c r="W216" s="1" t="s">
        <v>273</v>
      </c>
      <c r="X216" s="1" t="s">
        <v>4498</v>
      </c>
      <c r="Y216" s="1" t="s">
        <v>3151</v>
      </c>
      <c r="Z216" s="1" t="s">
        <v>1187</v>
      </c>
      <c r="AA216" s="1" t="s">
        <v>4498</v>
      </c>
      <c r="AB216" s="1" t="s">
        <v>3151</v>
      </c>
      <c r="AC216" s="1" t="s">
        <v>1187</v>
      </c>
      <c r="AD216" s="1">
        <v>8.62</v>
      </c>
      <c r="AE216" s="1" t="s">
        <v>93</v>
      </c>
      <c r="AF216" s="1" t="s">
        <v>4499</v>
      </c>
      <c r="AG216" s="1" t="s">
        <v>4500</v>
      </c>
      <c r="AH216" s="1" t="s">
        <v>165</v>
      </c>
      <c r="AI216" s="1" t="s">
        <v>166</v>
      </c>
      <c r="AJ216" s="1">
        <v>69.8</v>
      </c>
      <c r="AK216" s="1">
        <v>0</v>
      </c>
      <c r="AL216" s="1" t="s">
        <v>4501</v>
      </c>
      <c r="AM216" s="1" t="s">
        <v>4502</v>
      </c>
      <c r="AN216" s="1" t="s">
        <v>433</v>
      </c>
      <c r="AO216" s="1" t="s">
        <v>173</v>
      </c>
      <c r="AP216" s="1">
        <v>87.16</v>
      </c>
      <c r="AQ216" s="1"/>
      <c r="AR216" s="1"/>
      <c r="AS216" s="1"/>
      <c r="AT216" s="1"/>
      <c r="AU216" s="1"/>
      <c r="AV216" s="1"/>
      <c r="AW216" s="1"/>
      <c r="AX216" s="1" t="s">
        <v>4503</v>
      </c>
      <c r="AY216" s="1" t="s">
        <v>540</v>
      </c>
      <c r="AZ216" s="1" t="s">
        <v>173</v>
      </c>
      <c r="BA216" s="1" t="s">
        <v>1067</v>
      </c>
      <c r="BB216" s="1">
        <v>87.1</v>
      </c>
      <c r="BC216" s="1">
        <v>8.71</v>
      </c>
      <c r="BD216" s="1"/>
      <c r="BE216" s="1"/>
      <c r="BF216" s="1"/>
      <c r="BG216" s="1"/>
      <c r="BH216" s="1"/>
      <c r="BI216" s="1"/>
      <c r="BJ216" s="1" t="s">
        <v>4504</v>
      </c>
      <c r="BK216" s="1" t="s">
        <v>4505</v>
      </c>
      <c r="BL216" s="1" t="s">
        <v>2089</v>
      </c>
      <c r="BM216" s="1" t="s">
        <v>4506</v>
      </c>
      <c r="BN216" s="1">
        <v>35</v>
      </c>
      <c r="BO216" s="1"/>
      <c r="BP216" s="1" t="str">
        <f>HYPERLINK("https://nconnect.nicmar.ac.in/storage/profile/ProfilePhoto_P25700202_916537.jpg","Download")</f>
        <v>0</v>
      </c>
      <c r="BQ216" s="3"/>
      <c r="BR216" s="3"/>
    </row>
    <row r="217" spans="1:70">
      <c r="A217" s="1" t="s">
        <v>70</v>
      </c>
      <c r="B217" s="1" t="s">
        <v>441</v>
      </c>
      <c r="C217" s="1" t="s">
        <v>4507</v>
      </c>
      <c r="D217" s="1" t="s">
        <v>4508</v>
      </c>
      <c r="E217" s="1" t="s">
        <v>4509</v>
      </c>
      <c r="F217" s="1" t="s">
        <v>4510</v>
      </c>
      <c r="G217" s="1" t="s">
        <v>4511</v>
      </c>
      <c r="H217" s="1" t="s">
        <v>4512</v>
      </c>
      <c r="I217" s="1" t="s">
        <v>4513</v>
      </c>
      <c r="J217" s="1">
        <v>8788046868</v>
      </c>
      <c r="K217" s="1" t="s">
        <v>79</v>
      </c>
      <c r="L217" s="1" t="s">
        <v>4514</v>
      </c>
      <c r="M217" s="1" t="s">
        <v>81</v>
      </c>
      <c r="N217" s="1" t="s">
        <v>605</v>
      </c>
      <c r="O217" s="1"/>
      <c r="P217" s="1" t="s">
        <v>472</v>
      </c>
      <c r="Q217" s="1" t="s">
        <v>4515</v>
      </c>
      <c r="R217" s="1" t="s">
        <v>4516</v>
      </c>
      <c r="S217" s="1">
        <v>9657808791</v>
      </c>
      <c r="T217" s="1" t="s">
        <v>87</v>
      </c>
      <c r="U217" s="1" t="s">
        <v>4517</v>
      </c>
      <c r="V217" s="1">
        <v>9518747372</v>
      </c>
      <c r="W217" s="1" t="s">
        <v>4518</v>
      </c>
      <c r="X217" s="1" t="s">
        <v>4519</v>
      </c>
      <c r="Y217" s="1" t="s">
        <v>1012</v>
      </c>
      <c r="Z217" s="1" t="s">
        <v>92</v>
      </c>
      <c r="AA217" s="1" t="s">
        <v>4519</v>
      </c>
      <c r="AB217" s="1" t="s">
        <v>1012</v>
      </c>
      <c r="AC217" s="1" t="s">
        <v>92</v>
      </c>
      <c r="AD217" s="1">
        <v>8.46</v>
      </c>
      <c r="AE217" s="1" t="s">
        <v>93</v>
      </c>
      <c r="AF217" s="1" t="s">
        <v>4520</v>
      </c>
      <c r="AG217" s="1" t="s">
        <v>2348</v>
      </c>
      <c r="AH217" s="1" t="s">
        <v>162</v>
      </c>
      <c r="AI217" s="1" t="s">
        <v>165</v>
      </c>
      <c r="AJ217" s="1">
        <v>78.4</v>
      </c>
      <c r="AK217" s="1"/>
      <c r="AL217" s="1"/>
      <c r="AM217" s="1"/>
      <c r="AN217" s="1"/>
      <c r="AO217" s="1"/>
      <c r="AP217" s="1"/>
      <c r="AQ217" s="1"/>
      <c r="AR217" s="1" t="s">
        <v>98</v>
      </c>
      <c r="AS217" s="1" t="s">
        <v>4521</v>
      </c>
      <c r="AT217" s="1" t="s">
        <v>225</v>
      </c>
      <c r="AU217" s="1" t="s">
        <v>170</v>
      </c>
      <c r="AV217" s="1">
        <v>93.53</v>
      </c>
      <c r="AW217" s="1"/>
      <c r="AX217" s="1" t="s">
        <v>4522</v>
      </c>
      <c r="AY217" s="1" t="s">
        <v>4523</v>
      </c>
      <c r="AZ217" s="1" t="s">
        <v>170</v>
      </c>
      <c r="BA217" s="1" t="s">
        <v>174</v>
      </c>
      <c r="BB217" s="1">
        <v>86</v>
      </c>
      <c r="BC217" s="1">
        <v>9.1</v>
      </c>
      <c r="BD217" s="1"/>
      <c r="BE217" s="1"/>
      <c r="BF217" s="1"/>
      <c r="BG217" s="1"/>
      <c r="BH217" s="1"/>
      <c r="BI217" s="1"/>
      <c r="BJ217" s="1" t="s">
        <v>4524</v>
      </c>
      <c r="BK217" s="1" t="s">
        <v>4525</v>
      </c>
      <c r="BL217" s="1" t="s">
        <v>1151</v>
      </c>
      <c r="BM217" s="1" t="s">
        <v>4526</v>
      </c>
      <c r="BN217" s="1">
        <v>8</v>
      </c>
      <c r="BO217" s="1" t="s">
        <v>4527</v>
      </c>
      <c r="BP217" s="1" t="str">
        <f>HYPERLINK("https://nconnect.nicmar.ac.in/storage/profile/ProfilePhoto_P25700203_758261.jpg","Download")</f>
        <v>0</v>
      </c>
      <c r="BQ217" s="3"/>
      <c r="BR217" s="3"/>
    </row>
    <row r="218" spans="1:70">
      <c r="A218" s="1" t="s">
        <v>70</v>
      </c>
      <c r="B218" s="1" t="s">
        <v>441</v>
      </c>
      <c r="C218" s="1" t="s">
        <v>4528</v>
      </c>
      <c r="D218" s="1" t="s">
        <v>4529</v>
      </c>
      <c r="E218" s="1"/>
      <c r="F218" s="1" t="s">
        <v>4530</v>
      </c>
      <c r="G218" s="1" t="s">
        <v>4531</v>
      </c>
      <c r="H218" s="1" t="s">
        <v>4532</v>
      </c>
      <c r="I218" s="1" t="s">
        <v>4533</v>
      </c>
      <c r="J218" s="1">
        <v>7023444350</v>
      </c>
      <c r="K218" s="1" t="s">
        <v>79</v>
      </c>
      <c r="L218" s="1" t="s">
        <v>4534</v>
      </c>
      <c r="M218" s="1" t="s">
        <v>81</v>
      </c>
      <c r="N218" s="1" t="s">
        <v>350</v>
      </c>
      <c r="O218" s="1"/>
      <c r="P218" s="1" t="s">
        <v>472</v>
      </c>
      <c r="Q218" s="1" t="s">
        <v>4535</v>
      </c>
      <c r="R218" s="1" t="s">
        <v>4536</v>
      </c>
      <c r="S218" s="1">
        <v>9413364350</v>
      </c>
      <c r="T218" s="1" t="s">
        <v>1595</v>
      </c>
      <c r="U218" s="1" t="s">
        <v>4537</v>
      </c>
      <c r="V218" s="1">
        <v>7877437721</v>
      </c>
      <c r="W218" s="1" t="s">
        <v>156</v>
      </c>
      <c r="X218" s="1" t="s">
        <v>4538</v>
      </c>
      <c r="Y218" s="1" t="s">
        <v>4539</v>
      </c>
      <c r="Z218" s="1" t="s">
        <v>2126</v>
      </c>
      <c r="AA218" s="1" t="s">
        <v>4538</v>
      </c>
      <c r="AB218" s="1" t="s">
        <v>4539</v>
      </c>
      <c r="AC218" s="1" t="s">
        <v>2126</v>
      </c>
      <c r="AD218" s="1" t="s">
        <v>93</v>
      </c>
      <c r="AE218" s="1" t="s">
        <v>93</v>
      </c>
      <c r="AF218" s="1" t="s">
        <v>4540</v>
      </c>
      <c r="AG218" s="1" t="s">
        <v>4541</v>
      </c>
      <c r="AH218" s="1" t="s">
        <v>689</v>
      </c>
      <c r="AI218" s="1" t="s">
        <v>166</v>
      </c>
      <c r="AJ218" s="1">
        <v>77</v>
      </c>
      <c r="AK218" s="1"/>
      <c r="AL218" s="1" t="s">
        <v>4542</v>
      </c>
      <c r="AM218" s="1" t="s">
        <v>4543</v>
      </c>
      <c r="AN218" s="1" t="s">
        <v>433</v>
      </c>
      <c r="AO218" s="1" t="s">
        <v>173</v>
      </c>
      <c r="AP218" s="1">
        <v>69.3</v>
      </c>
      <c r="AQ218" s="1"/>
      <c r="AR218" s="1"/>
      <c r="AS218" s="1"/>
      <c r="AT218" s="1"/>
      <c r="AU218" s="1"/>
      <c r="AV218" s="1"/>
      <c r="AW218" s="1"/>
      <c r="AX218" s="1" t="s">
        <v>4544</v>
      </c>
      <c r="AY218" s="1" t="s">
        <v>4545</v>
      </c>
      <c r="AZ218" s="1" t="s">
        <v>173</v>
      </c>
      <c r="BA218" s="1" t="s">
        <v>413</v>
      </c>
      <c r="BB218" s="1">
        <v>62.9</v>
      </c>
      <c r="BC218" s="1">
        <v>6.29</v>
      </c>
      <c r="BD218" s="1"/>
      <c r="BE218" s="1"/>
      <c r="BF218" s="1"/>
      <c r="BG218" s="1"/>
      <c r="BH218" s="1"/>
      <c r="BI218" s="1"/>
      <c r="BJ218" s="1" t="s">
        <v>567</v>
      </c>
      <c r="BK218" s="1"/>
      <c r="BL218" s="1"/>
      <c r="BM218" s="1" t="s">
        <v>4546</v>
      </c>
      <c r="BN218" s="1">
        <v>52</v>
      </c>
      <c r="BO218" s="1"/>
      <c r="BP218" s="1" t="str">
        <f>HYPERLINK("https://nconnect.nicmar.ac.in/storage/profile/ProfilePhoto_P25700204_948512.jpg","Download")</f>
        <v>0</v>
      </c>
      <c r="BQ218" s="3"/>
      <c r="BR218" s="3"/>
    </row>
    <row r="219" spans="1:70">
      <c r="A219" s="1" t="s">
        <v>70</v>
      </c>
      <c r="B219" s="1" t="s">
        <v>441</v>
      </c>
      <c r="C219" s="1" t="s">
        <v>4547</v>
      </c>
      <c r="D219" s="1" t="s">
        <v>3908</v>
      </c>
      <c r="E219" s="1" t="s">
        <v>4548</v>
      </c>
      <c r="F219" s="1" t="s">
        <v>4549</v>
      </c>
      <c r="G219" s="1" t="s">
        <v>4550</v>
      </c>
      <c r="H219" s="1" t="s">
        <v>4551</v>
      </c>
      <c r="I219" s="1" t="s">
        <v>4552</v>
      </c>
      <c r="J219" s="1">
        <v>7248985170</v>
      </c>
      <c r="K219" s="1" t="s">
        <v>79</v>
      </c>
      <c r="L219" s="1" t="s">
        <v>4233</v>
      </c>
      <c r="M219" s="1" t="s">
        <v>81</v>
      </c>
      <c r="N219" s="1" t="s">
        <v>751</v>
      </c>
      <c r="O219" s="1"/>
      <c r="P219" s="1" t="s">
        <v>497</v>
      </c>
      <c r="Q219" s="1" t="s">
        <v>4553</v>
      </c>
      <c r="R219" s="1" t="s">
        <v>4548</v>
      </c>
      <c r="S219" s="1">
        <v>9767386868</v>
      </c>
      <c r="T219" s="1" t="s">
        <v>820</v>
      </c>
      <c r="U219" s="1" t="s">
        <v>4554</v>
      </c>
      <c r="V219" s="1">
        <v>7385212306</v>
      </c>
      <c r="W219" s="1" t="s">
        <v>122</v>
      </c>
      <c r="X219" s="1" t="s">
        <v>4555</v>
      </c>
      <c r="Y219" s="1" t="s">
        <v>1963</v>
      </c>
      <c r="Z219" s="1" t="s">
        <v>92</v>
      </c>
      <c r="AA219" s="1" t="s">
        <v>4555</v>
      </c>
      <c r="AB219" s="1" t="s">
        <v>1963</v>
      </c>
      <c r="AC219" s="1" t="s">
        <v>92</v>
      </c>
      <c r="AD219" s="1">
        <v>8.6</v>
      </c>
      <c r="AE219" s="1" t="s">
        <v>93</v>
      </c>
      <c r="AF219" s="1" t="s">
        <v>4556</v>
      </c>
      <c r="AG219" s="1" t="s">
        <v>2680</v>
      </c>
      <c r="AH219" s="1" t="s">
        <v>96</v>
      </c>
      <c r="AI219" s="1" t="s">
        <v>161</v>
      </c>
      <c r="AJ219" s="1">
        <v>80.8</v>
      </c>
      <c r="AK219" s="1"/>
      <c r="AL219" s="1"/>
      <c r="AM219" s="1"/>
      <c r="AN219" s="1"/>
      <c r="AO219" s="1"/>
      <c r="AP219" s="1"/>
      <c r="AQ219" s="1"/>
      <c r="AR219" s="1" t="s">
        <v>98</v>
      </c>
      <c r="AS219" s="1" t="s">
        <v>4557</v>
      </c>
      <c r="AT219" s="1" t="s">
        <v>161</v>
      </c>
      <c r="AU219" s="1" t="s">
        <v>166</v>
      </c>
      <c r="AV219" s="1">
        <v>72.3</v>
      </c>
      <c r="AW219" s="1"/>
      <c r="AX219" s="1" t="s">
        <v>4558</v>
      </c>
      <c r="AY219" s="1" t="s">
        <v>4559</v>
      </c>
      <c r="AZ219" s="1" t="s">
        <v>1043</v>
      </c>
      <c r="BA219" s="1" t="s">
        <v>828</v>
      </c>
      <c r="BB219" s="1">
        <v>75.25</v>
      </c>
      <c r="BC219" s="1">
        <v>8.92</v>
      </c>
      <c r="BD219" s="1"/>
      <c r="BE219" s="1"/>
      <c r="BF219" s="1"/>
      <c r="BG219" s="1"/>
      <c r="BH219" s="1"/>
      <c r="BI219" s="1"/>
      <c r="BJ219" s="1" t="s">
        <v>4560</v>
      </c>
      <c r="BK219" s="1" t="s">
        <v>4561</v>
      </c>
      <c r="BL219" s="1" t="s">
        <v>4562</v>
      </c>
      <c r="BM219" s="1" t="s">
        <v>4563</v>
      </c>
      <c r="BN219" s="1">
        <v>7</v>
      </c>
      <c r="BO219" s="1" t="s">
        <v>4564</v>
      </c>
      <c r="BP219" s="1" t="str">
        <f>HYPERLINK("https://nconnect.nicmar.ac.in/storage/profile/ProfilePhoto_P25700205_853246.jpg","Download")</f>
        <v>0</v>
      </c>
      <c r="BQ219" s="3"/>
      <c r="BR219" s="3"/>
    </row>
    <row r="220" spans="1:70">
      <c r="A220" s="1" t="s">
        <v>70</v>
      </c>
      <c r="B220" s="1" t="s">
        <v>441</v>
      </c>
      <c r="C220" s="1" t="s">
        <v>4565</v>
      </c>
      <c r="D220" s="1" t="s">
        <v>343</v>
      </c>
      <c r="E220" s="1"/>
      <c r="F220" s="1" t="s">
        <v>1298</v>
      </c>
      <c r="G220" s="1" t="s">
        <v>4566</v>
      </c>
      <c r="H220" s="1" t="s">
        <v>4567</v>
      </c>
      <c r="I220" s="1" t="s">
        <v>4568</v>
      </c>
      <c r="J220" s="1">
        <v>7017234043</v>
      </c>
      <c r="K220" s="1" t="s">
        <v>79</v>
      </c>
      <c r="L220" s="1" t="s">
        <v>4569</v>
      </c>
      <c r="M220" s="1" t="s">
        <v>81</v>
      </c>
      <c r="N220" s="1" t="s">
        <v>4289</v>
      </c>
      <c r="O220" s="1"/>
      <c r="P220" s="1" t="s">
        <v>497</v>
      </c>
      <c r="Q220" s="1" t="s">
        <v>4570</v>
      </c>
      <c r="R220" s="1" t="s">
        <v>4571</v>
      </c>
      <c r="S220" s="1">
        <v>9472028059</v>
      </c>
      <c r="T220" s="1" t="s">
        <v>4572</v>
      </c>
      <c r="U220" s="1" t="s">
        <v>4573</v>
      </c>
      <c r="V220" s="1">
        <v>9304728352</v>
      </c>
      <c r="W220" s="1" t="s">
        <v>156</v>
      </c>
      <c r="X220" s="1" t="s">
        <v>4574</v>
      </c>
      <c r="Y220" s="1" t="s">
        <v>635</v>
      </c>
      <c r="Z220" s="1" t="s">
        <v>636</v>
      </c>
      <c r="AA220" s="1" t="s">
        <v>4574</v>
      </c>
      <c r="AB220" s="1" t="s">
        <v>635</v>
      </c>
      <c r="AC220" s="1" t="s">
        <v>636</v>
      </c>
      <c r="AD220" s="1">
        <v>8.93</v>
      </c>
      <c r="AE220" s="1" t="s">
        <v>93</v>
      </c>
      <c r="AF220" s="1" t="s">
        <v>4575</v>
      </c>
      <c r="AG220" s="1" t="s">
        <v>4576</v>
      </c>
      <c r="AH220" s="1" t="s">
        <v>3303</v>
      </c>
      <c r="AI220" s="1" t="s">
        <v>2736</v>
      </c>
      <c r="AJ220" s="1">
        <v>91.2</v>
      </c>
      <c r="AK220" s="1">
        <v>9.6</v>
      </c>
      <c r="AL220" s="1" t="s">
        <v>4577</v>
      </c>
      <c r="AM220" s="1" t="s">
        <v>4578</v>
      </c>
      <c r="AN220" s="1" t="s">
        <v>96</v>
      </c>
      <c r="AO220" s="1" t="s">
        <v>131</v>
      </c>
      <c r="AP220" s="1">
        <v>71.4</v>
      </c>
      <c r="AQ220" s="1">
        <v>0</v>
      </c>
      <c r="AR220" s="1"/>
      <c r="AS220" s="1"/>
      <c r="AT220" s="1"/>
      <c r="AU220" s="1"/>
      <c r="AV220" s="1"/>
      <c r="AW220" s="1"/>
      <c r="AX220" s="1" t="s">
        <v>4579</v>
      </c>
      <c r="AY220" s="1" t="s">
        <v>4580</v>
      </c>
      <c r="AZ220" s="1" t="s">
        <v>337</v>
      </c>
      <c r="BA220" s="1" t="s">
        <v>308</v>
      </c>
      <c r="BB220" s="1">
        <v>77</v>
      </c>
      <c r="BC220" s="1">
        <v>7.7</v>
      </c>
      <c r="BD220" s="1" t="s">
        <v>4581</v>
      </c>
      <c r="BE220" s="1" t="s">
        <v>1561</v>
      </c>
      <c r="BF220" s="1" t="s">
        <v>542</v>
      </c>
      <c r="BG220" s="1" t="s">
        <v>4582</v>
      </c>
      <c r="BH220" s="1">
        <v>70.6</v>
      </c>
      <c r="BI220" s="1">
        <v>7.56</v>
      </c>
      <c r="BJ220" s="1" t="s">
        <v>4583</v>
      </c>
      <c r="BK220" s="1" t="s">
        <v>4584</v>
      </c>
      <c r="BL220" s="1" t="s">
        <v>3309</v>
      </c>
      <c r="BM220" s="1" t="s">
        <v>4585</v>
      </c>
      <c r="BN220" s="1">
        <v>37</v>
      </c>
      <c r="BO220" s="1" t="s">
        <v>4586</v>
      </c>
      <c r="BP220" s="1" t="str">
        <f>HYPERLINK("https://nconnect.nicmar.ac.in/storage/profile/ProfilePhoto_P25700206_719562.jpg","Download")</f>
        <v>0</v>
      </c>
      <c r="BQ220" s="3"/>
      <c r="BR220" s="3"/>
    </row>
    <row r="221" spans="1:70">
      <c r="A221" s="1" t="s">
        <v>70</v>
      </c>
      <c r="B221" s="1" t="s">
        <v>441</v>
      </c>
      <c r="C221" s="1" t="s">
        <v>4587</v>
      </c>
      <c r="D221" s="1" t="s">
        <v>4588</v>
      </c>
      <c r="E221" s="1"/>
      <c r="F221" s="1" t="s">
        <v>2782</v>
      </c>
      <c r="G221" s="1" t="s">
        <v>4589</v>
      </c>
      <c r="H221" s="1" t="s">
        <v>4590</v>
      </c>
      <c r="I221" s="1" t="s">
        <v>4591</v>
      </c>
      <c r="J221" s="1">
        <v>7618750839</v>
      </c>
      <c r="K221" s="1" t="s">
        <v>148</v>
      </c>
      <c r="L221" s="1" t="s">
        <v>4592</v>
      </c>
      <c r="M221" s="1" t="s">
        <v>81</v>
      </c>
      <c r="N221" s="1" t="s">
        <v>4593</v>
      </c>
      <c r="O221" s="1"/>
      <c r="P221" s="1" t="s">
        <v>472</v>
      </c>
      <c r="Q221" s="1" t="s">
        <v>4594</v>
      </c>
      <c r="R221" s="1" t="s">
        <v>4595</v>
      </c>
      <c r="S221" s="1">
        <v>9972864548</v>
      </c>
      <c r="T221" s="1" t="s">
        <v>4596</v>
      </c>
      <c r="U221" s="1" t="s">
        <v>4597</v>
      </c>
      <c r="V221" s="1">
        <v>8618172219</v>
      </c>
      <c r="W221" s="1" t="s">
        <v>273</v>
      </c>
      <c r="X221" s="1" t="s">
        <v>4598</v>
      </c>
      <c r="Y221" s="1" t="s">
        <v>4599</v>
      </c>
      <c r="Z221" s="1" t="s">
        <v>1187</v>
      </c>
      <c r="AA221" s="1" t="s">
        <v>4598</v>
      </c>
      <c r="AB221" s="1" t="s">
        <v>4599</v>
      </c>
      <c r="AC221" s="1" t="s">
        <v>1187</v>
      </c>
      <c r="AD221" s="1">
        <v>7.31</v>
      </c>
      <c r="AE221" s="1" t="s">
        <v>93</v>
      </c>
      <c r="AF221" s="1" t="s">
        <v>4600</v>
      </c>
      <c r="AG221" s="1" t="s">
        <v>4601</v>
      </c>
      <c r="AH221" s="1" t="s">
        <v>4602</v>
      </c>
      <c r="AI221" s="1" t="s">
        <v>166</v>
      </c>
      <c r="AJ221" s="1">
        <v>65</v>
      </c>
      <c r="AK221" s="1">
        <v>6.84</v>
      </c>
      <c r="AL221" s="1" t="s">
        <v>4603</v>
      </c>
      <c r="AM221" s="1" t="s">
        <v>4604</v>
      </c>
      <c r="AN221" s="1" t="s">
        <v>310</v>
      </c>
      <c r="AO221" s="1" t="s">
        <v>173</v>
      </c>
      <c r="AP221" s="1">
        <v>71.5</v>
      </c>
      <c r="AQ221" s="1">
        <v>7.53</v>
      </c>
      <c r="AR221" s="1"/>
      <c r="AS221" s="1"/>
      <c r="AT221" s="1"/>
      <c r="AU221" s="1"/>
      <c r="AV221" s="1"/>
      <c r="AW221" s="1"/>
      <c r="AX221" s="1" t="s">
        <v>4605</v>
      </c>
      <c r="AY221" s="1" t="s">
        <v>4606</v>
      </c>
      <c r="AZ221" s="1" t="s">
        <v>228</v>
      </c>
      <c r="BA221" s="1" t="s">
        <v>202</v>
      </c>
      <c r="BB221" s="1">
        <v>71</v>
      </c>
      <c r="BC221" s="1">
        <v>7.01</v>
      </c>
      <c r="BD221" s="1"/>
      <c r="BE221" s="1"/>
      <c r="BF221" s="1"/>
      <c r="BG221" s="1"/>
      <c r="BH221" s="1"/>
      <c r="BI221" s="1"/>
      <c r="BJ221" s="1" t="s">
        <v>4607</v>
      </c>
      <c r="BK221" s="1"/>
      <c r="BL221" s="1"/>
      <c r="BM221" s="1" t="s">
        <v>4608</v>
      </c>
      <c r="BN221" s="1">
        <v>8</v>
      </c>
      <c r="BO221" s="1"/>
      <c r="BP221" s="1" t="str">
        <f>HYPERLINK("https://nconnect.nicmar.ac.in/storage/profile/ProfilePhoto_P25700207_975832.jpg","Download")</f>
        <v>0</v>
      </c>
      <c r="BQ221" s="3"/>
      <c r="BR221" s="3"/>
    </row>
    <row r="222" spans="1:70">
      <c r="A222" s="1" t="s">
        <v>70</v>
      </c>
      <c r="B222" s="1" t="s">
        <v>441</v>
      </c>
      <c r="C222" s="1" t="s">
        <v>4609</v>
      </c>
      <c r="D222" s="1" t="s">
        <v>4610</v>
      </c>
      <c r="E222" s="1" t="s">
        <v>4611</v>
      </c>
      <c r="F222" s="1" t="s">
        <v>1298</v>
      </c>
      <c r="G222" s="1" t="s">
        <v>4612</v>
      </c>
      <c r="H222" s="1" t="s">
        <v>4613</v>
      </c>
      <c r="I222" s="1" t="s">
        <v>4614</v>
      </c>
      <c r="J222" s="1">
        <v>7019853366</v>
      </c>
      <c r="K222" s="1" t="s">
        <v>79</v>
      </c>
      <c r="L222" s="1" t="s">
        <v>3873</v>
      </c>
      <c r="M222" s="1" t="s">
        <v>81</v>
      </c>
      <c r="N222" s="1" t="s">
        <v>4615</v>
      </c>
      <c r="O222" s="1"/>
      <c r="P222" s="1" t="s">
        <v>497</v>
      </c>
      <c r="Q222" s="1" t="s">
        <v>4616</v>
      </c>
      <c r="R222" s="1" t="s">
        <v>4617</v>
      </c>
      <c r="S222" s="1">
        <v>9448056783</v>
      </c>
      <c r="T222" s="1" t="s">
        <v>87</v>
      </c>
      <c r="U222" s="1" t="s">
        <v>4618</v>
      </c>
      <c r="V222" s="1">
        <v>9449043899</v>
      </c>
      <c r="W222" s="1" t="s">
        <v>1529</v>
      </c>
      <c r="X222" s="1" t="s">
        <v>4619</v>
      </c>
      <c r="Y222" s="1" t="s">
        <v>4620</v>
      </c>
      <c r="Z222" s="1" t="s">
        <v>1187</v>
      </c>
      <c r="AA222" s="1" t="s">
        <v>4619</v>
      </c>
      <c r="AB222" s="1" t="s">
        <v>4620</v>
      </c>
      <c r="AC222" s="1" t="s">
        <v>1187</v>
      </c>
      <c r="AD222" s="1">
        <v>8.36</v>
      </c>
      <c r="AE222" s="1" t="s">
        <v>93</v>
      </c>
      <c r="AF222" s="1" t="s">
        <v>4621</v>
      </c>
      <c r="AG222" s="1" t="s">
        <v>4622</v>
      </c>
      <c r="AH222" s="1" t="s">
        <v>165</v>
      </c>
      <c r="AI222" s="1" t="s">
        <v>166</v>
      </c>
      <c r="AJ222" s="1">
        <v>78.2</v>
      </c>
      <c r="AK222" s="1"/>
      <c r="AL222" s="1" t="s">
        <v>4623</v>
      </c>
      <c r="AM222" s="1" t="s">
        <v>4624</v>
      </c>
      <c r="AN222" s="1" t="s">
        <v>101</v>
      </c>
      <c r="AO222" s="1" t="s">
        <v>460</v>
      </c>
      <c r="AP222" s="1">
        <v>82.33</v>
      </c>
      <c r="AQ222" s="1"/>
      <c r="AR222" s="1"/>
      <c r="AS222" s="1"/>
      <c r="AT222" s="1"/>
      <c r="AU222" s="1"/>
      <c r="AV222" s="1"/>
      <c r="AW222" s="1"/>
      <c r="AX222" s="1" t="s">
        <v>4625</v>
      </c>
      <c r="AY222" s="1" t="s">
        <v>4626</v>
      </c>
      <c r="AZ222" s="1" t="s">
        <v>460</v>
      </c>
      <c r="BA222" s="1" t="s">
        <v>202</v>
      </c>
      <c r="BB222" s="1">
        <v>54.6</v>
      </c>
      <c r="BC222" s="1">
        <v>6.21</v>
      </c>
      <c r="BD222" s="1"/>
      <c r="BE222" s="1"/>
      <c r="BF222" s="1"/>
      <c r="BG222" s="1"/>
      <c r="BH222" s="1"/>
      <c r="BI222" s="1"/>
      <c r="BJ222" s="1" t="s">
        <v>4627</v>
      </c>
      <c r="BK222" s="1"/>
      <c r="BL222" s="1"/>
      <c r="BM222" s="1" t="s">
        <v>4628</v>
      </c>
      <c r="BN222" s="1">
        <v>60</v>
      </c>
      <c r="BO222" s="1"/>
      <c r="BP222" s="1" t="str">
        <f>HYPERLINK("https://nconnect.nicmar.ac.in/storage/profile/ProfilePhoto_P25700208_794836.jpg","Download")</f>
        <v>0</v>
      </c>
      <c r="BQ222" s="3"/>
      <c r="BR222" s="3"/>
    </row>
    <row r="223" spans="1:70">
      <c r="A223" s="1" t="s">
        <v>70</v>
      </c>
      <c r="B223" s="1" t="s">
        <v>441</v>
      </c>
      <c r="C223" s="1" t="s">
        <v>4629</v>
      </c>
      <c r="D223" s="1" t="s">
        <v>4630</v>
      </c>
      <c r="E223" s="1" t="s">
        <v>4631</v>
      </c>
      <c r="F223" s="1" t="s">
        <v>4632</v>
      </c>
      <c r="G223" s="1" t="s">
        <v>4633</v>
      </c>
      <c r="H223" s="1" t="s">
        <v>4634</v>
      </c>
      <c r="I223" s="1" t="s">
        <v>4635</v>
      </c>
      <c r="J223" s="1">
        <v>9372185523</v>
      </c>
      <c r="K223" s="1" t="s">
        <v>79</v>
      </c>
      <c r="L223" s="1" t="s">
        <v>4636</v>
      </c>
      <c r="M223" s="1" t="s">
        <v>81</v>
      </c>
      <c r="N223" s="1" t="s">
        <v>2499</v>
      </c>
      <c r="O223" s="1" t="s">
        <v>4637</v>
      </c>
      <c r="P223" s="1" t="s">
        <v>214</v>
      </c>
      <c r="Q223" s="1" t="s">
        <v>4638</v>
      </c>
      <c r="R223" s="1" t="s">
        <v>4639</v>
      </c>
      <c r="S223" s="1">
        <v>9004473416</v>
      </c>
      <c r="T223" s="1" t="s">
        <v>4640</v>
      </c>
      <c r="U223" s="1" t="s">
        <v>4641</v>
      </c>
      <c r="V223" s="1">
        <v>9372032013</v>
      </c>
      <c r="W223" s="1" t="s">
        <v>156</v>
      </c>
      <c r="X223" s="1" t="s">
        <v>4642</v>
      </c>
      <c r="Y223" s="1" t="s">
        <v>4313</v>
      </c>
      <c r="Z223" s="1" t="s">
        <v>92</v>
      </c>
      <c r="AA223" s="1" t="s">
        <v>4642</v>
      </c>
      <c r="AB223" s="1" t="s">
        <v>4313</v>
      </c>
      <c r="AC223" s="1" t="s">
        <v>92</v>
      </c>
      <c r="AD223" s="1">
        <v>8.16</v>
      </c>
      <c r="AE223" s="1" t="s">
        <v>93</v>
      </c>
      <c r="AF223" s="1" t="s">
        <v>2602</v>
      </c>
      <c r="AG223" s="1" t="s">
        <v>4643</v>
      </c>
      <c r="AH223" s="1" t="s">
        <v>161</v>
      </c>
      <c r="AI223" s="1" t="s">
        <v>1089</v>
      </c>
      <c r="AJ223" s="1">
        <v>84</v>
      </c>
      <c r="AK223" s="1"/>
      <c r="AL223" s="1"/>
      <c r="AM223" s="1"/>
      <c r="AN223" s="1"/>
      <c r="AO223" s="1"/>
      <c r="AP223" s="1"/>
      <c r="AQ223" s="1"/>
      <c r="AR223" s="1" t="s">
        <v>4644</v>
      </c>
      <c r="AS223" s="1" t="s">
        <v>4645</v>
      </c>
      <c r="AT223" s="1" t="s">
        <v>1374</v>
      </c>
      <c r="AU223" s="1" t="s">
        <v>308</v>
      </c>
      <c r="AV223" s="1">
        <v>72.71</v>
      </c>
      <c r="AW223" s="1"/>
      <c r="AX223" s="1" t="s">
        <v>666</v>
      </c>
      <c r="AY223" s="1" t="s">
        <v>4646</v>
      </c>
      <c r="AZ223" s="1" t="s">
        <v>201</v>
      </c>
      <c r="BA223" s="1" t="s">
        <v>935</v>
      </c>
      <c r="BB223" s="1">
        <v>70</v>
      </c>
      <c r="BC223" s="1">
        <v>7.84</v>
      </c>
      <c r="BD223" s="1"/>
      <c r="BE223" s="1"/>
      <c r="BF223" s="1"/>
      <c r="BG223" s="1"/>
      <c r="BH223" s="1"/>
      <c r="BI223" s="1"/>
      <c r="BJ223" s="1" t="s">
        <v>567</v>
      </c>
      <c r="BK223" s="1" t="s">
        <v>4647</v>
      </c>
      <c r="BL223" s="1" t="s">
        <v>4165</v>
      </c>
      <c r="BM223" s="1" t="s">
        <v>4648</v>
      </c>
      <c r="BN223" s="1">
        <v>9</v>
      </c>
      <c r="BO223" s="1"/>
      <c r="BP223" s="1" t="str">
        <f>HYPERLINK("https://nconnect.nicmar.ac.in/storage/profile/ProfilePhoto_P25700209_172634.jpg","Download")</f>
        <v>0</v>
      </c>
      <c r="BQ223" s="3"/>
      <c r="BR223" s="3"/>
    </row>
    <row r="224" spans="1:70">
      <c r="A224" s="1" t="s">
        <v>70</v>
      </c>
      <c r="B224" s="1" t="s">
        <v>441</v>
      </c>
      <c r="C224" s="1" t="s">
        <v>4649</v>
      </c>
      <c r="D224" s="1" t="s">
        <v>4650</v>
      </c>
      <c r="E224" s="1" t="s">
        <v>4651</v>
      </c>
      <c r="F224" s="1" t="s">
        <v>4652</v>
      </c>
      <c r="G224" s="1" t="s">
        <v>4653</v>
      </c>
      <c r="H224" s="1" t="s">
        <v>4654</v>
      </c>
      <c r="I224" s="1" t="s">
        <v>4655</v>
      </c>
      <c r="J224" s="1">
        <v>7666209600</v>
      </c>
      <c r="K224" s="1" t="s">
        <v>79</v>
      </c>
      <c r="L224" s="1" t="s">
        <v>4656</v>
      </c>
      <c r="M224" s="1" t="s">
        <v>81</v>
      </c>
      <c r="N224" s="1" t="s">
        <v>4657</v>
      </c>
      <c r="O224" s="1"/>
      <c r="P224" s="1" t="s">
        <v>1007</v>
      </c>
      <c r="Q224" s="1" t="s">
        <v>4658</v>
      </c>
      <c r="R224" s="1" t="s">
        <v>4651</v>
      </c>
      <c r="S224" s="1">
        <v>9890180702</v>
      </c>
      <c r="T224" s="1" t="s">
        <v>4659</v>
      </c>
      <c r="U224" s="1" t="s">
        <v>4660</v>
      </c>
      <c r="V224" s="1">
        <v>9970131300</v>
      </c>
      <c r="W224" s="1" t="s">
        <v>273</v>
      </c>
      <c r="X224" s="1" t="s">
        <v>4661</v>
      </c>
      <c r="Y224" s="1" t="s">
        <v>1963</v>
      </c>
      <c r="Z224" s="1" t="s">
        <v>92</v>
      </c>
      <c r="AA224" s="1" t="s">
        <v>4661</v>
      </c>
      <c r="AB224" s="1" t="s">
        <v>1963</v>
      </c>
      <c r="AC224" s="1" t="s">
        <v>92</v>
      </c>
      <c r="AD224" s="1">
        <v>7.77</v>
      </c>
      <c r="AE224" s="1" t="s">
        <v>93</v>
      </c>
      <c r="AF224" s="1" t="s">
        <v>4662</v>
      </c>
      <c r="AG224" s="1" t="s">
        <v>4663</v>
      </c>
      <c r="AH224" s="1" t="s">
        <v>101</v>
      </c>
      <c r="AI224" s="1" t="s">
        <v>409</v>
      </c>
      <c r="AJ224" s="1">
        <v>75.6</v>
      </c>
      <c r="AK224" s="1"/>
      <c r="AL224" s="1" t="s">
        <v>4664</v>
      </c>
      <c r="AM224" s="1" t="s">
        <v>4663</v>
      </c>
      <c r="AN224" s="1" t="s">
        <v>460</v>
      </c>
      <c r="AO224" s="1" t="s">
        <v>828</v>
      </c>
      <c r="AP224" s="1">
        <v>71.67</v>
      </c>
      <c r="AQ224" s="1"/>
      <c r="AR224" s="1"/>
      <c r="AS224" s="1"/>
      <c r="AT224" s="1"/>
      <c r="AU224" s="1"/>
      <c r="AV224" s="1"/>
      <c r="AW224" s="1"/>
      <c r="AX224" s="1" t="s">
        <v>4665</v>
      </c>
      <c r="AY224" s="1" t="s">
        <v>4666</v>
      </c>
      <c r="AZ224" s="1" t="s">
        <v>852</v>
      </c>
      <c r="BA224" s="1" t="s">
        <v>829</v>
      </c>
      <c r="BB224" s="1">
        <v>70.8</v>
      </c>
      <c r="BC224" s="1">
        <v>7.58</v>
      </c>
      <c r="BD224" s="1"/>
      <c r="BE224" s="1"/>
      <c r="BF224" s="1"/>
      <c r="BG224" s="1"/>
      <c r="BH224" s="1"/>
      <c r="BI224" s="1"/>
      <c r="BJ224" s="1" t="s">
        <v>567</v>
      </c>
      <c r="BK224" s="1"/>
      <c r="BL224" s="1"/>
      <c r="BM224" s="1" t="s">
        <v>4667</v>
      </c>
      <c r="BN224" s="1">
        <v>29</v>
      </c>
      <c r="BO224" s="1"/>
      <c r="BP224" s="1" t="str">
        <f>HYPERLINK("https://nconnect.nicmar.ac.in/storage/profile/ProfilePhoto_P25700210_974213.jpg","Download")</f>
        <v>0</v>
      </c>
      <c r="BQ224" s="3"/>
      <c r="BR224" s="3"/>
    </row>
    <row r="225" spans="1:70">
      <c r="A225" s="1" t="s">
        <v>70</v>
      </c>
      <c r="B225" s="1" t="s">
        <v>441</v>
      </c>
      <c r="C225" s="1" t="s">
        <v>4668</v>
      </c>
      <c r="D225" s="1" t="s">
        <v>4669</v>
      </c>
      <c r="E225" s="1" t="s">
        <v>4670</v>
      </c>
      <c r="F225" s="1" t="s">
        <v>4053</v>
      </c>
      <c r="G225" s="1" t="s">
        <v>4671</v>
      </c>
      <c r="H225" s="1" t="s">
        <v>4672</v>
      </c>
      <c r="I225" s="1" t="s">
        <v>4673</v>
      </c>
      <c r="J225" s="1">
        <v>9985961499</v>
      </c>
      <c r="K225" s="1" t="s">
        <v>79</v>
      </c>
      <c r="L225" s="1" t="s">
        <v>4674</v>
      </c>
      <c r="M225" s="1" t="s">
        <v>81</v>
      </c>
      <c r="N225" s="1" t="s">
        <v>4675</v>
      </c>
      <c r="O225" s="1"/>
      <c r="P225" s="1" t="s">
        <v>497</v>
      </c>
      <c r="Q225" s="1" t="s">
        <v>4676</v>
      </c>
      <c r="R225" s="1" t="s">
        <v>4677</v>
      </c>
      <c r="S225" s="1">
        <v>9581649999</v>
      </c>
      <c r="T225" s="1" t="s">
        <v>3807</v>
      </c>
      <c r="U225" s="1" t="s">
        <v>4678</v>
      </c>
      <c r="V225" s="1">
        <v>9490761499</v>
      </c>
      <c r="W225" s="1" t="s">
        <v>4679</v>
      </c>
      <c r="X225" s="1" t="s">
        <v>4680</v>
      </c>
      <c r="Y225" s="1" t="s">
        <v>478</v>
      </c>
      <c r="Z225" s="1" t="s">
        <v>276</v>
      </c>
      <c r="AA225" s="1" t="s">
        <v>4680</v>
      </c>
      <c r="AB225" s="1" t="s">
        <v>478</v>
      </c>
      <c r="AC225" s="1" t="s">
        <v>276</v>
      </c>
      <c r="AD225" s="1">
        <v>8.32</v>
      </c>
      <c r="AE225" s="1" t="s">
        <v>93</v>
      </c>
      <c r="AF225" s="1" t="s">
        <v>4681</v>
      </c>
      <c r="AG225" s="1" t="s">
        <v>4682</v>
      </c>
      <c r="AH225" s="1" t="s">
        <v>101</v>
      </c>
      <c r="AI225" s="1" t="s">
        <v>537</v>
      </c>
      <c r="AJ225" s="1">
        <v>95</v>
      </c>
      <c r="AK225" s="1">
        <v>9.5</v>
      </c>
      <c r="AL225" s="1" t="s">
        <v>4683</v>
      </c>
      <c r="AM225" s="1" t="s">
        <v>4682</v>
      </c>
      <c r="AN225" s="1" t="s">
        <v>433</v>
      </c>
      <c r="AO225" s="1" t="s">
        <v>826</v>
      </c>
      <c r="AP225" s="1">
        <v>94.8</v>
      </c>
      <c r="AQ225" s="1"/>
      <c r="AR225" s="1"/>
      <c r="AS225" s="1"/>
      <c r="AT225" s="1"/>
      <c r="AU225" s="1"/>
      <c r="AV225" s="1"/>
      <c r="AW225" s="1"/>
      <c r="AX225" s="1" t="s">
        <v>4684</v>
      </c>
      <c r="AY225" s="1" t="s">
        <v>4685</v>
      </c>
      <c r="AZ225" s="1" t="s">
        <v>852</v>
      </c>
      <c r="BA225" s="1" t="s">
        <v>594</v>
      </c>
      <c r="BB225" s="1">
        <v>74.4</v>
      </c>
      <c r="BC225" s="1">
        <v>7.44</v>
      </c>
      <c r="BD225" s="1"/>
      <c r="BE225" s="1"/>
      <c r="BF225" s="1"/>
      <c r="BG225" s="1"/>
      <c r="BH225" s="1"/>
      <c r="BI225" s="1"/>
      <c r="BJ225" s="1" t="s">
        <v>4686</v>
      </c>
      <c r="BK225" s="1"/>
      <c r="BL225" s="1"/>
      <c r="BM225" s="1" t="s">
        <v>4687</v>
      </c>
      <c r="BN225" s="1">
        <v>12</v>
      </c>
      <c r="BO225" s="1"/>
      <c r="BP225" s="1" t="str">
        <f>HYPERLINK("https://nconnect.nicmar.ac.in/storage/profile/ProfilePhoto_P25700211_374165.jpg","Download")</f>
        <v>0</v>
      </c>
      <c r="BQ225" s="3"/>
      <c r="BR225" s="3"/>
    </row>
    <row r="226" spans="1:70">
      <c r="A226" s="1" t="s">
        <v>70</v>
      </c>
      <c r="B226" s="1" t="s">
        <v>441</v>
      </c>
      <c r="C226" s="1" t="s">
        <v>4688</v>
      </c>
      <c r="D226" s="1" t="s">
        <v>4689</v>
      </c>
      <c r="E226" s="1"/>
      <c r="F226" s="1" t="s">
        <v>4690</v>
      </c>
      <c r="G226" s="1" t="s">
        <v>4691</v>
      </c>
      <c r="H226" s="1" t="s">
        <v>4692</v>
      </c>
      <c r="I226" s="1" t="s">
        <v>4693</v>
      </c>
      <c r="J226" s="1">
        <v>7365981078</v>
      </c>
      <c r="K226" s="1" t="s">
        <v>79</v>
      </c>
      <c r="L226" s="1" t="s">
        <v>4694</v>
      </c>
      <c r="M226" s="1" t="s">
        <v>81</v>
      </c>
      <c r="N226" s="1" t="s">
        <v>4695</v>
      </c>
      <c r="O226" s="1"/>
      <c r="P226" s="1" t="s">
        <v>472</v>
      </c>
      <c r="Q226" s="1" t="s">
        <v>4696</v>
      </c>
      <c r="R226" s="1" t="s">
        <v>4697</v>
      </c>
      <c r="S226" s="1">
        <v>9475095594</v>
      </c>
      <c r="T226" s="1" t="s">
        <v>4698</v>
      </c>
      <c r="U226" s="1" t="s">
        <v>4699</v>
      </c>
      <c r="V226" s="1">
        <v>9474163930</v>
      </c>
      <c r="W226" s="1" t="s">
        <v>4700</v>
      </c>
      <c r="X226" s="1" t="s">
        <v>4701</v>
      </c>
      <c r="Y226" s="1" t="s">
        <v>4702</v>
      </c>
      <c r="Z226" s="1" t="s">
        <v>1211</v>
      </c>
      <c r="AA226" s="1" t="s">
        <v>4701</v>
      </c>
      <c r="AB226" s="1" t="s">
        <v>4702</v>
      </c>
      <c r="AC226" s="1" t="s">
        <v>1211</v>
      </c>
      <c r="AD226" s="1">
        <v>8.52</v>
      </c>
      <c r="AE226" s="1" t="s">
        <v>93</v>
      </c>
      <c r="AF226" s="1" t="s">
        <v>4703</v>
      </c>
      <c r="AG226" s="1" t="s">
        <v>4704</v>
      </c>
      <c r="AH226" s="1" t="s">
        <v>2388</v>
      </c>
      <c r="AI226" s="1" t="s">
        <v>508</v>
      </c>
      <c r="AJ226" s="1">
        <v>90.71</v>
      </c>
      <c r="AK226" s="1"/>
      <c r="AL226" s="1" t="s">
        <v>4703</v>
      </c>
      <c r="AM226" s="1" t="s">
        <v>3305</v>
      </c>
      <c r="AN226" s="1" t="s">
        <v>281</v>
      </c>
      <c r="AO226" s="1" t="s">
        <v>308</v>
      </c>
      <c r="AP226" s="1">
        <v>73.8</v>
      </c>
      <c r="AQ226" s="1"/>
      <c r="AR226" s="1"/>
      <c r="AS226" s="1"/>
      <c r="AT226" s="1"/>
      <c r="AU226" s="1"/>
      <c r="AV226" s="1"/>
      <c r="AW226" s="1"/>
      <c r="AX226" s="1" t="s">
        <v>1217</v>
      </c>
      <c r="AY226" s="1" t="s">
        <v>4705</v>
      </c>
      <c r="AZ226" s="1" t="s">
        <v>310</v>
      </c>
      <c r="BA226" s="1" t="s">
        <v>174</v>
      </c>
      <c r="BB226" s="1">
        <v>80.9</v>
      </c>
      <c r="BC226" s="1">
        <v>8.84</v>
      </c>
      <c r="BD226" s="1"/>
      <c r="BE226" s="1"/>
      <c r="BF226" s="1"/>
      <c r="BG226" s="1"/>
      <c r="BH226" s="1"/>
      <c r="BI226" s="1"/>
      <c r="BJ226" s="1" t="s">
        <v>4706</v>
      </c>
      <c r="BK226" s="1" t="s">
        <v>4707</v>
      </c>
      <c r="BL226" s="1" t="s">
        <v>1459</v>
      </c>
      <c r="BM226" s="1" t="s">
        <v>4708</v>
      </c>
      <c r="BN226" s="1">
        <v>13</v>
      </c>
      <c r="BO226" s="1" t="s">
        <v>4709</v>
      </c>
      <c r="BP226" s="1" t="str">
        <f>HYPERLINK("https://nconnect.nicmar.ac.in/storage/profile/ProfilePhoto_P25700212_349562.jpg","Download")</f>
        <v>0</v>
      </c>
      <c r="BQ226" s="3"/>
      <c r="BR226" s="3"/>
    </row>
    <row r="227" spans="1:70">
      <c r="A227" s="1" t="s">
        <v>70</v>
      </c>
      <c r="B227" s="1" t="s">
        <v>441</v>
      </c>
      <c r="C227" s="1" t="s">
        <v>4710</v>
      </c>
      <c r="D227" s="1" t="s">
        <v>4711</v>
      </c>
      <c r="E227" s="1" t="s">
        <v>4712</v>
      </c>
      <c r="F227" s="1" t="s">
        <v>4713</v>
      </c>
      <c r="G227" s="1" t="s">
        <v>4714</v>
      </c>
      <c r="H227" s="1" t="s">
        <v>4715</v>
      </c>
      <c r="I227" s="1" t="s">
        <v>4716</v>
      </c>
      <c r="J227" s="1">
        <v>9325432369</v>
      </c>
      <c r="K227" s="1" t="s">
        <v>79</v>
      </c>
      <c r="L227" s="1" t="s">
        <v>4717</v>
      </c>
      <c r="M227" s="1" t="s">
        <v>81</v>
      </c>
      <c r="N227" s="1" t="s">
        <v>4718</v>
      </c>
      <c r="O227" s="1"/>
      <c r="P227" s="1" t="s">
        <v>472</v>
      </c>
      <c r="Q227" s="1" t="s">
        <v>4719</v>
      </c>
      <c r="R227" s="1" t="s">
        <v>4720</v>
      </c>
      <c r="S227" s="1">
        <v>9823134286</v>
      </c>
      <c r="T227" s="1" t="s">
        <v>906</v>
      </c>
      <c r="U227" s="1" t="s">
        <v>4721</v>
      </c>
      <c r="V227" s="1">
        <v>9764117117</v>
      </c>
      <c r="W227" s="1" t="s">
        <v>156</v>
      </c>
      <c r="X227" s="1" t="s">
        <v>4722</v>
      </c>
      <c r="Y227" s="1" t="s">
        <v>191</v>
      </c>
      <c r="Z227" s="1" t="s">
        <v>92</v>
      </c>
      <c r="AA227" s="1" t="s">
        <v>4722</v>
      </c>
      <c r="AB227" s="1" t="s">
        <v>191</v>
      </c>
      <c r="AC227" s="1" t="s">
        <v>92</v>
      </c>
      <c r="AD227" s="1">
        <v>8.82</v>
      </c>
      <c r="AE227" s="1" t="s">
        <v>93</v>
      </c>
      <c r="AF227" s="1" t="s">
        <v>4723</v>
      </c>
      <c r="AG227" s="1" t="s">
        <v>4724</v>
      </c>
      <c r="AH227" s="1" t="s">
        <v>481</v>
      </c>
      <c r="AI227" s="1" t="s">
        <v>308</v>
      </c>
      <c r="AJ227" s="1">
        <v>76.8</v>
      </c>
      <c r="AK227" s="1"/>
      <c r="AL227" s="1" t="s">
        <v>4725</v>
      </c>
      <c r="AM227" s="1" t="s">
        <v>160</v>
      </c>
      <c r="AN227" s="1" t="s">
        <v>1019</v>
      </c>
      <c r="AO227" s="1" t="s">
        <v>436</v>
      </c>
      <c r="AP227" s="1">
        <v>82</v>
      </c>
      <c r="AQ227" s="1"/>
      <c r="AR227" s="1"/>
      <c r="AS227" s="1"/>
      <c r="AT227" s="1"/>
      <c r="AU227" s="1"/>
      <c r="AV227" s="1"/>
      <c r="AW227" s="1"/>
      <c r="AX227" s="1" t="s">
        <v>361</v>
      </c>
      <c r="AY227" s="1" t="s">
        <v>4726</v>
      </c>
      <c r="AZ227" s="1" t="s">
        <v>4727</v>
      </c>
      <c r="BA227" s="1" t="s">
        <v>829</v>
      </c>
      <c r="BB227" s="1">
        <v>77.42</v>
      </c>
      <c r="BC227" s="1">
        <v>8.15</v>
      </c>
      <c r="BD227" s="1"/>
      <c r="BE227" s="1"/>
      <c r="BF227" s="1"/>
      <c r="BG227" s="1"/>
      <c r="BH227" s="1"/>
      <c r="BI227" s="1"/>
      <c r="BJ227" s="1" t="s">
        <v>830</v>
      </c>
      <c r="BK227" s="1"/>
      <c r="BL227" s="1"/>
      <c r="BM227" s="1" t="s">
        <v>4728</v>
      </c>
      <c r="BN227" s="1">
        <v>13</v>
      </c>
      <c r="BO227" s="1"/>
      <c r="BP227" s="1" t="str">
        <f>HYPERLINK("https://nconnect.nicmar.ac.in/storage/profile/ProfilePhoto_P25700213_341679.jpg","Download")</f>
        <v>0</v>
      </c>
      <c r="BQ227" s="3"/>
      <c r="BR227" s="3"/>
    </row>
    <row r="228" spans="1:70">
      <c r="A228" s="1" t="s">
        <v>70</v>
      </c>
      <c r="B228" s="1" t="s">
        <v>441</v>
      </c>
      <c r="C228" s="1" t="s">
        <v>4729</v>
      </c>
      <c r="D228" s="1" t="s">
        <v>4730</v>
      </c>
      <c r="E228" s="1" t="s">
        <v>4731</v>
      </c>
      <c r="F228" s="1" t="s">
        <v>4732</v>
      </c>
      <c r="G228" s="1" t="s">
        <v>4733</v>
      </c>
      <c r="H228" s="1" t="s">
        <v>4734</v>
      </c>
      <c r="I228" s="1" t="s">
        <v>4735</v>
      </c>
      <c r="J228" s="1">
        <v>7558763753</v>
      </c>
      <c r="K228" s="1" t="s">
        <v>79</v>
      </c>
      <c r="L228" s="1" t="s">
        <v>4736</v>
      </c>
      <c r="M228" s="1" t="s">
        <v>81</v>
      </c>
      <c r="N228" s="1" t="s">
        <v>883</v>
      </c>
      <c r="O228" s="1"/>
      <c r="P228" s="1" t="s">
        <v>450</v>
      </c>
      <c r="Q228" s="1" t="s">
        <v>4737</v>
      </c>
      <c r="R228" s="1" t="s">
        <v>4738</v>
      </c>
      <c r="S228" s="1">
        <v>9881388685</v>
      </c>
      <c r="T228" s="1" t="s">
        <v>4739</v>
      </c>
      <c r="U228" s="1" t="s">
        <v>4740</v>
      </c>
      <c r="V228" s="1">
        <v>8421519178</v>
      </c>
      <c r="W228" s="1" t="s">
        <v>156</v>
      </c>
      <c r="X228" s="1" t="s">
        <v>4741</v>
      </c>
      <c r="Y228" s="1" t="s">
        <v>158</v>
      </c>
      <c r="Z228" s="1" t="s">
        <v>92</v>
      </c>
      <c r="AA228" s="1" t="s">
        <v>4741</v>
      </c>
      <c r="AB228" s="1" t="s">
        <v>158</v>
      </c>
      <c r="AC228" s="1" t="s">
        <v>92</v>
      </c>
      <c r="AD228" s="1">
        <v>7.98</v>
      </c>
      <c r="AE228" s="1" t="s">
        <v>93</v>
      </c>
      <c r="AF228" s="1" t="s">
        <v>4742</v>
      </c>
      <c r="AG228" s="1" t="s">
        <v>160</v>
      </c>
      <c r="AH228" s="1" t="s">
        <v>195</v>
      </c>
      <c r="AI228" s="1" t="s">
        <v>281</v>
      </c>
      <c r="AJ228" s="1">
        <v>83.6</v>
      </c>
      <c r="AK228" s="1"/>
      <c r="AL228" s="1" t="s">
        <v>4743</v>
      </c>
      <c r="AM228" s="1" t="s">
        <v>160</v>
      </c>
      <c r="AN228" s="1" t="s">
        <v>359</v>
      </c>
      <c r="AO228" s="1" t="s">
        <v>4744</v>
      </c>
      <c r="AP228" s="1">
        <v>62.92</v>
      </c>
      <c r="AQ228" s="1"/>
      <c r="AR228" s="1"/>
      <c r="AS228" s="1"/>
      <c r="AT228" s="1"/>
      <c r="AU228" s="1"/>
      <c r="AV228" s="1"/>
      <c r="AW228" s="1"/>
      <c r="AX228" s="1" t="s">
        <v>4558</v>
      </c>
      <c r="AY228" s="1" t="s">
        <v>4745</v>
      </c>
      <c r="AZ228" s="1" t="s">
        <v>1169</v>
      </c>
      <c r="BA228" s="1" t="s">
        <v>4109</v>
      </c>
      <c r="BB228" s="1">
        <v>69.7</v>
      </c>
      <c r="BC228" s="1"/>
      <c r="BD228" s="1"/>
      <c r="BE228" s="1"/>
      <c r="BF228" s="1"/>
      <c r="BG228" s="1"/>
      <c r="BH228" s="1"/>
      <c r="BI228" s="1"/>
      <c r="BJ228" s="1" t="s">
        <v>4746</v>
      </c>
      <c r="BK228" s="1" t="s">
        <v>4747</v>
      </c>
      <c r="BL228" s="1" t="s">
        <v>287</v>
      </c>
      <c r="BM228" s="1" t="s">
        <v>4748</v>
      </c>
      <c r="BN228" s="1">
        <v>73</v>
      </c>
      <c r="BO228" s="1" t="s">
        <v>4749</v>
      </c>
      <c r="BP228" s="1" t="str">
        <f>HYPERLINK("https://nconnect.nicmar.ac.in/storage/profile/ProfilePhoto_P25700214_983516.jpg","Download")</f>
        <v>0</v>
      </c>
      <c r="BQ228" s="3"/>
      <c r="BR228" s="3"/>
    </row>
    <row r="229" spans="1:70">
      <c r="A229" s="1" t="s">
        <v>70</v>
      </c>
      <c r="B229" s="1" t="s">
        <v>441</v>
      </c>
      <c r="C229" s="1" t="s">
        <v>4750</v>
      </c>
      <c r="D229" s="1" t="s">
        <v>4751</v>
      </c>
      <c r="E229" s="1"/>
      <c r="F229" s="1" t="s">
        <v>4752</v>
      </c>
      <c r="G229" s="1" t="s">
        <v>4753</v>
      </c>
      <c r="H229" s="1" t="s">
        <v>4754</v>
      </c>
      <c r="I229" s="1" t="s">
        <v>4755</v>
      </c>
      <c r="J229" s="1">
        <v>7044064498</v>
      </c>
      <c r="K229" s="1" t="s">
        <v>79</v>
      </c>
      <c r="L229" s="1" t="s">
        <v>4756</v>
      </c>
      <c r="M229" s="1" t="s">
        <v>81</v>
      </c>
      <c r="N229" s="1" t="s">
        <v>4757</v>
      </c>
      <c r="O229" s="1"/>
      <c r="P229" s="1" t="s">
        <v>472</v>
      </c>
      <c r="Q229" s="1" t="s">
        <v>4758</v>
      </c>
      <c r="R229" s="1" t="s">
        <v>4759</v>
      </c>
      <c r="S229" s="1">
        <v>9830237334</v>
      </c>
      <c r="T229" s="1" t="s">
        <v>906</v>
      </c>
      <c r="U229" s="1" t="s">
        <v>4760</v>
      </c>
      <c r="V229" s="1">
        <v>7439245783</v>
      </c>
      <c r="W229" s="1" t="s">
        <v>156</v>
      </c>
      <c r="X229" s="1" t="s">
        <v>4761</v>
      </c>
      <c r="Y229" s="1" t="s">
        <v>3300</v>
      </c>
      <c r="Z229" s="1" t="s">
        <v>1211</v>
      </c>
      <c r="AA229" s="1" t="s">
        <v>4761</v>
      </c>
      <c r="AB229" s="1" t="s">
        <v>3300</v>
      </c>
      <c r="AC229" s="1" t="s">
        <v>1211</v>
      </c>
      <c r="AD229" s="1">
        <v>7.98</v>
      </c>
      <c r="AE229" s="1" t="s">
        <v>93</v>
      </c>
      <c r="AF229" s="1" t="s">
        <v>4762</v>
      </c>
      <c r="AG229" s="1" t="s">
        <v>4763</v>
      </c>
      <c r="AH229" s="1" t="s">
        <v>1088</v>
      </c>
      <c r="AI229" s="1" t="s">
        <v>614</v>
      </c>
      <c r="AJ229" s="1">
        <v>92.4</v>
      </c>
      <c r="AK229" s="1"/>
      <c r="AL229" s="1" t="s">
        <v>4762</v>
      </c>
      <c r="AM229" s="1" t="s">
        <v>4763</v>
      </c>
      <c r="AN229" s="1" t="s">
        <v>279</v>
      </c>
      <c r="AO229" s="1" t="s">
        <v>166</v>
      </c>
      <c r="AP229" s="1">
        <v>82.75</v>
      </c>
      <c r="AQ229" s="1"/>
      <c r="AR229" s="1"/>
      <c r="AS229" s="1"/>
      <c r="AT229" s="1"/>
      <c r="AU229" s="1"/>
      <c r="AV229" s="1"/>
      <c r="AW229" s="1"/>
      <c r="AX229" s="1" t="s">
        <v>4764</v>
      </c>
      <c r="AY229" s="1" t="s">
        <v>4764</v>
      </c>
      <c r="AZ229" s="1" t="s">
        <v>1043</v>
      </c>
      <c r="BA229" s="1" t="s">
        <v>935</v>
      </c>
      <c r="BB229" s="1">
        <v>80.8</v>
      </c>
      <c r="BC229" s="1"/>
      <c r="BD229" s="1"/>
      <c r="BE229" s="1"/>
      <c r="BF229" s="1"/>
      <c r="BG229" s="1"/>
      <c r="BH229" s="1"/>
      <c r="BI229" s="1"/>
      <c r="BJ229" s="1" t="s">
        <v>4765</v>
      </c>
      <c r="BK229" s="1" t="s">
        <v>4766</v>
      </c>
      <c r="BL229" s="1" t="s">
        <v>463</v>
      </c>
      <c r="BM229" s="1" t="s">
        <v>4767</v>
      </c>
      <c r="BN229" s="1">
        <v>27</v>
      </c>
      <c r="BO229" s="1" t="s">
        <v>4768</v>
      </c>
      <c r="BP229" s="1" t="str">
        <f>HYPERLINK("https://nconnect.nicmar.ac.in/storage/profile/ProfilePhoto_P25700215_176495.jpg","Download")</f>
        <v>0</v>
      </c>
      <c r="BQ229" s="3"/>
      <c r="BR229" s="3"/>
    </row>
    <row r="230" spans="1:70">
      <c r="A230" s="1" t="s">
        <v>70</v>
      </c>
      <c r="B230" s="1" t="s">
        <v>441</v>
      </c>
      <c r="C230" s="1" t="s">
        <v>4769</v>
      </c>
      <c r="D230" s="1" t="s">
        <v>4770</v>
      </c>
      <c r="E230" s="1"/>
      <c r="F230" s="1" t="s">
        <v>4771</v>
      </c>
      <c r="G230" s="1" t="s">
        <v>4772</v>
      </c>
      <c r="H230" s="1" t="s">
        <v>4773</v>
      </c>
      <c r="I230" s="1" t="s">
        <v>4774</v>
      </c>
      <c r="J230" s="1">
        <v>7249269448</v>
      </c>
      <c r="K230" s="1" t="s">
        <v>148</v>
      </c>
      <c r="L230" s="1" t="s">
        <v>4775</v>
      </c>
      <c r="M230" s="1" t="s">
        <v>81</v>
      </c>
      <c r="N230" s="1" t="s">
        <v>4776</v>
      </c>
      <c r="O230" s="1"/>
      <c r="P230" s="1" t="s">
        <v>450</v>
      </c>
      <c r="Q230" s="1" t="s">
        <v>4777</v>
      </c>
      <c r="R230" s="1" t="s">
        <v>4778</v>
      </c>
      <c r="S230" s="1">
        <v>9922586983</v>
      </c>
      <c r="T230" s="1" t="s">
        <v>3807</v>
      </c>
      <c r="U230" s="1" t="s">
        <v>4779</v>
      </c>
      <c r="V230" s="1">
        <v>9422331475</v>
      </c>
      <c r="W230" s="1" t="s">
        <v>4780</v>
      </c>
      <c r="X230" s="1" t="s">
        <v>4781</v>
      </c>
      <c r="Y230" s="1" t="s">
        <v>405</v>
      </c>
      <c r="Z230" s="1" t="s">
        <v>92</v>
      </c>
      <c r="AA230" s="1" t="s">
        <v>4781</v>
      </c>
      <c r="AB230" s="1" t="s">
        <v>405</v>
      </c>
      <c r="AC230" s="1" t="s">
        <v>92</v>
      </c>
      <c r="AD230" s="1" t="s">
        <v>93</v>
      </c>
      <c r="AE230" s="1" t="s">
        <v>93</v>
      </c>
      <c r="AF230" s="1" t="s">
        <v>4782</v>
      </c>
      <c r="AG230" s="1" t="s">
        <v>160</v>
      </c>
      <c r="AH230" s="1" t="s">
        <v>101</v>
      </c>
      <c r="AI230" s="1" t="s">
        <v>433</v>
      </c>
      <c r="AJ230" s="1">
        <v>77</v>
      </c>
      <c r="AK230" s="1"/>
      <c r="AL230" s="1"/>
      <c r="AM230" s="1"/>
      <c r="AN230" s="1"/>
      <c r="AO230" s="1"/>
      <c r="AP230" s="1"/>
      <c r="AQ230" s="1"/>
      <c r="AR230" s="1" t="s">
        <v>98</v>
      </c>
      <c r="AS230" s="1" t="s">
        <v>4783</v>
      </c>
      <c r="AT230" s="1" t="s">
        <v>310</v>
      </c>
      <c r="AU230" s="1" t="s">
        <v>105</v>
      </c>
      <c r="AV230" s="1">
        <v>81.7</v>
      </c>
      <c r="AW230" s="1"/>
      <c r="AX230" s="1" t="s">
        <v>4784</v>
      </c>
      <c r="AY230" s="1" t="s">
        <v>4785</v>
      </c>
      <c r="AZ230" s="1" t="s">
        <v>1864</v>
      </c>
      <c r="BA230" s="1" t="s">
        <v>829</v>
      </c>
      <c r="BB230" s="1">
        <v>73.2</v>
      </c>
      <c r="BC230" s="1">
        <v>8.07</v>
      </c>
      <c r="BD230" s="1"/>
      <c r="BE230" s="1"/>
      <c r="BF230" s="1"/>
      <c r="BG230" s="1"/>
      <c r="BH230" s="1"/>
      <c r="BI230" s="1"/>
      <c r="BJ230" s="1" t="s">
        <v>4786</v>
      </c>
      <c r="BK230" s="1"/>
      <c r="BL230" s="1"/>
      <c r="BM230" s="1" t="s">
        <v>4787</v>
      </c>
      <c r="BN230" s="1">
        <v>34</v>
      </c>
      <c r="BO230" s="1"/>
      <c r="BP230" s="1" t="str">
        <f>HYPERLINK("https://nconnect.nicmar.ac.in/storage/profile/ProfilePhoto_P25700216_187954.jpg","Download")</f>
        <v>0</v>
      </c>
      <c r="BQ230" s="3"/>
      <c r="BR230" s="3"/>
    </row>
    <row r="231" spans="1:70">
      <c r="A231" s="1" t="s">
        <v>70</v>
      </c>
      <c r="B231" s="1" t="s">
        <v>441</v>
      </c>
      <c r="C231" s="1" t="s">
        <v>4788</v>
      </c>
      <c r="D231" s="1" t="s">
        <v>4789</v>
      </c>
      <c r="E231" s="1"/>
      <c r="F231" s="1" t="s">
        <v>1828</v>
      </c>
      <c r="G231" s="1" t="s">
        <v>4790</v>
      </c>
      <c r="H231" s="1" t="s">
        <v>4791</v>
      </c>
      <c r="I231" s="1" t="s">
        <v>4792</v>
      </c>
      <c r="J231" s="1">
        <v>9886180610</v>
      </c>
      <c r="K231" s="1" t="s">
        <v>148</v>
      </c>
      <c r="L231" s="1" t="s">
        <v>4793</v>
      </c>
      <c r="M231" s="1" t="s">
        <v>81</v>
      </c>
      <c r="N231" s="1" t="s">
        <v>1180</v>
      </c>
      <c r="O231" s="1"/>
      <c r="P231" s="1" t="s">
        <v>450</v>
      </c>
      <c r="Q231" s="1" t="s">
        <v>4794</v>
      </c>
      <c r="R231" s="1" t="s">
        <v>4795</v>
      </c>
      <c r="S231" s="1">
        <v>9986112113</v>
      </c>
      <c r="T231" s="1" t="s">
        <v>820</v>
      </c>
      <c r="U231" s="1" t="s">
        <v>4796</v>
      </c>
      <c r="V231" s="1">
        <v>9986040772</v>
      </c>
      <c r="W231" s="1" t="s">
        <v>529</v>
      </c>
      <c r="X231" s="1" t="s">
        <v>4797</v>
      </c>
      <c r="Y231" s="1" t="s">
        <v>3151</v>
      </c>
      <c r="Z231" s="1" t="s">
        <v>1187</v>
      </c>
      <c r="AA231" s="1" t="s">
        <v>4797</v>
      </c>
      <c r="AB231" s="1" t="s">
        <v>3151</v>
      </c>
      <c r="AC231" s="1" t="s">
        <v>1187</v>
      </c>
      <c r="AD231" s="1">
        <v>9.13</v>
      </c>
      <c r="AE231" s="1" t="s">
        <v>93</v>
      </c>
      <c r="AF231" s="1" t="s">
        <v>4798</v>
      </c>
      <c r="AG231" s="1" t="s">
        <v>4799</v>
      </c>
      <c r="AH231" s="1" t="s">
        <v>1577</v>
      </c>
      <c r="AI231" s="1" t="s">
        <v>165</v>
      </c>
      <c r="AJ231" s="1">
        <v>87.4</v>
      </c>
      <c r="AK231" s="1">
        <v>9.2</v>
      </c>
      <c r="AL231" s="1" t="s">
        <v>4800</v>
      </c>
      <c r="AM231" s="1" t="s">
        <v>3751</v>
      </c>
      <c r="AN231" s="1" t="s">
        <v>165</v>
      </c>
      <c r="AO231" s="1" t="s">
        <v>537</v>
      </c>
      <c r="AP231" s="1">
        <v>80.33</v>
      </c>
      <c r="AQ231" s="1">
        <v>0</v>
      </c>
      <c r="AR231" s="1"/>
      <c r="AS231" s="1"/>
      <c r="AT231" s="1"/>
      <c r="AU231" s="1"/>
      <c r="AV231" s="1"/>
      <c r="AW231" s="1"/>
      <c r="AX231" s="1" t="s">
        <v>1194</v>
      </c>
      <c r="AY231" s="1" t="s">
        <v>4801</v>
      </c>
      <c r="AZ231" s="1" t="s">
        <v>201</v>
      </c>
      <c r="BA231" s="1" t="s">
        <v>229</v>
      </c>
      <c r="BB231" s="1">
        <v>84.2</v>
      </c>
      <c r="BC231" s="1">
        <v>9.17</v>
      </c>
      <c r="BD231" s="1"/>
      <c r="BE231" s="1"/>
      <c r="BF231" s="1"/>
      <c r="BG231" s="1"/>
      <c r="BH231" s="1"/>
      <c r="BI231" s="1"/>
      <c r="BJ231" s="1" t="s">
        <v>4802</v>
      </c>
      <c r="BK231" s="1" t="s">
        <v>4803</v>
      </c>
      <c r="BL231" s="1" t="s">
        <v>4165</v>
      </c>
      <c r="BM231" s="1" t="s">
        <v>4804</v>
      </c>
      <c r="BN231" s="1">
        <v>12</v>
      </c>
      <c r="BO231" s="1"/>
      <c r="BP231" s="1" t="str">
        <f>HYPERLINK("https://nconnect.nicmar.ac.in/storage/profile/ProfilePhoto_P25700217_691537.jpg","Download")</f>
        <v>0</v>
      </c>
      <c r="BQ231" s="3"/>
      <c r="BR231" s="3"/>
    </row>
    <row r="232" spans="1:70">
      <c r="A232" s="1" t="s">
        <v>70</v>
      </c>
      <c r="B232" s="1" t="s">
        <v>441</v>
      </c>
      <c r="C232" s="1" t="s">
        <v>4805</v>
      </c>
      <c r="D232" s="1" t="s">
        <v>4304</v>
      </c>
      <c r="E232" s="1" t="s">
        <v>4806</v>
      </c>
      <c r="F232" s="1" t="s">
        <v>1339</v>
      </c>
      <c r="G232" s="1" t="s">
        <v>4807</v>
      </c>
      <c r="H232" s="1" t="s">
        <v>4808</v>
      </c>
      <c r="I232" s="1" t="s">
        <v>4809</v>
      </c>
      <c r="J232" s="1">
        <v>9449388363</v>
      </c>
      <c r="K232" s="1" t="s">
        <v>79</v>
      </c>
      <c r="L232" s="1" t="s">
        <v>4810</v>
      </c>
      <c r="M232" s="1" t="s">
        <v>81</v>
      </c>
      <c r="N232" s="1" t="s">
        <v>4422</v>
      </c>
      <c r="O232" s="1"/>
      <c r="P232" s="1" t="s">
        <v>450</v>
      </c>
      <c r="Q232" s="1" t="s">
        <v>4811</v>
      </c>
      <c r="R232" s="1" t="s">
        <v>4812</v>
      </c>
      <c r="S232" s="1">
        <v>9448039294</v>
      </c>
      <c r="T232" s="1" t="s">
        <v>87</v>
      </c>
      <c r="U232" s="1" t="s">
        <v>4813</v>
      </c>
      <c r="V232" s="1">
        <v>9449371589</v>
      </c>
      <c r="W232" s="1" t="s">
        <v>273</v>
      </c>
      <c r="X232" s="1" t="s">
        <v>4814</v>
      </c>
      <c r="Y232" s="1" t="s">
        <v>4085</v>
      </c>
      <c r="Z232" s="1" t="s">
        <v>1187</v>
      </c>
      <c r="AA232" s="1" t="s">
        <v>4814</v>
      </c>
      <c r="AB232" s="1" t="s">
        <v>4085</v>
      </c>
      <c r="AC232" s="1" t="s">
        <v>1187</v>
      </c>
      <c r="AD232" s="1">
        <v>7.98</v>
      </c>
      <c r="AE232" s="1" t="s">
        <v>93</v>
      </c>
      <c r="AF232" s="1" t="s">
        <v>4815</v>
      </c>
      <c r="AG232" s="1" t="s">
        <v>4816</v>
      </c>
      <c r="AH232" s="1" t="s">
        <v>562</v>
      </c>
      <c r="AI232" s="1" t="s">
        <v>166</v>
      </c>
      <c r="AJ232" s="1">
        <v>60.2</v>
      </c>
      <c r="AK232" s="1"/>
      <c r="AL232" s="1" t="s">
        <v>4817</v>
      </c>
      <c r="AM232" s="1" t="s">
        <v>4818</v>
      </c>
      <c r="AN232" s="1" t="s">
        <v>310</v>
      </c>
      <c r="AO232" s="1" t="s">
        <v>173</v>
      </c>
      <c r="AP232" s="1">
        <v>82.5</v>
      </c>
      <c r="AQ232" s="1"/>
      <c r="AR232" s="1"/>
      <c r="AS232" s="1"/>
      <c r="AT232" s="1"/>
      <c r="AU232" s="1"/>
      <c r="AV232" s="1"/>
      <c r="AW232" s="1"/>
      <c r="AX232" s="1" t="s">
        <v>4819</v>
      </c>
      <c r="AY232" s="1" t="s">
        <v>4820</v>
      </c>
      <c r="AZ232" s="1" t="s">
        <v>1622</v>
      </c>
      <c r="BA232" s="1" t="s">
        <v>1067</v>
      </c>
      <c r="BB232" s="1">
        <v>61.9</v>
      </c>
      <c r="BC232" s="1">
        <v>6.93</v>
      </c>
      <c r="BD232" s="1"/>
      <c r="BE232" s="1"/>
      <c r="BF232" s="1"/>
      <c r="BG232" s="1"/>
      <c r="BH232" s="1"/>
      <c r="BI232" s="1"/>
      <c r="BJ232" s="1" t="s">
        <v>364</v>
      </c>
      <c r="BK232" s="1" t="s">
        <v>4821</v>
      </c>
      <c r="BL232" s="1" t="s">
        <v>463</v>
      </c>
      <c r="BM232" s="1" t="s">
        <v>4822</v>
      </c>
      <c r="BN232" s="1">
        <v>13</v>
      </c>
      <c r="BO232" s="1"/>
      <c r="BP232" s="1" t="str">
        <f>HYPERLINK("https://nconnect.nicmar.ac.in/storage/profile/ProfilePhoto_P25700218_745321.jpg","Download")</f>
        <v>0</v>
      </c>
      <c r="BQ232" s="3"/>
      <c r="BR232" s="3"/>
    </row>
    <row r="233" spans="1:70">
      <c r="A233" s="1" t="s">
        <v>70</v>
      </c>
      <c r="B233" s="1" t="s">
        <v>441</v>
      </c>
      <c r="C233" s="1" t="s">
        <v>4823</v>
      </c>
      <c r="D233" s="1" t="s">
        <v>4824</v>
      </c>
      <c r="E233" s="1" t="s">
        <v>1442</v>
      </c>
      <c r="F233" s="1" t="s">
        <v>292</v>
      </c>
      <c r="G233" s="1" t="s">
        <v>4825</v>
      </c>
      <c r="H233" s="1" t="s">
        <v>4826</v>
      </c>
      <c r="I233" s="1" t="s">
        <v>4827</v>
      </c>
      <c r="J233" s="1">
        <v>7208137803</v>
      </c>
      <c r="K233" s="1" t="s">
        <v>79</v>
      </c>
      <c r="L233" s="1" t="s">
        <v>4828</v>
      </c>
      <c r="M233" s="1" t="s">
        <v>81</v>
      </c>
      <c r="N233" s="1" t="s">
        <v>1448</v>
      </c>
      <c r="O233" s="1" t="s">
        <v>1279</v>
      </c>
      <c r="P233" s="1" t="s">
        <v>497</v>
      </c>
      <c r="Q233" s="1" t="s">
        <v>4829</v>
      </c>
      <c r="R233" s="1" t="s">
        <v>4830</v>
      </c>
      <c r="S233" s="1">
        <v>9930730964</v>
      </c>
      <c r="T233" s="1" t="s">
        <v>120</v>
      </c>
      <c r="U233" s="1" t="s">
        <v>4831</v>
      </c>
      <c r="V233" s="1">
        <v>9769768556</v>
      </c>
      <c r="W233" s="1" t="s">
        <v>89</v>
      </c>
      <c r="X233" s="1" t="s">
        <v>4832</v>
      </c>
      <c r="Y233" s="1" t="s">
        <v>1857</v>
      </c>
      <c r="Z233" s="1" t="s">
        <v>92</v>
      </c>
      <c r="AA233" s="1" t="s">
        <v>4833</v>
      </c>
      <c r="AB233" s="1" t="s">
        <v>991</v>
      </c>
      <c r="AC233" s="1" t="s">
        <v>92</v>
      </c>
      <c r="AD233" s="1">
        <v>8.52</v>
      </c>
      <c r="AE233" s="1" t="s">
        <v>93</v>
      </c>
      <c r="AF233" s="1" t="s">
        <v>4834</v>
      </c>
      <c r="AG233" s="1" t="s">
        <v>160</v>
      </c>
      <c r="AH233" s="1" t="s">
        <v>101</v>
      </c>
      <c r="AI233" s="1" t="s">
        <v>409</v>
      </c>
      <c r="AJ233" s="1">
        <v>63.2</v>
      </c>
      <c r="AK233" s="1"/>
      <c r="AL233" s="1"/>
      <c r="AM233" s="1"/>
      <c r="AN233" s="1"/>
      <c r="AO233" s="1"/>
      <c r="AP233" s="1"/>
      <c r="AQ233" s="1"/>
      <c r="AR233" s="1" t="s">
        <v>434</v>
      </c>
      <c r="AS233" s="1" t="s">
        <v>4835</v>
      </c>
      <c r="AT233" s="1" t="s">
        <v>310</v>
      </c>
      <c r="AU233" s="1" t="s">
        <v>105</v>
      </c>
      <c r="AV233" s="1">
        <v>83.3</v>
      </c>
      <c r="AW233" s="1"/>
      <c r="AX233" s="1" t="s">
        <v>253</v>
      </c>
      <c r="AY233" s="1" t="s">
        <v>3679</v>
      </c>
      <c r="AZ233" s="1" t="s">
        <v>1864</v>
      </c>
      <c r="BA233" s="1" t="s">
        <v>1379</v>
      </c>
      <c r="BB233" s="1">
        <v>68</v>
      </c>
      <c r="BC233" s="1">
        <v>7.51</v>
      </c>
      <c r="BD233" s="1"/>
      <c r="BE233" s="1"/>
      <c r="BF233" s="1"/>
      <c r="BG233" s="1"/>
      <c r="BH233" s="1"/>
      <c r="BI233" s="1"/>
      <c r="BJ233" s="1" t="s">
        <v>364</v>
      </c>
      <c r="BK233" s="1"/>
      <c r="BL233" s="1"/>
      <c r="BM233" s="1" t="s">
        <v>4836</v>
      </c>
      <c r="BN233" s="1">
        <v>35</v>
      </c>
      <c r="BO233" s="1"/>
      <c r="BP233" s="1" t="str">
        <f>HYPERLINK("https://nconnect.nicmar.ac.in/storage/profile/ProfilePhoto_P25700219_247813.jpg","Download")</f>
        <v>0</v>
      </c>
      <c r="BQ233" s="3"/>
      <c r="BR233" s="3"/>
    </row>
    <row r="234" spans="1:70">
      <c r="A234" s="1" t="s">
        <v>70</v>
      </c>
      <c r="B234" s="1" t="s">
        <v>441</v>
      </c>
      <c r="C234" s="1" t="s">
        <v>4837</v>
      </c>
      <c r="D234" s="1" t="s">
        <v>4838</v>
      </c>
      <c r="E234" s="1"/>
      <c r="F234" s="1" t="s">
        <v>4839</v>
      </c>
      <c r="G234" s="1" t="s">
        <v>4840</v>
      </c>
      <c r="H234" s="1" t="s">
        <v>4841</v>
      </c>
      <c r="I234" s="1" t="s">
        <v>4842</v>
      </c>
      <c r="J234" s="1">
        <v>9581678604</v>
      </c>
      <c r="K234" s="1" t="s">
        <v>79</v>
      </c>
      <c r="L234" s="1" t="s">
        <v>4843</v>
      </c>
      <c r="M234" s="1" t="s">
        <v>81</v>
      </c>
      <c r="N234" s="1" t="s">
        <v>4844</v>
      </c>
      <c r="O234" s="1"/>
      <c r="P234" s="1" t="s">
        <v>497</v>
      </c>
      <c r="Q234" s="1" t="s">
        <v>4845</v>
      </c>
      <c r="R234" s="1" t="s">
        <v>4846</v>
      </c>
      <c r="S234" s="1">
        <v>9885118637</v>
      </c>
      <c r="T234" s="1" t="s">
        <v>4847</v>
      </c>
      <c r="U234" s="1" t="s">
        <v>4848</v>
      </c>
      <c r="V234" s="1">
        <v>7013775932</v>
      </c>
      <c r="W234" s="1" t="s">
        <v>156</v>
      </c>
      <c r="X234" s="1" t="s">
        <v>4849</v>
      </c>
      <c r="Y234" s="1" t="s">
        <v>711</v>
      </c>
      <c r="Z234" s="1" t="s">
        <v>276</v>
      </c>
      <c r="AA234" s="1" t="s">
        <v>4849</v>
      </c>
      <c r="AB234" s="1" t="s">
        <v>711</v>
      </c>
      <c r="AC234" s="1" t="s">
        <v>276</v>
      </c>
      <c r="AD234" s="1">
        <v>7.93</v>
      </c>
      <c r="AE234" s="1" t="s">
        <v>93</v>
      </c>
      <c r="AF234" s="1" t="s">
        <v>4850</v>
      </c>
      <c r="AG234" s="1" t="s">
        <v>4851</v>
      </c>
      <c r="AH234" s="1" t="s">
        <v>101</v>
      </c>
      <c r="AI234" s="1" t="s">
        <v>308</v>
      </c>
      <c r="AJ234" s="1">
        <v>95</v>
      </c>
      <c r="AK234" s="1">
        <v>9.5</v>
      </c>
      <c r="AL234" s="1" t="s">
        <v>3052</v>
      </c>
      <c r="AM234" s="1" t="s">
        <v>4852</v>
      </c>
      <c r="AN234" s="1" t="s">
        <v>433</v>
      </c>
      <c r="AO234" s="1" t="s">
        <v>539</v>
      </c>
      <c r="AP234" s="1">
        <v>78.4</v>
      </c>
      <c r="AQ234" s="1">
        <v>7.84</v>
      </c>
      <c r="AR234" s="1"/>
      <c r="AS234" s="1"/>
      <c r="AT234" s="1"/>
      <c r="AU234" s="1"/>
      <c r="AV234" s="1"/>
      <c r="AW234" s="1"/>
      <c r="AX234" s="1" t="s">
        <v>540</v>
      </c>
      <c r="AY234" s="1" t="s">
        <v>4853</v>
      </c>
      <c r="AZ234" s="1" t="s">
        <v>542</v>
      </c>
      <c r="BA234" s="1" t="s">
        <v>1379</v>
      </c>
      <c r="BB234" s="1">
        <v>78.2</v>
      </c>
      <c r="BC234" s="1">
        <v>7.82</v>
      </c>
      <c r="BD234" s="1"/>
      <c r="BE234" s="1"/>
      <c r="BF234" s="1"/>
      <c r="BG234" s="1"/>
      <c r="BH234" s="1"/>
      <c r="BI234" s="1"/>
      <c r="BJ234" s="1" t="s">
        <v>364</v>
      </c>
      <c r="BK234" s="1"/>
      <c r="BL234" s="1"/>
      <c r="BM234" s="1" t="s">
        <v>4854</v>
      </c>
      <c r="BN234" s="1">
        <v>13</v>
      </c>
      <c r="BO234" s="1"/>
      <c r="BP234" s="1" t="str">
        <f>HYPERLINK("https://nconnect.nicmar.ac.in/storage/profile/ProfilePhoto_P25700220_175482.jpg","Download")</f>
        <v>0</v>
      </c>
      <c r="BQ234" s="3"/>
      <c r="BR234" s="3"/>
    </row>
    <row r="235" spans="1:70">
      <c r="A235" s="1" t="s">
        <v>70</v>
      </c>
      <c r="B235" s="1" t="s">
        <v>441</v>
      </c>
      <c r="C235" s="1" t="s">
        <v>4855</v>
      </c>
      <c r="D235" s="1" t="s">
        <v>4856</v>
      </c>
      <c r="E235" s="1"/>
      <c r="F235" s="1" t="s">
        <v>940</v>
      </c>
      <c r="G235" s="1" t="s">
        <v>4857</v>
      </c>
      <c r="H235" s="1" t="s">
        <v>4858</v>
      </c>
      <c r="I235" s="1" t="s">
        <v>4859</v>
      </c>
      <c r="J235" s="1">
        <v>7838679369</v>
      </c>
      <c r="K235" s="1" t="s">
        <v>79</v>
      </c>
      <c r="L235" s="1" t="s">
        <v>4860</v>
      </c>
      <c r="M235" s="1" t="s">
        <v>81</v>
      </c>
      <c r="N235" s="1" t="s">
        <v>4861</v>
      </c>
      <c r="O235" s="1"/>
      <c r="P235" s="1" t="s">
        <v>450</v>
      </c>
      <c r="Q235" s="1" t="s">
        <v>4862</v>
      </c>
      <c r="R235" s="1" t="s">
        <v>4863</v>
      </c>
      <c r="S235" s="1">
        <v>9717364227</v>
      </c>
      <c r="T235" s="1" t="s">
        <v>120</v>
      </c>
      <c r="U235" s="1" t="s">
        <v>4864</v>
      </c>
      <c r="V235" s="1">
        <v>9873513198</v>
      </c>
      <c r="W235" s="1" t="s">
        <v>531</v>
      </c>
      <c r="X235" s="1" t="s">
        <v>4865</v>
      </c>
      <c r="Y235" s="1" t="s">
        <v>1085</v>
      </c>
      <c r="Z235" s="1" t="s">
        <v>534</v>
      </c>
      <c r="AA235" s="1" t="s">
        <v>4865</v>
      </c>
      <c r="AB235" s="1" t="s">
        <v>1085</v>
      </c>
      <c r="AC235" s="1" t="s">
        <v>534</v>
      </c>
      <c r="AD235" s="1">
        <v>8.92</v>
      </c>
      <c r="AE235" s="1" t="s">
        <v>93</v>
      </c>
      <c r="AF235" s="1" t="s">
        <v>1599</v>
      </c>
      <c r="AG235" s="1" t="s">
        <v>4866</v>
      </c>
      <c r="AH235" s="1" t="s">
        <v>279</v>
      </c>
      <c r="AI235" s="1" t="s">
        <v>165</v>
      </c>
      <c r="AJ235" s="1">
        <v>95</v>
      </c>
      <c r="AK235" s="1">
        <v>10</v>
      </c>
      <c r="AL235" s="1" t="s">
        <v>1599</v>
      </c>
      <c r="AM235" s="1" t="s">
        <v>4866</v>
      </c>
      <c r="AN235" s="1" t="s">
        <v>481</v>
      </c>
      <c r="AO235" s="1" t="s">
        <v>308</v>
      </c>
      <c r="AP235" s="1">
        <v>86.66</v>
      </c>
      <c r="AQ235" s="1"/>
      <c r="AR235" s="1"/>
      <c r="AS235" s="1"/>
      <c r="AT235" s="1"/>
      <c r="AU235" s="1"/>
      <c r="AV235" s="1"/>
      <c r="AW235" s="1"/>
      <c r="AX235" s="1" t="s">
        <v>4867</v>
      </c>
      <c r="AY235" s="1" t="s">
        <v>4868</v>
      </c>
      <c r="AZ235" s="1" t="s">
        <v>310</v>
      </c>
      <c r="BA235" s="1" t="s">
        <v>386</v>
      </c>
      <c r="BB235" s="1">
        <v>88.1</v>
      </c>
      <c r="BC235" s="1"/>
      <c r="BD235" s="1"/>
      <c r="BE235" s="1"/>
      <c r="BF235" s="1"/>
      <c r="BG235" s="1"/>
      <c r="BH235" s="1"/>
      <c r="BI235" s="1"/>
      <c r="BJ235" s="1" t="s">
        <v>2008</v>
      </c>
      <c r="BK235" s="1"/>
      <c r="BL235" s="1"/>
      <c r="BM235" s="1" t="s">
        <v>4869</v>
      </c>
      <c r="BN235" s="1">
        <v>41</v>
      </c>
      <c r="BO235" s="1" t="s">
        <v>4870</v>
      </c>
      <c r="BP235" s="1" t="str">
        <f>HYPERLINK("https://nconnect.nicmar.ac.in/storage/profile/ProfilePhoto_P25700222_137948.jpg","Download")</f>
        <v>0</v>
      </c>
      <c r="BQ235" s="3"/>
      <c r="BR235" s="3"/>
    </row>
    <row r="236" spans="1:70">
      <c r="A236" s="1" t="s">
        <v>70</v>
      </c>
      <c r="B236" s="1" t="s">
        <v>441</v>
      </c>
      <c r="C236" s="1" t="s">
        <v>4871</v>
      </c>
      <c r="D236" s="1" t="s">
        <v>3511</v>
      </c>
      <c r="E236" s="1" t="s">
        <v>4712</v>
      </c>
      <c r="F236" s="1" t="s">
        <v>4872</v>
      </c>
      <c r="G236" s="1" t="s">
        <v>4873</v>
      </c>
      <c r="H236" s="1" t="s">
        <v>4874</v>
      </c>
      <c r="I236" s="1" t="s">
        <v>4875</v>
      </c>
      <c r="J236" s="1">
        <v>8669887387</v>
      </c>
      <c r="K236" s="1" t="s">
        <v>79</v>
      </c>
      <c r="L236" s="1" t="s">
        <v>4876</v>
      </c>
      <c r="M236" s="1" t="s">
        <v>81</v>
      </c>
      <c r="N236" s="1" t="s">
        <v>3518</v>
      </c>
      <c r="O236" s="1"/>
      <c r="P236" s="1" t="s">
        <v>450</v>
      </c>
      <c r="Q236" s="1" t="s">
        <v>4877</v>
      </c>
      <c r="R236" s="1" t="s">
        <v>4878</v>
      </c>
      <c r="S236" s="1">
        <v>8669887387</v>
      </c>
      <c r="T236" s="1" t="s">
        <v>4879</v>
      </c>
      <c r="U236" s="1" t="s">
        <v>4880</v>
      </c>
      <c r="V236" s="1">
        <v>7558383260</v>
      </c>
      <c r="W236" s="1" t="s">
        <v>156</v>
      </c>
      <c r="X236" s="1" t="s">
        <v>4881</v>
      </c>
      <c r="Y236" s="1" t="s">
        <v>1754</v>
      </c>
      <c r="Z236" s="1" t="s">
        <v>92</v>
      </c>
      <c r="AA236" s="1" t="s">
        <v>4881</v>
      </c>
      <c r="AB236" s="1" t="s">
        <v>1754</v>
      </c>
      <c r="AC236" s="1" t="s">
        <v>92</v>
      </c>
      <c r="AD236" s="1">
        <v>8.17</v>
      </c>
      <c r="AE236" s="1" t="s">
        <v>93</v>
      </c>
      <c r="AF236" s="1" t="s">
        <v>4882</v>
      </c>
      <c r="AG236" s="1" t="s">
        <v>160</v>
      </c>
      <c r="AH236" s="1" t="s">
        <v>96</v>
      </c>
      <c r="AI236" s="1" t="s">
        <v>97</v>
      </c>
      <c r="AJ236" s="1">
        <v>88.8</v>
      </c>
      <c r="AK236" s="1"/>
      <c r="AL236" s="1" t="s">
        <v>4883</v>
      </c>
      <c r="AM236" s="1" t="s">
        <v>160</v>
      </c>
      <c r="AN236" s="1" t="s">
        <v>162</v>
      </c>
      <c r="AO236" s="1" t="s">
        <v>508</v>
      </c>
      <c r="AP236" s="1">
        <v>61.54</v>
      </c>
      <c r="AQ236" s="1"/>
      <c r="AR236" s="1"/>
      <c r="AS236" s="1"/>
      <c r="AT236" s="1"/>
      <c r="AU236" s="1"/>
      <c r="AV236" s="1"/>
      <c r="AW236" s="1"/>
      <c r="AX236" s="1" t="s">
        <v>361</v>
      </c>
      <c r="AY236" s="1" t="s">
        <v>4884</v>
      </c>
      <c r="AZ236" s="1" t="s">
        <v>165</v>
      </c>
      <c r="BA236" s="1" t="s">
        <v>174</v>
      </c>
      <c r="BB236" s="1">
        <v>71.21</v>
      </c>
      <c r="BC236" s="1">
        <v>7.8</v>
      </c>
      <c r="BD236" s="1"/>
      <c r="BE236" s="1"/>
      <c r="BF236" s="1"/>
      <c r="BG236" s="1"/>
      <c r="BH236" s="1"/>
      <c r="BI236" s="1"/>
      <c r="BJ236" s="1" t="s">
        <v>4885</v>
      </c>
      <c r="BK236" s="1" t="s">
        <v>4886</v>
      </c>
      <c r="BL236" s="1" t="s">
        <v>4887</v>
      </c>
      <c r="BM236" s="1" t="s">
        <v>4888</v>
      </c>
      <c r="BN236" s="1">
        <v>33</v>
      </c>
      <c r="BO236" s="1"/>
      <c r="BP236" s="1" t="str">
        <f>HYPERLINK("https://nconnect.nicmar.ac.in/storage/profile/ProfilePhoto_P25700223_327691.jpg","Download")</f>
        <v>0</v>
      </c>
      <c r="BQ236" s="3"/>
      <c r="BR236" s="3"/>
    </row>
    <row r="237" spans="1:70">
      <c r="A237" s="1" t="s">
        <v>70</v>
      </c>
      <c r="B237" s="1" t="s">
        <v>441</v>
      </c>
      <c r="C237" s="1" t="s">
        <v>4889</v>
      </c>
      <c r="D237" s="1" t="s">
        <v>1867</v>
      </c>
      <c r="E237" s="1" t="s">
        <v>4890</v>
      </c>
      <c r="F237" s="1" t="s">
        <v>4891</v>
      </c>
      <c r="G237" s="1" t="s">
        <v>4892</v>
      </c>
      <c r="H237" s="1" t="s">
        <v>4893</v>
      </c>
      <c r="I237" s="1" t="s">
        <v>4894</v>
      </c>
      <c r="J237" s="1">
        <v>7020212917</v>
      </c>
      <c r="K237" s="1" t="s">
        <v>79</v>
      </c>
      <c r="L237" s="1" t="s">
        <v>4895</v>
      </c>
      <c r="M237" s="1" t="s">
        <v>81</v>
      </c>
      <c r="N237" s="1" t="s">
        <v>4896</v>
      </c>
      <c r="O237" s="1"/>
      <c r="P237" s="1" t="s">
        <v>497</v>
      </c>
      <c r="Q237" s="1" t="s">
        <v>4897</v>
      </c>
      <c r="R237" s="1" t="s">
        <v>4898</v>
      </c>
      <c r="S237" s="1">
        <v>9860551989</v>
      </c>
      <c r="T237" s="1" t="s">
        <v>4899</v>
      </c>
      <c r="U237" s="1" t="s">
        <v>4900</v>
      </c>
      <c r="V237" s="1">
        <v>9860551989</v>
      </c>
      <c r="W237" s="1" t="s">
        <v>4901</v>
      </c>
      <c r="X237" s="1" t="s">
        <v>4902</v>
      </c>
      <c r="Y237" s="1" t="s">
        <v>191</v>
      </c>
      <c r="Z237" s="1" t="s">
        <v>92</v>
      </c>
      <c r="AA237" s="1" t="s">
        <v>4903</v>
      </c>
      <c r="AB237" s="1" t="s">
        <v>91</v>
      </c>
      <c r="AC237" s="1" t="s">
        <v>92</v>
      </c>
      <c r="AD237" s="1">
        <v>7.52</v>
      </c>
      <c r="AE237" s="1" t="s">
        <v>93</v>
      </c>
      <c r="AF237" s="1" t="s">
        <v>4904</v>
      </c>
      <c r="AG237" s="1" t="s">
        <v>160</v>
      </c>
      <c r="AH237" s="1" t="s">
        <v>97</v>
      </c>
      <c r="AI237" s="1" t="s">
        <v>1089</v>
      </c>
      <c r="AJ237" s="1">
        <v>68.8</v>
      </c>
      <c r="AK237" s="1">
        <v>0</v>
      </c>
      <c r="AL237" s="1" t="s">
        <v>4905</v>
      </c>
      <c r="AM237" s="1" t="s">
        <v>2735</v>
      </c>
      <c r="AN237" s="1" t="s">
        <v>508</v>
      </c>
      <c r="AO237" s="1" t="s">
        <v>1455</v>
      </c>
      <c r="AP237" s="1">
        <v>80.46</v>
      </c>
      <c r="AQ237" s="1">
        <v>0</v>
      </c>
      <c r="AR237" s="1"/>
      <c r="AS237" s="1"/>
      <c r="AT237" s="1"/>
      <c r="AU237" s="1"/>
      <c r="AV237" s="1"/>
      <c r="AW237" s="1"/>
      <c r="AX237" s="1" t="s">
        <v>4906</v>
      </c>
      <c r="AY237" s="1" t="s">
        <v>4907</v>
      </c>
      <c r="AZ237" s="1" t="s">
        <v>101</v>
      </c>
      <c r="BA237" s="1" t="s">
        <v>105</v>
      </c>
      <c r="BB237" s="1">
        <v>80.8</v>
      </c>
      <c r="BC237" s="1">
        <v>8.58</v>
      </c>
      <c r="BD237" s="1"/>
      <c r="BE237" s="1"/>
      <c r="BF237" s="1"/>
      <c r="BG237" s="1"/>
      <c r="BH237" s="1"/>
      <c r="BI237" s="1"/>
      <c r="BJ237" s="1" t="s">
        <v>567</v>
      </c>
      <c r="BK237" s="1"/>
      <c r="BL237" s="1"/>
      <c r="BM237" s="1" t="s">
        <v>4908</v>
      </c>
      <c r="BN237" s="1">
        <v>77</v>
      </c>
      <c r="BO237" s="1"/>
      <c r="BP237" s="1" t="str">
        <f>HYPERLINK("https://nconnect.nicmar.ac.in/storage/profile/ProfilePhoto_P25700224_261739.jpg","Download")</f>
        <v>0</v>
      </c>
      <c r="BQ237" s="3"/>
      <c r="BR237" s="3"/>
    </row>
    <row r="238" spans="1:70">
      <c r="A238" s="1" t="s">
        <v>70</v>
      </c>
      <c r="B238" s="1" t="s">
        <v>441</v>
      </c>
      <c r="C238" s="1" t="s">
        <v>4909</v>
      </c>
      <c r="D238" s="1" t="s">
        <v>4910</v>
      </c>
      <c r="E238" s="1"/>
      <c r="F238" s="1" t="s">
        <v>1970</v>
      </c>
      <c r="G238" s="1" t="s">
        <v>4911</v>
      </c>
      <c r="H238" s="1" t="s">
        <v>4912</v>
      </c>
      <c r="I238" s="1" t="s">
        <v>4913</v>
      </c>
      <c r="J238" s="1">
        <v>7025870364</v>
      </c>
      <c r="K238" s="1" t="s">
        <v>148</v>
      </c>
      <c r="L238" s="1" t="s">
        <v>4914</v>
      </c>
      <c r="M238" s="1" t="s">
        <v>81</v>
      </c>
      <c r="N238" s="1" t="s">
        <v>4915</v>
      </c>
      <c r="O238" s="1"/>
      <c r="P238" s="1" t="s">
        <v>497</v>
      </c>
      <c r="Q238" s="1" t="s">
        <v>4916</v>
      </c>
      <c r="R238" s="1" t="s">
        <v>4917</v>
      </c>
      <c r="S238" s="1">
        <v>9744453264</v>
      </c>
      <c r="T238" s="1" t="s">
        <v>4918</v>
      </c>
      <c r="U238" s="1" t="s">
        <v>4919</v>
      </c>
      <c r="V238" s="1">
        <v>9562979284</v>
      </c>
      <c r="W238" s="1" t="s">
        <v>273</v>
      </c>
      <c r="X238" s="1" t="s">
        <v>4920</v>
      </c>
      <c r="Y238" s="1" t="s">
        <v>4921</v>
      </c>
      <c r="Z238" s="1" t="s">
        <v>125</v>
      </c>
      <c r="AA238" s="1" t="s">
        <v>4920</v>
      </c>
      <c r="AB238" s="1" t="s">
        <v>4921</v>
      </c>
      <c r="AC238" s="1" t="s">
        <v>125</v>
      </c>
      <c r="AD238" s="1">
        <v>9.02</v>
      </c>
      <c r="AE238" s="1" t="s">
        <v>93</v>
      </c>
      <c r="AF238" s="1" t="s">
        <v>4922</v>
      </c>
      <c r="AG238" s="1" t="s">
        <v>4923</v>
      </c>
      <c r="AH238" s="1" t="s">
        <v>562</v>
      </c>
      <c r="AI238" s="1" t="s">
        <v>166</v>
      </c>
      <c r="AJ238" s="1">
        <v>90</v>
      </c>
      <c r="AK238" s="1">
        <v>0</v>
      </c>
      <c r="AL238" s="1" t="s">
        <v>4922</v>
      </c>
      <c r="AM238" s="1" t="s">
        <v>4923</v>
      </c>
      <c r="AN238" s="1" t="s">
        <v>308</v>
      </c>
      <c r="AO238" s="1" t="s">
        <v>173</v>
      </c>
      <c r="AP238" s="1">
        <v>93.92</v>
      </c>
      <c r="AQ238" s="1">
        <v>0</v>
      </c>
      <c r="AR238" s="1"/>
      <c r="AS238" s="1"/>
      <c r="AT238" s="1"/>
      <c r="AU238" s="1"/>
      <c r="AV238" s="1"/>
      <c r="AW238" s="1"/>
      <c r="AX238" s="1" t="s">
        <v>132</v>
      </c>
      <c r="AY238" s="1" t="s">
        <v>4924</v>
      </c>
      <c r="AZ238" s="1" t="s">
        <v>1622</v>
      </c>
      <c r="BA238" s="1" t="s">
        <v>202</v>
      </c>
      <c r="BB238" s="1">
        <v>90.8</v>
      </c>
      <c r="BC238" s="1">
        <v>9.08</v>
      </c>
      <c r="BD238" s="1"/>
      <c r="BE238" s="1"/>
      <c r="BF238" s="1"/>
      <c r="BG238" s="1"/>
      <c r="BH238" s="1"/>
      <c r="BI238" s="1"/>
      <c r="BJ238" s="1" t="s">
        <v>4925</v>
      </c>
      <c r="BK238" s="1" t="s">
        <v>4926</v>
      </c>
      <c r="BL238" s="1" t="s">
        <v>1048</v>
      </c>
      <c r="BM238" s="1" t="s">
        <v>4927</v>
      </c>
      <c r="BN238" s="1">
        <v>12</v>
      </c>
      <c r="BO238" s="1" t="s">
        <v>4928</v>
      </c>
      <c r="BP238" s="1" t="str">
        <f>HYPERLINK("https://nconnect.nicmar.ac.in/storage/profile/ProfilePhoto_P25700225_983512.jpg","Download")</f>
        <v>0</v>
      </c>
      <c r="BQ238" s="3"/>
      <c r="BR238" s="3"/>
    </row>
    <row r="239" spans="1:70">
      <c r="A239" s="1" t="s">
        <v>70</v>
      </c>
      <c r="B239" s="1" t="s">
        <v>441</v>
      </c>
      <c r="C239" s="1" t="s">
        <v>4929</v>
      </c>
      <c r="D239" s="1" t="s">
        <v>4930</v>
      </c>
      <c r="E239" s="1" t="s">
        <v>4931</v>
      </c>
      <c r="F239" s="1" t="s">
        <v>1299</v>
      </c>
      <c r="G239" s="1" t="s">
        <v>4932</v>
      </c>
      <c r="H239" s="1" t="s">
        <v>4933</v>
      </c>
      <c r="I239" s="1" t="s">
        <v>4934</v>
      </c>
      <c r="J239" s="1">
        <v>7004652048</v>
      </c>
      <c r="K239" s="1" t="s">
        <v>148</v>
      </c>
      <c r="L239" s="1" t="s">
        <v>4935</v>
      </c>
      <c r="M239" s="1" t="s">
        <v>81</v>
      </c>
      <c r="N239" s="1" t="s">
        <v>4289</v>
      </c>
      <c r="O239" s="1"/>
      <c r="P239" s="1" t="s">
        <v>472</v>
      </c>
      <c r="Q239" s="1" t="s">
        <v>4936</v>
      </c>
      <c r="R239" s="1" t="s">
        <v>4937</v>
      </c>
      <c r="S239" s="1">
        <v>9386381598</v>
      </c>
      <c r="T239" s="1" t="s">
        <v>583</v>
      </c>
      <c r="U239" s="1" t="s">
        <v>4938</v>
      </c>
      <c r="V239" s="1">
        <v>9835041874</v>
      </c>
      <c r="W239" s="1" t="s">
        <v>156</v>
      </c>
      <c r="X239" s="1" t="s">
        <v>4939</v>
      </c>
      <c r="Y239" s="1" t="s">
        <v>635</v>
      </c>
      <c r="Z239" s="1" t="s">
        <v>636</v>
      </c>
      <c r="AA239" s="1" t="s">
        <v>4939</v>
      </c>
      <c r="AB239" s="1" t="s">
        <v>635</v>
      </c>
      <c r="AC239" s="1" t="s">
        <v>636</v>
      </c>
      <c r="AD239" s="1">
        <v>8.31</v>
      </c>
      <c r="AE239" s="1" t="s">
        <v>93</v>
      </c>
      <c r="AF239" s="1" t="s">
        <v>4940</v>
      </c>
      <c r="AG239" s="1" t="s">
        <v>4941</v>
      </c>
      <c r="AH239" s="1" t="s">
        <v>3789</v>
      </c>
      <c r="AI239" s="1" t="s">
        <v>1239</v>
      </c>
      <c r="AJ239" s="1">
        <v>79.8</v>
      </c>
      <c r="AK239" s="1">
        <v>8.4</v>
      </c>
      <c r="AL239" s="1" t="s">
        <v>4942</v>
      </c>
      <c r="AM239" s="1" t="s">
        <v>4943</v>
      </c>
      <c r="AN239" s="1" t="s">
        <v>337</v>
      </c>
      <c r="AO239" s="1" t="s">
        <v>4944</v>
      </c>
      <c r="AP239" s="1">
        <v>75</v>
      </c>
      <c r="AQ239" s="1"/>
      <c r="AR239" s="1"/>
      <c r="AS239" s="1"/>
      <c r="AT239" s="1"/>
      <c r="AU239" s="1"/>
      <c r="AV239" s="1"/>
      <c r="AW239" s="1"/>
      <c r="AX239" s="1" t="s">
        <v>1217</v>
      </c>
      <c r="AY239" s="1" t="s">
        <v>4945</v>
      </c>
      <c r="AZ239" s="1" t="s">
        <v>383</v>
      </c>
      <c r="BA239" s="1" t="s">
        <v>539</v>
      </c>
      <c r="BB239" s="1">
        <v>78.5</v>
      </c>
      <c r="BC239" s="1">
        <v>8.6</v>
      </c>
      <c r="BD239" s="1"/>
      <c r="BE239" s="1"/>
      <c r="BF239" s="1"/>
      <c r="BG239" s="1"/>
      <c r="BH239" s="1"/>
      <c r="BI239" s="1"/>
      <c r="BJ239" s="1" t="s">
        <v>4946</v>
      </c>
      <c r="BK239" s="1" t="s">
        <v>4947</v>
      </c>
      <c r="BL239" s="1" t="s">
        <v>4948</v>
      </c>
      <c r="BM239" s="1" t="s">
        <v>4949</v>
      </c>
      <c r="BN239" s="1">
        <v>7</v>
      </c>
      <c r="BO239" s="1" t="s">
        <v>4950</v>
      </c>
      <c r="BP239" s="1" t="str">
        <f>HYPERLINK("https://nconnect.nicmar.ac.in/storage/profile/ProfilePhoto_P25700227_241753.jpg","Download")</f>
        <v>0</v>
      </c>
      <c r="BQ239" s="3"/>
      <c r="BR239" s="3"/>
    </row>
    <row r="240" spans="1:70">
      <c r="A240" s="1" t="s">
        <v>70</v>
      </c>
      <c r="B240" s="1" t="s">
        <v>441</v>
      </c>
      <c r="C240" s="1" t="s">
        <v>4951</v>
      </c>
      <c r="D240" s="1" t="s">
        <v>4952</v>
      </c>
      <c r="E240" s="1"/>
      <c r="F240" s="1" t="s">
        <v>345</v>
      </c>
      <c r="G240" s="1" t="s">
        <v>4953</v>
      </c>
      <c r="H240" s="1" t="s">
        <v>4954</v>
      </c>
      <c r="I240" s="1" t="s">
        <v>4955</v>
      </c>
      <c r="J240" s="1">
        <v>6397491448</v>
      </c>
      <c r="K240" s="1" t="s">
        <v>79</v>
      </c>
      <c r="L240" s="1" t="s">
        <v>4956</v>
      </c>
      <c r="M240" s="1" t="s">
        <v>81</v>
      </c>
      <c r="N240" s="1" t="s">
        <v>4289</v>
      </c>
      <c r="O240" s="1" t="s">
        <v>4957</v>
      </c>
      <c r="P240" s="1" t="s">
        <v>117</v>
      </c>
      <c r="Q240" s="1" t="s">
        <v>4958</v>
      </c>
      <c r="R240" s="1" t="s">
        <v>4959</v>
      </c>
      <c r="S240" s="1">
        <v>6260257146</v>
      </c>
      <c r="T240" s="1" t="s">
        <v>1472</v>
      </c>
      <c r="U240" s="1" t="s">
        <v>4960</v>
      </c>
      <c r="V240" s="1">
        <v>8218895451</v>
      </c>
      <c r="W240" s="1" t="s">
        <v>156</v>
      </c>
      <c r="X240" s="1" t="s">
        <v>4961</v>
      </c>
      <c r="Y240" s="1" t="s">
        <v>191</v>
      </c>
      <c r="Z240" s="1" t="s">
        <v>92</v>
      </c>
      <c r="AA240" s="1" t="s">
        <v>4962</v>
      </c>
      <c r="AB240" s="1" t="s">
        <v>4963</v>
      </c>
      <c r="AC240" s="1" t="s">
        <v>534</v>
      </c>
      <c r="AD240" s="1">
        <v>9.0</v>
      </c>
      <c r="AE240" s="1" t="s">
        <v>93</v>
      </c>
      <c r="AF240" s="1" t="s">
        <v>4964</v>
      </c>
      <c r="AG240" s="1" t="s">
        <v>4965</v>
      </c>
      <c r="AH240" s="1" t="s">
        <v>97</v>
      </c>
      <c r="AI240" s="1" t="s">
        <v>614</v>
      </c>
      <c r="AJ240" s="1">
        <v>87.4</v>
      </c>
      <c r="AK240" s="1">
        <v>9.2</v>
      </c>
      <c r="AL240" s="1" t="s">
        <v>4964</v>
      </c>
      <c r="AM240" s="1" t="s">
        <v>4965</v>
      </c>
      <c r="AN240" s="1" t="s">
        <v>195</v>
      </c>
      <c r="AO240" s="1" t="s">
        <v>166</v>
      </c>
      <c r="AP240" s="1">
        <v>85.2</v>
      </c>
      <c r="AQ240" s="1"/>
      <c r="AR240" s="1"/>
      <c r="AS240" s="1"/>
      <c r="AT240" s="1"/>
      <c r="AU240" s="1"/>
      <c r="AV240" s="1"/>
      <c r="AW240" s="1"/>
      <c r="AX240" s="1" t="s">
        <v>4966</v>
      </c>
      <c r="AY240" s="1" t="s">
        <v>4967</v>
      </c>
      <c r="AZ240" s="1" t="s">
        <v>412</v>
      </c>
      <c r="BA240" s="1" t="s">
        <v>413</v>
      </c>
      <c r="BB240" s="1">
        <v>94.2</v>
      </c>
      <c r="BC240" s="1">
        <v>9.42</v>
      </c>
      <c r="BD240" s="1"/>
      <c r="BE240" s="1"/>
      <c r="BF240" s="1"/>
      <c r="BG240" s="1"/>
      <c r="BH240" s="1"/>
      <c r="BI240" s="1"/>
      <c r="BJ240" s="1" t="s">
        <v>567</v>
      </c>
      <c r="BK240" s="1"/>
      <c r="BL240" s="1"/>
      <c r="BM240" s="1" t="s">
        <v>4968</v>
      </c>
      <c r="BN240" s="1">
        <v>12</v>
      </c>
      <c r="BO240" s="1"/>
      <c r="BP240" s="1" t="str">
        <f>HYPERLINK("https://nconnect.nicmar.ac.in/storage/profile/ProfilePhoto_P25700228_279168.jpg","Download")</f>
        <v>0</v>
      </c>
      <c r="BQ240" s="3"/>
      <c r="BR240" s="3"/>
    </row>
    <row r="241" spans="1:70">
      <c r="A241" s="1" t="s">
        <v>70</v>
      </c>
      <c r="B241" s="1" t="s">
        <v>441</v>
      </c>
      <c r="C241" s="1" t="s">
        <v>4969</v>
      </c>
      <c r="D241" s="1" t="s">
        <v>1297</v>
      </c>
      <c r="E241" s="1" t="s">
        <v>4970</v>
      </c>
      <c r="F241" s="1" t="s">
        <v>4971</v>
      </c>
      <c r="G241" s="1" t="s">
        <v>4972</v>
      </c>
      <c r="H241" s="1" t="s">
        <v>4973</v>
      </c>
      <c r="I241" s="1" t="s">
        <v>4974</v>
      </c>
      <c r="J241" s="1">
        <v>8850605554</v>
      </c>
      <c r="K241" s="1" t="s">
        <v>79</v>
      </c>
      <c r="L241" s="1" t="s">
        <v>4975</v>
      </c>
      <c r="M241" s="1" t="s">
        <v>81</v>
      </c>
      <c r="N241" s="1" t="s">
        <v>4976</v>
      </c>
      <c r="O241" s="1"/>
      <c r="P241" s="1" t="s">
        <v>497</v>
      </c>
      <c r="Q241" s="1" t="s">
        <v>4977</v>
      </c>
      <c r="R241" s="1" t="s">
        <v>4978</v>
      </c>
      <c r="S241" s="1">
        <v>9969579719</v>
      </c>
      <c r="T241" s="1" t="s">
        <v>1529</v>
      </c>
      <c r="U241" s="1" t="s">
        <v>4979</v>
      </c>
      <c r="V241" s="1">
        <v>9987624270</v>
      </c>
      <c r="W241" s="1" t="s">
        <v>2344</v>
      </c>
      <c r="X241" s="1" t="s">
        <v>4980</v>
      </c>
      <c r="Y241" s="1" t="s">
        <v>2229</v>
      </c>
      <c r="Z241" s="1" t="s">
        <v>92</v>
      </c>
      <c r="AA241" s="1" t="s">
        <v>4981</v>
      </c>
      <c r="AB241" s="1" t="s">
        <v>2229</v>
      </c>
      <c r="AC241" s="1" t="s">
        <v>92</v>
      </c>
      <c r="AD241" s="1">
        <v>7.98</v>
      </c>
      <c r="AE241" s="1" t="s">
        <v>93</v>
      </c>
      <c r="AF241" s="1" t="s">
        <v>4982</v>
      </c>
      <c r="AG241" s="1" t="s">
        <v>4983</v>
      </c>
      <c r="AH241" s="1" t="s">
        <v>1374</v>
      </c>
      <c r="AI241" s="1" t="s">
        <v>562</v>
      </c>
      <c r="AJ241" s="1">
        <v>76.6</v>
      </c>
      <c r="AK241" s="1">
        <v>0</v>
      </c>
      <c r="AL241" s="1" t="s">
        <v>4984</v>
      </c>
      <c r="AM241" s="1" t="s">
        <v>4983</v>
      </c>
      <c r="AN241" s="1" t="s">
        <v>383</v>
      </c>
      <c r="AO241" s="1" t="s">
        <v>198</v>
      </c>
      <c r="AP241" s="1">
        <v>61.38</v>
      </c>
      <c r="AQ241" s="1">
        <v>0</v>
      </c>
      <c r="AR241" s="1"/>
      <c r="AS241" s="1"/>
      <c r="AT241" s="1"/>
      <c r="AU241" s="1"/>
      <c r="AV241" s="1"/>
      <c r="AW241" s="1"/>
      <c r="AX241" s="1" t="s">
        <v>253</v>
      </c>
      <c r="AY241" s="1" t="s">
        <v>4985</v>
      </c>
      <c r="AZ241" s="1" t="s">
        <v>310</v>
      </c>
      <c r="BA241" s="1" t="s">
        <v>174</v>
      </c>
      <c r="BB241" s="1">
        <v>73.65</v>
      </c>
      <c r="BC241" s="1">
        <v>8.26</v>
      </c>
      <c r="BD241" s="1"/>
      <c r="BE241" s="1"/>
      <c r="BF241" s="1"/>
      <c r="BG241" s="1"/>
      <c r="BH241" s="1"/>
      <c r="BI241" s="1"/>
      <c r="BJ241" s="1" t="s">
        <v>4986</v>
      </c>
      <c r="BK241" s="1" t="s">
        <v>4987</v>
      </c>
      <c r="BL241" s="1" t="s">
        <v>463</v>
      </c>
      <c r="BM241" s="1" t="s">
        <v>4988</v>
      </c>
      <c r="BN241" s="1">
        <v>16</v>
      </c>
      <c r="BO241" s="1" t="s">
        <v>4989</v>
      </c>
      <c r="BP241" s="1" t="str">
        <f>HYPERLINK("https://nconnect.nicmar.ac.in/storage/profile/ProfilePhoto_P25700229_187625.jpg","Download")</f>
        <v>0</v>
      </c>
      <c r="BQ241" s="3"/>
      <c r="BR241" s="3"/>
    </row>
    <row r="242" spans="1:70">
      <c r="A242" s="1" t="s">
        <v>70</v>
      </c>
      <c r="B242" s="1" t="s">
        <v>441</v>
      </c>
      <c r="C242" s="1" t="s">
        <v>4990</v>
      </c>
      <c r="D242" s="1" t="s">
        <v>4991</v>
      </c>
      <c r="E242" s="1" t="s">
        <v>4992</v>
      </c>
      <c r="F242" s="1" t="s">
        <v>392</v>
      </c>
      <c r="G242" s="1" t="s">
        <v>4993</v>
      </c>
      <c r="H242" s="1" t="s">
        <v>4994</v>
      </c>
      <c r="I242" s="1" t="s">
        <v>4995</v>
      </c>
      <c r="J242" s="1">
        <v>8788178630</v>
      </c>
      <c r="K242" s="1" t="s">
        <v>148</v>
      </c>
      <c r="L242" s="1" t="s">
        <v>3203</v>
      </c>
      <c r="M242" s="1" t="s">
        <v>81</v>
      </c>
      <c r="N242" s="1" t="s">
        <v>4996</v>
      </c>
      <c r="O242" s="1"/>
      <c r="P242" s="1" t="s">
        <v>472</v>
      </c>
      <c r="Q242" s="1" t="s">
        <v>4997</v>
      </c>
      <c r="R242" s="1" t="s">
        <v>4998</v>
      </c>
      <c r="S242" s="1">
        <v>9422375756</v>
      </c>
      <c r="T242" s="1" t="s">
        <v>3807</v>
      </c>
      <c r="U242" s="1" t="s">
        <v>4999</v>
      </c>
      <c r="V242" s="1">
        <v>9405429316</v>
      </c>
      <c r="W242" s="1" t="s">
        <v>156</v>
      </c>
      <c r="X242" s="1" t="s">
        <v>5000</v>
      </c>
      <c r="Y242" s="1" t="s">
        <v>191</v>
      </c>
      <c r="Z242" s="1" t="s">
        <v>92</v>
      </c>
      <c r="AA242" s="1" t="s">
        <v>5000</v>
      </c>
      <c r="AB242" s="1" t="s">
        <v>191</v>
      </c>
      <c r="AC242" s="1" t="s">
        <v>92</v>
      </c>
      <c r="AD242" s="1">
        <v>8.55</v>
      </c>
      <c r="AE242" s="1" t="s">
        <v>93</v>
      </c>
      <c r="AF242" s="1" t="s">
        <v>5001</v>
      </c>
      <c r="AG242" s="1" t="s">
        <v>3071</v>
      </c>
      <c r="AH242" s="1" t="s">
        <v>162</v>
      </c>
      <c r="AI242" s="1" t="s">
        <v>165</v>
      </c>
      <c r="AJ242" s="1">
        <v>88</v>
      </c>
      <c r="AK242" s="1"/>
      <c r="AL242" s="1" t="s">
        <v>5002</v>
      </c>
      <c r="AM242" s="1" t="s">
        <v>160</v>
      </c>
      <c r="AN242" s="1" t="s">
        <v>101</v>
      </c>
      <c r="AO242" s="1" t="s">
        <v>198</v>
      </c>
      <c r="AP242" s="1">
        <v>61.54</v>
      </c>
      <c r="AQ242" s="1"/>
      <c r="AR242" s="1"/>
      <c r="AS242" s="1"/>
      <c r="AT242" s="1"/>
      <c r="AU242" s="1"/>
      <c r="AV242" s="1"/>
      <c r="AW242" s="1"/>
      <c r="AX242" s="1" t="s">
        <v>361</v>
      </c>
      <c r="AY242" s="1" t="s">
        <v>5003</v>
      </c>
      <c r="AZ242" s="1" t="s">
        <v>201</v>
      </c>
      <c r="BA242" s="1" t="s">
        <v>174</v>
      </c>
      <c r="BB242" s="1">
        <v>86.26</v>
      </c>
      <c r="BC242" s="1"/>
      <c r="BD242" s="1"/>
      <c r="BE242" s="1"/>
      <c r="BF242" s="1"/>
      <c r="BG242" s="1"/>
      <c r="BH242" s="1"/>
      <c r="BI242" s="1"/>
      <c r="BJ242" s="1" t="s">
        <v>5004</v>
      </c>
      <c r="BK242" s="1" t="s">
        <v>5005</v>
      </c>
      <c r="BL242" s="1" t="s">
        <v>741</v>
      </c>
      <c r="BM242" s="1" t="s">
        <v>5006</v>
      </c>
      <c r="BN242" s="1">
        <v>13</v>
      </c>
      <c r="BO242" s="1"/>
      <c r="BP242" s="1" t="str">
        <f>HYPERLINK("https://nconnect.nicmar.ac.in/storage/profile/ProfilePhoto_P25700230_398462.jpg","Download")</f>
        <v>0</v>
      </c>
      <c r="BQ242" s="3"/>
      <c r="BR242" s="3"/>
    </row>
    <row r="243" spans="1:70">
      <c r="A243" s="1" t="s">
        <v>70</v>
      </c>
      <c r="B243" s="1" t="s">
        <v>441</v>
      </c>
      <c r="C243" s="1" t="s">
        <v>5007</v>
      </c>
      <c r="D243" s="1" t="s">
        <v>5008</v>
      </c>
      <c r="E243" s="1" t="s">
        <v>5009</v>
      </c>
      <c r="F243" s="1" t="s">
        <v>1847</v>
      </c>
      <c r="G243" s="1" t="s">
        <v>5010</v>
      </c>
      <c r="H243" s="1" t="s">
        <v>5011</v>
      </c>
      <c r="I243" s="1" t="s">
        <v>5012</v>
      </c>
      <c r="J243" s="1">
        <v>8766581679</v>
      </c>
      <c r="K243" s="1" t="s">
        <v>79</v>
      </c>
      <c r="L243" s="1" t="s">
        <v>5013</v>
      </c>
      <c r="M243" s="1" t="s">
        <v>81</v>
      </c>
      <c r="N243" s="1" t="s">
        <v>883</v>
      </c>
      <c r="O243" s="1"/>
      <c r="P243" s="1" t="s">
        <v>472</v>
      </c>
      <c r="Q243" s="1" t="s">
        <v>5014</v>
      </c>
      <c r="R243" s="1" t="s">
        <v>5009</v>
      </c>
      <c r="S243" s="1">
        <v>8888554858</v>
      </c>
      <c r="T243" s="1" t="s">
        <v>154</v>
      </c>
      <c r="U243" s="1" t="s">
        <v>5015</v>
      </c>
      <c r="V243" s="1">
        <v>9765895729</v>
      </c>
      <c r="W243" s="1" t="s">
        <v>156</v>
      </c>
      <c r="X243" s="1" t="s">
        <v>5016</v>
      </c>
      <c r="Y243" s="1" t="s">
        <v>429</v>
      </c>
      <c r="Z243" s="1" t="s">
        <v>92</v>
      </c>
      <c r="AA243" s="1" t="s">
        <v>5016</v>
      </c>
      <c r="AB243" s="1" t="s">
        <v>429</v>
      </c>
      <c r="AC243" s="1" t="s">
        <v>92</v>
      </c>
      <c r="AD243" s="1">
        <v>7.47</v>
      </c>
      <c r="AE243" s="1" t="s">
        <v>93</v>
      </c>
      <c r="AF243" s="1" t="s">
        <v>5017</v>
      </c>
      <c r="AG243" s="1" t="s">
        <v>975</v>
      </c>
      <c r="AH243" s="1" t="s">
        <v>1374</v>
      </c>
      <c r="AI243" s="1" t="s">
        <v>101</v>
      </c>
      <c r="AJ243" s="1">
        <v>76.2</v>
      </c>
      <c r="AK243" s="1"/>
      <c r="AL243" s="1" t="s">
        <v>5018</v>
      </c>
      <c r="AM243" s="1" t="s">
        <v>975</v>
      </c>
      <c r="AN243" s="1" t="s">
        <v>169</v>
      </c>
      <c r="AO243" s="1" t="s">
        <v>173</v>
      </c>
      <c r="AP243" s="1">
        <v>66.92</v>
      </c>
      <c r="AQ243" s="1"/>
      <c r="AR243" s="1"/>
      <c r="AS243" s="1"/>
      <c r="AT243" s="1"/>
      <c r="AU243" s="1"/>
      <c r="AV243" s="1"/>
      <c r="AW243" s="1"/>
      <c r="AX243" s="1" t="s">
        <v>5019</v>
      </c>
      <c r="AY243" s="1" t="s">
        <v>5020</v>
      </c>
      <c r="AZ243" s="1" t="s">
        <v>460</v>
      </c>
      <c r="BA243" s="1" t="s">
        <v>202</v>
      </c>
      <c r="BB243" s="1">
        <v>68.5</v>
      </c>
      <c r="BC243" s="1">
        <v>7.6</v>
      </c>
      <c r="BD243" s="1"/>
      <c r="BE243" s="1"/>
      <c r="BF243" s="1"/>
      <c r="BG243" s="1"/>
      <c r="BH243" s="1"/>
      <c r="BI243" s="1"/>
      <c r="BJ243" s="1" t="s">
        <v>5021</v>
      </c>
      <c r="BK243" s="1"/>
      <c r="BL243" s="1"/>
      <c r="BM243" s="1" t="s">
        <v>5022</v>
      </c>
      <c r="BN243" s="1">
        <v>12</v>
      </c>
      <c r="BO243" s="1"/>
      <c r="BP243" s="1" t="str">
        <f>HYPERLINK("https://nconnect.nicmar.ac.in/storage/profile/ProfilePhoto_P25700231_485793.jpg","Download")</f>
        <v>0</v>
      </c>
      <c r="BQ243" s="3"/>
      <c r="BR243" s="3"/>
    </row>
    <row r="244" spans="1:70">
      <c r="A244" s="1" t="s">
        <v>70</v>
      </c>
      <c r="B244" s="1" t="s">
        <v>441</v>
      </c>
      <c r="C244" s="1" t="s">
        <v>5023</v>
      </c>
      <c r="D244" s="1" t="s">
        <v>2838</v>
      </c>
      <c r="E244" s="1" t="s">
        <v>234</v>
      </c>
      <c r="F244" s="1" t="s">
        <v>5024</v>
      </c>
      <c r="G244" s="1" t="s">
        <v>5025</v>
      </c>
      <c r="H244" s="1" t="s">
        <v>5026</v>
      </c>
      <c r="I244" s="1" t="s">
        <v>5027</v>
      </c>
      <c r="J244" s="1">
        <v>8830849218</v>
      </c>
      <c r="K244" s="1" t="s">
        <v>79</v>
      </c>
      <c r="L244" s="1" t="s">
        <v>5028</v>
      </c>
      <c r="M244" s="1" t="s">
        <v>81</v>
      </c>
      <c r="N244" s="1" t="s">
        <v>5029</v>
      </c>
      <c r="O244" s="1"/>
      <c r="P244" s="1"/>
      <c r="Q244" s="1" t="s">
        <v>5030</v>
      </c>
      <c r="R244" s="1" t="s">
        <v>234</v>
      </c>
      <c r="S244" s="1">
        <v>9881246806</v>
      </c>
      <c r="T244" s="1" t="s">
        <v>5031</v>
      </c>
      <c r="U244" s="1" t="s">
        <v>5032</v>
      </c>
      <c r="V244" s="1">
        <v>9823724184</v>
      </c>
      <c r="W244" s="1" t="s">
        <v>122</v>
      </c>
      <c r="X244" s="1" t="s">
        <v>5033</v>
      </c>
      <c r="Y244" s="1" t="s">
        <v>5034</v>
      </c>
      <c r="Z244" s="1" t="s">
        <v>92</v>
      </c>
      <c r="AA244" s="1" t="s">
        <v>5033</v>
      </c>
      <c r="AB244" s="1" t="s">
        <v>5034</v>
      </c>
      <c r="AC244" s="1" t="s">
        <v>92</v>
      </c>
      <c r="AD244" s="1">
        <v>7.72</v>
      </c>
      <c r="AE244" s="1" t="s">
        <v>93</v>
      </c>
      <c r="AF244" s="1" t="s">
        <v>5035</v>
      </c>
      <c r="AG244" s="1" t="s">
        <v>5036</v>
      </c>
      <c r="AH244" s="1" t="s">
        <v>689</v>
      </c>
      <c r="AI244" s="1" t="s">
        <v>281</v>
      </c>
      <c r="AJ244" s="1">
        <v>87.2</v>
      </c>
      <c r="AK244" s="1"/>
      <c r="AL244" s="1" t="s">
        <v>5037</v>
      </c>
      <c r="AM244" s="1" t="s">
        <v>5036</v>
      </c>
      <c r="AN244" s="1" t="s">
        <v>409</v>
      </c>
      <c r="AO244" s="1" t="s">
        <v>360</v>
      </c>
      <c r="AP244" s="1">
        <v>66.15</v>
      </c>
      <c r="AQ244" s="1"/>
      <c r="AR244" s="1"/>
      <c r="AS244" s="1"/>
      <c r="AT244" s="1"/>
      <c r="AU244" s="1"/>
      <c r="AV244" s="1"/>
      <c r="AW244" s="1"/>
      <c r="AX244" s="1" t="s">
        <v>5038</v>
      </c>
      <c r="AY244" s="1" t="s">
        <v>5039</v>
      </c>
      <c r="AZ244" s="1" t="s">
        <v>871</v>
      </c>
      <c r="BA244" s="1" t="s">
        <v>202</v>
      </c>
      <c r="BB244" s="1">
        <v>72.1</v>
      </c>
      <c r="BC244" s="1">
        <v>7.96</v>
      </c>
      <c r="BD244" s="1"/>
      <c r="BE244" s="1"/>
      <c r="BF244" s="1"/>
      <c r="BG244" s="1"/>
      <c r="BH244" s="1"/>
      <c r="BI244" s="1"/>
      <c r="BJ244" s="1" t="s">
        <v>5040</v>
      </c>
      <c r="BK244" s="1" t="s">
        <v>5041</v>
      </c>
      <c r="BL244" s="1" t="s">
        <v>1022</v>
      </c>
      <c r="BM244" s="1" t="s">
        <v>5042</v>
      </c>
      <c r="BN244" s="1">
        <v>12</v>
      </c>
      <c r="BO244" s="1" t="s">
        <v>5043</v>
      </c>
      <c r="BP244" s="1" t="str">
        <f>HYPERLINK("https://nconnect.nicmar.ac.in/storage/profile/ProfilePhoto_P25700232_974861.jpg","Download")</f>
        <v>0</v>
      </c>
      <c r="BQ244" s="3"/>
      <c r="BR244" s="3"/>
    </row>
    <row r="245" spans="1:70">
      <c r="A245" s="1" t="s">
        <v>70</v>
      </c>
      <c r="B245" s="1" t="s">
        <v>441</v>
      </c>
      <c r="C245" s="1" t="s">
        <v>5044</v>
      </c>
      <c r="D245" s="1" t="s">
        <v>5045</v>
      </c>
      <c r="E245" s="1" t="s">
        <v>4342</v>
      </c>
      <c r="F245" s="1" t="s">
        <v>236</v>
      </c>
      <c r="G245" s="1" t="s">
        <v>5046</v>
      </c>
      <c r="H245" s="1" t="s">
        <v>5047</v>
      </c>
      <c r="I245" s="1" t="s">
        <v>5048</v>
      </c>
      <c r="J245" s="1">
        <v>8446882321</v>
      </c>
      <c r="K245" s="1" t="s">
        <v>148</v>
      </c>
      <c r="L245" s="1" t="s">
        <v>5049</v>
      </c>
      <c r="M245" s="1" t="s">
        <v>81</v>
      </c>
      <c r="N245" s="1" t="s">
        <v>1140</v>
      </c>
      <c r="O245" s="1"/>
      <c r="P245" s="1" t="s">
        <v>497</v>
      </c>
      <c r="Q245" s="1" t="s">
        <v>5050</v>
      </c>
      <c r="R245" s="1" t="s">
        <v>5051</v>
      </c>
      <c r="S245" s="1">
        <v>9423582073</v>
      </c>
      <c r="T245" s="1" t="s">
        <v>5052</v>
      </c>
      <c r="U245" s="1" t="s">
        <v>5053</v>
      </c>
      <c r="V245" s="1">
        <v>7378642004</v>
      </c>
      <c r="W245" s="1" t="s">
        <v>156</v>
      </c>
      <c r="X245" s="1" t="s">
        <v>5054</v>
      </c>
      <c r="Y245" s="1" t="s">
        <v>191</v>
      </c>
      <c r="Z245" s="1" t="s">
        <v>92</v>
      </c>
      <c r="AA245" s="1" t="s">
        <v>5054</v>
      </c>
      <c r="AB245" s="1" t="s">
        <v>191</v>
      </c>
      <c r="AC245" s="1" t="s">
        <v>92</v>
      </c>
      <c r="AD245" s="1">
        <v>7.72</v>
      </c>
      <c r="AE245" s="1" t="s">
        <v>93</v>
      </c>
      <c r="AF245" s="1" t="s">
        <v>5055</v>
      </c>
      <c r="AG245" s="1" t="s">
        <v>688</v>
      </c>
      <c r="AH245" s="1" t="s">
        <v>162</v>
      </c>
      <c r="AI245" s="1" t="s">
        <v>165</v>
      </c>
      <c r="AJ245" s="1">
        <v>77.9</v>
      </c>
      <c r="AK245" s="1">
        <v>8.2</v>
      </c>
      <c r="AL245" s="1"/>
      <c r="AM245" s="1"/>
      <c r="AN245" s="1"/>
      <c r="AO245" s="1"/>
      <c r="AP245" s="1"/>
      <c r="AQ245" s="1"/>
      <c r="AR245" s="1" t="s">
        <v>98</v>
      </c>
      <c r="AS245" s="1" t="s">
        <v>5056</v>
      </c>
      <c r="AT245" s="1" t="s">
        <v>225</v>
      </c>
      <c r="AU245" s="1" t="s">
        <v>170</v>
      </c>
      <c r="AV245" s="1">
        <v>87.79</v>
      </c>
      <c r="AW245" s="1"/>
      <c r="AX245" s="1" t="s">
        <v>361</v>
      </c>
      <c r="AY245" s="1" t="s">
        <v>5057</v>
      </c>
      <c r="AZ245" s="1" t="s">
        <v>363</v>
      </c>
      <c r="BA245" s="1" t="s">
        <v>829</v>
      </c>
      <c r="BB245" s="1">
        <v>68.7</v>
      </c>
      <c r="BC245" s="1">
        <v>7.72</v>
      </c>
      <c r="BD245" s="1"/>
      <c r="BE245" s="1"/>
      <c r="BF245" s="1"/>
      <c r="BG245" s="1"/>
      <c r="BH245" s="1"/>
      <c r="BI245" s="1"/>
      <c r="BJ245" s="1" t="s">
        <v>5058</v>
      </c>
      <c r="BK245" s="1"/>
      <c r="BL245" s="1"/>
      <c r="BM245" s="1" t="s">
        <v>5059</v>
      </c>
      <c r="BN245" s="1">
        <v>31</v>
      </c>
      <c r="BO245" s="1"/>
      <c r="BP245" s="1" t="str">
        <f>HYPERLINK("https://nconnect.nicmar.ac.in/storage/profile/ProfilePhoto_P25700233_537914.jpg","Download")</f>
        <v>0</v>
      </c>
      <c r="BQ245" s="3"/>
      <c r="BR245" s="3"/>
    </row>
    <row r="246" spans="1:70">
      <c r="A246" s="1" t="s">
        <v>70</v>
      </c>
      <c r="B246" s="1" t="s">
        <v>441</v>
      </c>
      <c r="C246" s="1" t="s">
        <v>5060</v>
      </c>
      <c r="D246" s="1" t="s">
        <v>5061</v>
      </c>
      <c r="E246" s="1"/>
      <c r="F246" s="1" t="s">
        <v>1358</v>
      </c>
      <c r="G246" s="1" t="s">
        <v>5062</v>
      </c>
      <c r="H246" s="1" t="s">
        <v>5063</v>
      </c>
      <c r="I246" s="1" t="s">
        <v>5064</v>
      </c>
      <c r="J246" s="1">
        <v>9967051993</v>
      </c>
      <c r="K246" s="1" t="s">
        <v>79</v>
      </c>
      <c r="L246" s="1" t="s">
        <v>5065</v>
      </c>
      <c r="M246" s="1" t="s">
        <v>81</v>
      </c>
      <c r="N246" s="1" t="s">
        <v>350</v>
      </c>
      <c r="O246" s="1"/>
      <c r="P246" s="1" t="s">
        <v>472</v>
      </c>
      <c r="Q246" s="1" t="s">
        <v>5066</v>
      </c>
      <c r="R246" s="1" t="s">
        <v>5067</v>
      </c>
      <c r="S246" s="1">
        <v>9819004104</v>
      </c>
      <c r="T246" s="1" t="s">
        <v>1472</v>
      </c>
      <c r="U246" s="1" t="s">
        <v>5068</v>
      </c>
      <c r="V246" s="1">
        <v>8850137183</v>
      </c>
      <c r="W246" s="1" t="s">
        <v>5069</v>
      </c>
      <c r="X246" s="1" t="s">
        <v>5070</v>
      </c>
      <c r="Y246" s="1" t="s">
        <v>2229</v>
      </c>
      <c r="Z246" s="1" t="s">
        <v>92</v>
      </c>
      <c r="AA246" s="1" t="s">
        <v>5070</v>
      </c>
      <c r="AB246" s="1" t="s">
        <v>2229</v>
      </c>
      <c r="AC246" s="1" t="s">
        <v>92</v>
      </c>
      <c r="AD246" s="1">
        <v>7.9</v>
      </c>
      <c r="AE246" s="1" t="s">
        <v>93</v>
      </c>
      <c r="AF246" s="1" t="s">
        <v>5071</v>
      </c>
      <c r="AG246" s="1" t="s">
        <v>5072</v>
      </c>
      <c r="AH246" s="1" t="s">
        <v>195</v>
      </c>
      <c r="AI246" s="1" t="s">
        <v>281</v>
      </c>
      <c r="AJ246" s="1">
        <v>87.8</v>
      </c>
      <c r="AK246" s="1"/>
      <c r="AL246" s="1" t="s">
        <v>5073</v>
      </c>
      <c r="AM246" s="1" t="s">
        <v>5072</v>
      </c>
      <c r="AN246" s="1" t="s">
        <v>198</v>
      </c>
      <c r="AO246" s="1" t="s">
        <v>360</v>
      </c>
      <c r="AP246" s="1">
        <v>63.23</v>
      </c>
      <c r="AQ246" s="1"/>
      <c r="AR246" s="1"/>
      <c r="AS246" s="1"/>
      <c r="AT246" s="1"/>
      <c r="AU246" s="1"/>
      <c r="AV246" s="1"/>
      <c r="AW246" s="1"/>
      <c r="AX246" s="1" t="s">
        <v>253</v>
      </c>
      <c r="AY246" s="1" t="s">
        <v>2236</v>
      </c>
      <c r="AZ246" s="1" t="s">
        <v>228</v>
      </c>
      <c r="BA246" s="1" t="s">
        <v>1109</v>
      </c>
      <c r="BB246" s="1">
        <v>69.42</v>
      </c>
      <c r="BC246" s="1"/>
      <c r="BD246" s="1"/>
      <c r="BE246" s="1"/>
      <c r="BF246" s="1"/>
      <c r="BG246" s="1"/>
      <c r="BH246" s="1"/>
      <c r="BI246" s="1"/>
      <c r="BJ246" s="1" t="s">
        <v>364</v>
      </c>
      <c r="BK246" s="1"/>
      <c r="BL246" s="1"/>
      <c r="BM246" s="1" t="s">
        <v>5074</v>
      </c>
      <c r="BN246" s="1">
        <v>22</v>
      </c>
      <c r="BO246" s="1" t="s">
        <v>5075</v>
      </c>
      <c r="BP246" s="1" t="str">
        <f>HYPERLINK("https://nconnect.nicmar.ac.in/storage/profile/ProfilePhoto_P25700234_527634.jpg","Download")</f>
        <v>0</v>
      </c>
      <c r="BQ246" s="3"/>
      <c r="BR246" s="3"/>
    </row>
    <row r="247" spans="1:70">
      <c r="A247" s="1" t="s">
        <v>70</v>
      </c>
      <c r="B247" s="1" t="s">
        <v>441</v>
      </c>
      <c r="C247" s="1" t="s">
        <v>5076</v>
      </c>
      <c r="D247" s="1" t="s">
        <v>5077</v>
      </c>
      <c r="E247" s="1" t="s">
        <v>5078</v>
      </c>
      <c r="F247" s="1" t="s">
        <v>3685</v>
      </c>
      <c r="G247" s="1" t="s">
        <v>5079</v>
      </c>
      <c r="H247" s="1" t="s">
        <v>5080</v>
      </c>
      <c r="I247" s="1" t="s">
        <v>5081</v>
      </c>
      <c r="J247" s="1">
        <v>8379979968</v>
      </c>
      <c r="K247" s="1" t="s">
        <v>79</v>
      </c>
      <c r="L247" s="1" t="s">
        <v>5082</v>
      </c>
      <c r="M247" s="1" t="s">
        <v>81</v>
      </c>
      <c r="N247" s="1" t="s">
        <v>1448</v>
      </c>
      <c r="O247" s="1"/>
      <c r="P247" s="1" t="s">
        <v>2035</v>
      </c>
      <c r="Q247" s="1" t="s">
        <v>5083</v>
      </c>
      <c r="R247" s="1" t="s">
        <v>5078</v>
      </c>
      <c r="S247" s="1">
        <v>8806122124</v>
      </c>
      <c r="T247" s="1" t="s">
        <v>154</v>
      </c>
      <c r="U247" s="1" t="s">
        <v>5084</v>
      </c>
      <c r="V247" s="1">
        <v>9579218689</v>
      </c>
      <c r="W247" s="1" t="s">
        <v>273</v>
      </c>
      <c r="X247" s="1" t="s">
        <v>5085</v>
      </c>
      <c r="Y247" s="1" t="s">
        <v>191</v>
      </c>
      <c r="Z247" s="1" t="s">
        <v>92</v>
      </c>
      <c r="AA247" s="1" t="s">
        <v>5086</v>
      </c>
      <c r="AB247" s="1" t="s">
        <v>5087</v>
      </c>
      <c r="AC247" s="1" t="s">
        <v>92</v>
      </c>
      <c r="AD247" s="1">
        <v>7.36</v>
      </c>
      <c r="AE247" s="1" t="s">
        <v>93</v>
      </c>
      <c r="AF247" s="1" t="s">
        <v>5088</v>
      </c>
      <c r="AG247" s="1" t="s">
        <v>5089</v>
      </c>
      <c r="AH247" s="1" t="s">
        <v>1374</v>
      </c>
      <c r="AI247" s="1" t="s">
        <v>195</v>
      </c>
      <c r="AJ247" s="1">
        <v>76.8</v>
      </c>
      <c r="AK247" s="1"/>
      <c r="AL247" s="1" t="s">
        <v>5090</v>
      </c>
      <c r="AM247" s="1" t="s">
        <v>5089</v>
      </c>
      <c r="AN247" s="1" t="s">
        <v>169</v>
      </c>
      <c r="AO247" s="1" t="s">
        <v>198</v>
      </c>
      <c r="AP247" s="1">
        <v>60.77</v>
      </c>
      <c r="AQ247" s="1"/>
      <c r="AR247" s="1"/>
      <c r="AS247" s="1"/>
      <c r="AT247" s="1"/>
      <c r="AU247" s="1"/>
      <c r="AV247" s="1"/>
      <c r="AW247" s="1"/>
      <c r="AX247" s="1" t="s">
        <v>361</v>
      </c>
      <c r="AY247" s="1" t="s">
        <v>5091</v>
      </c>
      <c r="AZ247" s="1" t="s">
        <v>310</v>
      </c>
      <c r="BA247" s="1" t="s">
        <v>566</v>
      </c>
      <c r="BB247" s="1">
        <v>66.31</v>
      </c>
      <c r="BC247" s="1">
        <v>6.98</v>
      </c>
      <c r="BD247" s="1"/>
      <c r="BE247" s="1"/>
      <c r="BF247" s="1"/>
      <c r="BG247" s="1"/>
      <c r="BH247" s="1"/>
      <c r="BI247" s="1"/>
      <c r="BJ247" s="1" t="s">
        <v>5092</v>
      </c>
      <c r="BK247" s="1" t="s">
        <v>5093</v>
      </c>
      <c r="BL247" s="1" t="s">
        <v>1151</v>
      </c>
      <c r="BM247" s="1" t="s">
        <v>5094</v>
      </c>
      <c r="BN247" s="1">
        <v>100</v>
      </c>
      <c r="BO247" s="1"/>
      <c r="BP247" s="1" t="str">
        <f>HYPERLINK("https://nconnect.nicmar.ac.in/storage/profile/ProfilePhoto_P25700235_962375.jpg","Download")</f>
        <v>0</v>
      </c>
      <c r="BQ247" s="3"/>
      <c r="BR247" s="3"/>
    </row>
    <row r="248" spans="1:70">
      <c r="A248" s="1" t="s">
        <v>70</v>
      </c>
      <c r="B248" s="1" t="s">
        <v>441</v>
      </c>
      <c r="C248" s="1" t="s">
        <v>5095</v>
      </c>
      <c r="D248" s="1" t="s">
        <v>5096</v>
      </c>
      <c r="E248" s="1"/>
      <c r="F248" s="1" t="s">
        <v>5097</v>
      </c>
      <c r="G248" s="1" t="s">
        <v>5098</v>
      </c>
      <c r="H248" s="1" t="s">
        <v>5099</v>
      </c>
      <c r="I248" s="1" t="s">
        <v>5100</v>
      </c>
      <c r="J248" s="1">
        <v>6002708878</v>
      </c>
      <c r="K248" s="1" t="s">
        <v>79</v>
      </c>
      <c r="L248" s="1" t="s">
        <v>5101</v>
      </c>
      <c r="M248" s="1" t="s">
        <v>81</v>
      </c>
      <c r="N248" s="1" t="s">
        <v>5102</v>
      </c>
      <c r="O248" s="1"/>
      <c r="P248" s="1" t="s">
        <v>2035</v>
      </c>
      <c r="Q248" s="1" t="s">
        <v>5103</v>
      </c>
      <c r="R248" s="1" t="s">
        <v>5104</v>
      </c>
      <c r="S248" s="1">
        <v>9435149156</v>
      </c>
      <c r="T248" s="1" t="s">
        <v>820</v>
      </c>
      <c r="U248" s="1" t="s">
        <v>5105</v>
      </c>
      <c r="V248" s="1">
        <v>8638013441</v>
      </c>
      <c r="W248" s="1" t="s">
        <v>5106</v>
      </c>
      <c r="X248" s="1" t="s">
        <v>5107</v>
      </c>
      <c r="Y248" s="1" t="s">
        <v>1532</v>
      </c>
      <c r="Z248" s="1" t="s">
        <v>1533</v>
      </c>
      <c r="AA248" s="1" t="s">
        <v>5107</v>
      </c>
      <c r="AB248" s="1" t="s">
        <v>1532</v>
      </c>
      <c r="AC248" s="1" t="s">
        <v>1533</v>
      </c>
      <c r="AD248" s="1">
        <v>8.16</v>
      </c>
      <c r="AE248" s="1" t="s">
        <v>93</v>
      </c>
      <c r="AF248" s="1" t="s">
        <v>5108</v>
      </c>
      <c r="AG248" s="1" t="s">
        <v>5109</v>
      </c>
      <c r="AH248" s="1" t="s">
        <v>481</v>
      </c>
      <c r="AI248" s="1" t="s">
        <v>308</v>
      </c>
      <c r="AJ248" s="1">
        <v>87</v>
      </c>
      <c r="AK248" s="1"/>
      <c r="AL248" s="1" t="s">
        <v>5108</v>
      </c>
      <c r="AM248" s="1" t="s">
        <v>5109</v>
      </c>
      <c r="AN248" s="1" t="s">
        <v>956</v>
      </c>
      <c r="AO248" s="1" t="s">
        <v>539</v>
      </c>
      <c r="AP248" s="1">
        <v>78.8</v>
      </c>
      <c r="AQ248" s="1"/>
      <c r="AR248" s="1"/>
      <c r="AS248" s="1"/>
      <c r="AT248" s="1"/>
      <c r="AU248" s="1"/>
      <c r="AV248" s="1"/>
      <c r="AW248" s="1"/>
      <c r="AX248" s="1" t="s">
        <v>5110</v>
      </c>
      <c r="AY248" s="1" t="s">
        <v>5111</v>
      </c>
      <c r="AZ248" s="1" t="s">
        <v>593</v>
      </c>
      <c r="BA248" s="1" t="s">
        <v>594</v>
      </c>
      <c r="BB248" s="1">
        <v>76</v>
      </c>
      <c r="BC248" s="1">
        <v>7.6</v>
      </c>
      <c r="BD248" s="1"/>
      <c r="BE248" s="1"/>
      <c r="BF248" s="1"/>
      <c r="BG248" s="1"/>
      <c r="BH248" s="1"/>
      <c r="BI248" s="1"/>
      <c r="BJ248" s="1" t="s">
        <v>830</v>
      </c>
      <c r="BK248" s="1"/>
      <c r="BL248" s="1"/>
      <c r="BM248" s="1" t="s">
        <v>5112</v>
      </c>
      <c r="BN248" s="1">
        <v>18</v>
      </c>
      <c r="BO248" s="1"/>
      <c r="BP248" s="1" t="str">
        <f>HYPERLINK("https://nconnect.nicmar.ac.in/storage/profile/ProfilePhoto_P25700236_483619.jpg","Download")</f>
        <v>0</v>
      </c>
      <c r="BQ248" s="3"/>
      <c r="BR248" s="3"/>
    </row>
    <row r="249" spans="1:70">
      <c r="A249" s="1" t="s">
        <v>70</v>
      </c>
      <c r="B249" s="1" t="s">
        <v>441</v>
      </c>
      <c r="C249" s="1" t="s">
        <v>5113</v>
      </c>
      <c r="D249" s="1" t="s">
        <v>367</v>
      </c>
      <c r="E249" s="1" t="s">
        <v>4970</v>
      </c>
      <c r="F249" s="1" t="s">
        <v>5114</v>
      </c>
      <c r="G249" s="1" t="s">
        <v>5115</v>
      </c>
      <c r="H249" s="1" t="s">
        <v>5116</v>
      </c>
      <c r="I249" s="1" t="s">
        <v>5117</v>
      </c>
      <c r="J249" s="1">
        <v>9869207119</v>
      </c>
      <c r="K249" s="1" t="s">
        <v>79</v>
      </c>
      <c r="L249" s="1" t="s">
        <v>5118</v>
      </c>
      <c r="M249" s="1" t="s">
        <v>81</v>
      </c>
      <c r="N249" s="1" t="s">
        <v>751</v>
      </c>
      <c r="O249" s="1"/>
      <c r="P249" s="1" t="s">
        <v>497</v>
      </c>
      <c r="Q249" s="1" t="s">
        <v>5119</v>
      </c>
      <c r="R249" s="1" t="s">
        <v>4970</v>
      </c>
      <c r="S249" s="1">
        <v>9870709081</v>
      </c>
      <c r="T249" s="1" t="s">
        <v>5120</v>
      </c>
      <c r="U249" s="1" t="s">
        <v>5121</v>
      </c>
      <c r="V249" s="1">
        <v>9870709082</v>
      </c>
      <c r="W249" s="1" t="s">
        <v>156</v>
      </c>
      <c r="X249" s="1" t="s">
        <v>5122</v>
      </c>
      <c r="Y249" s="1" t="s">
        <v>2229</v>
      </c>
      <c r="Z249" s="1" t="s">
        <v>92</v>
      </c>
      <c r="AA249" s="1" t="s">
        <v>5122</v>
      </c>
      <c r="AB249" s="1" t="s">
        <v>2229</v>
      </c>
      <c r="AC249" s="1" t="s">
        <v>92</v>
      </c>
      <c r="AD249" s="1">
        <v>7.45</v>
      </c>
      <c r="AE249" s="1" t="s">
        <v>93</v>
      </c>
      <c r="AF249" s="1" t="s">
        <v>5123</v>
      </c>
      <c r="AG249" s="1" t="s">
        <v>5124</v>
      </c>
      <c r="AH249" s="1" t="s">
        <v>161</v>
      </c>
      <c r="AI249" s="1" t="s">
        <v>614</v>
      </c>
      <c r="AJ249" s="1">
        <v>71</v>
      </c>
      <c r="AK249" s="1">
        <v>0</v>
      </c>
      <c r="AL249" s="1"/>
      <c r="AM249" s="1"/>
      <c r="AN249" s="1"/>
      <c r="AO249" s="1"/>
      <c r="AP249" s="1"/>
      <c r="AQ249" s="1"/>
      <c r="AR249" s="1" t="s">
        <v>434</v>
      </c>
      <c r="AS249" s="1" t="s">
        <v>5125</v>
      </c>
      <c r="AT249" s="1" t="s">
        <v>134</v>
      </c>
      <c r="AU249" s="1" t="s">
        <v>228</v>
      </c>
      <c r="AV249" s="1">
        <v>71.82</v>
      </c>
      <c r="AW249" s="1">
        <v>0</v>
      </c>
      <c r="AX249" s="1" t="s">
        <v>253</v>
      </c>
      <c r="AY249" s="1" t="s">
        <v>5126</v>
      </c>
      <c r="AZ249" s="1" t="s">
        <v>173</v>
      </c>
      <c r="BA249" s="1" t="s">
        <v>174</v>
      </c>
      <c r="BB249" s="1">
        <v>69.06</v>
      </c>
      <c r="BC249" s="1">
        <v>7.75</v>
      </c>
      <c r="BD249" s="1"/>
      <c r="BE249" s="1"/>
      <c r="BF249" s="1"/>
      <c r="BG249" s="1"/>
      <c r="BH249" s="1"/>
      <c r="BI249" s="1"/>
      <c r="BJ249" s="1" t="s">
        <v>255</v>
      </c>
      <c r="BK249" s="1" t="s">
        <v>5127</v>
      </c>
      <c r="BL249" s="1" t="s">
        <v>4165</v>
      </c>
      <c r="BM249" s="1" t="s">
        <v>5128</v>
      </c>
      <c r="BN249" s="1">
        <v>8</v>
      </c>
      <c r="BO249" s="1" t="s">
        <v>5129</v>
      </c>
      <c r="BP249" s="1" t="str">
        <f>HYPERLINK("https://nconnect.nicmar.ac.in/storage/profile/ProfilePhoto_P25700237_972643.jpg","Download")</f>
        <v>0</v>
      </c>
      <c r="BQ249" s="3"/>
      <c r="BR249" s="3"/>
    </row>
    <row r="250" spans="1:70">
      <c r="A250" s="1" t="s">
        <v>70</v>
      </c>
      <c r="B250" s="1" t="s">
        <v>441</v>
      </c>
      <c r="C250" s="1" t="s">
        <v>5130</v>
      </c>
      <c r="D250" s="1" t="s">
        <v>5131</v>
      </c>
      <c r="E250" s="1"/>
      <c r="F250" s="1" t="s">
        <v>236</v>
      </c>
      <c r="G250" s="1" t="s">
        <v>5132</v>
      </c>
      <c r="H250" s="1" t="s">
        <v>5133</v>
      </c>
      <c r="I250" s="1" t="s">
        <v>5134</v>
      </c>
      <c r="J250" s="1">
        <v>6354105510</v>
      </c>
      <c r="K250" s="1" t="s">
        <v>79</v>
      </c>
      <c r="L250" s="1" t="s">
        <v>5135</v>
      </c>
      <c r="M250" s="1" t="s">
        <v>81</v>
      </c>
      <c r="N250" s="1" t="s">
        <v>5136</v>
      </c>
      <c r="O250" s="1"/>
      <c r="P250" s="1" t="s">
        <v>450</v>
      </c>
      <c r="Q250" s="1" t="s">
        <v>5137</v>
      </c>
      <c r="R250" s="1" t="s">
        <v>5138</v>
      </c>
      <c r="S250" s="1">
        <v>9998401535</v>
      </c>
      <c r="T250" s="1" t="s">
        <v>120</v>
      </c>
      <c r="U250" s="1" t="s">
        <v>5139</v>
      </c>
      <c r="V250" s="1">
        <v>8757507689</v>
      </c>
      <c r="W250" s="1" t="s">
        <v>156</v>
      </c>
      <c r="X250" s="1" t="s">
        <v>5140</v>
      </c>
      <c r="Y250" s="1" t="s">
        <v>5141</v>
      </c>
      <c r="Z250" s="1" t="s">
        <v>662</v>
      </c>
      <c r="AA250" s="1" t="s">
        <v>5142</v>
      </c>
      <c r="AB250" s="1" t="s">
        <v>5141</v>
      </c>
      <c r="AC250" s="1" t="s">
        <v>662</v>
      </c>
      <c r="AD250" s="1">
        <v>8.38</v>
      </c>
      <c r="AE250" s="1" t="s">
        <v>93</v>
      </c>
      <c r="AF250" s="1" t="s">
        <v>5143</v>
      </c>
      <c r="AG250" s="1" t="s">
        <v>5144</v>
      </c>
      <c r="AH250" s="1" t="s">
        <v>161</v>
      </c>
      <c r="AI250" s="1" t="s">
        <v>1089</v>
      </c>
      <c r="AJ250" s="1">
        <v>71.5</v>
      </c>
      <c r="AK250" s="1"/>
      <c r="AL250" s="1" t="s">
        <v>5143</v>
      </c>
      <c r="AM250" s="1" t="s">
        <v>5144</v>
      </c>
      <c r="AN250" s="1" t="s">
        <v>165</v>
      </c>
      <c r="AO250" s="1" t="s">
        <v>281</v>
      </c>
      <c r="AP250" s="1">
        <v>70.3</v>
      </c>
      <c r="AQ250" s="1"/>
      <c r="AR250" s="1"/>
      <c r="AS250" s="1"/>
      <c r="AT250" s="1"/>
      <c r="AU250" s="1"/>
      <c r="AV250" s="1"/>
      <c r="AW250" s="1"/>
      <c r="AX250" s="1" t="s">
        <v>5145</v>
      </c>
      <c r="AY250" s="1" t="s">
        <v>5146</v>
      </c>
      <c r="AZ250" s="1" t="s">
        <v>101</v>
      </c>
      <c r="BA250" s="1" t="s">
        <v>619</v>
      </c>
      <c r="BB250" s="1">
        <v>75.7</v>
      </c>
      <c r="BC250" s="1">
        <v>8.07</v>
      </c>
      <c r="BD250" s="1"/>
      <c r="BE250" s="1"/>
      <c r="BF250" s="1"/>
      <c r="BG250" s="1"/>
      <c r="BH250" s="1"/>
      <c r="BI250" s="1"/>
      <c r="BJ250" s="1" t="s">
        <v>5147</v>
      </c>
      <c r="BK250" s="1" t="s">
        <v>5148</v>
      </c>
      <c r="BL250" s="1" t="s">
        <v>5149</v>
      </c>
      <c r="BM250" s="1" t="s">
        <v>5150</v>
      </c>
      <c r="BN250" s="1">
        <v>21</v>
      </c>
      <c r="BO250" s="1" t="s">
        <v>5151</v>
      </c>
      <c r="BP250" s="1" t="str">
        <f>HYPERLINK("https://nconnect.nicmar.ac.in/storage/profile/ProfilePhoto_P25700238_975162.jpg","Download")</f>
        <v>0</v>
      </c>
      <c r="BQ250" s="3"/>
      <c r="BR250" s="3"/>
    </row>
    <row r="251" spans="1:70">
      <c r="A251" s="1" t="s">
        <v>70</v>
      </c>
      <c r="B251" s="1" t="s">
        <v>441</v>
      </c>
      <c r="C251" s="1" t="s">
        <v>5152</v>
      </c>
      <c r="D251" s="1" t="s">
        <v>5153</v>
      </c>
      <c r="E251" s="1" t="s">
        <v>5154</v>
      </c>
      <c r="F251" s="1" t="s">
        <v>5155</v>
      </c>
      <c r="G251" s="1" t="s">
        <v>5156</v>
      </c>
      <c r="H251" s="1" t="s">
        <v>5157</v>
      </c>
      <c r="I251" s="1" t="s">
        <v>5158</v>
      </c>
      <c r="J251" s="1">
        <v>9511845197</v>
      </c>
      <c r="K251" s="1" t="s">
        <v>148</v>
      </c>
      <c r="L251" s="1" t="s">
        <v>5159</v>
      </c>
      <c r="M251" s="1" t="s">
        <v>81</v>
      </c>
      <c r="N251" s="1" t="s">
        <v>1006</v>
      </c>
      <c r="O251" s="1"/>
      <c r="P251" s="1" t="s">
        <v>450</v>
      </c>
      <c r="Q251" s="1" t="s">
        <v>5160</v>
      </c>
      <c r="R251" s="1" t="s">
        <v>5161</v>
      </c>
      <c r="S251" s="1">
        <v>9422825564</v>
      </c>
      <c r="T251" s="1" t="s">
        <v>87</v>
      </c>
      <c r="U251" s="1" t="s">
        <v>5162</v>
      </c>
      <c r="V251" s="1">
        <v>9421802298</v>
      </c>
      <c r="W251" s="1" t="s">
        <v>122</v>
      </c>
      <c r="X251" s="1" t="s">
        <v>5163</v>
      </c>
      <c r="Y251" s="1" t="s">
        <v>191</v>
      </c>
      <c r="Z251" s="1" t="s">
        <v>92</v>
      </c>
      <c r="AA251" s="1" t="s">
        <v>5164</v>
      </c>
      <c r="AB251" s="1" t="s">
        <v>405</v>
      </c>
      <c r="AC251" s="1" t="s">
        <v>92</v>
      </c>
      <c r="AD251" s="1">
        <v>8.82</v>
      </c>
      <c r="AE251" s="1" t="s">
        <v>93</v>
      </c>
      <c r="AF251" s="1" t="s">
        <v>5165</v>
      </c>
      <c r="AG251" s="1" t="s">
        <v>758</v>
      </c>
      <c r="AH251" s="1" t="s">
        <v>1088</v>
      </c>
      <c r="AI251" s="1" t="s">
        <v>614</v>
      </c>
      <c r="AJ251" s="1">
        <v>91.2</v>
      </c>
      <c r="AK251" s="1">
        <v>9.6</v>
      </c>
      <c r="AL251" s="1" t="s">
        <v>5166</v>
      </c>
      <c r="AM251" s="1" t="s">
        <v>5167</v>
      </c>
      <c r="AN251" s="1" t="s">
        <v>689</v>
      </c>
      <c r="AO251" s="1" t="s">
        <v>1455</v>
      </c>
      <c r="AP251" s="1">
        <v>76</v>
      </c>
      <c r="AQ251" s="1">
        <v>8</v>
      </c>
      <c r="AR251" s="1"/>
      <c r="AS251" s="1"/>
      <c r="AT251" s="1"/>
      <c r="AU251" s="1"/>
      <c r="AV251" s="1"/>
      <c r="AW251" s="1"/>
      <c r="AX251" s="1" t="s">
        <v>410</v>
      </c>
      <c r="AY251" s="1" t="s">
        <v>5168</v>
      </c>
      <c r="AZ251" s="1" t="s">
        <v>1043</v>
      </c>
      <c r="BA251" s="1" t="s">
        <v>229</v>
      </c>
      <c r="BB251" s="1">
        <v>82.08</v>
      </c>
      <c r="BC251" s="1">
        <v>8.64</v>
      </c>
      <c r="BD251" s="1"/>
      <c r="BE251" s="1"/>
      <c r="BF251" s="1"/>
      <c r="BG251" s="1"/>
      <c r="BH251" s="1"/>
      <c r="BI251" s="1"/>
      <c r="BJ251" s="1" t="s">
        <v>5169</v>
      </c>
      <c r="BK251" s="1" t="s">
        <v>5170</v>
      </c>
      <c r="BL251" s="1" t="s">
        <v>762</v>
      </c>
      <c r="BM251" s="1" t="s">
        <v>5171</v>
      </c>
      <c r="BN251" s="1">
        <v>44</v>
      </c>
      <c r="BO251" s="1" t="s">
        <v>5172</v>
      </c>
      <c r="BP251" s="1" t="str">
        <f>HYPERLINK("https://nconnect.nicmar.ac.in/storage/profile/ProfilePhoto_P25700239_319765.jpg","Download")</f>
        <v>0</v>
      </c>
      <c r="BQ251" s="3"/>
      <c r="BR251" s="3"/>
    </row>
    <row r="252" spans="1:70">
      <c r="A252" s="1" t="s">
        <v>70</v>
      </c>
      <c r="B252" s="1" t="s">
        <v>441</v>
      </c>
      <c r="C252" s="1" t="s">
        <v>5173</v>
      </c>
      <c r="D252" s="1" t="s">
        <v>5174</v>
      </c>
      <c r="E252" s="1" t="s">
        <v>5175</v>
      </c>
      <c r="F252" s="1" t="s">
        <v>5176</v>
      </c>
      <c r="G252" s="1" t="s">
        <v>5177</v>
      </c>
      <c r="H252" s="1" t="s">
        <v>5178</v>
      </c>
      <c r="I252" s="1" t="s">
        <v>5179</v>
      </c>
      <c r="J252" s="1">
        <v>7249211429</v>
      </c>
      <c r="K252" s="1" t="s">
        <v>79</v>
      </c>
      <c r="L252" s="1" t="s">
        <v>5180</v>
      </c>
      <c r="M252" s="1" t="s">
        <v>81</v>
      </c>
      <c r="N252" s="1" t="s">
        <v>2381</v>
      </c>
      <c r="O252" s="1"/>
      <c r="P252" s="1" t="s">
        <v>2035</v>
      </c>
      <c r="Q252" s="1" t="s">
        <v>5181</v>
      </c>
      <c r="R252" s="1" t="s">
        <v>5182</v>
      </c>
      <c r="S252" s="1">
        <v>9403348856</v>
      </c>
      <c r="T252" s="1" t="s">
        <v>888</v>
      </c>
      <c r="U252" s="1" t="s">
        <v>5183</v>
      </c>
      <c r="V252" s="1">
        <v>9422061235</v>
      </c>
      <c r="W252" s="1" t="s">
        <v>122</v>
      </c>
      <c r="X252" s="1" t="s">
        <v>5184</v>
      </c>
      <c r="Y252" s="1" t="s">
        <v>5185</v>
      </c>
      <c r="Z252" s="1" t="s">
        <v>92</v>
      </c>
      <c r="AA252" s="1" t="s">
        <v>5184</v>
      </c>
      <c r="AB252" s="1" t="s">
        <v>5185</v>
      </c>
      <c r="AC252" s="1" t="s">
        <v>92</v>
      </c>
      <c r="AD252" s="1">
        <v>8.29</v>
      </c>
      <c r="AE252" s="1" t="s">
        <v>93</v>
      </c>
      <c r="AF252" s="1" t="s">
        <v>5186</v>
      </c>
      <c r="AG252" s="1" t="s">
        <v>5187</v>
      </c>
      <c r="AH252" s="1" t="s">
        <v>101</v>
      </c>
      <c r="AI252" s="1" t="s">
        <v>409</v>
      </c>
      <c r="AJ252" s="1">
        <v>85</v>
      </c>
      <c r="AK252" s="1">
        <v>0</v>
      </c>
      <c r="AL252" s="1"/>
      <c r="AM252" s="1"/>
      <c r="AN252" s="1"/>
      <c r="AO252" s="1"/>
      <c r="AP252" s="1"/>
      <c r="AQ252" s="1"/>
      <c r="AR252" s="1" t="s">
        <v>98</v>
      </c>
      <c r="AS252" s="1" t="s">
        <v>5188</v>
      </c>
      <c r="AT252" s="1" t="s">
        <v>201</v>
      </c>
      <c r="AU252" s="1" t="s">
        <v>1378</v>
      </c>
      <c r="AV252" s="1">
        <v>85.63</v>
      </c>
      <c r="AW252" s="1">
        <v>0</v>
      </c>
      <c r="AX252" s="1" t="s">
        <v>361</v>
      </c>
      <c r="AY252" s="1" t="s">
        <v>5189</v>
      </c>
      <c r="AZ252" s="1" t="s">
        <v>1777</v>
      </c>
      <c r="BA252" s="1" t="s">
        <v>543</v>
      </c>
      <c r="BB252" s="1">
        <v>87.4</v>
      </c>
      <c r="BC252" s="1">
        <v>9.49</v>
      </c>
      <c r="BD252" s="1"/>
      <c r="BE252" s="1"/>
      <c r="BF252" s="1"/>
      <c r="BG252" s="1"/>
      <c r="BH252" s="1"/>
      <c r="BI252" s="1"/>
      <c r="BJ252" s="1" t="s">
        <v>5190</v>
      </c>
      <c r="BK252" s="1"/>
      <c r="BL252" s="1"/>
      <c r="BM252" s="1" t="s">
        <v>5191</v>
      </c>
      <c r="BN252" s="1">
        <v>35</v>
      </c>
      <c r="BO252" s="1"/>
      <c r="BP252" s="1" t="str">
        <f>HYPERLINK("https://nconnect.nicmar.ac.in/storage/profile/ProfilePhoto_P25700240_513948.jpg","Download")</f>
        <v>0</v>
      </c>
      <c r="BQ252" s="3"/>
      <c r="BR252" s="3"/>
    </row>
    <row r="253" spans="1:70">
      <c r="A253" s="1" t="s">
        <v>70</v>
      </c>
      <c r="B253" s="1" t="s">
        <v>441</v>
      </c>
      <c r="C253" s="1" t="s">
        <v>5192</v>
      </c>
      <c r="D253" s="1" t="s">
        <v>573</v>
      </c>
      <c r="E253" s="1" t="s">
        <v>1252</v>
      </c>
      <c r="F253" s="1" t="s">
        <v>5193</v>
      </c>
      <c r="G253" s="1" t="s">
        <v>5194</v>
      </c>
      <c r="H253" s="1" t="s">
        <v>5195</v>
      </c>
      <c r="I253" s="1" t="s">
        <v>5196</v>
      </c>
      <c r="J253" s="1">
        <v>9526608654</v>
      </c>
      <c r="K253" s="1" t="s">
        <v>79</v>
      </c>
      <c r="L253" s="1" t="s">
        <v>5197</v>
      </c>
      <c r="M253" s="1" t="s">
        <v>81</v>
      </c>
      <c r="N253" s="1" t="s">
        <v>5198</v>
      </c>
      <c r="O253" s="1"/>
      <c r="P253" s="1" t="s">
        <v>497</v>
      </c>
      <c r="Q253" s="1" t="s">
        <v>5199</v>
      </c>
      <c r="R253" s="1" t="s">
        <v>5200</v>
      </c>
      <c r="S253" s="1">
        <v>9961775494</v>
      </c>
      <c r="T253" s="1" t="s">
        <v>1472</v>
      </c>
      <c r="U253" s="1" t="s">
        <v>5201</v>
      </c>
      <c r="V253" s="1">
        <v>8330041549</v>
      </c>
      <c r="W253" s="1" t="s">
        <v>156</v>
      </c>
      <c r="X253" s="1" t="s">
        <v>5202</v>
      </c>
      <c r="Y253" s="1" t="s">
        <v>1261</v>
      </c>
      <c r="Z253" s="1" t="s">
        <v>125</v>
      </c>
      <c r="AA253" s="1" t="s">
        <v>5202</v>
      </c>
      <c r="AB253" s="1" t="s">
        <v>1261</v>
      </c>
      <c r="AC253" s="1" t="s">
        <v>125</v>
      </c>
      <c r="AD253" s="1">
        <v>9.11</v>
      </c>
      <c r="AE253" s="1" t="s">
        <v>93</v>
      </c>
      <c r="AF253" s="1" t="s">
        <v>5203</v>
      </c>
      <c r="AG253" s="1" t="s">
        <v>5204</v>
      </c>
      <c r="AH253" s="1" t="s">
        <v>101</v>
      </c>
      <c r="AI253" s="1" t="s">
        <v>308</v>
      </c>
      <c r="AJ253" s="1">
        <v>95.2</v>
      </c>
      <c r="AK253" s="1"/>
      <c r="AL253" s="1" t="s">
        <v>5205</v>
      </c>
      <c r="AM253" s="1" t="s">
        <v>5206</v>
      </c>
      <c r="AN253" s="1" t="s">
        <v>460</v>
      </c>
      <c r="AO253" s="1" t="s">
        <v>539</v>
      </c>
      <c r="AP253" s="1">
        <v>97.25</v>
      </c>
      <c r="AQ253" s="1"/>
      <c r="AR253" s="1"/>
      <c r="AS253" s="1"/>
      <c r="AT253" s="1"/>
      <c r="AU253" s="1"/>
      <c r="AV253" s="1"/>
      <c r="AW253" s="1"/>
      <c r="AX253" s="1" t="s">
        <v>132</v>
      </c>
      <c r="AY253" s="1" t="s">
        <v>5207</v>
      </c>
      <c r="AZ253" s="1" t="s">
        <v>593</v>
      </c>
      <c r="BA253" s="1" t="s">
        <v>594</v>
      </c>
      <c r="BB253" s="1">
        <v>83.3</v>
      </c>
      <c r="BC253" s="1"/>
      <c r="BD253" s="1"/>
      <c r="BE253" s="1"/>
      <c r="BF253" s="1"/>
      <c r="BG253" s="1"/>
      <c r="BH253" s="1"/>
      <c r="BI253" s="1"/>
      <c r="BJ253" s="1" t="s">
        <v>5208</v>
      </c>
      <c r="BK253" s="1"/>
      <c r="BL253" s="1"/>
      <c r="BM253" s="1" t="s">
        <v>5209</v>
      </c>
      <c r="BN253" s="1">
        <v>13</v>
      </c>
      <c r="BO253" s="1" t="s">
        <v>5210</v>
      </c>
      <c r="BP253" s="1" t="str">
        <f>HYPERLINK("https://nconnect.nicmar.ac.in/storage/profile/ProfilePhoto_P25700241_162534.jpg","Download")</f>
        <v>0</v>
      </c>
      <c r="BQ253" s="3"/>
      <c r="BR253" s="3"/>
    </row>
    <row r="254" spans="1:70">
      <c r="A254" s="1" t="s">
        <v>70</v>
      </c>
      <c r="B254" s="1" t="s">
        <v>441</v>
      </c>
      <c r="C254" s="1" t="s">
        <v>5211</v>
      </c>
      <c r="D254" s="1" t="s">
        <v>5212</v>
      </c>
      <c r="E254" s="1"/>
      <c r="F254" s="1" t="s">
        <v>5213</v>
      </c>
      <c r="G254" s="1" t="s">
        <v>5214</v>
      </c>
      <c r="H254" s="1" t="s">
        <v>5215</v>
      </c>
      <c r="I254" s="1" t="s">
        <v>5216</v>
      </c>
      <c r="J254" s="1">
        <v>7047098155</v>
      </c>
      <c r="K254" s="1" t="s">
        <v>79</v>
      </c>
      <c r="L254" s="1" t="s">
        <v>5217</v>
      </c>
      <c r="M254" s="1" t="s">
        <v>81</v>
      </c>
      <c r="N254" s="1" t="s">
        <v>4289</v>
      </c>
      <c r="O254" s="1"/>
      <c r="P254" s="1" t="s">
        <v>472</v>
      </c>
      <c r="Q254" s="1" t="s">
        <v>5218</v>
      </c>
      <c r="R254" s="1" t="s">
        <v>5219</v>
      </c>
      <c r="S254" s="1">
        <v>9893878586</v>
      </c>
      <c r="T254" s="1" t="s">
        <v>5220</v>
      </c>
      <c r="U254" s="1" t="s">
        <v>5221</v>
      </c>
      <c r="V254" s="1">
        <v>9977083578</v>
      </c>
      <c r="W254" s="1" t="s">
        <v>156</v>
      </c>
      <c r="X254" s="1" t="s">
        <v>5222</v>
      </c>
      <c r="Y254" s="1" t="s">
        <v>5223</v>
      </c>
      <c r="Z254" s="1" t="s">
        <v>3437</v>
      </c>
      <c r="AA254" s="1" t="s">
        <v>5222</v>
      </c>
      <c r="AB254" s="1" t="s">
        <v>5223</v>
      </c>
      <c r="AC254" s="1" t="s">
        <v>3437</v>
      </c>
      <c r="AD254" s="1">
        <v>7.71</v>
      </c>
      <c r="AE254" s="1" t="s">
        <v>93</v>
      </c>
      <c r="AF254" s="1" t="s">
        <v>5224</v>
      </c>
      <c r="AG254" s="1" t="s">
        <v>5225</v>
      </c>
      <c r="AH254" s="1" t="s">
        <v>279</v>
      </c>
      <c r="AI254" s="1" t="s">
        <v>165</v>
      </c>
      <c r="AJ254" s="1">
        <v>76</v>
      </c>
      <c r="AK254" s="1"/>
      <c r="AL254" s="1" t="s">
        <v>5226</v>
      </c>
      <c r="AM254" s="1" t="s">
        <v>5227</v>
      </c>
      <c r="AN254" s="1" t="s">
        <v>481</v>
      </c>
      <c r="AO254" s="1" t="s">
        <v>308</v>
      </c>
      <c r="AP254" s="1">
        <v>74.4</v>
      </c>
      <c r="AQ254" s="1"/>
      <c r="AR254" s="1"/>
      <c r="AS254" s="1"/>
      <c r="AT254" s="1"/>
      <c r="AU254" s="1"/>
      <c r="AV254" s="1"/>
      <c r="AW254" s="1"/>
      <c r="AX254" s="1" t="s">
        <v>5228</v>
      </c>
      <c r="AY254" s="1" t="s">
        <v>5229</v>
      </c>
      <c r="AZ254" s="1" t="s">
        <v>170</v>
      </c>
      <c r="BA254" s="1" t="s">
        <v>1067</v>
      </c>
      <c r="BB254" s="1">
        <v>67.6</v>
      </c>
      <c r="BC254" s="1">
        <v>6.76</v>
      </c>
      <c r="BD254" s="1"/>
      <c r="BE254" s="1"/>
      <c r="BF254" s="1"/>
      <c r="BG254" s="1"/>
      <c r="BH254" s="1"/>
      <c r="BI254" s="1"/>
      <c r="BJ254" s="1" t="s">
        <v>364</v>
      </c>
      <c r="BK254" s="1"/>
      <c r="BL254" s="1"/>
      <c r="BM254" s="1" t="s">
        <v>5230</v>
      </c>
      <c r="BN254" s="1">
        <v>27</v>
      </c>
      <c r="BO254" s="1" t="s">
        <v>5231</v>
      </c>
      <c r="BP254" s="1" t="str">
        <f>HYPERLINK("https://nconnect.nicmar.ac.in/storage/profile/ProfilePhoto_P25700242_529817.jpg","Download")</f>
        <v>0</v>
      </c>
      <c r="BQ254" s="3"/>
      <c r="BR254" s="3"/>
    </row>
    <row r="255" spans="1:70">
      <c r="A255" s="1" t="s">
        <v>70</v>
      </c>
      <c r="B255" s="1" t="s">
        <v>441</v>
      </c>
      <c r="C255" s="1" t="s">
        <v>5232</v>
      </c>
      <c r="D255" s="1" t="s">
        <v>5233</v>
      </c>
      <c r="E255" s="1" t="s">
        <v>5234</v>
      </c>
      <c r="F255" s="1" t="s">
        <v>2072</v>
      </c>
      <c r="G255" s="1" t="s">
        <v>5235</v>
      </c>
      <c r="H255" s="1" t="s">
        <v>5236</v>
      </c>
      <c r="I255" s="1" t="s">
        <v>5237</v>
      </c>
      <c r="J255" s="1">
        <v>9099966861</v>
      </c>
      <c r="K255" s="1" t="s">
        <v>79</v>
      </c>
      <c r="L255" s="1" t="s">
        <v>5238</v>
      </c>
      <c r="M255" s="1" t="s">
        <v>81</v>
      </c>
      <c r="N255" s="1" t="s">
        <v>5239</v>
      </c>
      <c r="O255" s="1"/>
      <c r="P255" s="1" t="s">
        <v>497</v>
      </c>
      <c r="Q255" s="1" t="s">
        <v>5240</v>
      </c>
      <c r="R255" s="1" t="s">
        <v>5234</v>
      </c>
      <c r="S255" s="1">
        <v>9825025704</v>
      </c>
      <c r="T255" s="1" t="s">
        <v>5241</v>
      </c>
      <c r="U255" s="1" t="s">
        <v>5242</v>
      </c>
      <c r="V255" s="1">
        <v>9879618900</v>
      </c>
      <c r="W255" s="1" t="s">
        <v>820</v>
      </c>
      <c r="X255" s="1" t="s">
        <v>5243</v>
      </c>
      <c r="Y255" s="1" t="s">
        <v>5141</v>
      </c>
      <c r="Z255" s="1" t="s">
        <v>662</v>
      </c>
      <c r="AA255" s="1" t="s">
        <v>5243</v>
      </c>
      <c r="AB255" s="1" t="s">
        <v>5141</v>
      </c>
      <c r="AC255" s="1" t="s">
        <v>662</v>
      </c>
      <c r="AD255" s="1">
        <v>8.1</v>
      </c>
      <c r="AE255" s="1" t="s">
        <v>93</v>
      </c>
      <c r="AF255" s="1" t="s">
        <v>5244</v>
      </c>
      <c r="AG255" s="1" t="s">
        <v>777</v>
      </c>
      <c r="AH255" s="1" t="s">
        <v>279</v>
      </c>
      <c r="AI255" s="1" t="s">
        <v>165</v>
      </c>
      <c r="AJ255" s="1">
        <v>74.1</v>
      </c>
      <c r="AK255" s="1">
        <v>7.8</v>
      </c>
      <c r="AL255" s="1" t="s">
        <v>5244</v>
      </c>
      <c r="AM255" s="1" t="s">
        <v>777</v>
      </c>
      <c r="AN255" s="1" t="s">
        <v>481</v>
      </c>
      <c r="AO255" s="1" t="s">
        <v>308</v>
      </c>
      <c r="AP255" s="1">
        <v>62.8</v>
      </c>
      <c r="AQ255" s="1"/>
      <c r="AR255" s="1"/>
      <c r="AS255" s="1"/>
      <c r="AT255" s="1"/>
      <c r="AU255" s="1"/>
      <c r="AV255" s="1"/>
      <c r="AW255" s="1"/>
      <c r="AX255" s="1" t="s">
        <v>5245</v>
      </c>
      <c r="AY255" s="1" t="s">
        <v>5246</v>
      </c>
      <c r="AZ255" s="1" t="s">
        <v>433</v>
      </c>
      <c r="BA255" s="1" t="s">
        <v>229</v>
      </c>
      <c r="BB255" s="1">
        <v>73.8</v>
      </c>
      <c r="BC255" s="1">
        <v>7.88</v>
      </c>
      <c r="BD255" s="1"/>
      <c r="BE255" s="1"/>
      <c r="BF255" s="1"/>
      <c r="BG255" s="1"/>
      <c r="BH255" s="1"/>
      <c r="BI255" s="1"/>
      <c r="BJ255" s="1" t="s">
        <v>5247</v>
      </c>
      <c r="BK255" s="1"/>
      <c r="BL255" s="1"/>
      <c r="BM255" s="1" t="s">
        <v>5248</v>
      </c>
      <c r="BN255" s="1">
        <v>129</v>
      </c>
      <c r="BO255" s="1"/>
      <c r="BP255" s="1" t="str">
        <f>HYPERLINK("https://nconnect.nicmar.ac.in/storage/profile/ProfilePhoto_P25700243_752468.jpg","Download")</f>
        <v>0</v>
      </c>
      <c r="BQ255" s="3"/>
      <c r="BR255" s="3"/>
    </row>
    <row r="256" spans="1:70">
      <c r="A256" s="1" t="s">
        <v>70</v>
      </c>
      <c r="B256" s="1" t="s">
        <v>441</v>
      </c>
      <c r="C256" s="1" t="s">
        <v>5249</v>
      </c>
      <c r="D256" s="1" t="s">
        <v>343</v>
      </c>
      <c r="E256" s="1" t="s">
        <v>2071</v>
      </c>
      <c r="F256" s="1" t="s">
        <v>5250</v>
      </c>
      <c r="G256" s="1" t="s">
        <v>5251</v>
      </c>
      <c r="H256" s="1" t="s">
        <v>5252</v>
      </c>
      <c r="I256" s="1" t="s">
        <v>5253</v>
      </c>
      <c r="J256" s="1">
        <v>8390507869</v>
      </c>
      <c r="K256" s="1" t="s">
        <v>79</v>
      </c>
      <c r="L256" s="1" t="s">
        <v>5254</v>
      </c>
      <c r="M256" s="1" t="s">
        <v>81</v>
      </c>
      <c r="N256" s="1" t="s">
        <v>5255</v>
      </c>
      <c r="O256" s="1"/>
      <c r="P256" s="1"/>
      <c r="Q256" s="1" t="s">
        <v>5256</v>
      </c>
      <c r="R256" s="1" t="s">
        <v>5257</v>
      </c>
      <c r="S256" s="1">
        <v>8378860125</v>
      </c>
      <c r="T256" s="1" t="s">
        <v>820</v>
      </c>
      <c r="U256" s="1" t="s">
        <v>5258</v>
      </c>
      <c r="V256" s="1">
        <v>9309402750</v>
      </c>
      <c r="W256" s="1" t="s">
        <v>89</v>
      </c>
      <c r="X256" s="1" t="s">
        <v>5259</v>
      </c>
      <c r="Y256" s="1" t="s">
        <v>158</v>
      </c>
      <c r="Z256" s="1" t="s">
        <v>92</v>
      </c>
      <c r="AA256" s="1" t="s">
        <v>5259</v>
      </c>
      <c r="AB256" s="1" t="s">
        <v>158</v>
      </c>
      <c r="AC256" s="1" t="s">
        <v>92</v>
      </c>
      <c r="AD256" s="1">
        <v>8.49</v>
      </c>
      <c r="AE256" s="1" t="s">
        <v>93</v>
      </c>
      <c r="AF256" s="1" t="s">
        <v>5260</v>
      </c>
      <c r="AG256" s="1" t="s">
        <v>2755</v>
      </c>
      <c r="AH256" s="1" t="s">
        <v>96</v>
      </c>
      <c r="AI256" s="1" t="s">
        <v>97</v>
      </c>
      <c r="AJ256" s="1">
        <v>91.6</v>
      </c>
      <c r="AK256" s="1"/>
      <c r="AL256" s="1" t="s">
        <v>5261</v>
      </c>
      <c r="AM256" s="1" t="s">
        <v>2755</v>
      </c>
      <c r="AN256" s="1" t="s">
        <v>100</v>
      </c>
      <c r="AO256" s="1" t="s">
        <v>165</v>
      </c>
      <c r="AP256" s="1">
        <v>73.69</v>
      </c>
      <c r="AQ256" s="1"/>
      <c r="AR256" s="1"/>
      <c r="AS256" s="1"/>
      <c r="AT256" s="1"/>
      <c r="AU256" s="1"/>
      <c r="AV256" s="1"/>
      <c r="AW256" s="1"/>
      <c r="AX256" s="1" t="s">
        <v>437</v>
      </c>
      <c r="AY256" s="1" t="s">
        <v>5262</v>
      </c>
      <c r="AZ256" s="1" t="s">
        <v>225</v>
      </c>
      <c r="BA256" s="1" t="s">
        <v>539</v>
      </c>
      <c r="BB256" s="1">
        <v>75.53</v>
      </c>
      <c r="BC256" s="1"/>
      <c r="BD256" s="1"/>
      <c r="BE256" s="1"/>
      <c r="BF256" s="1"/>
      <c r="BG256" s="1"/>
      <c r="BH256" s="1"/>
      <c r="BI256" s="1"/>
      <c r="BJ256" s="1" t="s">
        <v>5263</v>
      </c>
      <c r="BK256" s="1" t="s">
        <v>5264</v>
      </c>
      <c r="BL256" s="1" t="s">
        <v>2454</v>
      </c>
      <c r="BM256" s="1" t="s">
        <v>5265</v>
      </c>
      <c r="BN256" s="1">
        <v>8</v>
      </c>
      <c r="BO256" s="1"/>
      <c r="BP256" s="1" t="str">
        <f>HYPERLINK("https://nconnect.nicmar.ac.in/storage/profile/ProfilePhoto_P25700244_691843.jpg","Download")</f>
        <v>0</v>
      </c>
      <c r="BQ256" s="3"/>
      <c r="BR256" s="3"/>
    </row>
    <row r="257" spans="1:70">
      <c r="A257" s="1" t="s">
        <v>70</v>
      </c>
      <c r="B257" s="1" t="s">
        <v>441</v>
      </c>
      <c r="C257" s="1" t="s">
        <v>5266</v>
      </c>
      <c r="D257" s="1" t="s">
        <v>5267</v>
      </c>
      <c r="E257" s="1" t="s">
        <v>4970</v>
      </c>
      <c r="F257" s="1" t="s">
        <v>5268</v>
      </c>
      <c r="G257" s="1" t="s">
        <v>5269</v>
      </c>
      <c r="H257" s="1" t="s">
        <v>5270</v>
      </c>
      <c r="I257" s="1" t="s">
        <v>5271</v>
      </c>
      <c r="J257" s="1">
        <v>8483031912</v>
      </c>
      <c r="K257" s="1" t="s">
        <v>148</v>
      </c>
      <c r="L257" s="1" t="s">
        <v>5272</v>
      </c>
      <c r="M257" s="1" t="s">
        <v>81</v>
      </c>
      <c r="N257" s="1" t="s">
        <v>605</v>
      </c>
      <c r="O257" s="1"/>
      <c r="P257" s="1" t="s">
        <v>2035</v>
      </c>
      <c r="Q257" s="1" t="s">
        <v>5273</v>
      </c>
      <c r="R257" s="1" t="s">
        <v>4970</v>
      </c>
      <c r="S257" s="1">
        <v>8767841534</v>
      </c>
      <c r="T257" s="1" t="s">
        <v>5274</v>
      </c>
      <c r="U257" s="1" t="s">
        <v>5275</v>
      </c>
      <c r="V257" s="1">
        <v>8483031912</v>
      </c>
      <c r="W257" s="1" t="s">
        <v>156</v>
      </c>
      <c r="X257" s="1" t="s">
        <v>5276</v>
      </c>
      <c r="Y257" s="1" t="s">
        <v>405</v>
      </c>
      <c r="Z257" s="1" t="s">
        <v>92</v>
      </c>
      <c r="AA257" s="1" t="s">
        <v>5276</v>
      </c>
      <c r="AB257" s="1" t="s">
        <v>405</v>
      </c>
      <c r="AC257" s="1" t="s">
        <v>92</v>
      </c>
      <c r="AD257" s="1">
        <v>8.05</v>
      </c>
      <c r="AE257" s="1" t="s">
        <v>93</v>
      </c>
      <c r="AF257" s="1" t="s">
        <v>5277</v>
      </c>
      <c r="AG257" s="1" t="s">
        <v>5278</v>
      </c>
      <c r="AH257" s="1" t="s">
        <v>562</v>
      </c>
      <c r="AI257" s="1" t="s">
        <v>166</v>
      </c>
      <c r="AJ257" s="1">
        <v>80.4</v>
      </c>
      <c r="AK257" s="1"/>
      <c r="AL257" s="1" t="s">
        <v>5279</v>
      </c>
      <c r="AM257" s="1" t="s">
        <v>5280</v>
      </c>
      <c r="AN257" s="1" t="s">
        <v>169</v>
      </c>
      <c r="AO257" s="1" t="s">
        <v>360</v>
      </c>
      <c r="AP257" s="1">
        <v>67.85</v>
      </c>
      <c r="AQ257" s="1"/>
      <c r="AR257" s="1"/>
      <c r="AS257" s="1"/>
      <c r="AT257" s="1"/>
      <c r="AU257" s="1"/>
      <c r="AV257" s="1"/>
      <c r="AW257" s="1"/>
      <c r="AX257" s="1" t="s">
        <v>410</v>
      </c>
      <c r="AY257" s="1" t="s">
        <v>5281</v>
      </c>
      <c r="AZ257" s="1" t="s">
        <v>173</v>
      </c>
      <c r="BA257" s="1" t="s">
        <v>5282</v>
      </c>
      <c r="BB257" s="1">
        <v>74</v>
      </c>
      <c r="BC257" s="1"/>
      <c r="BD257" s="1"/>
      <c r="BE257" s="1"/>
      <c r="BF257" s="1"/>
      <c r="BG257" s="1"/>
      <c r="BH257" s="1"/>
      <c r="BI257" s="1"/>
      <c r="BJ257" s="1" t="s">
        <v>5283</v>
      </c>
      <c r="BK257" s="1"/>
      <c r="BL257" s="1"/>
      <c r="BM257" s="1" t="s">
        <v>5284</v>
      </c>
      <c r="BN257" s="1">
        <v>78</v>
      </c>
      <c r="BO257" s="1" t="s">
        <v>5285</v>
      </c>
      <c r="BP257" s="1" t="str">
        <f>HYPERLINK("https://nconnect.nicmar.ac.in/storage/profile/ProfilePhoto_P25700245_918463.jpg","Download")</f>
        <v>0</v>
      </c>
      <c r="BQ257" s="3"/>
      <c r="BR257" s="3"/>
    </row>
    <row r="258" spans="1:70">
      <c r="A258" s="1" t="s">
        <v>70</v>
      </c>
      <c r="B258" s="1" t="s">
        <v>441</v>
      </c>
      <c r="C258" s="1" t="s">
        <v>5286</v>
      </c>
      <c r="D258" s="1" t="s">
        <v>1156</v>
      </c>
      <c r="E258" s="1" t="s">
        <v>3449</v>
      </c>
      <c r="F258" s="1" t="s">
        <v>144</v>
      </c>
      <c r="G258" s="1" t="s">
        <v>5287</v>
      </c>
      <c r="H258" s="1" t="s">
        <v>5288</v>
      </c>
      <c r="I258" s="1" t="s">
        <v>5289</v>
      </c>
      <c r="J258" s="1">
        <v>7900162345</v>
      </c>
      <c r="K258" s="1" t="s">
        <v>79</v>
      </c>
      <c r="L258" s="1" t="s">
        <v>3495</v>
      </c>
      <c r="M258" s="1" t="s">
        <v>81</v>
      </c>
      <c r="N258" s="1" t="s">
        <v>605</v>
      </c>
      <c r="O258" s="1"/>
      <c r="P258" s="1" t="s">
        <v>1007</v>
      </c>
      <c r="Q258" s="1" t="s">
        <v>5290</v>
      </c>
      <c r="R258" s="1" t="s">
        <v>5291</v>
      </c>
      <c r="S258" s="1">
        <v>9869781092</v>
      </c>
      <c r="T258" s="1" t="s">
        <v>216</v>
      </c>
      <c r="U258" s="1" t="s">
        <v>5292</v>
      </c>
      <c r="V258" s="1">
        <v>9969453439</v>
      </c>
      <c r="W258" s="1" t="s">
        <v>820</v>
      </c>
      <c r="X258" s="1" t="s">
        <v>5293</v>
      </c>
      <c r="Y258" s="1" t="s">
        <v>991</v>
      </c>
      <c r="Z258" s="1" t="s">
        <v>92</v>
      </c>
      <c r="AA258" s="1" t="s">
        <v>5293</v>
      </c>
      <c r="AB258" s="1" t="s">
        <v>991</v>
      </c>
      <c r="AC258" s="1" t="s">
        <v>92</v>
      </c>
      <c r="AD258" s="1">
        <v>8.56</v>
      </c>
      <c r="AE258" s="1" t="s">
        <v>93</v>
      </c>
      <c r="AF258" s="1" t="s">
        <v>5294</v>
      </c>
      <c r="AG258" s="1" t="s">
        <v>5295</v>
      </c>
      <c r="AH258" s="1" t="s">
        <v>96</v>
      </c>
      <c r="AI258" s="1" t="s">
        <v>562</v>
      </c>
      <c r="AJ258" s="1">
        <v>81</v>
      </c>
      <c r="AK258" s="1"/>
      <c r="AL258" s="1" t="s">
        <v>5296</v>
      </c>
      <c r="AM258" s="1" t="s">
        <v>5295</v>
      </c>
      <c r="AN258" s="1" t="s">
        <v>383</v>
      </c>
      <c r="AO258" s="1" t="s">
        <v>433</v>
      </c>
      <c r="AP258" s="1">
        <v>67.69</v>
      </c>
      <c r="AQ258" s="1"/>
      <c r="AR258" s="1"/>
      <c r="AS258" s="1"/>
      <c r="AT258" s="1"/>
      <c r="AU258" s="1"/>
      <c r="AV258" s="1"/>
      <c r="AW258" s="1"/>
      <c r="AX258" s="1" t="s">
        <v>5297</v>
      </c>
      <c r="AY258" s="1" t="s">
        <v>5298</v>
      </c>
      <c r="AZ258" s="1" t="s">
        <v>310</v>
      </c>
      <c r="BA258" s="1" t="s">
        <v>174</v>
      </c>
      <c r="BB258" s="1">
        <v>80.6</v>
      </c>
      <c r="BC258" s="1">
        <v>8.56</v>
      </c>
      <c r="BD258" s="1"/>
      <c r="BE258" s="1"/>
      <c r="BF258" s="1"/>
      <c r="BG258" s="1"/>
      <c r="BH258" s="1"/>
      <c r="BI258" s="1"/>
      <c r="BJ258" s="1" t="s">
        <v>5299</v>
      </c>
      <c r="BK258" s="1" t="s">
        <v>5300</v>
      </c>
      <c r="BL258" s="1" t="s">
        <v>1129</v>
      </c>
      <c r="BM258" s="1" t="s">
        <v>5301</v>
      </c>
      <c r="BN258" s="1">
        <v>34</v>
      </c>
      <c r="BO258" s="1" t="s">
        <v>5302</v>
      </c>
      <c r="BP258" s="1" t="str">
        <f>HYPERLINK("https://nconnect.nicmar.ac.in/storage/profile/ProfilePhoto_P25700246_546739.jpg","Download")</f>
        <v>0</v>
      </c>
      <c r="BQ258" s="3"/>
      <c r="BR258" s="3"/>
    </row>
    <row r="259" spans="1:70">
      <c r="A259" s="1" t="s">
        <v>70</v>
      </c>
      <c r="B259" s="1" t="s">
        <v>441</v>
      </c>
      <c r="C259" s="1" t="s">
        <v>5303</v>
      </c>
      <c r="D259" s="1" t="s">
        <v>5304</v>
      </c>
      <c r="E259" s="1"/>
      <c r="F259" s="1" t="s">
        <v>5305</v>
      </c>
      <c r="G259" s="1" t="s">
        <v>5306</v>
      </c>
      <c r="H259" s="1" t="s">
        <v>5307</v>
      </c>
      <c r="I259" s="1" t="s">
        <v>5308</v>
      </c>
      <c r="J259" s="1">
        <v>9778349801</v>
      </c>
      <c r="K259" s="1" t="s">
        <v>148</v>
      </c>
      <c r="L259" s="1" t="s">
        <v>5309</v>
      </c>
      <c r="M259" s="1" t="s">
        <v>81</v>
      </c>
      <c r="N259" s="1" t="s">
        <v>5198</v>
      </c>
      <c r="O259" s="1" t="s">
        <v>5310</v>
      </c>
      <c r="P259" s="1" t="s">
        <v>214</v>
      </c>
      <c r="Q259" s="1" t="s">
        <v>5311</v>
      </c>
      <c r="R259" s="1" t="s">
        <v>5312</v>
      </c>
      <c r="S259" s="1">
        <v>9400983641</v>
      </c>
      <c r="T259" s="1" t="s">
        <v>5313</v>
      </c>
      <c r="U259" s="1" t="s">
        <v>5314</v>
      </c>
      <c r="V259" s="1">
        <v>9946724284</v>
      </c>
      <c r="W259" s="1" t="s">
        <v>5315</v>
      </c>
      <c r="X259" s="1" t="s">
        <v>5316</v>
      </c>
      <c r="Y259" s="1" t="s">
        <v>5317</v>
      </c>
      <c r="Z259" s="1" t="s">
        <v>125</v>
      </c>
      <c r="AA259" s="1" t="s">
        <v>5318</v>
      </c>
      <c r="AB259" s="1" t="s">
        <v>5317</v>
      </c>
      <c r="AC259" s="1" t="s">
        <v>125</v>
      </c>
      <c r="AD259" s="1">
        <v>8.85</v>
      </c>
      <c r="AE259" s="1" t="s">
        <v>93</v>
      </c>
      <c r="AF259" s="1" t="s">
        <v>5319</v>
      </c>
      <c r="AG259" s="1" t="s">
        <v>3504</v>
      </c>
      <c r="AH259" s="1" t="s">
        <v>162</v>
      </c>
      <c r="AI259" s="1" t="s">
        <v>195</v>
      </c>
      <c r="AJ259" s="1">
        <v>90</v>
      </c>
      <c r="AK259" s="1"/>
      <c r="AL259" s="1" t="s">
        <v>5320</v>
      </c>
      <c r="AM259" s="1" t="s">
        <v>5321</v>
      </c>
      <c r="AN259" s="1" t="s">
        <v>165</v>
      </c>
      <c r="AO259" s="1" t="s">
        <v>537</v>
      </c>
      <c r="AP259" s="1">
        <v>96.08</v>
      </c>
      <c r="AQ259" s="1"/>
      <c r="AR259" s="1"/>
      <c r="AS259" s="1"/>
      <c r="AT259" s="1"/>
      <c r="AU259" s="1"/>
      <c r="AV259" s="1"/>
      <c r="AW259" s="1"/>
      <c r="AX259" s="1" t="s">
        <v>5322</v>
      </c>
      <c r="AY259" s="1" t="s">
        <v>5323</v>
      </c>
      <c r="AZ259" s="1" t="s">
        <v>871</v>
      </c>
      <c r="BA259" s="1" t="s">
        <v>1219</v>
      </c>
      <c r="BB259" s="1">
        <v>81.9</v>
      </c>
      <c r="BC259" s="1">
        <v>8.19</v>
      </c>
      <c r="BD259" s="1"/>
      <c r="BE259" s="1"/>
      <c r="BF259" s="1"/>
      <c r="BG259" s="1"/>
      <c r="BH259" s="1"/>
      <c r="BI259" s="1"/>
      <c r="BJ259" s="1" t="s">
        <v>5324</v>
      </c>
      <c r="BK259" s="1"/>
      <c r="BL259" s="1"/>
      <c r="BM259" s="1" t="s">
        <v>5325</v>
      </c>
      <c r="BN259" s="1">
        <v>12</v>
      </c>
      <c r="BO259" s="1" t="s">
        <v>5326</v>
      </c>
      <c r="BP259" s="1" t="str">
        <f>HYPERLINK("https://nconnect.nicmar.ac.in/storage/profile/ProfilePhoto_P25700247_237156.jpg","Download")</f>
        <v>0</v>
      </c>
      <c r="BQ259" s="3"/>
      <c r="BR259" s="3"/>
    </row>
    <row r="260" spans="1:70">
      <c r="A260" s="1" t="s">
        <v>70</v>
      </c>
      <c r="B260" s="1" t="s">
        <v>441</v>
      </c>
      <c r="C260" s="1" t="s">
        <v>5327</v>
      </c>
      <c r="D260" s="1" t="s">
        <v>5328</v>
      </c>
      <c r="E260" s="1" t="s">
        <v>520</v>
      </c>
      <c r="F260" s="1" t="s">
        <v>5329</v>
      </c>
      <c r="G260" s="1" t="s">
        <v>5330</v>
      </c>
      <c r="H260" s="1" t="s">
        <v>5331</v>
      </c>
      <c r="I260" s="1" t="s">
        <v>5332</v>
      </c>
      <c r="J260" s="1">
        <v>8085305679</v>
      </c>
      <c r="K260" s="1" t="s">
        <v>79</v>
      </c>
      <c r="L260" s="1" t="s">
        <v>5333</v>
      </c>
      <c r="M260" s="1" t="s">
        <v>81</v>
      </c>
      <c r="N260" s="1" t="s">
        <v>5334</v>
      </c>
      <c r="O260" s="1"/>
      <c r="P260" s="1" t="s">
        <v>472</v>
      </c>
      <c r="Q260" s="1" t="s">
        <v>5335</v>
      </c>
      <c r="R260" s="1" t="s">
        <v>5336</v>
      </c>
      <c r="S260" s="1">
        <v>9827117689</v>
      </c>
      <c r="T260" s="1" t="s">
        <v>754</v>
      </c>
      <c r="U260" s="1" t="s">
        <v>5337</v>
      </c>
      <c r="V260" s="1">
        <v>9109505679</v>
      </c>
      <c r="W260" s="1" t="s">
        <v>89</v>
      </c>
      <c r="X260" s="1" t="s">
        <v>5338</v>
      </c>
      <c r="Y260" s="1" t="s">
        <v>5339</v>
      </c>
      <c r="Z260" s="1" t="s">
        <v>2955</v>
      </c>
      <c r="AA260" s="1" t="s">
        <v>5338</v>
      </c>
      <c r="AB260" s="1" t="s">
        <v>5339</v>
      </c>
      <c r="AC260" s="1" t="s">
        <v>2955</v>
      </c>
      <c r="AD260" s="1">
        <v>8.33</v>
      </c>
      <c r="AE260" s="1" t="s">
        <v>93</v>
      </c>
      <c r="AF260" s="1" t="s">
        <v>5340</v>
      </c>
      <c r="AG260" s="1" t="s">
        <v>5341</v>
      </c>
      <c r="AH260" s="1" t="s">
        <v>281</v>
      </c>
      <c r="AI260" s="1" t="s">
        <v>308</v>
      </c>
      <c r="AJ260" s="1">
        <v>82.2</v>
      </c>
      <c r="AK260" s="1">
        <v>0</v>
      </c>
      <c r="AL260" s="1" t="s">
        <v>1039</v>
      </c>
      <c r="AM260" s="1" t="s">
        <v>307</v>
      </c>
      <c r="AN260" s="1" t="s">
        <v>590</v>
      </c>
      <c r="AO260" s="1" t="s">
        <v>539</v>
      </c>
      <c r="AP260" s="1">
        <v>77.4</v>
      </c>
      <c r="AQ260" s="1">
        <v>0</v>
      </c>
      <c r="AR260" s="1"/>
      <c r="AS260" s="1"/>
      <c r="AT260" s="1"/>
      <c r="AU260" s="1"/>
      <c r="AV260" s="1"/>
      <c r="AW260" s="1"/>
      <c r="AX260" s="1" t="s">
        <v>5342</v>
      </c>
      <c r="AY260" s="1" t="s">
        <v>5343</v>
      </c>
      <c r="AZ260" s="1" t="s">
        <v>436</v>
      </c>
      <c r="BA260" s="1" t="s">
        <v>5344</v>
      </c>
      <c r="BB260" s="1">
        <v>66.14</v>
      </c>
      <c r="BC260" s="1">
        <v>6.99</v>
      </c>
      <c r="BD260" s="1"/>
      <c r="BE260" s="1"/>
      <c r="BF260" s="1"/>
      <c r="BG260" s="1"/>
      <c r="BH260" s="1"/>
      <c r="BI260" s="1"/>
      <c r="BJ260" s="1" t="s">
        <v>5345</v>
      </c>
      <c r="BK260" s="1"/>
      <c r="BL260" s="1"/>
      <c r="BM260" s="1" t="s">
        <v>5346</v>
      </c>
      <c r="BN260" s="1">
        <v>38</v>
      </c>
      <c r="BO260" s="1" t="s">
        <v>5347</v>
      </c>
      <c r="BP260" s="1" t="str">
        <f>HYPERLINK("https://nconnect.nicmar.ac.in/storage/profile/ProfilePhoto_P25700248_864927.jpg","Download")</f>
        <v>0</v>
      </c>
      <c r="BQ260" s="3"/>
      <c r="BR260" s="3"/>
    </row>
    <row r="261" spans="1:70">
      <c r="A261" s="1" t="s">
        <v>70</v>
      </c>
      <c r="B261" s="1" t="s">
        <v>441</v>
      </c>
      <c r="C261" s="1" t="s">
        <v>5348</v>
      </c>
      <c r="D261" s="1" t="s">
        <v>5349</v>
      </c>
      <c r="E261" s="1" t="s">
        <v>3449</v>
      </c>
      <c r="F261" s="1" t="s">
        <v>5350</v>
      </c>
      <c r="G261" s="1" t="s">
        <v>5351</v>
      </c>
      <c r="H261" s="1" t="s">
        <v>5352</v>
      </c>
      <c r="I261" s="1" t="s">
        <v>5353</v>
      </c>
      <c r="J261" s="1">
        <v>7621006513</v>
      </c>
      <c r="K261" s="1" t="s">
        <v>79</v>
      </c>
      <c r="L261" s="1" t="s">
        <v>5354</v>
      </c>
      <c r="M261" s="1" t="s">
        <v>81</v>
      </c>
      <c r="N261" s="1" t="s">
        <v>5355</v>
      </c>
      <c r="O261" s="1"/>
      <c r="P261" s="1" t="s">
        <v>497</v>
      </c>
      <c r="Q261" s="1" t="s">
        <v>5356</v>
      </c>
      <c r="R261" s="1" t="s">
        <v>5357</v>
      </c>
      <c r="S261" s="1">
        <v>9450437318</v>
      </c>
      <c r="T261" s="1" t="s">
        <v>5358</v>
      </c>
      <c r="U261" s="1" t="s">
        <v>5359</v>
      </c>
      <c r="V261" s="1">
        <v>9228309519</v>
      </c>
      <c r="W261" s="1" t="s">
        <v>156</v>
      </c>
      <c r="X261" s="1" t="s">
        <v>5360</v>
      </c>
      <c r="Y261" s="1" t="s">
        <v>2889</v>
      </c>
      <c r="Z261" s="1" t="s">
        <v>662</v>
      </c>
      <c r="AA261" s="1" t="s">
        <v>5360</v>
      </c>
      <c r="AB261" s="1" t="s">
        <v>2889</v>
      </c>
      <c r="AC261" s="1" t="s">
        <v>662</v>
      </c>
      <c r="AD261" s="1">
        <v>8.23</v>
      </c>
      <c r="AE261" s="1" t="s">
        <v>93</v>
      </c>
      <c r="AF261" s="1" t="s">
        <v>5361</v>
      </c>
      <c r="AG261" s="1" t="s">
        <v>5362</v>
      </c>
      <c r="AH261" s="1" t="s">
        <v>481</v>
      </c>
      <c r="AI261" s="1" t="s">
        <v>308</v>
      </c>
      <c r="AJ261" s="1">
        <v>87</v>
      </c>
      <c r="AK261" s="1"/>
      <c r="AL261" s="1" t="s">
        <v>5361</v>
      </c>
      <c r="AM261" s="1" t="s">
        <v>5362</v>
      </c>
      <c r="AN261" s="1" t="s">
        <v>956</v>
      </c>
      <c r="AO261" s="1" t="s">
        <v>539</v>
      </c>
      <c r="AP261" s="1">
        <v>85.6</v>
      </c>
      <c r="AQ261" s="1"/>
      <c r="AR261" s="1"/>
      <c r="AS261" s="1"/>
      <c r="AT261" s="1"/>
      <c r="AU261" s="1"/>
      <c r="AV261" s="1"/>
      <c r="AW261" s="1"/>
      <c r="AX261" s="1" t="s">
        <v>5363</v>
      </c>
      <c r="AY261" s="1" t="s">
        <v>5364</v>
      </c>
      <c r="AZ261" s="1" t="s">
        <v>593</v>
      </c>
      <c r="BA261" s="1" t="s">
        <v>543</v>
      </c>
      <c r="BB261" s="1">
        <v>70.93</v>
      </c>
      <c r="BC261" s="1"/>
      <c r="BD261" s="1"/>
      <c r="BE261" s="1"/>
      <c r="BF261" s="1"/>
      <c r="BG261" s="1"/>
      <c r="BH261" s="1"/>
      <c r="BI261" s="1"/>
      <c r="BJ261" s="1" t="s">
        <v>5365</v>
      </c>
      <c r="BK261" s="1"/>
      <c r="BL261" s="1"/>
      <c r="BM261" s="1" t="s">
        <v>5366</v>
      </c>
      <c r="BN261" s="1">
        <v>13</v>
      </c>
      <c r="BO261" s="1" t="s">
        <v>5367</v>
      </c>
      <c r="BP261" s="1" t="str">
        <f>HYPERLINK("https://nconnect.nicmar.ac.in/storage/profile/ProfilePhoto_P25700249_159378.jpg","Download")</f>
        <v>0</v>
      </c>
      <c r="BQ261" s="3"/>
      <c r="BR261" s="3"/>
    </row>
    <row r="262" spans="1:70">
      <c r="A262" s="1" t="s">
        <v>70</v>
      </c>
      <c r="B262" s="1" t="s">
        <v>441</v>
      </c>
      <c r="C262" s="1" t="s">
        <v>5368</v>
      </c>
      <c r="D262" s="1" t="s">
        <v>5369</v>
      </c>
      <c r="E262" s="1" t="s">
        <v>878</v>
      </c>
      <c r="F262" s="1" t="s">
        <v>2072</v>
      </c>
      <c r="G262" s="1" t="s">
        <v>5370</v>
      </c>
      <c r="H262" s="1" t="s">
        <v>5371</v>
      </c>
      <c r="I262" s="1" t="s">
        <v>5372</v>
      </c>
      <c r="J262" s="1">
        <v>8766972680</v>
      </c>
      <c r="K262" s="1" t="s">
        <v>148</v>
      </c>
      <c r="L262" s="1" t="s">
        <v>5373</v>
      </c>
      <c r="M262" s="1" t="s">
        <v>81</v>
      </c>
      <c r="N262" s="1" t="s">
        <v>5374</v>
      </c>
      <c r="O262" s="1"/>
      <c r="P262" s="1" t="s">
        <v>497</v>
      </c>
      <c r="Q262" s="1" t="s">
        <v>5375</v>
      </c>
      <c r="R262" s="1" t="s">
        <v>5376</v>
      </c>
      <c r="S262" s="1">
        <v>9765550909</v>
      </c>
      <c r="T262" s="1" t="s">
        <v>154</v>
      </c>
      <c r="U262" s="1" t="s">
        <v>5377</v>
      </c>
      <c r="V262" s="1">
        <v>8668877113</v>
      </c>
      <c r="W262" s="1" t="s">
        <v>89</v>
      </c>
      <c r="X262" s="1" t="s">
        <v>5378</v>
      </c>
      <c r="Y262" s="1" t="s">
        <v>191</v>
      </c>
      <c r="Z262" s="1" t="s">
        <v>92</v>
      </c>
      <c r="AA262" s="1" t="s">
        <v>5378</v>
      </c>
      <c r="AB262" s="1" t="s">
        <v>191</v>
      </c>
      <c r="AC262" s="1" t="s">
        <v>92</v>
      </c>
      <c r="AD262" s="1">
        <v>8.24</v>
      </c>
      <c r="AE262" s="1" t="s">
        <v>93</v>
      </c>
      <c r="AF262" s="1" t="s">
        <v>4499</v>
      </c>
      <c r="AG262" s="1" t="s">
        <v>5379</v>
      </c>
      <c r="AH262" s="1" t="s">
        <v>165</v>
      </c>
      <c r="AI262" s="1" t="s">
        <v>166</v>
      </c>
      <c r="AJ262" s="1">
        <v>81.8</v>
      </c>
      <c r="AK262" s="1">
        <v>8.61</v>
      </c>
      <c r="AL262" s="1" t="s">
        <v>5380</v>
      </c>
      <c r="AM262" s="1" t="s">
        <v>197</v>
      </c>
      <c r="AN262" s="1" t="s">
        <v>433</v>
      </c>
      <c r="AO262" s="1" t="s">
        <v>590</v>
      </c>
      <c r="AP262" s="1">
        <v>60</v>
      </c>
      <c r="AQ262" s="1">
        <v>6.31</v>
      </c>
      <c r="AR262" s="1"/>
      <c r="AS262" s="1"/>
      <c r="AT262" s="1"/>
      <c r="AU262" s="1"/>
      <c r="AV262" s="1"/>
      <c r="AW262" s="1"/>
      <c r="AX262" s="1" t="s">
        <v>361</v>
      </c>
      <c r="AY262" s="1" t="s">
        <v>5381</v>
      </c>
      <c r="AZ262" s="1" t="s">
        <v>871</v>
      </c>
      <c r="BA262" s="1" t="s">
        <v>202</v>
      </c>
      <c r="BB262" s="1">
        <v>73.3</v>
      </c>
      <c r="BC262" s="1">
        <v>8.08</v>
      </c>
      <c r="BD262" s="1"/>
      <c r="BE262" s="1"/>
      <c r="BF262" s="1"/>
      <c r="BG262" s="1"/>
      <c r="BH262" s="1"/>
      <c r="BI262" s="1"/>
      <c r="BJ262" s="1" t="s">
        <v>5382</v>
      </c>
      <c r="BK262" s="1"/>
      <c r="BL262" s="1"/>
      <c r="BM262" s="1" t="s">
        <v>5383</v>
      </c>
      <c r="BN262" s="1">
        <v>13</v>
      </c>
      <c r="BO262" s="1" t="s">
        <v>5384</v>
      </c>
      <c r="BP262" s="1" t="str">
        <f>HYPERLINK("https://nconnect.nicmar.ac.in/storage/profile/ProfilePhoto_P25700250_825963.jpg","Download")</f>
        <v>0</v>
      </c>
      <c r="BQ262" s="3"/>
      <c r="BR262" s="3"/>
    </row>
    <row r="263" spans="1:70">
      <c r="A263" s="1" t="s">
        <v>70</v>
      </c>
      <c r="B263" s="1" t="s">
        <v>441</v>
      </c>
      <c r="C263" s="1" t="s">
        <v>5385</v>
      </c>
      <c r="D263" s="1" t="s">
        <v>856</v>
      </c>
      <c r="E263" s="1"/>
      <c r="F263" s="1" t="s">
        <v>1298</v>
      </c>
      <c r="G263" s="1" t="s">
        <v>3617</v>
      </c>
      <c r="H263" s="1" t="s">
        <v>5386</v>
      </c>
      <c r="I263" s="1" t="s">
        <v>5387</v>
      </c>
      <c r="J263" s="1">
        <v>9097654676</v>
      </c>
      <c r="K263" s="1" t="s">
        <v>79</v>
      </c>
      <c r="L263" s="1" t="s">
        <v>3536</v>
      </c>
      <c r="M263" s="1" t="s">
        <v>81</v>
      </c>
      <c r="N263" s="1" t="s">
        <v>4289</v>
      </c>
      <c r="O263" s="1"/>
      <c r="P263" s="1" t="s">
        <v>450</v>
      </c>
      <c r="Q263" s="1" t="s">
        <v>5388</v>
      </c>
      <c r="R263" s="1" t="s">
        <v>5389</v>
      </c>
      <c r="S263" s="1">
        <v>9334265895</v>
      </c>
      <c r="T263" s="1" t="s">
        <v>906</v>
      </c>
      <c r="U263" s="1" t="s">
        <v>5390</v>
      </c>
      <c r="V263" s="1">
        <v>7295845373</v>
      </c>
      <c r="W263" s="1" t="s">
        <v>156</v>
      </c>
      <c r="X263" s="1" t="s">
        <v>5391</v>
      </c>
      <c r="Y263" s="1" t="s">
        <v>635</v>
      </c>
      <c r="Z263" s="1" t="s">
        <v>636</v>
      </c>
      <c r="AA263" s="1" t="s">
        <v>5391</v>
      </c>
      <c r="AB263" s="1" t="s">
        <v>635</v>
      </c>
      <c r="AC263" s="1" t="s">
        <v>636</v>
      </c>
      <c r="AD263" s="1">
        <v>8.82</v>
      </c>
      <c r="AE263" s="1" t="s">
        <v>93</v>
      </c>
      <c r="AF263" s="1" t="s">
        <v>2602</v>
      </c>
      <c r="AG263" s="1" t="s">
        <v>2178</v>
      </c>
      <c r="AH263" s="1" t="s">
        <v>195</v>
      </c>
      <c r="AI263" s="1" t="s">
        <v>281</v>
      </c>
      <c r="AJ263" s="1">
        <v>69.2</v>
      </c>
      <c r="AK263" s="1"/>
      <c r="AL263" s="1" t="s">
        <v>2602</v>
      </c>
      <c r="AM263" s="1" t="s">
        <v>2178</v>
      </c>
      <c r="AN263" s="1" t="s">
        <v>169</v>
      </c>
      <c r="AO263" s="1" t="s">
        <v>590</v>
      </c>
      <c r="AP263" s="1">
        <v>77.6</v>
      </c>
      <c r="AQ263" s="1"/>
      <c r="AR263" s="1"/>
      <c r="AS263" s="1"/>
      <c r="AT263" s="1"/>
      <c r="AU263" s="1"/>
      <c r="AV263" s="1"/>
      <c r="AW263" s="1"/>
      <c r="AX263" s="1" t="s">
        <v>5392</v>
      </c>
      <c r="AY263" s="1" t="s">
        <v>5393</v>
      </c>
      <c r="AZ263" s="1" t="s">
        <v>363</v>
      </c>
      <c r="BA263" s="1" t="s">
        <v>1219</v>
      </c>
      <c r="BB263" s="1">
        <v>74.77</v>
      </c>
      <c r="BC263" s="1">
        <v>8.31</v>
      </c>
      <c r="BD263" s="1"/>
      <c r="BE263" s="1"/>
      <c r="BF263" s="1"/>
      <c r="BG263" s="1"/>
      <c r="BH263" s="1"/>
      <c r="BI263" s="1"/>
      <c r="BJ263" s="1" t="s">
        <v>567</v>
      </c>
      <c r="BK263" s="1"/>
      <c r="BL263" s="1"/>
      <c r="BM263" s="1" t="s">
        <v>5394</v>
      </c>
      <c r="BN263" s="1">
        <v>49</v>
      </c>
      <c r="BO263" s="1" t="s">
        <v>2047</v>
      </c>
      <c r="BP263" s="1" t="str">
        <f>HYPERLINK("https://nconnect.nicmar.ac.in/storage/profile/ProfilePhoto_P25700251_793658.jpg","Download")</f>
        <v>0</v>
      </c>
      <c r="BQ263" s="3"/>
      <c r="BR263" s="3"/>
    </row>
    <row r="264" spans="1:70">
      <c r="A264" s="1" t="s">
        <v>70</v>
      </c>
      <c r="B264" s="1" t="s">
        <v>441</v>
      </c>
      <c r="C264" s="1" t="s">
        <v>5395</v>
      </c>
      <c r="D264" s="1" t="s">
        <v>5396</v>
      </c>
      <c r="E264" s="1" t="s">
        <v>1587</v>
      </c>
      <c r="F264" s="1" t="s">
        <v>5397</v>
      </c>
      <c r="G264" s="1" t="s">
        <v>5398</v>
      </c>
      <c r="H264" s="1" t="s">
        <v>5399</v>
      </c>
      <c r="I264" s="1" t="s">
        <v>5400</v>
      </c>
      <c r="J264" s="1">
        <v>7666594354</v>
      </c>
      <c r="K264" s="1" t="s">
        <v>79</v>
      </c>
      <c r="L264" s="1" t="s">
        <v>5401</v>
      </c>
      <c r="M264" s="1" t="s">
        <v>81</v>
      </c>
      <c r="N264" s="1" t="s">
        <v>5402</v>
      </c>
      <c r="O264" s="1"/>
      <c r="P264" s="1"/>
      <c r="Q264" s="1" t="s">
        <v>5403</v>
      </c>
      <c r="R264" s="1" t="s">
        <v>1587</v>
      </c>
      <c r="S264" s="1">
        <v>8087240317</v>
      </c>
      <c r="T264" s="1" t="s">
        <v>632</v>
      </c>
      <c r="U264" s="1" t="s">
        <v>5404</v>
      </c>
      <c r="V264" s="1">
        <v>8421673677</v>
      </c>
      <c r="W264" s="1" t="s">
        <v>273</v>
      </c>
      <c r="X264" s="1" t="s">
        <v>5405</v>
      </c>
      <c r="Y264" s="1" t="s">
        <v>1963</v>
      </c>
      <c r="Z264" s="1" t="s">
        <v>92</v>
      </c>
      <c r="AA264" s="1" t="s">
        <v>5405</v>
      </c>
      <c r="AB264" s="1" t="s">
        <v>1963</v>
      </c>
      <c r="AC264" s="1" t="s">
        <v>92</v>
      </c>
      <c r="AD264" s="1">
        <v>7.92</v>
      </c>
      <c r="AE264" s="1" t="s">
        <v>93</v>
      </c>
      <c r="AF264" s="1" t="s">
        <v>5406</v>
      </c>
      <c r="AG264" s="1" t="s">
        <v>5407</v>
      </c>
      <c r="AH264" s="1" t="s">
        <v>162</v>
      </c>
      <c r="AI264" s="1" t="s">
        <v>165</v>
      </c>
      <c r="AJ264" s="1">
        <v>76.8</v>
      </c>
      <c r="AK264" s="1"/>
      <c r="AL264" s="1" t="s">
        <v>5408</v>
      </c>
      <c r="AM264" s="1" t="s">
        <v>5409</v>
      </c>
      <c r="AN264" s="1" t="s">
        <v>166</v>
      </c>
      <c r="AO264" s="1" t="s">
        <v>308</v>
      </c>
      <c r="AP264" s="1">
        <v>66</v>
      </c>
      <c r="AQ264" s="1"/>
      <c r="AR264" s="1"/>
      <c r="AS264" s="1"/>
      <c r="AT264" s="1"/>
      <c r="AU264" s="1"/>
      <c r="AV264" s="1"/>
      <c r="AW264" s="1"/>
      <c r="AX264" s="1" t="s">
        <v>1862</v>
      </c>
      <c r="AY264" s="1" t="s">
        <v>5410</v>
      </c>
      <c r="AZ264" s="1" t="s">
        <v>310</v>
      </c>
      <c r="BA264" s="1" t="s">
        <v>174</v>
      </c>
      <c r="BB264" s="1">
        <v>76.27</v>
      </c>
      <c r="BC264" s="1">
        <v>8.12</v>
      </c>
      <c r="BD264" s="1"/>
      <c r="BE264" s="1"/>
      <c r="BF264" s="1"/>
      <c r="BG264" s="1"/>
      <c r="BH264" s="1"/>
      <c r="BI264" s="1"/>
      <c r="BJ264" s="1" t="s">
        <v>1904</v>
      </c>
      <c r="BK264" s="1"/>
      <c r="BL264" s="1"/>
      <c r="BM264" s="1" t="s">
        <v>5411</v>
      </c>
      <c r="BN264" s="1">
        <v>66</v>
      </c>
      <c r="BO264" s="1" t="s">
        <v>5412</v>
      </c>
      <c r="BP264" s="1" t="str">
        <f>HYPERLINK("https://nconnect.nicmar.ac.in/storage/profile/ProfilePhoto_P25700252_286139.jpg","Download")</f>
        <v>0</v>
      </c>
      <c r="BQ264" s="3"/>
      <c r="BR264" s="3"/>
    </row>
    <row r="265" spans="1:70">
      <c r="A265" s="1" t="s">
        <v>70</v>
      </c>
      <c r="B265" s="1" t="s">
        <v>441</v>
      </c>
      <c r="C265" s="1" t="s">
        <v>5413</v>
      </c>
      <c r="D265" s="1" t="s">
        <v>3368</v>
      </c>
      <c r="E265" s="1" t="s">
        <v>1155</v>
      </c>
      <c r="F265" s="1" t="s">
        <v>5414</v>
      </c>
      <c r="G265" s="1" t="s">
        <v>5415</v>
      </c>
      <c r="H265" s="1" t="s">
        <v>5416</v>
      </c>
      <c r="I265" s="1" t="s">
        <v>5417</v>
      </c>
      <c r="J265" s="1">
        <v>9503125004</v>
      </c>
      <c r="K265" s="1" t="s">
        <v>79</v>
      </c>
      <c r="L265" s="1" t="s">
        <v>5418</v>
      </c>
      <c r="M265" s="1" t="s">
        <v>81</v>
      </c>
      <c r="N265" s="1" t="s">
        <v>751</v>
      </c>
      <c r="O265" s="1" t="s">
        <v>5419</v>
      </c>
      <c r="P265" s="1" t="s">
        <v>84</v>
      </c>
      <c r="Q265" s="1" t="s">
        <v>5420</v>
      </c>
      <c r="R265" s="1" t="s">
        <v>5421</v>
      </c>
      <c r="S265" s="1">
        <v>9518909421</v>
      </c>
      <c r="T265" s="1" t="s">
        <v>632</v>
      </c>
      <c r="U265" s="1" t="s">
        <v>5422</v>
      </c>
      <c r="V265" s="1">
        <v>9689173404</v>
      </c>
      <c r="W265" s="1" t="s">
        <v>2539</v>
      </c>
      <c r="X265" s="1" t="s">
        <v>5423</v>
      </c>
      <c r="Y265" s="1" t="s">
        <v>611</v>
      </c>
      <c r="Z265" s="1" t="s">
        <v>92</v>
      </c>
      <c r="AA265" s="1" t="s">
        <v>5424</v>
      </c>
      <c r="AB265" s="1" t="s">
        <v>191</v>
      </c>
      <c r="AC265" s="1" t="s">
        <v>92</v>
      </c>
      <c r="AD265" s="1">
        <v>8.08</v>
      </c>
      <c r="AE265" s="1" t="s">
        <v>93</v>
      </c>
      <c r="AF265" s="1" t="s">
        <v>5425</v>
      </c>
      <c r="AG265" s="1" t="s">
        <v>5426</v>
      </c>
      <c r="AH265" s="1" t="s">
        <v>562</v>
      </c>
      <c r="AI265" s="1" t="s">
        <v>166</v>
      </c>
      <c r="AJ265" s="1">
        <v>65.6</v>
      </c>
      <c r="AK265" s="1"/>
      <c r="AL265" s="1" t="s">
        <v>5427</v>
      </c>
      <c r="AM265" s="1" t="s">
        <v>5428</v>
      </c>
      <c r="AN265" s="1" t="s">
        <v>310</v>
      </c>
      <c r="AO265" s="1" t="s">
        <v>173</v>
      </c>
      <c r="AP265" s="1">
        <v>63.85</v>
      </c>
      <c r="AQ265" s="1"/>
      <c r="AR265" s="1"/>
      <c r="AS265" s="1"/>
      <c r="AT265" s="1"/>
      <c r="AU265" s="1"/>
      <c r="AV265" s="1"/>
      <c r="AW265" s="1"/>
      <c r="AX265" s="1" t="s">
        <v>5429</v>
      </c>
      <c r="AY265" s="1" t="s">
        <v>5430</v>
      </c>
      <c r="AZ265" s="1" t="s">
        <v>173</v>
      </c>
      <c r="BA265" s="1" t="s">
        <v>202</v>
      </c>
      <c r="BB265" s="1">
        <v>70.8</v>
      </c>
      <c r="BC265" s="1"/>
      <c r="BD265" s="1"/>
      <c r="BE265" s="1"/>
      <c r="BF265" s="1"/>
      <c r="BG265" s="1"/>
      <c r="BH265" s="1"/>
      <c r="BI265" s="1"/>
      <c r="BJ265" s="1" t="s">
        <v>567</v>
      </c>
      <c r="BK265" s="1"/>
      <c r="BL265" s="1"/>
      <c r="BM265" s="1" t="s">
        <v>5431</v>
      </c>
      <c r="BN265" s="1">
        <v>40</v>
      </c>
      <c r="BO265" s="1" t="s">
        <v>5432</v>
      </c>
      <c r="BP265" s="1" t="str">
        <f>HYPERLINK("https://nconnect.nicmar.ac.in/storage/profile/ProfilePhoto_P25700253_341298.jpg","Download")</f>
        <v>0</v>
      </c>
      <c r="BQ265" s="3"/>
      <c r="BR265" s="3"/>
    </row>
    <row r="266" spans="1:70">
      <c r="A266" s="1" t="s">
        <v>70</v>
      </c>
      <c r="B266" s="1" t="s">
        <v>441</v>
      </c>
      <c r="C266" s="1" t="s">
        <v>5433</v>
      </c>
      <c r="D266" s="1" t="s">
        <v>5434</v>
      </c>
      <c r="E266" s="1" t="s">
        <v>2985</v>
      </c>
      <c r="F266" s="1" t="s">
        <v>3120</v>
      </c>
      <c r="G266" s="1" t="s">
        <v>5435</v>
      </c>
      <c r="H266" s="1" t="s">
        <v>5436</v>
      </c>
      <c r="I266" s="1" t="s">
        <v>5437</v>
      </c>
      <c r="J266" s="1">
        <v>8605809022</v>
      </c>
      <c r="K266" s="1" t="s">
        <v>79</v>
      </c>
      <c r="L266" s="1" t="s">
        <v>5438</v>
      </c>
      <c r="M266" s="1" t="s">
        <v>81</v>
      </c>
      <c r="N266" s="1" t="s">
        <v>4289</v>
      </c>
      <c r="O266" s="1"/>
      <c r="P266" s="1" t="s">
        <v>450</v>
      </c>
      <c r="Q266" s="1" t="s">
        <v>5439</v>
      </c>
      <c r="R266" s="1" t="s">
        <v>5440</v>
      </c>
      <c r="S266" s="1">
        <v>7083455130</v>
      </c>
      <c r="T266" s="1" t="s">
        <v>5441</v>
      </c>
      <c r="U266" s="1" t="s">
        <v>5442</v>
      </c>
      <c r="V266" s="1">
        <v>7875375321</v>
      </c>
      <c r="W266" s="1" t="s">
        <v>156</v>
      </c>
      <c r="X266" s="1" t="s">
        <v>5443</v>
      </c>
      <c r="Y266" s="1" t="s">
        <v>191</v>
      </c>
      <c r="Z266" s="1" t="s">
        <v>92</v>
      </c>
      <c r="AA266" s="1" t="s">
        <v>5444</v>
      </c>
      <c r="AB266" s="1" t="s">
        <v>91</v>
      </c>
      <c r="AC266" s="1" t="s">
        <v>92</v>
      </c>
      <c r="AD266" s="1">
        <v>8.15</v>
      </c>
      <c r="AE266" s="1" t="s">
        <v>93</v>
      </c>
      <c r="AF266" s="1" t="s">
        <v>5445</v>
      </c>
      <c r="AG266" s="1" t="s">
        <v>307</v>
      </c>
      <c r="AH266" s="1" t="s">
        <v>5446</v>
      </c>
      <c r="AI266" s="1" t="s">
        <v>166</v>
      </c>
      <c r="AJ266" s="1">
        <v>83.4</v>
      </c>
      <c r="AK266" s="1"/>
      <c r="AL266" s="1" t="s">
        <v>5447</v>
      </c>
      <c r="AM266" s="1" t="s">
        <v>160</v>
      </c>
      <c r="AN266" s="1" t="s">
        <v>101</v>
      </c>
      <c r="AO266" s="1" t="s">
        <v>360</v>
      </c>
      <c r="AP266" s="1">
        <v>73.69</v>
      </c>
      <c r="AQ266" s="1"/>
      <c r="AR266" s="1"/>
      <c r="AS266" s="1"/>
      <c r="AT266" s="1"/>
      <c r="AU266" s="1"/>
      <c r="AV266" s="1"/>
      <c r="AW266" s="1"/>
      <c r="AX266" s="1" t="s">
        <v>540</v>
      </c>
      <c r="AY266" s="1" t="s">
        <v>5448</v>
      </c>
      <c r="AZ266" s="1" t="s">
        <v>542</v>
      </c>
      <c r="BA266" s="1" t="s">
        <v>543</v>
      </c>
      <c r="BB266" s="1">
        <v>81.4</v>
      </c>
      <c r="BC266" s="1">
        <v>8.14</v>
      </c>
      <c r="BD266" s="1"/>
      <c r="BE266" s="1"/>
      <c r="BF266" s="1"/>
      <c r="BG266" s="1"/>
      <c r="BH266" s="1"/>
      <c r="BI266" s="1"/>
      <c r="BJ266" s="1" t="s">
        <v>5449</v>
      </c>
      <c r="BK266" s="1"/>
      <c r="BL266" s="1"/>
      <c r="BM266" s="1" t="s">
        <v>5450</v>
      </c>
      <c r="BN266" s="1">
        <v>9</v>
      </c>
      <c r="BO266" s="1"/>
      <c r="BP266" s="1" t="str">
        <f>HYPERLINK("https://nconnect.nicmar.ac.in/storage/profile/6a73072f13df6.png","Download")</f>
        <v>0</v>
      </c>
      <c r="BQ266" s="3"/>
      <c r="BR266" s="3"/>
    </row>
    <row r="267" spans="1:70">
      <c r="A267" s="1" t="s">
        <v>70</v>
      </c>
      <c r="B267" s="1" t="s">
        <v>441</v>
      </c>
      <c r="C267" s="1" t="s">
        <v>5451</v>
      </c>
      <c r="D267" s="1" t="s">
        <v>2838</v>
      </c>
      <c r="E267" s="1"/>
      <c r="F267" s="1" t="s">
        <v>5452</v>
      </c>
      <c r="G267" s="1" t="s">
        <v>5453</v>
      </c>
      <c r="H267" s="1" t="s">
        <v>5454</v>
      </c>
      <c r="I267" s="1" t="s">
        <v>5455</v>
      </c>
      <c r="J267" s="1">
        <v>9112180683</v>
      </c>
      <c r="K267" s="1" t="s">
        <v>79</v>
      </c>
      <c r="L267" s="1" t="s">
        <v>5456</v>
      </c>
      <c r="M267" s="1" t="s">
        <v>81</v>
      </c>
      <c r="N267" s="1" t="s">
        <v>1448</v>
      </c>
      <c r="O267" s="1"/>
      <c r="P267" s="1" t="s">
        <v>1007</v>
      </c>
      <c r="Q267" s="1" t="s">
        <v>5457</v>
      </c>
      <c r="R267" s="1" t="s">
        <v>5458</v>
      </c>
      <c r="S267" s="1">
        <v>9423110635</v>
      </c>
      <c r="T267" s="1" t="s">
        <v>120</v>
      </c>
      <c r="U267" s="1" t="s">
        <v>5459</v>
      </c>
      <c r="V267" s="1">
        <v>9420853675</v>
      </c>
      <c r="W267" s="1" t="s">
        <v>120</v>
      </c>
      <c r="X267" s="1" t="s">
        <v>5460</v>
      </c>
      <c r="Y267" s="1" t="s">
        <v>405</v>
      </c>
      <c r="Z267" s="1" t="s">
        <v>92</v>
      </c>
      <c r="AA267" s="1" t="s">
        <v>5460</v>
      </c>
      <c r="AB267" s="1" t="s">
        <v>405</v>
      </c>
      <c r="AC267" s="1" t="s">
        <v>92</v>
      </c>
      <c r="AD267" s="1">
        <v>8.69</v>
      </c>
      <c r="AE267" s="1" t="s">
        <v>93</v>
      </c>
      <c r="AF267" s="1" t="s">
        <v>5461</v>
      </c>
      <c r="AG267" s="1" t="s">
        <v>5462</v>
      </c>
      <c r="AH267" s="1" t="s">
        <v>562</v>
      </c>
      <c r="AI267" s="1" t="s">
        <v>166</v>
      </c>
      <c r="AJ267" s="1">
        <v>78.8</v>
      </c>
      <c r="AK267" s="1"/>
      <c r="AL267" s="1" t="s">
        <v>5463</v>
      </c>
      <c r="AM267" s="1" t="s">
        <v>160</v>
      </c>
      <c r="AN267" s="1" t="s">
        <v>198</v>
      </c>
      <c r="AO267" s="1" t="s">
        <v>360</v>
      </c>
      <c r="AP267" s="1">
        <v>72.62</v>
      </c>
      <c r="AQ267" s="1"/>
      <c r="AR267" s="1"/>
      <c r="AS267" s="1"/>
      <c r="AT267" s="1"/>
      <c r="AU267" s="1"/>
      <c r="AV267" s="1"/>
      <c r="AW267" s="1"/>
      <c r="AX267" s="1" t="s">
        <v>410</v>
      </c>
      <c r="AY267" s="1" t="s">
        <v>5464</v>
      </c>
      <c r="AZ267" s="1" t="s">
        <v>4744</v>
      </c>
      <c r="BA267" s="1" t="s">
        <v>5282</v>
      </c>
      <c r="BB267" s="1">
        <v>72.4</v>
      </c>
      <c r="BC267" s="1">
        <v>7.99</v>
      </c>
      <c r="BD267" s="1"/>
      <c r="BE267" s="1"/>
      <c r="BF267" s="1"/>
      <c r="BG267" s="1"/>
      <c r="BH267" s="1"/>
      <c r="BI267" s="1"/>
      <c r="BJ267" s="1" t="s">
        <v>5465</v>
      </c>
      <c r="BK267" s="1" t="s">
        <v>5466</v>
      </c>
      <c r="BL267" s="1" t="s">
        <v>287</v>
      </c>
      <c r="BM267" s="1" t="s">
        <v>5467</v>
      </c>
      <c r="BN267" s="1">
        <v>35</v>
      </c>
      <c r="BO267" s="1" t="s">
        <v>5468</v>
      </c>
      <c r="BP267" s="1" t="str">
        <f>HYPERLINK("https://nconnect.nicmar.ac.in/storage/profile/6a6807d8292d9.png","Download")</f>
        <v>0</v>
      </c>
      <c r="BQ267" s="3"/>
      <c r="BR267" s="3"/>
    </row>
    <row r="268" spans="1:70">
      <c r="A268" s="1" t="s">
        <v>70</v>
      </c>
      <c r="B268" s="1" t="s">
        <v>441</v>
      </c>
      <c r="C268" s="1" t="s">
        <v>5469</v>
      </c>
      <c r="D268" s="1" t="s">
        <v>5470</v>
      </c>
      <c r="E268" s="1" t="s">
        <v>1937</v>
      </c>
      <c r="F268" s="1" t="s">
        <v>5471</v>
      </c>
      <c r="G268" s="1" t="s">
        <v>5472</v>
      </c>
      <c r="H268" s="1" t="s">
        <v>5473</v>
      </c>
      <c r="I268" s="1" t="s">
        <v>5474</v>
      </c>
      <c r="J268" s="1">
        <v>9673618669</v>
      </c>
      <c r="K268" s="1" t="s">
        <v>79</v>
      </c>
      <c r="L268" s="1" t="s">
        <v>5475</v>
      </c>
      <c r="M268" s="1" t="s">
        <v>81</v>
      </c>
      <c r="N268" s="1" t="s">
        <v>5476</v>
      </c>
      <c r="O268" s="1"/>
      <c r="P268" s="1" t="s">
        <v>450</v>
      </c>
      <c r="Q268" s="1" t="s">
        <v>5477</v>
      </c>
      <c r="R268" s="1" t="s">
        <v>1937</v>
      </c>
      <c r="S268" s="1">
        <v>9730085909</v>
      </c>
      <c r="T268" s="1" t="s">
        <v>820</v>
      </c>
      <c r="U268" s="1" t="s">
        <v>1103</v>
      </c>
      <c r="V268" s="1">
        <v>9028085909</v>
      </c>
      <c r="W268" s="1" t="s">
        <v>273</v>
      </c>
      <c r="X268" s="1" t="s">
        <v>5478</v>
      </c>
      <c r="Y268" s="1" t="s">
        <v>1963</v>
      </c>
      <c r="Z268" s="1" t="s">
        <v>92</v>
      </c>
      <c r="AA268" s="1" t="s">
        <v>5478</v>
      </c>
      <c r="AB268" s="1" t="s">
        <v>1963</v>
      </c>
      <c r="AC268" s="1" t="s">
        <v>92</v>
      </c>
      <c r="AD268" s="1">
        <v>8.12</v>
      </c>
      <c r="AE268" s="1" t="s">
        <v>93</v>
      </c>
      <c r="AF268" s="1" t="s">
        <v>5479</v>
      </c>
      <c r="AG268" s="1" t="s">
        <v>5480</v>
      </c>
      <c r="AH268" s="1" t="s">
        <v>162</v>
      </c>
      <c r="AI268" s="1" t="s">
        <v>195</v>
      </c>
      <c r="AJ268" s="1">
        <v>78.6</v>
      </c>
      <c r="AK268" s="1"/>
      <c r="AL268" s="1"/>
      <c r="AM268" s="1"/>
      <c r="AN268" s="1"/>
      <c r="AO268" s="1"/>
      <c r="AP268" s="1"/>
      <c r="AQ268" s="1"/>
      <c r="AR268" s="1" t="s">
        <v>98</v>
      </c>
      <c r="AS268" s="1" t="s">
        <v>5481</v>
      </c>
      <c r="AT268" s="1" t="s">
        <v>383</v>
      </c>
      <c r="AU268" s="1" t="s">
        <v>412</v>
      </c>
      <c r="AV268" s="1">
        <v>82.58</v>
      </c>
      <c r="AW268" s="1"/>
      <c r="AX268" s="1" t="s">
        <v>361</v>
      </c>
      <c r="AY268" s="1" t="s">
        <v>5482</v>
      </c>
      <c r="AZ268" s="1" t="s">
        <v>173</v>
      </c>
      <c r="BA268" s="1" t="s">
        <v>935</v>
      </c>
      <c r="BB268" s="1">
        <v>77.2</v>
      </c>
      <c r="BC268" s="1">
        <v>8.47</v>
      </c>
      <c r="BD268" s="1"/>
      <c r="BE268" s="1"/>
      <c r="BF268" s="1"/>
      <c r="BG268" s="1"/>
      <c r="BH268" s="1"/>
      <c r="BI268" s="1"/>
      <c r="BJ268" s="1" t="s">
        <v>255</v>
      </c>
      <c r="BK268" s="1" t="s">
        <v>5483</v>
      </c>
      <c r="BL268" s="1" t="s">
        <v>2434</v>
      </c>
      <c r="BM268" s="1" t="s">
        <v>5484</v>
      </c>
      <c r="BN268" s="1">
        <v>20</v>
      </c>
      <c r="BO268" s="1"/>
      <c r="BP268" s="1" t="str">
        <f>HYPERLINK("https://nconnect.nicmar.ac.in/storage/profile/ProfilePhoto_P25700256_314276.jpg","Download")</f>
        <v>0</v>
      </c>
      <c r="BQ268" s="3"/>
      <c r="BR268" s="3"/>
    </row>
    <row r="269" spans="1:70">
      <c r="A269" s="1" t="s">
        <v>70</v>
      </c>
      <c r="B269" s="1" t="s">
        <v>441</v>
      </c>
      <c r="C269" s="1" t="s">
        <v>5485</v>
      </c>
      <c r="D269" s="1" t="s">
        <v>5486</v>
      </c>
      <c r="E269" s="1" t="s">
        <v>4712</v>
      </c>
      <c r="F269" s="1" t="s">
        <v>5487</v>
      </c>
      <c r="G269" s="1" t="s">
        <v>5488</v>
      </c>
      <c r="H269" s="1" t="s">
        <v>5489</v>
      </c>
      <c r="I269" s="1" t="s">
        <v>5490</v>
      </c>
      <c r="J269" s="1">
        <v>8600242149</v>
      </c>
      <c r="K269" s="1" t="s">
        <v>79</v>
      </c>
      <c r="L269" s="1" t="s">
        <v>5491</v>
      </c>
      <c r="M269" s="1" t="s">
        <v>81</v>
      </c>
      <c r="N269" s="1" t="s">
        <v>4976</v>
      </c>
      <c r="O269" s="1"/>
      <c r="P269" s="1" t="s">
        <v>497</v>
      </c>
      <c r="Q269" s="1" t="s">
        <v>5492</v>
      </c>
      <c r="R269" s="1" t="s">
        <v>5493</v>
      </c>
      <c r="S269" s="1">
        <v>7559482572</v>
      </c>
      <c r="T269" s="1" t="s">
        <v>120</v>
      </c>
      <c r="U269" s="1" t="s">
        <v>5494</v>
      </c>
      <c r="V269" s="1">
        <v>7030806048</v>
      </c>
      <c r="W269" s="1" t="s">
        <v>156</v>
      </c>
      <c r="X269" s="1" t="s">
        <v>5495</v>
      </c>
      <c r="Y269" s="1" t="s">
        <v>4313</v>
      </c>
      <c r="Z269" s="1" t="s">
        <v>92</v>
      </c>
      <c r="AA269" s="1" t="s">
        <v>5495</v>
      </c>
      <c r="AB269" s="1" t="s">
        <v>4313</v>
      </c>
      <c r="AC269" s="1" t="s">
        <v>92</v>
      </c>
      <c r="AD269" s="1">
        <v>8.16</v>
      </c>
      <c r="AE269" s="1" t="s">
        <v>93</v>
      </c>
      <c r="AF269" s="1" t="s">
        <v>5496</v>
      </c>
      <c r="AG269" s="1" t="s">
        <v>4983</v>
      </c>
      <c r="AH269" s="1" t="s">
        <v>383</v>
      </c>
      <c r="AI269" s="1" t="s">
        <v>166</v>
      </c>
      <c r="AJ269" s="1">
        <v>85.8</v>
      </c>
      <c r="AK269" s="1"/>
      <c r="AL269" s="1" t="s">
        <v>5497</v>
      </c>
      <c r="AM269" s="1" t="s">
        <v>4983</v>
      </c>
      <c r="AN269" s="1" t="s">
        <v>169</v>
      </c>
      <c r="AO269" s="1" t="s">
        <v>173</v>
      </c>
      <c r="AP269" s="1">
        <v>76.15</v>
      </c>
      <c r="AQ269" s="1"/>
      <c r="AR269" s="1"/>
      <c r="AS269" s="1"/>
      <c r="AT269" s="1"/>
      <c r="AU269" s="1"/>
      <c r="AV269" s="1"/>
      <c r="AW269" s="1"/>
      <c r="AX269" s="1" t="s">
        <v>253</v>
      </c>
      <c r="AY269" s="1" t="s">
        <v>5498</v>
      </c>
      <c r="AZ269" s="1" t="s">
        <v>1019</v>
      </c>
      <c r="BA269" s="1" t="s">
        <v>413</v>
      </c>
      <c r="BB269" s="1">
        <v>70.31</v>
      </c>
      <c r="BC269" s="1">
        <v>7.84</v>
      </c>
      <c r="BD269" s="1"/>
      <c r="BE269" s="1"/>
      <c r="BF269" s="1"/>
      <c r="BG269" s="1"/>
      <c r="BH269" s="1"/>
      <c r="BI269" s="1"/>
      <c r="BJ269" s="1" t="s">
        <v>567</v>
      </c>
      <c r="BK269" s="1" t="s">
        <v>5499</v>
      </c>
      <c r="BL269" s="1" t="s">
        <v>1022</v>
      </c>
      <c r="BM269" s="1" t="s">
        <v>5500</v>
      </c>
      <c r="BN269" s="1">
        <v>13</v>
      </c>
      <c r="BO269" s="1"/>
      <c r="BP269" s="1" t="str">
        <f>HYPERLINK("https://nconnect.nicmar.ac.in/storage/profile/ProfilePhoto_P25700257_416537.jpg","Download")</f>
        <v>0</v>
      </c>
      <c r="BQ269" s="3"/>
      <c r="BR269" s="3"/>
    </row>
    <row r="270" spans="1:70">
      <c r="A270" s="1" t="s">
        <v>70</v>
      </c>
      <c r="B270" s="1" t="s">
        <v>441</v>
      </c>
      <c r="C270" s="1" t="s">
        <v>5501</v>
      </c>
      <c r="D270" s="1" t="s">
        <v>5502</v>
      </c>
      <c r="E270" s="1"/>
      <c r="F270" s="1" t="s">
        <v>1888</v>
      </c>
      <c r="G270" s="1" t="s">
        <v>5503</v>
      </c>
      <c r="H270" s="1" t="s">
        <v>5504</v>
      </c>
      <c r="I270" s="1" t="s">
        <v>5505</v>
      </c>
      <c r="J270" s="1">
        <v>9553045358</v>
      </c>
      <c r="K270" s="1" t="s">
        <v>79</v>
      </c>
      <c r="L270" s="1" t="s">
        <v>5506</v>
      </c>
      <c r="M270" s="1" t="s">
        <v>81</v>
      </c>
      <c r="N270" s="1" t="s">
        <v>5507</v>
      </c>
      <c r="O270" s="1"/>
      <c r="P270" s="1" t="s">
        <v>472</v>
      </c>
      <c r="Q270" s="1" t="s">
        <v>5508</v>
      </c>
      <c r="R270" s="1" t="s">
        <v>5509</v>
      </c>
      <c r="S270" s="1">
        <v>9491235174</v>
      </c>
      <c r="T270" s="1" t="s">
        <v>5510</v>
      </c>
      <c r="U270" s="1" t="s">
        <v>5511</v>
      </c>
      <c r="V270" s="1">
        <v>9000686105</v>
      </c>
      <c r="W270" s="1" t="s">
        <v>273</v>
      </c>
      <c r="X270" s="1" t="s">
        <v>5512</v>
      </c>
      <c r="Y270" s="1" t="s">
        <v>4064</v>
      </c>
      <c r="Z270" s="1" t="s">
        <v>456</v>
      </c>
      <c r="AA270" s="1" t="s">
        <v>5512</v>
      </c>
      <c r="AB270" s="1" t="s">
        <v>4064</v>
      </c>
      <c r="AC270" s="1" t="s">
        <v>456</v>
      </c>
      <c r="AD270" s="1">
        <v>7.83</v>
      </c>
      <c r="AE270" s="1" t="s">
        <v>93</v>
      </c>
      <c r="AF270" s="1" t="s">
        <v>5513</v>
      </c>
      <c r="AG270" s="1" t="s">
        <v>5514</v>
      </c>
      <c r="AH270" s="1" t="s">
        <v>3303</v>
      </c>
      <c r="AI270" s="1" t="s">
        <v>3981</v>
      </c>
      <c r="AJ270" s="1">
        <v>60</v>
      </c>
      <c r="AK270" s="1">
        <v>6</v>
      </c>
      <c r="AL270" s="1" t="s">
        <v>5515</v>
      </c>
      <c r="AM270" s="1" t="s">
        <v>5516</v>
      </c>
      <c r="AN270" s="1" t="s">
        <v>128</v>
      </c>
      <c r="AO270" s="1" t="s">
        <v>505</v>
      </c>
      <c r="AP270" s="1">
        <v>81.2</v>
      </c>
      <c r="AQ270" s="1"/>
      <c r="AR270" s="1"/>
      <c r="AS270" s="1"/>
      <c r="AT270" s="1"/>
      <c r="AU270" s="1"/>
      <c r="AV270" s="1"/>
      <c r="AW270" s="1"/>
      <c r="AX270" s="1" t="s">
        <v>282</v>
      </c>
      <c r="AY270" s="1" t="s">
        <v>5517</v>
      </c>
      <c r="AZ270" s="1" t="s">
        <v>5518</v>
      </c>
      <c r="BA270" s="1" t="s">
        <v>539</v>
      </c>
      <c r="BB270" s="1">
        <v>60.21</v>
      </c>
      <c r="BC270" s="1"/>
      <c r="BD270" s="1"/>
      <c r="BE270" s="1"/>
      <c r="BF270" s="1"/>
      <c r="BG270" s="1"/>
      <c r="BH270" s="1"/>
      <c r="BI270" s="1"/>
      <c r="BJ270" s="1" t="s">
        <v>567</v>
      </c>
      <c r="BK270" s="1"/>
      <c r="BL270" s="1"/>
      <c r="BM270" s="1" t="s">
        <v>5519</v>
      </c>
      <c r="BN270" s="1">
        <v>67</v>
      </c>
      <c r="BO270" s="1"/>
      <c r="BP270" s="1" t="str">
        <f>HYPERLINK("https://nconnect.nicmar.ac.in/storage/profile/ProfilePhoto_P25700258_493578.jpg","Download")</f>
        <v>0</v>
      </c>
      <c r="BQ270" s="3"/>
      <c r="BR270" s="3"/>
    </row>
    <row r="271" spans="1:70">
      <c r="A271" s="1" t="s">
        <v>70</v>
      </c>
      <c r="B271" s="1" t="s">
        <v>441</v>
      </c>
      <c r="C271" s="1" t="s">
        <v>5520</v>
      </c>
      <c r="D271" s="1" t="s">
        <v>5521</v>
      </c>
      <c r="E271" s="1" t="s">
        <v>5522</v>
      </c>
      <c r="F271" s="1" t="s">
        <v>5523</v>
      </c>
      <c r="G271" s="1" t="s">
        <v>5524</v>
      </c>
      <c r="H271" s="1" t="s">
        <v>5525</v>
      </c>
      <c r="I271" s="1" t="s">
        <v>5526</v>
      </c>
      <c r="J271" s="1">
        <v>7382453686</v>
      </c>
      <c r="K271" s="1" t="s">
        <v>148</v>
      </c>
      <c r="L271" s="1" t="s">
        <v>5527</v>
      </c>
      <c r="M271" s="1" t="s">
        <v>81</v>
      </c>
      <c r="N271" s="1" t="s">
        <v>5528</v>
      </c>
      <c r="O271" s="1"/>
      <c r="P271" s="1" t="s">
        <v>497</v>
      </c>
      <c r="Q271" s="1" t="s">
        <v>5529</v>
      </c>
      <c r="R271" s="1" t="s">
        <v>5530</v>
      </c>
      <c r="S271" s="1">
        <v>9247328307</v>
      </c>
      <c r="T271" s="1" t="s">
        <v>5531</v>
      </c>
      <c r="U271" s="1" t="s">
        <v>5532</v>
      </c>
      <c r="V271" s="1">
        <v>8367378946</v>
      </c>
      <c r="W271" s="1" t="s">
        <v>122</v>
      </c>
      <c r="X271" s="1" t="s">
        <v>5533</v>
      </c>
      <c r="Y271" s="1" t="s">
        <v>2643</v>
      </c>
      <c r="Z271" s="1" t="s">
        <v>456</v>
      </c>
      <c r="AA271" s="1" t="s">
        <v>5534</v>
      </c>
      <c r="AB271" s="1" t="s">
        <v>2643</v>
      </c>
      <c r="AC271" s="1" t="s">
        <v>456</v>
      </c>
      <c r="AD271" s="1">
        <v>7.83</v>
      </c>
      <c r="AE271" s="1" t="s">
        <v>93</v>
      </c>
      <c r="AF271" s="1" t="s">
        <v>5535</v>
      </c>
      <c r="AG271" s="1" t="s">
        <v>458</v>
      </c>
      <c r="AH271" s="1" t="s">
        <v>130</v>
      </c>
      <c r="AI271" s="1" t="s">
        <v>337</v>
      </c>
      <c r="AJ271" s="1">
        <v>83</v>
      </c>
      <c r="AK271" s="1">
        <v>8.3</v>
      </c>
      <c r="AL271" s="1" t="s">
        <v>3052</v>
      </c>
      <c r="AM271" s="1" t="s">
        <v>3053</v>
      </c>
      <c r="AN271" s="1" t="s">
        <v>279</v>
      </c>
      <c r="AO271" s="1" t="s">
        <v>689</v>
      </c>
      <c r="AP271" s="1">
        <v>82.5</v>
      </c>
      <c r="AQ271" s="1">
        <v>8.25</v>
      </c>
      <c r="AR271" s="1"/>
      <c r="AS271" s="1"/>
      <c r="AT271" s="1"/>
      <c r="AU271" s="1"/>
      <c r="AV271" s="1"/>
      <c r="AW271" s="1"/>
      <c r="AX271" s="1" t="s">
        <v>5536</v>
      </c>
      <c r="AY271" s="1" t="s">
        <v>5537</v>
      </c>
      <c r="AZ271" s="1" t="s">
        <v>5538</v>
      </c>
      <c r="BA271" s="1" t="s">
        <v>1378</v>
      </c>
      <c r="BB271" s="1">
        <v>69</v>
      </c>
      <c r="BC271" s="1">
        <v>6.99</v>
      </c>
      <c r="BD271" s="1"/>
      <c r="BE271" s="1"/>
      <c r="BF271" s="1"/>
      <c r="BG271" s="1"/>
      <c r="BH271" s="1"/>
      <c r="BI271" s="1"/>
      <c r="BJ271" s="1" t="s">
        <v>5539</v>
      </c>
      <c r="BK271" s="1" t="s">
        <v>5540</v>
      </c>
      <c r="BL271" s="1" t="s">
        <v>741</v>
      </c>
      <c r="BM271" s="1" t="s">
        <v>5541</v>
      </c>
      <c r="BN271" s="1">
        <v>90</v>
      </c>
      <c r="BO271" s="1"/>
      <c r="BP271" s="1" t="str">
        <f>HYPERLINK("https://nconnect.nicmar.ac.in/storage/profile/ProfilePhoto_P25700259_153496.jpg","Download")</f>
        <v>0</v>
      </c>
      <c r="BQ271" s="3"/>
      <c r="BR271" s="3"/>
    </row>
    <row r="272" spans="1:70">
      <c r="A272" s="1" t="s">
        <v>70</v>
      </c>
      <c r="B272" s="1" t="s">
        <v>441</v>
      </c>
      <c r="C272" s="1" t="s">
        <v>5542</v>
      </c>
      <c r="D272" s="1" t="s">
        <v>5543</v>
      </c>
      <c r="E272" s="1"/>
      <c r="F272" s="1" t="s">
        <v>5544</v>
      </c>
      <c r="G272" s="1" t="s">
        <v>5545</v>
      </c>
      <c r="H272" s="1" t="s">
        <v>5546</v>
      </c>
      <c r="I272" s="1" t="s">
        <v>5547</v>
      </c>
      <c r="J272" s="1">
        <v>7080247966</v>
      </c>
      <c r="K272" s="1" t="s">
        <v>79</v>
      </c>
      <c r="L272" s="1" t="s">
        <v>5548</v>
      </c>
      <c r="M272" s="1" t="s">
        <v>81</v>
      </c>
      <c r="N272" s="1" t="s">
        <v>241</v>
      </c>
      <c r="O272" s="1"/>
      <c r="P272" s="1" t="s">
        <v>1007</v>
      </c>
      <c r="Q272" s="1" t="s">
        <v>5549</v>
      </c>
      <c r="R272" s="1" t="s">
        <v>5550</v>
      </c>
      <c r="S272" s="1">
        <v>9369587129</v>
      </c>
      <c r="T272" s="1" t="s">
        <v>5551</v>
      </c>
      <c r="U272" s="1" t="s">
        <v>5552</v>
      </c>
      <c r="V272" s="1">
        <v>7380773645</v>
      </c>
      <c r="W272" s="1" t="s">
        <v>2539</v>
      </c>
      <c r="X272" s="1" t="s">
        <v>5553</v>
      </c>
      <c r="Y272" s="1" t="s">
        <v>5554</v>
      </c>
      <c r="Z272" s="1" t="s">
        <v>534</v>
      </c>
      <c r="AA272" s="1" t="s">
        <v>5553</v>
      </c>
      <c r="AB272" s="1" t="s">
        <v>5554</v>
      </c>
      <c r="AC272" s="1" t="s">
        <v>534</v>
      </c>
      <c r="AD272" s="1">
        <v>8.3</v>
      </c>
      <c r="AE272" s="1" t="s">
        <v>93</v>
      </c>
      <c r="AF272" s="1" t="s">
        <v>5555</v>
      </c>
      <c r="AG272" s="1" t="s">
        <v>5556</v>
      </c>
      <c r="AH272" s="1" t="s">
        <v>131</v>
      </c>
      <c r="AI272" s="1" t="s">
        <v>614</v>
      </c>
      <c r="AJ272" s="1">
        <v>89.3</v>
      </c>
      <c r="AK272" s="1">
        <v>9.4</v>
      </c>
      <c r="AL272" s="1" t="s">
        <v>5555</v>
      </c>
      <c r="AM272" s="1" t="s">
        <v>5556</v>
      </c>
      <c r="AN272" s="1" t="s">
        <v>562</v>
      </c>
      <c r="AO272" s="1" t="s">
        <v>166</v>
      </c>
      <c r="AP272" s="1">
        <v>73.4</v>
      </c>
      <c r="AQ272" s="1">
        <v>0</v>
      </c>
      <c r="AR272" s="1"/>
      <c r="AS272" s="1"/>
      <c r="AT272" s="1"/>
      <c r="AU272" s="1"/>
      <c r="AV272" s="1"/>
      <c r="AW272" s="1"/>
      <c r="AX272" s="1" t="s">
        <v>2063</v>
      </c>
      <c r="AY272" s="1" t="s">
        <v>5557</v>
      </c>
      <c r="AZ272" s="1" t="s">
        <v>460</v>
      </c>
      <c r="BA272" s="1" t="s">
        <v>202</v>
      </c>
      <c r="BB272" s="1">
        <v>82.8</v>
      </c>
      <c r="BC272" s="1">
        <v>8.28</v>
      </c>
      <c r="BD272" s="1"/>
      <c r="BE272" s="1"/>
      <c r="BF272" s="1"/>
      <c r="BG272" s="1"/>
      <c r="BH272" s="1"/>
      <c r="BI272" s="1"/>
      <c r="BJ272" s="1" t="s">
        <v>567</v>
      </c>
      <c r="BK272" s="1"/>
      <c r="BL272" s="1"/>
      <c r="BM272" s="1" t="s">
        <v>5558</v>
      </c>
      <c r="BN272" s="1">
        <v>14</v>
      </c>
      <c r="BO272" s="1" t="s">
        <v>5559</v>
      </c>
      <c r="BP272" s="1" t="str">
        <f>HYPERLINK("https://nconnect.nicmar.ac.in/storage/profile/ProfilePhoto_P25700260_867251.jpg","Download")</f>
        <v>0</v>
      </c>
      <c r="BQ272" s="3"/>
      <c r="BR272" s="3"/>
    </row>
    <row r="273" spans="1:70">
      <c r="A273" s="1" t="s">
        <v>70</v>
      </c>
      <c r="B273" s="1" t="s">
        <v>441</v>
      </c>
      <c r="C273" s="1" t="s">
        <v>5560</v>
      </c>
      <c r="D273" s="1" t="s">
        <v>5561</v>
      </c>
      <c r="E273" s="1"/>
      <c r="F273" s="1" t="s">
        <v>5562</v>
      </c>
      <c r="G273" s="1" t="s">
        <v>5563</v>
      </c>
      <c r="H273" s="1" t="s">
        <v>5564</v>
      </c>
      <c r="I273" s="1" t="s">
        <v>5565</v>
      </c>
      <c r="J273" s="1">
        <v>7897715939</v>
      </c>
      <c r="K273" s="1" t="s">
        <v>79</v>
      </c>
      <c r="L273" s="1" t="s">
        <v>5566</v>
      </c>
      <c r="M273" s="1" t="s">
        <v>81</v>
      </c>
      <c r="N273" s="1" t="s">
        <v>4289</v>
      </c>
      <c r="O273" s="1"/>
      <c r="P273" s="1" t="s">
        <v>497</v>
      </c>
      <c r="Q273" s="1" t="s">
        <v>5567</v>
      </c>
      <c r="R273" s="1" t="s">
        <v>5568</v>
      </c>
      <c r="S273" s="1">
        <v>9336053495</v>
      </c>
      <c r="T273" s="1" t="s">
        <v>120</v>
      </c>
      <c r="U273" s="1" t="s">
        <v>5569</v>
      </c>
      <c r="V273" s="1">
        <v>8840774313</v>
      </c>
      <c r="W273" s="1" t="s">
        <v>120</v>
      </c>
      <c r="X273" s="1" t="s">
        <v>5570</v>
      </c>
      <c r="Y273" s="1" t="s">
        <v>1038</v>
      </c>
      <c r="Z273" s="1" t="s">
        <v>534</v>
      </c>
      <c r="AA273" s="1" t="s">
        <v>5570</v>
      </c>
      <c r="AB273" s="1" t="s">
        <v>1038</v>
      </c>
      <c r="AC273" s="1" t="s">
        <v>534</v>
      </c>
      <c r="AD273" s="1">
        <v>7.85</v>
      </c>
      <c r="AE273" s="1" t="s">
        <v>93</v>
      </c>
      <c r="AF273" s="1" t="s">
        <v>5571</v>
      </c>
      <c r="AG273" s="1" t="s">
        <v>5572</v>
      </c>
      <c r="AH273" s="1" t="s">
        <v>1088</v>
      </c>
      <c r="AI273" s="1" t="s">
        <v>614</v>
      </c>
      <c r="AJ273" s="1">
        <v>78.16</v>
      </c>
      <c r="AK273" s="1">
        <v>8.22</v>
      </c>
      <c r="AL273" s="1" t="s">
        <v>3417</v>
      </c>
      <c r="AM273" s="1" t="s">
        <v>5573</v>
      </c>
      <c r="AN273" s="1" t="s">
        <v>689</v>
      </c>
      <c r="AO273" s="1" t="s">
        <v>166</v>
      </c>
      <c r="AP273" s="1">
        <v>70.66</v>
      </c>
      <c r="AQ273" s="1">
        <v>7.43</v>
      </c>
      <c r="AR273" s="1"/>
      <c r="AS273" s="1"/>
      <c r="AT273" s="1"/>
      <c r="AU273" s="1"/>
      <c r="AV273" s="1"/>
      <c r="AW273" s="1"/>
      <c r="AX273" s="1" t="s">
        <v>2625</v>
      </c>
      <c r="AY273" s="1" t="s">
        <v>5574</v>
      </c>
      <c r="AZ273" s="1" t="s">
        <v>166</v>
      </c>
      <c r="BA273" s="1" t="s">
        <v>619</v>
      </c>
      <c r="BB273" s="1">
        <v>80.6</v>
      </c>
      <c r="BC273" s="1">
        <v>8.06</v>
      </c>
      <c r="BD273" s="1"/>
      <c r="BE273" s="1"/>
      <c r="BF273" s="1"/>
      <c r="BG273" s="1"/>
      <c r="BH273" s="1"/>
      <c r="BI273" s="1"/>
      <c r="BJ273" s="1" t="s">
        <v>567</v>
      </c>
      <c r="BK273" s="1" t="s">
        <v>5575</v>
      </c>
      <c r="BL273" s="1" t="s">
        <v>463</v>
      </c>
      <c r="BM273" s="1" t="s">
        <v>5576</v>
      </c>
      <c r="BN273" s="1">
        <v>53</v>
      </c>
      <c r="BO273" s="1"/>
      <c r="BP273" s="1" t="str">
        <f>HYPERLINK("https://nconnect.nicmar.ac.in/storage/profile/ProfilePhoto_P25700261_127954.jpg","Download")</f>
        <v>0</v>
      </c>
      <c r="BQ273" s="3"/>
      <c r="BR273" s="3"/>
    </row>
    <row r="274" spans="1:70">
      <c r="A274" s="1" t="s">
        <v>70</v>
      </c>
      <c r="B274" s="1" t="s">
        <v>441</v>
      </c>
      <c r="C274" s="1" t="s">
        <v>5577</v>
      </c>
      <c r="D274" s="1" t="s">
        <v>5578</v>
      </c>
      <c r="E274" s="1" t="s">
        <v>5579</v>
      </c>
      <c r="F274" s="1" t="s">
        <v>5580</v>
      </c>
      <c r="G274" s="1" t="s">
        <v>5581</v>
      </c>
      <c r="H274" s="1" t="s">
        <v>5582</v>
      </c>
      <c r="I274" s="1" t="s">
        <v>5583</v>
      </c>
      <c r="J274" s="1">
        <v>7030108300</v>
      </c>
      <c r="K274" s="1" t="s">
        <v>79</v>
      </c>
      <c r="L274" s="1" t="s">
        <v>5584</v>
      </c>
      <c r="M274" s="1" t="s">
        <v>81</v>
      </c>
      <c r="N274" s="1" t="s">
        <v>3587</v>
      </c>
      <c r="O274" s="1"/>
      <c r="P274" s="1" t="s">
        <v>497</v>
      </c>
      <c r="Q274" s="1" t="s">
        <v>5585</v>
      </c>
      <c r="R274" s="1" t="s">
        <v>5579</v>
      </c>
      <c r="S274" s="1">
        <v>9049759321</v>
      </c>
      <c r="T274" s="1" t="s">
        <v>5586</v>
      </c>
      <c r="U274" s="1" t="s">
        <v>2426</v>
      </c>
      <c r="V274" s="1">
        <v>8554922487</v>
      </c>
      <c r="W274" s="1" t="s">
        <v>531</v>
      </c>
      <c r="X274" s="1" t="s">
        <v>5587</v>
      </c>
      <c r="Y274" s="1" t="s">
        <v>5588</v>
      </c>
      <c r="Z274" s="1" t="s">
        <v>92</v>
      </c>
      <c r="AA274" s="1" t="s">
        <v>5587</v>
      </c>
      <c r="AB274" s="1" t="s">
        <v>5588</v>
      </c>
      <c r="AC274" s="1" t="s">
        <v>92</v>
      </c>
      <c r="AD274" s="1">
        <v>8.95</v>
      </c>
      <c r="AE274" s="1" t="s">
        <v>93</v>
      </c>
      <c r="AF274" s="1" t="s">
        <v>5589</v>
      </c>
      <c r="AG274" s="1" t="s">
        <v>160</v>
      </c>
      <c r="AH274" s="1" t="s">
        <v>162</v>
      </c>
      <c r="AI274" s="1" t="s">
        <v>165</v>
      </c>
      <c r="AJ274" s="1">
        <v>72.6</v>
      </c>
      <c r="AK274" s="1"/>
      <c r="AL274" s="1" t="s">
        <v>5590</v>
      </c>
      <c r="AM274" s="1" t="s">
        <v>160</v>
      </c>
      <c r="AN274" s="1" t="s">
        <v>166</v>
      </c>
      <c r="AO274" s="1" t="s">
        <v>308</v>
      </c>
      <c r="AP274" s="1">
        <v>58</v>
      </c>
      <c r="AQ274" s="1"/>
      <c r="AR274" s="1" t="s">
        <v>98</v>
      </c>
      <c r="AS274" s="1" t="s">
        <v>5591</v>
      </c>
      <c r="AT274" s="1" t="s">
        <v>201</v>
      </c>
      <c r="AU274" s="1" t="s">
        <v>436</v>
      </c>
      <c r="AV274" s="1">
        <v>87.84</v>
      </c>
      <c r="AW274" s="1"/>
      <c r="AX274" s="1" t="s">
        <v>410</v>
      </c>
      <c r="AY274" s="1" t="s">
        <v>5592</v>
      </c>
      <c r="AZ274" s="1" t="s">
        <v>593</v>
      </c>
      <c r="BA274" s="1" t="s">
        <v>202</v>
      </c>
      <c r="BB274" s="1">
        <v>84.7</v>
      </c>
      <c r="BC274" s="1">
        <v>9.22</v>
      </c>
      <c r="BD274" s="1"/>
      <c r="BE274" s="1"/>
      <c r="BF274" s="1"/>
      <c r="BG274" s="1"/>
      <c r="BH274" s="1"/>
      <c r="BI274" s="1"/>
      <c r="BJ274" s="1" t="s">
        <v>5593</v>
      </c>
      <c r="BK274" s="1"/>
      <c r="BL274" s="1"/>
      <c r="BM274" s="1" t="s">
        <v>5594</v>
      </c>
      <c r="BN274" s="1">
        <v>34</v>
      </c>
      <c r="BO274" s="1"/>
      <c r="BP274" s="1" t="str">
        <f>HYPERLINK("https://nconnect.nicmar.ac.in/storage/profile/ProfilePhoto_P25700262_867913.jpg","Download")</f>
        <v>0</v>
      </c>
      <c r="BQ274" s="3"/>
      <c r="BR274" s="3"/>
    </row>
    <row r="275" spans="1:70">
      <c r="A275" s="1" t="s">
        <v>70</v>
      </c>
      <c r="B275" s="1" t="s">
        <v>441</v>
      </c>
      <c r="C275" s="1" t="s">
        <v>5595</v>
      </c>
      <c r="D275" s="1" t="s">
        <v>5596</v>
      </c>
      <c r="E275" s="1" t="s">
        <v>5597</v>
      </c>
      <c r="F275" s="1" t="s">
        <v>5598</v>
      </c>
      <c r="G275" s="1" t="s">
        <v>5599</v>
      </c>
      <c r="H275" s="1" t="s">
        <v>5600</v>
      </c>
      <c r="I275" s="1" t="s">
        <v>5601</v>
      </c>
      <c r="J275" s="1">
        <v>8600550575</v>
      </c>
      <c r="K275" s="1" t="s">
        <v>79</v>
      </c>
      <c r="L275" s="1" t="s">
        <v>5602</v>
      </c>
      <c r="M275" s="1" t="s">
        <v>81</v>
      </c>
      <c r="N275" s="1" t="s">
        <v>5603</v>
      </c>
      <c r="O275" s="1"/>
      <c r="P275" s="1" t="s">
        <v>472</v>
      </c>
      <c r="Q275" s="1" t="s">
        <v>5604</v>
      </c>
      <c r="R275" s="1" t="s">
        <v>5597</v>
      </c>
      <c r="S275" s="1">
        <v>9823242722</v>
      </c>
      <c r="T275" s="1" t="s">
        <v>820</v>
      </c>
      <c r="U275" s="1" t="s">
        <v>5605</v>
      </c>
      <c r="V275" s="1">
        <v>9764326323</v>
      </c>
      <c r="W275" s="1" t="s">
        <v>122</v>
      </c>
      <c r="X275" s="1" t="s">
        <v>5606</v>
      </c>
      <c r="Y275" s="1" t="s">
        <v>158</v>
      </c>
      <c r="Z275" s="1" t="s">
        <v>92</v>
      </c>
      <c r="AA275" s="1" t="s">
        <v>5606</v>
      </c>
      <c r="AB275" s="1" t="s">
        <v>158</v>
      </c>
      <c r="AC275" s="1" t="s">
        <v>92</v>
      </c>
      <c r="AD275" s="1">
        <v>7.82</v>
      </c>
      <c r="AE275" s="1" t="s">
        <v>93</v>
      </c>
      <c r="AF275" s="1" t="s">
        <v>5607</v>
      </c>
      <c r="AG275" s="1" t="s">
        <v>5608</v>
      </c>
      <c r="AH275" s="1" t="s">
        <v>161</v>
      </c>
      <c r="AI275" s="1" t="s">
        <v>562</v>
      </c>
      <c r="AJ275" s="1">
        <v>62.2</v>
      </c>
      <c r="AK275" s="1"/>
      <c r="AL275" s="1" t="s">
        <v>3052</v>
      </c>
      <c r="AM275" s="1" t="s">
        <v>5609</v>
      </c>
      <c r="AN275" s="1" t="s">
        <v>165</v>
      </c>
      <c r="AO275" s="1" t="s">
        <v>308</v>
      </c>
      <c r="AP275" s="1">
        <v>70.7</v>
      </c>
      <c r="AQ275" s="1"/>
      <c r="AR275" s="1"/>
      <c r="AS275" s="1"/>
      <c r="AT275" s="1"/>
      <c r="AU275" s="1"/>
      <c r="AV275" s="1"/>
      <c r="AW275" s="1"/>
      <c r="AX275" s="1" t="s">
        <v>5610</v>
      </c>
      <c r="AY275" s="1" t="s">
        <v>5611</v>
      </c>
      <c r="AZ275" s="1" t="s">
        <v>308</v>
      </c>
      <c r="BA275" s="1" t="s">
        <v>935</v>
      </c>
      <c r="BB275" s="1">
        <v>79.2</v>
      </c>
      <c r="BC275" s="1">
        <v>7.92</v>
      </c>
      <c r="BD275" s="1"/>
      <c r="BE275" s="1"/>
      <c r="BF275" s="1"/>
      <c r="BG275" s="1"/>
      <c r="BH275" s="1"/>
      <c r="BI275" s="1"/>
      <c r="BJ275" s="1" t="s">
        <v>719</v>
      </c>
      <c r="BK275" s="1"/>
      <c r="BL275" s="1"/>
      <c r="BM275" s="1" t="s">
        <v>5612</v>
      </c>
      <c r="BN275" s="1">
        <v>9</v>
      </c>
      <c r="BO275" s="1" t="s">
        <v>5613</v>
      </c>
      <c r="BP275" s="1" t="str">
        <f>HYPERLINK("https://nconnect.nicmar.ac.in/storage/profile/ProfilePhoto_P25700263_426175.jpg","Download")</f>
        <v>0</v>
      </c>
      <c r="BQ275" s="3"/>
      <c r="BR275" s="3"/>
    </row>
    <row r="276" spans="1:70">
      <c r="A276" s="1" t="s">
        <v>70</v>
      </c>
      <c r="B276" s="1" t="s">
        <v>441</v>
      </c>
      <c r="C276" s="1" t="s">
        <v>5614</v>
      </c>
      <c r="D276" s="1" t="s">
        <v>5615</v>
      </c>
      <c r="E276" s="1" t="s">
        <v>1298</v>
      </c>
      <c r="F276" s="1" t="s">
        <v>5616</v>
      </c>
      <c r="G276" s="1" t="s">
        <v>5617</v>
      </c>
      <c r="H276" s="1" t="s">
        <v>5618</v>
      </c>
      <c r="I276" s="1" t="s">
        <v>5619</v>
      </c>
      <c r="J276" s="1">
        <v>9479765927</v>
      </c>
      <c r="K276" s="1" t="s">
        <v>79</v>
      </c>
      <c r="L276" s="1" t="s">
        <v>5620</v>
      </c>
      <c r="M276" s="1" t="s">
        <v>81</v>
      </c>
      <c r="N276" s="1" t="s">
        <v>350</v>
      </c>
      <c r="O276" s="1"/>
      <c r="P276" s="1" t="s">
        <v>450</v>
      </c>
      <c r="Q276" s="1" t="s">
        <v>5621</v>
      </c>
      <c r="R276" s="1" t="s">
        <v>5622</v>
      </c>
      <c r="S276" s="1">
        <v>9340086527</v>
      </c>
      <c r="T276" s="1" t="s">
        <v>1082</v>
      </c>
      <c r="U276" s="1" t="s">
        <v>5623</v>
      </c>
      <c r="V276" s="1">
        <v>9425866008</v>
      </c>
      <c r="W276" s="1" t="s">
        <v>5624</v>
      </c>
      <c r="X276" s="1" t="s">
        <v>5625</v>
      </c>
      <c r="Y276" s="1" t="s">
        <v>5626</v>
      </c>
      <c r="Z276" s="1" t="s">
        <v>3437</v>
      </c>
      <c r="AA276" s="1" t="s">
        <v>5625</v>
      </c>
      <c r="AB276" s="1" t="s">
        <v>5626</v>
      </c>
      <c r="AC276" s="1" t="s">
        <v>3437</v>
      </c>
      <c r="AD276" s="1">
        <v>8.54</v>
      </c>
      <c r="AE276" s="1" t="s">
        <v>93</v>
      </c>
      <c r="AF276" s="1" t="s">
        <v>5627</v>
      </c>
      <c r="AG276" s="1" t="s">
        <v>5628</v>
      </c>
      <c r="AH276" s="1" t="s">
        <v>281</v>
      </c>
      <c r="AI276" s="1" t="s">
        <v>308</v>
      </c>
      <c r="AJ276" s="1">
        <v>86</v>
      </c>
      <c r="AK276" s="1"/>
      <c r="AL276" s="1" t="s">
        <v>5627</v>
      </c>
      <c r="AM276" s="1" t="s">
        <v>5628</v>
      </c>
      <c r="AN276" s="1" t="s">
        <v>590</v>
      </c>
      <c r="AO276" s="1" t="s">
        <v>539</v>
      </c>
      <c r="AP276" s="1">
        <v>79.4</v>
      </c>
      <c r="AQ276" s="1"/>
      <c r="AR276" s="1"/>
      <c r="AS276" s="1"/>
      <c r="AT276" s="1"/>
      <c r="AU276" s="1"/>
      <c r="AV276" s="1"/>
      <c r="AW276" s="1"/>
      <c r="AX276" s="1" t="s">
        <v>5629</v>
      </c>
      <c r="AY276" s="1" t="s">
        <v>5630</v>
      </c>
      <c r="AZ276" s="1" t="s">
        <v>593</v>
      </c>
      <c r="BA276" s="1" t="s">
        <v>1379</v>
      </c>
      <c r="BB276" s="1">
        <v>71.7</v>
      </c>
      <c r="BC276" s="1">
        <v>7.17</v>
      </c>
      <c r="BD276" s="1"/>
      <c r="BE276" s="1"/>
      <c r="BF276" s="1"/>
      <c r="BG276" s="1"/>
      <c r="BH276" s="1"/>
      <c r="BI276" s="1"/>
      <c r="BJ276" s="1" t="s">
        <v>5631</v>
      </c>
      <c r="BK276" s="1"/>
      <c r="BL276" s="1"/>
      <c r="BM276" s="1" t="s">
        <v>5632</v>
      </c>
      <c r="BN276" s="1">
        <v>37</v>
      </c>
      <c r="BO276" s="1"/>
      <c r="BP276" s="1" t="str">
        <f>HYPERLINK("https://nconnect.nicmar.ac.in/storage/profile/ProfilePhoto_P25700264_328496.jpg","Download")</f>
        <v>0</v>
      </c>
      <c r="BQ276" s="3"/>
      <c r="BR276" s="3"/>
    </row>
    <row r="277" spans="1:70">
      <c r="A277" s="1" t="s">
        <v>70</v>
      </c>
      <c r="B277" s="1" t="s">
        <v>441</v>
      </c>
      <c r="C277" s="1" t="s">
        <v>5633</v>
      </c>
      <c r="D277" s="1" t="s">
        <v>5634</v>
      </c>
      <c r="E277" s="1" t="s">
        <v>520</v>
      </c>
      <c r="F277" s="1" t="s">
        <v>5635</v>
      </c>
      <c r="G277" s="1" t="s">
        <v>5636</v>
      </c>
      <c r="H277" s="1" t="s">
        <v>5637</v>
      </c>
      <c r="I277" s="1" t="s">
        <v>5638</v>
      </c>
      <c r="J277" s="1">
        <v>9713130520</v>
      </c>
      <c r="K277" s="1" t="s">
        <v>79</v>
      </c>
      <c r="L277" s="1" t="s">
        <v>1408</v>
      </c>
      <c r="M277" s="1" t="s">
        <v>81</v>
      </c>
      <c r="N277" s="1" t="s">
        <v>4289</v>
      </c>
      <c r="O277" s="1"/>
      <c r="P277" s="1" t="s">
        <v>450</v>
      </c>
      <c r="Q277" s="1" t="s">
        <v>5639</v>
      </c>
      <c r="R277" s="1" t="s">
        <v>5640</v>
      </c>
      <c r="S277" s="1">
        <v>8305210964</v>
      </c>
      <c r="T277" s="1" t="s">
        <v>5641</v>
      </c>
      <c r="U277" s="1" t="s">
        <v>5642</v>
      </c>
      <c r="V277" s="1">
        <v>9981668101</v>
      </c>
      <c r="W277" s="1" t="s">
        <v>5643</v>
      </c>
      <c r="X277" s="1" t="s">
        <v>5644</v>
      </c>
      <c r="Y277" s="1" t="s">
        <v>5645</v>
      </c>
      <c r="Z277" s="1" t="s">
        <v>3437</v>
      </c>
      <c r="AA277" s="1" t="s">
        <v>5644</v>
      </c>
      <c r="AB277" s="1" t="s">
        <v>5645</v>
      </c>
      <c r="AC277" s="1" t="s">
        <v>3437</v>
      </c>
      <c r="AD277" s="1">
        <v>7.8</v>
      </c>
      <c r="AE277" s="1" t="s">
        <v>93</v>
      </c>
      <c r="AF277" s="1" t="s">
        <v>5646</v>
      </c>
      <c r="AG277" s="1" t="s">
        <v>5647</v>
      </c>
      <c r="AH277" s="1" t="s">
        <v>334</v>
      </c>
      <c r="AI277" s="1" t="s">
        <v>308</v>
      </c>
      <c r="AJ277" s="1">
        <v>62.2</v>
      </c>
      <c r="AK277" s="1"/>
      <c r="AL277" s="1" t="s">
        <v>5648</v>
      </c>
      <c r="AM277" s="1" t="s">
        <v>5649</v>
      </c>
      <c r="AN277" s="1" t="s">
        <v>310</v>
      </c>
      <c r="AO277" s="1" t="s">
        <v>539</v>
      </c>
      <c r="AP277" s="1">
        <v>62.2</v>
      </c>
      <c r="AQ277" s="1"/>
      <c r="AR277" s="1"/>
      <c r="AS277" s="1"/>
      <c r="AT277" s="1"/>
      <c r="AU277" s="1"/>
      <c r="AV277" s="1"/>
      <c r="AW277" s="1"/>
      <c r="AX277" s="1" t="s">
        <v>5650</v>
      </c>
      <c r="AY277" s="1" t="s">
        <v>5651</v>
      </c>
      <c r="AZ277" s="1" t="s">
        <v>542</v>
      </c>
      <c r="BA277" s="1" t="s">
        <v>829</v>
      </c>
      <c r="BB277" s="1">
        <v>70.9</v>
      </c>
      <c r="BC277" s="1">
        <v>7.09</v>
      </c>
      <c r="BD277" s="1"/>
      <c r="BE277" s="1"/>
      <c r="BF277" s="1"/>
      <c r="BG277" s="1"/>
      <c r="BH277" s="1"/>
      <c r="BI277" s="1"/>
      <c r="BJ277" s="1" t="s">
        <v>567</v>
      </c>
      <c r="BK277" s="1"/>
      <c r="BL277" s="1"/>
      <c r="BM277" s="1" t="s">
        <v>5652</v>
      </c>
      <c r="BN277" s="1">
        <v>30</v>
      </c>
      <c r="BO277" s="1"/>
      <c r="BP277" s="1" t="str">
        <f>HYPERLINK("https://nconnect.nicmar.ac.in/storage/profile/ProfilePhoto_P25700265_158934.jpg","Download")</f>
        <v>0</v>
      </c>
      <c r="BQ277" s="3"/>
      <c r="BR277" s="3"/>
    </row>
    <row r="278" spans="1:70">
      <c r="A278" s="1" t="s">
        <v>70</v>
      </c>
      <c r="B278" s="1" t="s">
        <v>441</v>
      </c>
      <c r="C278" s="1" t="s">
        <v>5653</v>
      </c>
      <c r="D278" s="1" t="s">
        <v>5369</v>
      </c>
      <c r="E278" s="1" t="s">
        <v>3061</v>
      </c>
      <c r="F278" s="1" t="s">
        <v>5654</v>
      </c>
      <c r="G278" s="1" t="s">
        <v>5655</v>
      </c>
      <c r="H278" s="1" t="s">
        <v>5656</v>
      </c>
      <c r="I278" s="1" t="s">
        <v>5657</v>
      </c>
      <c r="J278" s="1">
        <v>8669054183</v>
      </c>
      <c r="K278" s="1" t="s">
        <v>148</v>
      </c>
      <c r="L278" s="1" t="s">
        <v>5658</v>
      </c>
      <c r="M278" s="1" t="s">
        <v>81</v>
      </c>
      <c r="N278" s="1" t="s">
        <v>751</v>
      </c>
      <c r="O278" s="1"/>
      <c r="P278" s="1" t="s">
        <v>1994</v>
      </c>
      <c r="Q278" s="1" t="s">
        <v>5659</v>
      </c>
      <c r="R278" s="1" t="s">
        <v>5660</v>
      </c>
      <c r="S278" s="1">
        <v>8530777150</v>
      </c>
      <c r="T278" s="1" t="s">
        <v>93</v>
      </c>
      <c r="U278" s="1" t="s">
        <v>5661</v>
      </c>
      <c r="V278" s="1">
        <v>8530777150</v>
      </c>
      <c r="W278" s="1" t="s">
        <v>156</v>
      </c>
      <c r="X278" s="1" t="s">
        <v>5662</v>
      </c>
      <c r="Y278" s="1" t="s">
        <v>5663</v>
      </c>
      <c r="Z278" s="1" t="s">
        <v>92</v>
      </c>
      <c r="AA278" s="1" t="s">
        <v>5662</v>
      </c>
      <c r="AB278" s="1" t="s">
        <v>5663</v>
      </c>
      <c r="AC278" s="1" t="s">
        <v>92</v>
      </c>
      <c r="AD278" s="1">
        <v>8.5</v>
      </c>
      <c r="AE278" s="1" t="s">
        <v>93</v>
      </c>
      <c r="AF278" s="1" t="s">
        <v>5664</v>
      </c>
      <c r="AG278" s="1" t="s">
        <v>5665</v>
      </c>
      <c r="AH278" s="1" t="s">
        <v>165</v>
      </c>
      <c r="AI278" s="1" t="s">
        <v>101</v>
      </c>
      <c r="AJ278" s="1">
        <v>79.6</v>
      </c>
      <c r="AK278" s="1"/>
      <c r="AL278" s="1"/>
      <c r="AM278" s="1"/>
      <c r="AN278" s="1"/>
      <c r="AO278" s="1"/>
      <c r="AP278" s="1"/>
      <c r="AQ278" s="1"/>
      <c r="AR278" s="1" t="s">
        <v>434</v>
      </c>
      <c r="AS278" s="1" t="s">
        <v>5666</v>
      </c>
      <c r="AT278" s="1" t="s">
        <v>169</v>
      </c>
      <c r="AU278" s="1" t="s">
        <v>436</v>
      </c>
      <c r="AV278" s="1">
        <v>91.42</v>
      </c>
      <c r="AW278" s="1"/>
      <c r="AX278" s="1" t="s">
        <v>361</v>
      </c>
      <c r="AY278" s="1" t="s">
        <v>5667</v>
      </c>
      <c r="AZ278" s="1" t="s">
        <v>542</v>
      </c>
      <c r="BA278" s="1" t="s">
        <v>202</v>
      </c>
      <c r="BB278" s="1">
        <v>80.92</v>
      </c>
      <c r="BC278" s="1">
        <v>9.05</v>
      </c>
      <c r="BD278" s="1"/>
      <c r="BE278" s="1"/>
      <c r="BF278" s="1"/>
      <c r="BG278" s="1"/>
      <c r="BH278" s="1"/>
      <c r="BI278" s="1"/>
      <c r="BJ278" s="1" t="s">
        <v>5668</v>
      </c>
      <c r="BK278" s="1"/>
      <c r="BL278" s="1"/>
      <c r="BM278" s="1" t="s">
        <v>5669</v>
      </c>
      <c r="BN278" s="1">
        <v>39</v>
      </c>
      <c r="BO278" s="1" t="s">
        <v>5670</v>
      </c>
      <c r="BP278" s="1" t="str">
        <f>HYPERLINK("https://nconnect.nicmar.ac.in/storage/profile/ProfilePhoto_P25700266_297863.jpg","Download")</f>
        <v>0</v>
      </c>
      <c r="BQ278" s="3"/>
      <c r="BR278" s="3"/>
    </row>
    <row r="279" spans="1:70">
      <c r="A279" s="1" t="s">
        <v>70</v>
      </c>
      <c r="B279" s="1" t="s">
        <v>441</v>
      </c>
      <c r="C279" s="1" t="s">
        <v>5671</v>
      </c>
      <c r="D279" s="1" t="s">
        <v>1867</v>
      </c>
      <c r="E279" s="1" t="s">
        <v>5672</v>
      </c>
      <c r="F279" s="1" t="s">
        <v>5673</v>
      </c>
      <c r="G279" s="1" t="s">
        <v>5674</v>
      </c>
      <c r="H279" s="1" t="s">
        <v>5675</v>
      </c>
      <c r="I279" s="1" t="s">
        <v>5676</v>
      </c>
      <c r="J279" s="1">
        <v>8485054025</v>
      </c>
      <c r="K279" s="1" t="s">
        <v>79</v>
      </c>
      <c r="L279" s="1" t="s">
        <v>5677</v>
      </c>
      <c r="M279" s="1" t="s">
        <v>81</v>
      </c>
      <c r="N279" s="1" t="s">
        <v>605</v>
      </c>
      <c r="O279" s="1"/>
      <c r="P279" s="1" t="s">
        <v>450</v>
      </c>
      <c r="Q279" s="1" t="s">
        <v>5678</v>
      </c>
      <c r="R279" s="1" t="s">
        <v>5672</v>
      </c>
      <c r="S279" s="1">
        <v>9422256949</v>
      </c>
      <c r="T279" s="1" t="s">
        <v>5679</v>
      </c>
      <c r="U279" s="1" t="s">
        <v>2426</v>
      </c>
      <c r="V279" s="1">
        <v>9420690320</v>
      </c>
      <c r="W279" s="1" t="s">
        <v>122</v>
      </c>
      <c r="X279" s="1" t="s">
        <v>5680</v>
      </c>
      <c r="Y279" s="1" t="s">
        <v>890</v>
      </c>
      <c r="Z279" s="1" t="s">
        <v>92</v>
      </c>
      <c r="AA279" s="1" t="s">
        <v>5680</v>
      </c>
      <c r="AB279" s="1" t="s">
        <v>890</v>
      </c>
      <c r="AC279" s="1" t="s">
        <v>92</v>
      </c>
      <c r="AD279" s="1">
        <v>7.67</v>
      </c>
      <c r="AE279" s="1" t="s">
        <v>93</v>
      </c>
      <c r="AF279" s="1" t="s">
        <v>5681</v>
      </c>
      <c r="AG279" s="1" t="s">
        <v>975</v>
      </c>
      <c r="AH279" s="1" t="s">
        <v>165</v>
      </c>
      <c r="AI279" s="1" t="s">
        <v>281</v>
      </c>
      <c r="AJ279" s="1">
        <v>87</v>
      </c>
      <c r="AK279" s="1"/>
      <c r="AL279" s="1" t="s">
        <v>5682</v>
      </c>
      <c r="AM279" s="1" t="s">
        <v>975</v>
      </c>
      <c r="AN279" s="1" t="s">
        <v>433</v>
      </c>
      <c r="AO279" s="1" t="s">
        <v>360</v>
      </c>
      <c r="AP279" s="1">
        <v>80.15</v>
      </c>
      <c r="AQ279" s="1"/>
      <c r="AR279" s="1"/>
      <c r="AS279" s="1"/>
      <c r="AT279" s="1"/>
      <c r="AU279" s="1"/>
      <c r="AV279" s="1"/>
      <c r="AW279" s="1"/>
      <c r="AX279" s="1" t="s">
        <v>361</v>
      </c>
      <c r="AY279" s="1" t="s">
        <v>5683</v>
      </c>
      <c r="AZ279" s="1" t="s">
        <v>363</v>
      </c>
      <c r="BA279" s="1" t="s">
        <v>413</v>
      </c>
      <c r="BB279" s="1">
        <v>84.17</v>
      </c>
      <c r="BC279" s="1">
        <v>8.86</v>
      </c>
      <c r="BD279" s="1"/>
      <c r="BE279" s="1"/>
      <c r="BF279" s="1"/>
      <c r="BG279" s="1"/>
      <c r="BH279" s="1"/>
      <c r="BI279" s="1"/>
      <c r="BJ279" s="1" t="s">
        <v>5684</v>
      </c>
      <c r="BK279" s="1"/>
      <c r="BL279" s="1"/>
      <c r="BM279" s="1" t="s">
        <v>5685</v>
      </c>
      <c r="BN279" s="1">
        <v>28</v>
      </c>
      <c r="BO279" s="1" t="s">
        <v>5686</v>
      </c>
      <c r="BP279" s="1" t="str">
        <f>HYPERLINK("https://nconnect.nicmar.ac.in/storage/profile/ProfilePhoto_P25700267_286547.jpg","Download")</f>
        <v>0</v>
      </c>
      <c r="BQ279" s="3"/>
      <c r="BR279" s="3"/>
    </row>
    <row r="280" spans="1:70">
      <c r="A280" s="1" t="s">
        <v>70</v>
      </c>
      <c r="B280" s="1" t="s">
        <v>441</v>
      </c>
      <c r="C280" s="1" t="s">
        <v>5687</v>
      </c>
      <c r="D280" s="1" t="s">
        <v>5688</v>
      </c>
      <c r="E280" s="1"/>
      <c r="F280" s="1" t="s">
        <v>5689</v>
      </c>
      <c r="G280" s="1" t="s">
        <v>5690</v>
      </c>
      <c r="H280" s="1" t="s">
        <v>5691</v>
      </c>
      <c r="I280" s="1" t="s">
        <v>5692</v>
      </c>
      <c r="J280" s="1">
        <v>9479247569</v>
      </c>
      <c r="K280" s="1" t="s">
        <v>79</v>
      </c>
      <c r="L280" s="1" t="s">
        <v>5693</v>
      </c>
      <c r="M280" s="1" t="s">
        <v>81</v>
      </c>
      <c r="N280" s="1" t="s">
        <v>350</v>
      </c>
      <c r="O280" s="1"/>
      <c r="P280" s="1" t="s">
        <v>450</v>
      </c>
      <c r="Q280" s="1" t="s">
        <v>5694</v>
      </c>
      <c r="R280" s="1" t="s">
        <v>5695</v>
      </c>
      <c r="S280" s="1">
        <v>9752441310</v>
      </c>
      <c r="T280" s="1" t="s">
        <v>5696</v>
      </c>
      <c r="U280" s="1" t="s">
        <v>5697</v>
      </c>
      <c r="V280" s="1">
        <v>8109302891</v>
      </c>
      <c r="W280" s="1" t="s">
        <v>5698</v>
      </c>
      <c r="X280" s="1" t="s">
        <v>5699</v>
      </c>
      <c r="Y280" s="1" t="s">
        <v>5339</v>
      </c>
      <c r="Z280" s="1" t="s">
        <v>2955</v>
      </c>
      <c r="AA280" s="1" t="s">
        <v>5699</v>
      </c>
      <c r="AB280" s="1" t="s">
        <v>5339</v>
      </c>
      <c r="AC280" s="1" t="s">
        <v>2955</v>
      </c>
      <c r="AD280" s="1">
        <v>7.46</v>
      </c>
      <c r="AE280" s="1" t="s">
        <v>93</v>
      </c>
      <c r="AF280" s="1" t="s">
        <v>5700</v>
      </c>
      <c r="AG280" s="1" t="s">
        <v>5701</v>
      </c>
      <c r="AH280" s="1" t="s">
        <v>1455</v>
      </c>
      <c r="AI280" s="1" t="s">
        <v>308</v>
      </c>
      <c r="AJ280" s="1">
        <v>78</v>
      </c>
      <c r="AK280" s="1"/>
      <c r="AL280" s="1" t="s">
        <v>5702</v>
      </c>
      <c r="AM280" s="1" t="s">
        <v>5701</v>
      </c>
      <c r="AN280" s="1" t="s">
        <v>360</v>
      </c>
      <c r="AO280" s="1" t="s">
        <v>539</v>
      </c>
      <c r="AP280" s="1">
        <v>65.8</v>
      </c>
      <c r="AQ280" s="1"/>
      <c r="AR280" s="1"/>
      <c r="AS280" s="1"/>
      <c r="AT280" s="1"/>
      <c r="AU280" s="1"/>
      <c r="AV280" s="1"/>
      <c r="AW280" s="1"/>
      <c r="AX280" s="1" t="s">
        <v>2625</v>
      </c>
      <c r="AY280" s="1" t="s">
        <v>5703</v>
      </c>
      <c r="AZ280" s="1" t="s">
        <v>542</v>
      </c>
      <c r="BA280" s="1" t="s">
        <v>829</v>
      </c>
      <c r="BB280" s="1">
        <v>80.4</v>
      </c>
      <c r="BC280" s="1">
        <v>8.04</v>
      </c>
      <c r="BD280" s="1"/>
      <c r="BE280" s="1"/>
      <c r="BF280" s="1"/>
      <c r="BG280" s="1"/>
      <c r="BH280" s="1"/>
      <c r="BI280" s="1"/>
      <c r="BJ280" s="1" t="s">
        <v>3733</v>
      </c>
      <c r="BK280" s="1"/>
      <c r="BL280" s="1"/>
      <c r="BM280" s="1" t="s">
        <v>5704</v>
      </c>
      <c r="BN280" s="1">
        <v>11</v>
      </c>
      <c r="BO280" s="1" t="s">
        <v>5705</v>
      </c>
      <c r="BP280" s="1" t="str">
        <f>HYPERLINK("https://nconnect.nicmar.ac.in/storage/profile/6a7ef2c6545b1.png","Download")</f>
        <v>0</v>
      </c>
      <c r="BQ280" s="3"/>
      <c r="BR280" s="3"/>
    </row>
    <row r="281" spans="1:70">
      <c r="A281" s="1" t="s">
        <v>70</v>
      </c>
      <c r="B281" s="1" t="s">
        <v>441</v>
      </c>
      <c r="C281" s="1" t="s">
        <v>5706</v>
      </c>
      <c r="D281" s="1" t="s">
        <v>3511</v>
      </c>
      <c r="E281" s="1"/>
      <c r="F281" s="1" t="s">
        <v>2220</v>
      </c>
      <c r="G281" s="1" t="s">
        <v>5707</v>
      </c>
      <c r="H281" s="1" t="s">
        <v>5708</v>
      </c>
      <c r="I281" s="1" t="s">
        <v>5709</v>
      </c>
      <c r="J281" s="1">
        <v>7089670087</v>
      </c>
      <c r="K281" s="1" t="s">
        <v>79</v>
      </c>
      <c r="L281" s="1" t="s">
        <v>5710</v>
      </c>
      <c r="M281" s="1" t="s">
        <v>81</v>
      </c>
      <c r="N281" s="1" t="s">
        <v>4289</v>
      </c>
      <c r="O281" s="1"/>
      <c r="P281" s="1" t="s">
        <v>450</v>
      </c>
      <c r="Q281" s="1" t="s">
        <v>5711</v>
      </c>
      <c r="R281" s="1" t="s">
        <v>5712</v>
      </c>
      <c r="S281" s="1">
        <v>9893765981</v>
      </c>
      <c r="T281" s="1" t="s">
        <v>1082</v>
      </c>
      <c r="U281" s="1" t="s">
        <v>5713</v>
      </c>
      <c r="V281" s="1">
        <v>8085948592</v>
      </c>
      <c r="W281" s="1" t="s">
        <v>273</v>
      </c>
      <c r="X281" s="1" t="s">
        <v>5714</v>
      </c>
      <c r="Y281" s="1" t="s">
        <v>5339</v>
      </c>
      <c r="Z281" s="1" t="s">
        <v>2955</v>
      </c>
      <c r="AA281" s="1" t="s">
        <v>5714</v>
      </c>
      <c r="AB281" s="1" t="s">
        <v>5339</v>
      </c>
      <c r="AC281" s="1" t="s">
        <v>2955</v>
      </c>
      <c r="AD281" s="1">
        <v>7.95</v>
      </c>
      <c r="AE281" s="1" t="s">
        <v>93</v>
      </c>
      <c r="AF281" s="1" t="s">
        <v>5715</v>
      </c>
      <c r="AG281" s="1" t="s">
        <v>2467</v>
      </c>
      <c r="AH281" s="1" t="s">
        <v>1088</v>
      </c>
      <c r="AI281" s="1" t="s">
        <v>614</v>
      </c>
      <c r="AJ281" s="1">
        <v>79.83</v>
      </c>
      <c r="AK281" s="1">
        <v>8.4</v>
      </c>
      <c r="AL281" s="1" t="s">
        <v>5715</v>
      </c>
      <c r="AM281" s="1" t="s">
        <v>2467</v>
      </c>
      <c r="AN281" s="1" t="s">
        <v>689</v>
      </c>
      <c r="AO281" s="1" t="s">
        <v>166</v>
      </c>
      <c r="AP281" s="1">
        <v>61.8</v>
      </c>
      <c r="AQ281" s="1"/>
      <c r="AR281" s="1"/>
      <c r="AS281" s="1"/>
      <c r="AT281" s="1"/>
      <c r="AU281" s="1"/>
      <c r="AV281" s="1"/>
      <c r="AW281" s="1"/>
      <c r="AX281" s="1" t="s">
        <v>5716</v>
      </c>
      <c r="AY281" s="1" t="s">
        <v>5717</v>
      </c>
      <c r="AZ281" s="1" t="s">
        <v>169</v>
      </c>
      <c r="BA281" s="1" t="s">
        <v>619</v>
      </c>
      <c r="BB281" s="1">
        <v>71.54</v>
      </c>
      <c r="BC281" s="1">
        <v>7.81</v>
      </c>
      <c r="BD281" s="1"/>
      <c r="BE281" s="1"/>
      <c r="BF281" s="1"/>
      <c r="BG281" s="1"/>
      <c r="BH281" s="1"/>
      <c r="BI281" s="1"/>
      <c r="BJ281" s="1" t="s">
        <v>255</v>
      </c>
      <c r="BK281" s="1"/>
      <c r="BL281" s="1"/>
      <c r="BM281" s="1" t="s">
        <v>5718</v>
      </c>
      <c r="BN281" s="1">
        <v>13</v>
      </c>
      <c r="BO281" s="1"/>
      <c r="BP281" s="1" t="str">
        <f>HYPERLINK("https://nconnect.nicmar.ac.in/storage/profile/ProfilePhoto_P25700269_861432.jpg","Download")</f>
        <v>0</v>
      </c>
      <c r="BQ281" s="3"/>
      <c r="BR281" s="3"/>
    </row>
    <row r="282" spans="1:70">
      <c r="A282" s="1" t="s">
        <v>70</v>
      </c>
      <c r="B282" s="1" t="s">
        <v>441</v>
      </c>
      <c r="C282" s="1" t="s">
        <v>5719</v>
      </c>
      <c r="D282" s="1" t="s">
        <v>5720</v>
      </c>
      <c r="E282" s="1"/>
      <c r="F282" s="1" t="s">
        <v>5721</v>
      </c>
      <c r="G282" s="1" t="s">
        <v>5722</v>
      </c>
      <c r="H282" s="1" t="s">
        <v>5723</v>
      </c>
      <c r="I282" s="1" t="s">
        <v>5724</v>
      </c>
      <c r="J282" s="1">
        <v>6264916607</v>
      </c>
      <c r="K282" s="1" t="s">
        <v>148</v>
      </c>
      <c r="L282" s="1" t="s">
        <v>5725</v>
      </c>
      <c r="M282" s="1" t="s">
        <v>81</v>
      </c>
      <c r="N282" s="1" t="s">
        <v>579</v>
      </c>
      <c r="O282" s="1"/>
      <c r="P282" s="1" t="s">
        <v>1007</v>
      </c>
      <c r="Q282" s="1" t="s">
        <v>5726</v>
      </c>
      <c r="R282" s="1" t="s">
        <v>5727</v>
      </c>
      <c r="S282" s="1">
        <v>8889944211</v>
      </c>
      <c r="T282" s="1" t="s">
        <v>632</v>
      </c>
      <c r="U282" s="1" t="s">
        <v>5728</v>
      </c>
      <c r="V282" s="1">
        <v>9826056277</v>
      </c>
      <c r="W282" s="1" t="s">
        <v>632</v>
      </c>
      <c r="X282" s="1" t="s">
        <v>5729</v>
      </c>
      <c r="Y282" s="1" t="s">
        <v>5645</v>
      </c>
      <c r="Z282" s="1" t="s">
        <v>3437</v>
      </c>
      <c r="AA282" s="1" t="s">
        <v>5729</v>
      </c>
      <c r="AB282" s="1" t="s">
        <v>5645</v>
      </c>
      <c r="AC282" s="1" t="s">
        <v>3437</v>
      </c>
      <c r="AD282" s="1">
        <v>7.83</v>
      </c>
      <c r="AE282" s="1" t="s">
        <v>93</v>
      </c>
      <c r="AF282" s="1" t="s">
        <v>5730</v>
      </c>
      <c r="AG282" s="1" t="s">
        <v>5731</v>
      </c>
      <c r="AH282" s="1" t="s">
        <v>166</v>
      </c>
      <c r="AI282" s="1" t="s">
        <v>308</v>
      </c>
      <c r="AJ282" s="1">
        <v>82</v>
      </c>
      <c r="AK282" s="1"/>
      <c r="AL282" s="1" t="s">
        <v>5732</v>
      </c>
      <c r="AM282" s="1" t="s">
        <v>5731</v>
      </c>
      <c r="AN282" s="1" t="s">
        <v>412</v>
      </c>
      <c r="AO282" s="1" t="s">
        <v>539</v>
      </c>
      <c r="AP282" s="1">
        <v>84.4</v>
      </c>
      <c r="AQ282" s="1"/>
      <c r="AR282" s="1"/>
      <c r="AS282" s="1"/>
      <c r="AT282" s="1"/>
      <c r="AU282" s="1"/>
      <c r="AV282" s="1"/>
      <c r="AW282" s="1"/>
      <c r="AX282" s="1" t="s">
        <v>5733</v>
      </c>
      <c r="AY282" s="1" t="s">
        <v>5734</v>
      </c>
      <c r="AZ282" s="1" t="s">
        <v>539</v>
      </c>
      <c r="BA282" s="1" t="s">
        <v>594</v>
      </c>
      <c r="BB282" s="1">
        <v>87.4</v>
      </c>
      <c r="BC282" s="1">
        <v>8.74</v>
      </c>
      <c r="BD282" s="1"/>
      <c r="BE282" s="1"/>
      <c r="BF282" s="1"/>
      <c r="BG282" s="1"/>
      <c r="BH282" s="1"/>
      <c r="BI282" s="1"/>
      <c r="BJ282" s="1" t="s">
        <v>5735</v>
      </c>
      <c r="BK282" s="1"/>
      <c r="BL282" s="1"/>
      <c r="BM282" s="1" t="s">
        <v>5736</v>
      </c>
      <c r="BN282" s="1">
        <v>19</v>
      </c>
      <c r="BO282" s="1"/>
      <c r="BP282" s="1" t="str">
        <f>HYPERLINK("https://nconnect.nicmar.ac.in/storage/profile/ProfilePhoto_P25700270_194253.jpg","Download")</f>
        <v>0</v>
      </c>
      <c r="BQ282" s="3"/>
      <c r="BR282" s="3"/>
    </row>
    <row r="283" spans="1:70">
      <c r="A283" s="1" t="s">
        <v>70</v>
      </c>
      <c r="B283" s="1" t="s">
        <v>441</v>
      </c>
      <c r="C283" s="1" t="s">
        <v>5737</v>
      </c>
      <c r="D283" s="1" t="s">
        <v>5738</v>
      </c>
      <c r="E283" s="1" t="s">
        <v>2071</v>
      </c>
      <c r="F283" s="1" t="s">
        <v>1847</v>
      </c>
      <c r="G283" s="1" t="s">
        <v>5739</v>
      </c>
      <c r="H283" s="1" t="s">
        <v>5740</v>
      </c>
      <c r="I283" s="1" t="s">
        <v>5741</v>
      </c>
      <c r="J283" s="1">
        <v>8308814050</v>
      </c>
      <c r="K283" s="1" t="s">
        <v>148</v>
      </c>
      <c r="L283" s="1" t="s">
        <v>5742</v>
      </c>
      <c r="M283" s="1" t="s">
        <v>81</v>
      </c>
      <c r="N283" s="1" t="s">
        <v>4274</v>
      </c>
      <c r="O283" s="1"/>
      <c r="P283" s="1" t="s">
        <v>497</v>
      </c>
      <c r="Q283" s="1" t="s">
        <v>5743</v>
      </c>
      <c r="R283" s="1" t="s">
        <v>5744</v>
      </c>
      <c r="S283" s="1">
        <v>9822089606</v>
      </c>
      <c r="T283" s="1" t="s">
        <v>5745</v>
      </c>
      <c r="U283" s="1" t="s">
        <v>5746</v>
      </c>
      <c r="V283" s="1">
        <v>9623389394</v>
      </c>
      <c r="W283" s="1" t="s">
        <v>156</v>
      </c>
      <c r="X283" s="1" t="s">
        <v>5747</v>
      </c>
      <c r="Y283" s="1" t="s">
        <v>1963</v>
      </c>
      <c r="Z283" s="1" t="s">
        <v>92</v>
      </c>
      <c r="AA283" s="1" t="s">
        <v>5747</v>
      </c>
      <c r="AB283" s="1" t="s">
        <v>1963</v>
      </c>
      <c r="AC283" s="1" t="s">
        <v>92</v>
      </c>
      <c r="AD283" s="1">
        <v>7.33</v>
      </c>
      <c r="AE283" s="1" t="s">
        <v>93</v>
      </c>
      <c r="AF283" s="1" t="s">
        <v>5748</v>
      </c>
      <c r="AG283" s="1" t="s">
        <v>5749</v>
      </c>
      <c r="AH283" s="1" t="s">
        <v>195</v>
      </c>
      <c r="AI283" s="1" t="s">
        <v>281</v>
      </c>
      <c r="AJ283" s="1">
        <v>87.8</v>
      </c>
      <c r="AK283" s="1"/>
      <c r="AL283" s="1" t="s">
        <v>5750</v>
      </c>
      <c r="AM283" s="1" t="s">
        <v>5749</v>
      </c>
      <c r="AN283" s="1" t="s">
        <v>169</v>
      </c>
      <c r="AO283" s="1" t="s">
        <v>173</v>
      </c>
      <c r="AP283" s="1">
        <v>74.15</v>
      </c>
      <c r="AQ283" s="1"/>
      <c r="AR283" s="1"/>
      <c r="AS283" s="1"/>
      <c r="AT283" s="1"/>
      <c r="AU283" s="1"/>
      <c r="AV283" s="1"/>
      <c r="AW283" s="1"/>
      <c r="AX283" s="1" t="s">
        <v>1017</v>
      </c>
      <c r="AY283" s="1" t="s">
        <v>5751</v>
      </c>
      <c r="AZ283" s="1" t="s">
        <v>363</v>
      </c>
      <c r="BA283" s="1" t="s">
        <v>829</v>
      </c>
      <c r="BB283" s="1">
        <v>72.02</v>
      </c>
      <c r="BC283" s="1">
        <v>7.91</v>
      </c>
      <c r="BD283" s="1"/>
      <c r="BE283" s="1"/>
      <c r="BF283" s="1"/>
      <c r="BG283" s="1"/>
      <c r="BH283" s="1"/>
      <c r="BI283" s="1"/>
      <c r="BJ283" s="1" t="s">
        <v>255</v>
      </c>
      <c r="BK283" s="1"/>
      <c r="BL283" s="1"/>
      <c r="BM283" s="1" t="s">
        <v>5752</v>
      </c>
      <c r="BN283" s="1">
        <v>28</v>
      </c>
      <c r="BO283" s="1"/>
      <c r="BP283" s="1" t="str">
        <f>HYPERLINK("https://nconnect.nicmar.ac.in/storage/profile/ProfilePhoto_P25700271_135978.jpg","Download")</f>
        <v>0</v>
      </c>
      <c r="BQ283" s="3"/>
      <c r="BR283" s="3"/>
    </row>
    <row r="284" spans="1:70">
      <c r="A284" s="1" t="s">
        <v>70</v>
      </c>
      <c r="B284" s="1" t="s">
        <v>441</v>
      </c>
      <c r="C284" s="1" t="s">
        <v>5753</v>
      </c>
      <c r="D284" s="1" t="s">
        <v>5754</v>
      </c>
      <c r="E284" s="1" t="s">
        <v>5755</v>
      </c>
      <c r="F284" s="1" t="s">
        <v>1847</v>
      </c>
      <c r="G284" s="1" t="s">
        <v>5756</v>
      </c>
      <c r="H284" s="1" t="s">
        <v>5757</v>
      </c>
      <c r="I284" s="1" t="s">
        <v>5758</v>
      </c>
      <c r="J284" s="1">
        <v>7057663329</v>
      </c>
      <c r="K284" s="1" t="s">
        <v>79</v>
      </c>
      <c r="L284" s="1" t="s">
        <v>5759</v>
      </c>
      <c r="M284" s="1" t="s">
        <v>81</v>
      </c>
      <c r="N284" s="1" t="s">
        <v>605</v>
      </c>
      <c r="O284" s="1"/>
      <c r="P284" s="1" t="s">
        <v>450</v>
      </c>
      <c r="Q284" s="1" t="s">
        <v>5760</v>
      </c>
      <c r="R284" s="1" t="s">
        <v>5761</v>
      </c>
      <c r="S284" s="1">
        <v>7507599299</v>
      </c>
      <c r="T284" s="1" t="s">
        <v>632</v>
      </c>
      <c r="U284" s="1" t="s">
        <v>5762</v>
      </c>
      <c r="V284" s="1">
        <v>8149732031</v>
      </c>
      <c r="W284" s="1" t="s">
        <v>1595</v>
      </c>
      <c r="X284" s="1" t="s">
        <v>5763</v>
      </c>
      <c r="Y284" s="1" t="s">
        <v>191</v>
      </c>
      <c r="Z284" s="1" t="s">
        <v>92</v>
      </c>
      <c r="AA284" s="1" t="s">
        <v>5763</v>
      </c>
      <c r="AB284" s="1" t="s">
        <v>191</v>
      </c>
      <c r="AC284" s="1" t="s">
        <v>92</v>
      </c>
      <c r="AD284" s="1">
        <v>8.52</v>
      </c>
      <c r="AE284" s="1" t="s">
        <v>93</v>
      </c>
      <c r="AF284" s="1" t="s">
        <v>5764</v>
      </c>
      <c r="AG284" s="1" t="s">
        <v>5765</v>
      </c>
      <c r="AH284" s="1" t="s">
        <v>3303</v>
      </c>
      <c r="AI284" s="1" t="s">
        <v>409</v>
      </c>
      <c r="AJ284" s="1">
        <v>78.2</v>
      </c>
      <c r="AK284" s="1"/>
      <c r="AL284" s="1"/>
      <c r="AM284" s="1"/>
      <c r="AN284" s="1"/>
      <c r="AO284" s="1"/>
      <c r="AP284" s="1"/>
      <c r="AQ284" s="1"/>
      <c r="AR284" s="1" t="s">
        <v>434</v>
      </c>
      <c r="AS284" s="1" t="s">
        <v>5766</v>
      </c>
      <c r="AT284" s="1" t="s">
        <v>173</v>
      </c>
      <c r="AU284" s="1" t="s">
        <v>1378</v>
      </c>
      <c r="AV284" s="1">
        <v>79.53</v>
      </c>
      <c r="AW284" s="1"/>
      <c r="AX284" s="1" t="s">
        <v>361</v>
      </c>
      <c r="AY284" s="1" t="s">
        <v>5767</v>
      </c>
      <c r="AZ284" s="1" t="s">
        <v>1864</v>
      </c>
      <c r="BA284" s="1" t="s">
        <v>1379</v>
      </c>
      <c r="BB284" s="1">
        <v>70.8</v>
      </c>
      <c r="BC284" s="1">
        <v>7.83</v>
      </c>
      <c r="BD284" s="1"/>
      <c r="BE284" s="1"/>
      <c r="BF284" s="1"/>
      <c r="BG284" s="1"/>
      <c r="BH284" s="1"/>
      <c r="BI284" s="1"/>
      <c r="BJ284" s="1" t="s">
        <v>5768</v>
      </c>
      <c r="BK284" s="1"/>
      <c r="BL284" s="1"/>
      <c r="BM284" s="1" t="s">
        <v>5769</v>
      </c>
      <c r="BN284" s="1">
        <v>12</v>
      </c>
      <c r="BO284" s="1" t="s">
        <v>5770</v>
      </c>
      <c r="BP284" s="1" t="str">
        <f>HYPERLINK("https://nconnect.nicmar.ac.in/storage/profile/ProfilePhoto_P25700272_839471.jpg","Download")</f>
        <v>0</v>
      </c>
      <c r="BQ284" s="3"/>
      <c r="BR284" s="3"/>
    </row>
    <row r="285" spans="1:70">
      <c r="A285" s="1" t="s">
        <v>70</v>
      </c>
      <c r="B285" s="1" t="s">
        <v>441</v>
      </c>
      <c r="C285" s="1" t="s">
        <v>5771</v>
      </c>
      <c r="D285" s="1" t="s">
        <v>5772</v>
      </c>
      <c r="E285" s="1" t="s">
        <v>5773</v>
      </c>
      <c r="F285" s="1" t="s">
        <v>5774</v>
      </c>
      <c r="G285" s="1" t="s">
        <v>5775</v>
      </c>
      <c r="H285" s="1" t="s">
        <v>5776</v>
      </c>
      <c r="I285" s="1" t="s">
        <v>5777</v>
      </c>
      <c r="J285" s="1">
        <v>9786186787</v>
      </c>
      <c r="K285" s="1" t="s">
        <v>79</v>
      </c>
      <c r="L285" s="1" t="s">
        <v>5778</v>
      </c>
      <c r="M285" s="1" t="s">
        <v>81</v>
      </c>
      <c r="N285" s="1" t="s">
        <v>5779</v>
      </c>
      <c r="O285" s="1"/>
      <c r="P285" s="1" t="s">
        <v>450</v>
      </c>
      <c r="Q285" s="1" t="s">
        <v>5780</v>
      </c>
      <c r="R285" s="1" t="s">
        <v>5781</v>
      </c>
      <c r="S285" s="1">
        <v>9976467906</v>
      </c>
      <c r="T285" s="1" t="s">
        <v>820</v>
      </c>
      <c r="U285" s="1" t="s">
        <v>5782</v>
      </c>
      <c r="V285" s="1">
        <v>9976467955</v>
      </c>
      <c r="W285" s="1" t="s">
        <v>273</v>
      </c>
      <c r="X285" s="1" t="s">
        <v>5783</v>
      </c>
      <c r="Y285" s="1" t="s">
        <v>803</v>
      </c>
      <c r="Z285" s="1" t="s">
        <v>559</v>
      </c>
      <c r="AA285" s="1" t="s">
        <v>5783</v>
      </c>
      <c r="AB285" s="1" t="s">
        <v>803</v>
      </c>
      <c r="AC285" s="1" t="s">
        <v>559</v>
      </c>
      <c r="AD285" s="1">
        <v>6.92</v>
      </c>
      <c r="AE285" s="1" t="s">
        <v>93</v>
      </c>
      <c r="AF285" s="1" t="s">
        <v>5784</v>
      </c>
      <c r="AG285" s="1" t="s">
        <v>5785</v>
      </c>
      <c r="AH285" s="1" t="s">
        <v>101</v>
      </c>
      <c r="AI285" s="1" t="s">
        <v>308</v>
      </c>
      <c r="AJ285" s="1">
        <v>75.2</v>
      </c>
      <c r="AK285" s="1">
        <v>0</v>
      </c>
      <c r="AL285" s="1" t="s">
        <v>5786</v>
      </c>
      <c r="AM285" s="1" t="s">
        <v>5787</v>
      </c>
      <c r="AN285" s="1" t="s">
        <v>460</v>
      </c>
      <c r="AO285" s="1" t="s">
        <v>826</v>
      </c>
      <c r="AP285" s="1">
        <v>81.11</v>
      </c>
      <c r="AQ285" s="1">
        <v>0</v>
      </c>
      <c r="AR285" s="1"/>
      <c r="AS285" s="1"/>
      <c r="AT285" s="1"/>
      <c r="AU285" s="1"/>
      <c r="AV285" s="1"/>
      <c r="AW285" s="1"/>
      <c r="AX285" s="1" t="s">
        <v>564</v>
      </c>
      <c r="AY285" s="1" t="s">
        <v>5788</v>
      </c>
      <c r="AZ285" s="1" t="s">
        <v>436</v>
      </c>
      <c r="BA285" s="1" t="s">
        <v>594</v>
      </c>
      <c r="BB285" s="1">
        <v>72.2</v>
      </c>
      <c r="BC285" s="1">
        <v>7.22</v>
      </c>
      <c r="BD285" s="1"/>
      <c r="BE285" s="1"/>
      <c r="BF285" s="1"/>
      <c r="BG285" s="1"/>
      <c r="BH285" s="1"/>
      <c r="BI285" s="1"/>
      <c r="BJ285" s="1" t="s">
        <v>1659</v>
      </c>
      <c r="BK285" s="1"/>
      <c r="BL285" s="1"/>
      <c r="BM285" s="1" t="s">
        <v>5789</v>
      </c>
      <c r="BN285" s="1">
        <v>18</v>
      </c>
      <c r="BO285" s="1"/>
      <c r="BP285" s="1" t="str">
        <f>HYPERLINK("https://nconnect.nicmar.ac.in/storage/profile/ProfilePhoto_P25700273_243176.jpg","Download")</f>
        <v>0</v>
      </c>
      <c r="BQ285" s="3"/>
      <c r="BR285" s="3"/>
    </row>
    <row r="286" spans="1:70">
      <c r="A286" s="1" t="s">
        <v>70</v>
      </c>
      <c r="B286" s="1" t="s">
        <v>441</v>
      </c>
      <c r="C286" s="1" t="s">
        <v>5790</v>
      </c>
      <c r="D286" s="1" t="s">
        <v>5791</v>
      </c>
      <c r="E286" s="1" t="s">
        <v>5792</v>
      </c>
      <c r="F286" s="1" t="s">
        <v>5793</v>
      </c>
      <c r="G286" s="1" t="s">
        <v>5794</v>
      </c>
      <c r="H286" s="1" t="s">
        <v>5795</v>
      </c>
      <c r="I286" s="1" t="s">
        <v>5796</v>
      </c>
      <c r="J286" s="1">
        <v>9156448281</v>
      </c>
      <c r="K286" s="1" t="s">
        <v>148</v>
      </c>
      <c r="L286" s="1" t="s">
        <v>5797</v>
      </c>
      <c r="M286" s="1" t="s">
        <v>81</v>
      </c>
      <c r="N286" s="1" t="s">
        <v>605</v>
      </c>
      <c r="O286" s="1"/>
      <c r="P286" s="1" t="s">
        <v>450</v>
      </c>
      <c r="Q286" s="1" t="s">
        <v>5798</v>
      </c>
      <c r="R286" s="1" t="s">
        <v>5799</v>
      </c>
      <c r="S286" s="1">
        <v>9890101818</v>
      </c>
      <c r="T286" s="1" t="s">
        <v>3807</v>
      </c>
      <c r="U286" s="1" t="s">
        <v>5800</v>
      </c>
      <c r="V286" s="1">
        <v>7517420632</v>
      </c>
      <c r="W286" s="1" t="s">
        <v>156</v>
      </c>
      <c r="X286" s="1" t="s">
        <v>5801</v>
      </c>
      <c r="Y286" s="1" t="s">
        <v>5185</v>
      </c>
      <c r="Z286" s="1" t="s">
        <v>92</v>
      </c>
      <c r="AA286" s="1" t="s">
        <v>5801</v>
      </c>
      <c r="AB286" s="1" t="s">
        <v>5185</v>
      </c>
      <c r="AC286" s="1" t="s">
        <v>92</v>
      </c>
      <c r="AD286" s="1">
        <v>8.54</v>
      </c>
      <c r="AE286" s="1" t="s">
        <v>93</v>
      </c>
      <c r="AF286" s="1" t="s">
        <v>5802</v>
      </c>
      <c r="AG286" s="1" t="s">
        <v>160</v>
      </c>
      <c r="AH286" s="1" t="s">
        <v>101</v>
      </c>
      <c r="AI286" s="1" t="s">
        <v>409</v>
      </c>
      <c r="AJ286" s="1">
        <v>90</v>
      </c>
      <c r="AK286" s="1"/>
      <c r="AL286" s="1" t="s">
        <v>5803</v>
      </c>
      <c r="AM286" s="1" t="s">
        <v>160</v>
      </c>
      <c r="AN286" s="1" t="s">
        <v>173</v>
      </c>
      <c r="AO286" s="1" t="s">
        <v>1169</v>
      </c>
      <c r="AP286" s="1">
        <v>93.33</v>
      </c>
      <c r="AQ286" s="1"/>
      <c r="AR286" s="1"/>
      <c r="AS286" s="1"/>
      <c r="AT286" s="1"/>
      <c r="AU286" s="1"/>
      <c r="AV286" s="1"/>
      <c r="AW286" s="1"/>
      <c r="AX286" s="1" t="s">
        <v>5804</v>
      </c>
      <c r="AY286" s="1" t="s">
        <v>5805</v>
      </c>
      <c r="AZ286" s="1" t="s">
        <v>852</v>
      </c>
      <c r="BA286" s="1" t="s">
        <v>1379</v>
      </c>
      <c r="BB286" s="1">
        <v>76.7</v>
      </c>
      <c r="BC286" s="1">
        <v>8.17</v>
      </c>
      <c r="BD286" s="1"/>
      <c r="BE286" s="1"/>
      <c r="BF286" s="1"/>
      <c r="BG286" s="1"/>
      <c r="BH286" s="1"/>
      <c r="BI286" s="1"/>
      <c r="BJ286" s="1" t="s">
        <v>5806</v>
      </c>
      <c r="BK286" s="1"/>
      <c r="BL286" s="1"/>
      <c r="BM286" s="1" t="s">
        <v>5807</v>
      </c>
      <c r="BN286" s="1">
        <v>14</v>
      </c>
      <c r="BO286" s="1"/>
      <c r="BP286" s="1" t="str">
        <f>HYPERLINK("https://nconnect.nicmar.ac.in/storage/profile/ProfilePhoto_P25700274_326758.jpg","Download")</f>
        <v>0</v>
      </c>
      <c r="BQ286" s="3"/>
      <c r="BR286" s="3"/>
    </row>
    <row r="287" spans="1:70">
      <c r="A287" s="1" t="s">
        <v>70</v>
      </c>
      <c r="B287" s="1" t="s">
        <v>441</v>
      </c>
      <c r="C287" s="1" t="s">
        <v>5808</v>
      </c>
      <c r="D287" s="1" t="s">
        <v>5809</v>
      </c>
      <c r="E287" s="1"/>
      <c r="F287" s="1" t="s">
        <v>5810</v>
      </c>
      <c r="G287" s="1" t="s">
        <v>5811</v>
      </c>
      <c r="H287" s="1" t="s">
        <v>5812</v>
      </c>
      <c r="I287" s="1" t="s">
        <v>5813</v>
      </c>
      <c r="J287" s="1">
        <v>9877169590</v>
      </c>
      <c r="K287" s="1" t="s">
        <v>79</v>
      </c>
      <c r="L287" s="1" t="s">
        <v>1768</v>
      </c>
      <c r="M287" s="1" t="s">
        <v>81</v>
      </c>
      <c r="N287" s="1" t="s">
        <v>5814</v>
      </c>
      <c r="O287" s="1"/>
      <c r="P287" s="1" t="s">
        <v>497</v>
      </c>
      <c r="Q287" s="1" t="s">
        <v>5815</v>
      </c>
      <c r="R287" s="1" t="s">
        <v>5816</v>
      </c>
      <c r="S287" s="1">
        <v>8264724989</v>
      </c>
      <c r="T287" s="1" t="s">
        <v>154</v>
      </c>
      <c r="U287" s="1" t="s">
        <v>5817</v>
      </c>
      <c r="V287" s="1">
        <v>9815911683</v>
      </c>
      <c r="W287" s="1" t="s">
        <v>531</v>
      </c>
      <c r="X287" s="1" t="s">
        <v>5818</v>
      </c>
      <c r="Y287" s="1" t="s">
        <v>5819</v>
      </c>
      <c r="Z287" s="1" t="s">
        <v>951</v>
      </c>
      <c r="AA287" s="1" t="s">
        <v>5818</v>
      </c>
      <c r="AB287" s="1" t="s">
        <v>5819</v>
      </c>
      <c r="AC287" s="1" t="s">
        <v>951</v>
      </c>
      <c r="AD287" s="1" t="s">
        <v>93</v>
      </c>
      <c r="AE287" s="1" t="s">
        <v>93</v>
      </c>
      <c r="AF287" s="1" t="s">
        <v>5820</v>
      </c>
      <c r="AG287" s="1" t="s">
        <v>307</v>
      </c>
      <c r="AH287" s="1" t="s">
        <v>279</v>
      </c>
      <c r="AI287" s="1" t="s">
        <v>195</v>
      </c>
      <c r="AJ287" s="1">
        <v>62.7</v>
      </c>
      <c r="AK287" s="1">
        <v>6.6</v>
      </c>
      <c r="AL287" s="1" t="s">
        <v>5821</v>
      </c>
      <c r="AM287" s="1" t="s">
        <v>307</v>
      </c>
      <c r="AN287" s="1" t="s">
        <v>481</v>
      </c>
      <c r="AO287" s="1" t="s">
        <v>412</v>
      </c>
      <c r="AP287" s="1">
        <v>66</v>
      </c>
      <c r="AQ287" s="1"/>
      <c r="AR287" s="1"/>
      <c r="AS287" s="1"/>
      <c r="AT287" s="1"/>
      <c r="AU287" s="1"/>
      <c r="AV287" s="1"/>
      <c r="AW287" s="1"/>
      <c r="AX287" s="1" t="s">
        <v>5822</v>
      </c>
      <c r="AY287" s="1" t="s">
        <v>5823</v>
      </c>
      <c r="AZ287" s="1" t="s">
        <v>1019</v>
      </c>
      <c r="BA287" s="1" t="s">
        <v>1109</v>
      </c>
      <c r="BB287" s="1">
        <v>66</v>
      </c>
      <c r="BC287" s="1">
        <v>6.6</v>
      </c>
      <c r="BD287" s="1"/>
      <c r="BE287" s="1"/>
      <c r="BF287" s="1"/>
      <c r="BG287" s="1"/>
      <c r="BH287" s="1"/>
      <c r="BI287" s="1"/>
      <c r="BJ287" s="1" t="s">
        <v>5824</v>
      </c>
      <c r="BK287" s="1"/>
      <c r="BL287" s="1"/>
      <c r="BM287" s="1" t="s">
        <v>5825</v>
      </c>
      <c r="BN287" s="1">
        <v>14</v>
      </c>
      <c r="BO287" s="1"/>
      <c r="BP287" s="1" t="str">
        <f>HYPERLINK("https://nconnect.nicmar.ac.in/storage/profile/ProfilePhoto_P25700275_563178.jpg","Download")</f>
        <v>0</v>
      </c>
      <c r="BQ287" s="3"/>
      <c r="BR287" s="3"/>
    </row>
    <row r="288" spans="1:70">
      <c r="A288" s="1" t="s">
        <v>70</v>
      </c>
      <c r="B288" s="1" t="s">
        <v>441</v>
      </c>
      <c r="C288" s="1" t="s">
        <v>5826</v>
      </c>
      <c r="D288" s="1" t="s">
        <v>5827</v>
      </c>
      <c r="E288" s="1"/>
      <c r="F288" s="1" t="s">
        <v>111</v>
      </c>
      <c r="G288" s="1" t="s">
        <v>5828</v>
      </c>
      <c r="H288" s="1" t="s">
        <v>5829</v>
      </c>
      <c r="I288" s="1" t="s">
        <v>5830</v>
      </c>
      <c r="J288" s="1">
        <v>8075372847</v>
      </c>
      <c r="K288" s="1" t="s">
        <v>79</v>
      </c>
      <c r="L288" s="1" t="s">
        <v>5831</v>
      </c>
      <c r="M288" s="1" t="s">
        <v>81</v>
      </c>
      <c r="N288" s="1" t="s">
        <v>579</v>
      </c>
      <c r="O288" s="1"/>
      <c r="P288" s="1" t="s">
        <v>497</v>
      </c>
      <c r="Q288" s="1" t="s">
        <v>5832</v>
      </c>
      <c r="R288" s="1" t="s">
        <v>5833</v>
      </c>
      <c r="S288" s="1">
        <v>9387014966</v>
      </c>
      <c r="T288" s="1" t="s">
        <v>820</v>
      </c>
      <c r="U288" s="1" t="s">
        <v>5834</v>
      </c>
      <c r="V288" s="1">
        <v>9562443953</v>
      </c>
      <c r="W288" s="1" t="s">
        <v>273</v>
      </c>
      <c r="X288" s="1" t="s">
        <v>5835</v>
      </c>
      <c r="Y288" s="1" t="s">
        <v>5317</v>
      </c>
      <c r="Z288" s="1" t="s">
        <v>125</v>
      </c>
      <c r="AA288" s="1" t="s">
        <v>5835</v>
      </c>
      <c r="AB288" s="1" t="s">
        <v>5317</v>
      </c>
      <c r="AC288" s="1" t="s">
        <v>125</v>
      </c>
      <c r="AD288" s="1">
        <v>8.21</v>
      </c>
      <c r="AE288" s="1" t="s">
        <v>93</v>
      </c>
      <c r="AF288" s="1" t="s">
        <v>5836</v>
      </c>
      <c r="AG288" s="1" t="s">
        <v>5837</v>
      </c>
      <c r="AH288" s="1" t="s">
        <v>130</v>
      </c>
      <c r="AI288" s="1" t="s">
        <v>1088</v>
      </c>
      <c r="AJ288" s="1">
        <v>87.4</v>
      </c>
      <c r="AK288" s="1">
        <v>9.2</v>
      </c>
      <c r="AL288" s="1" t="s">
        <v>5836</v>
      </c>
      <c r="AM288" s="1" t="s">
        <v>5836</v>
      </c>
      <c r="AN288" s="1" t="s">
        <v>1374</v>
      </c>
      <c r="AO288" s="1" t="s">
        <v>195</v>
      </c>
      <c r="AP288" s="1">
        <v>83.4</v>
      </c>
      <c r="AQ288" s="1"/>
      <c r="AR288" s="1"/>
      <c r="AS288" s="1"/>
      <c r="AT288" s="1"/>
      <c r="AU288" s="1"/>
      <c r="AV288" s="1"/>
      <c r="AW288" s="1"/>
      <c r="AX288" s="1" t="s">
        <v>5838</v>
      </c>
      <c r="AY288" s="1" t="s">
        <v>5839</v>
      </c>
      <c r="AZ288" s="1" t="s">
        <v>1043</v>
      </c>
      <c r="BA288" s="1" t="s">
        <v>1378</v>
      </c>
      <c r="BB288" s="1">
        <v>66.2</v>
      </c>
      <c r="BC288" s="1">
        <v>6.62</v>
      </c>
      <c r="BD288" s="1"/>
      <c r="BE288" s="1"/>
      <c r="BF288" s="1"/>
      <c r="BG288" s="1"/>
      <c r="BH288" s="1"/>
      <c r="BI288" s="1"/>
      <c r="BJ288" s="1" t="s">
        <v>567</v>
      </c>
      <c r="BK288" s="1" t="s">
        <v>5840</v>
      </c>
      <c r="BL288" s="1" t="s">
        <v>340</v>
      </c>
      <c r="BM288" s="1" t="s">
        <v>5841</v>
      </c>
      <c r="BN288" s="1">
        <v>8</v>
      </c>
      <c r="BO288" s="1"/>
      <c r="BP288" s="1" t="str">
        <f>HYPERLINK("https://nconnect.nicmar.ac.in/storage/profile/ProfilePhoto_P25700277_438956.jpg","Download")</f>
        <v>0</v>
      </c>
      <c r="BQ288" s="3"/>
      <c r="BR288" s="3"/>
    </row>
    <row r="289" spans="1:70">
      <c r="A289" s="1" t="s">
        <v>70</v>
      </c>
      <c r="B289" s="1" t="s">
        <v>441</v>
      </c>
      <c r="C289" s="1" t="s">
        <v>5842</v>
      </c>
      <c r="D289" s="1" t="s">
        <v>4228</v>
      </c>
      <c r="E289" s="1" t="s">
        <v>5843</v>
      </c>
      <c r="F289" s="1" t="s">
        <v>5844</v>
      </c>
      <c r="G289" s="1" t="s">
        <v>5845</v>
      </c>
      <c r="H289" s="1" t="s">
        <v>5846</v>
      </c>
      <c r="I289" s="1" t="s">
        <v>5847</v>
      </c>
      <c r="J289" s="1">
        <v>9579941848</v>
      </c>
      <c r="K289" s="1" t="s">
        <v>79</v>
      </c>
      <c r="L289" s="1" t="s">
        <v>4717</v>
      </c>
      <c r="M289" s="1" t="s">
        <v>81</v>
      </c>
      <c r="N289" s="1" t="s">
        <v>5848</v>
      </c>
      <c r="O289" s="1"/>
      <c r="P289" s="1" t="s">
        <v>497</v>
      </c>
      <c r="Q289" s="1" t="s">
        <v>5849</v>
      </c>
      <c r="R289" s="1" t="s">
        <v>5850</v>
      </c>
      <c r="S289" s="1">
        <v>8412868888</v>
      </c>
      <c r="T289" s="1" t="s">
        <v>820</v>
      </c>
      <c r="U289" s="1" t="s">
        <v>5851</v>
      </c>
      <c r="V289" s="1">
        <v>8668700298</v>
      </c>
      <c r="W289" s="1" t="s">
        <v>156</v>
      </c>
      <c r="X289" s="1" t="s">
        <v>5852</v>
      </c>
      <c r="Y289" s="1" t="s">
        <v>158</v>
      </c>
      <c r="Z289" s="1" t="s">
        <v>92</v>
      </c>
      <c r="AA289" s="1" t="s">
        <v>5853</v>
      </c>
      <c r="AB289" s="1" t="s">
        <v>158</v>
      </c>
      <c r="AC289" s="1" t="s">
        <v>92</v>
      </c>
      <c r="AD289" s="1" t="s">
        <v>93</v>
      </c>
      <c r="AE289" s="1" t="s">
        <v>93</v>
      </c>
      <c r="AF289" s="1" t="s">
        <v>5854</v>
      </c>
      <c r="AG289" s="1" t="s">
        <v>5855</v>
      </c>
      <c r="AH289" s="1" t="s">
        <v>166</v>
      </c>
      <c r="AI289" s="1" t="s">
        <v>409</v>
      </c>
      <c r="AJ289" s="1">
        <v>69.4</v>
      </c>
      <c r="AK289" s="1"/>
      <c r="AL289" s="1" t="s">
        <v>5856</v>
      </c>
      <c r="AM289" s="1" t="s">
        <v>5857</v>
      </c>
      <c r="AN289" s="1" t="s">
        <v>590</v>
      </c>
      <c r="AO289" s="1" t="s">
        <v>2273</v>
      </c>
      <c r="AP289" s="1">
        <v>72.33</v>
      </c>
      <c r="AQ289" s="1"/>
      <c r="AR289" s="1"/>
      <c r="AS289" s="1"/>
      <c r="AT289" s="1"/>
      <c r="AU289" s="1"/>
      <c r="AV289" s="1"/>
      <c r="AW289" s="1"/>
      <c r="AX289" s="1" t="s">
        <v>5858</v>
      </c>
      <c r="AY289" s="1" t="s">
        <v>5859</v>
      </c>
      <c r="AZ289" s="1" t="s">
        <v>828</v>
      </c>
      <c r="BA289" s="1" t="s">
        <v>543</v>
      </c>
      <c r="BB289" s="1">
        <v>71.07</v>
      </c>
      <c r="BC289" s="1">
        <v>8.26</v>
      </c>
      <c r="BD289" s="1"/>
      <c r="BE289" s="1"/>
      <c r="BF289" s="1"/>
      <c r="BG289" s="1"/>
      <c r="BH289" s="1"/>
      <c r="BI289" s="1"/>
      <c r="BJ289" s="1" t="s">
        <v>5860</v>
      </c>
      <c r="BK289" s="1"/>
      <c r="BL289" s="1"/>
      <c r="BM289" s="1" t="s">
        <v>5861</v>
      </c>
      <c r="BN289" s="1">
        <v>17</v>
      </c>
      <c r="BO289" s="1" t="s">
        <v>5862</v>
      </c>
      <c r="BP289" s="1" t="str">
        <f>HYPERLINK("https://nconnect.nicmar.ac.in/storage/profile/ProfilePhoto_P25700278_937126.jpg","Download")</f>
        <v>0</v>
      </c>
      <c r="BQ289" s="3"/>
      <c r="BR289" s="3"/>
    </row>
    <row r="290" spans="1:70">
      <c r="A290" s="1" t="s">
        <v>70</v>
      </c>
      <c r="B290" s="1" t="s">
        <v>441</v>
      </c>
      <c r="C290" s="1" t="s">
        <v>5863</v>
      </c>
      <c r="D290" s="1" t="s">
        <v>5864</v>
      </c>
      <c r="E290" s="1" t="s">
        <v>574</v>
      </c>
      <c r="F290" s="1" t="s">
        <v>5865</v>
      </c>
      <c r="G290" s="1" t="s">
        <v>5866</v>
      </c>
      <c r="H290" s="1" t="s">
        <v>5867</v>
      </c>
      <c r="I290" s="1" t="s">
        <v>5868</v>
      </c>
      <c r="J290" s="1">
        <v>9567563482</v>
      </c>
      <c r="K290" s="1" t="s">
        <v>79</v>
      </c>
      <c r="L290" s="1" t="s">
        <v>5869</v>
      </c>
      <c r="M290" s="1" t="s">
        <v>81</v>
      </c>
      <c r="N290" s="1" t="s">
        <v>5870</v>
      </c>
      <c r="O290" s="1" t="s">
        <v>152</v>
      </c>
      <c r="P290" s="1" t="s">
        <v>497</v>
      </c>
      <c r="Q290" s="1" t="s">
        <v>5871</v>
      </c>
      <c r="R290" s="1" t="s">
        <v>5872</v>
      </c>
      <c r="S290" s="1">
        <v>9447043944</v>
      </c>
      <c r="T290" s="1" t="s">
        <v>4899</v>
      </c>
      <c r="U290" s="1" t="s">
        <v>5873</v>
      </c>
      <c r="V290" s="1">
        <v>9497088960</v>
      </c>
      <c r="W290" s="1" t="s">
        <v>273</v>
      </c>
      <c r="X290" s="1" t="s">
        <v>5874</v>
      </c>
      <c r="Y290" s="1" t="s">
        <v>5875</v>
      </c>
      <c r="Z290" s="1" t="s">
        <v>125</v>
      </c>
      <c r="AA290" s="1" t="s">
        <v>5874</v>
      </c>
      <c r="AB290" s="1" t="s">
        <v>5875</v>
      </c>
      <c r="AC290" s="1" t="s">
        <v>125</v>
      </c>
      <c r="AD290" s="1">
        <v>8.92</v>
      </c>
      <c r="AE290" s="1" t="s">
        <v>93</v>
      </c>
      <c r="AF290" s="1" t="s">
        <v>5876</v>
      </c>
      <c r="AG290" s="1" t="s">
        <v>2154</v>
      </c>
      <c r="AH290" s="1" t="s">
        <v>165</v>
      </c>
      <c r="AI290" s="1" t="s">
        <v>166</v>
      </c>
      <c r="AJ290" s="1">
        <v>87.5</v>
      </c>
      <c r="AK290" s="1"/>
      <c r="AL290" s="1" t="s">
        <v>5877</v>
      </c>
      <c r="AM290" s="1" t="s">
        <v>2718</v>
      </c>
      <c r="AN290" s="1" t="s">
        <v>433</v>
      </c>
      <c r="AO290" s="1" t="s">
        <v>173</v>
      </c>
      <c r="AP290" s="1">
        <v>93.17</v>
      </c>
      <c r="AQ290" s="1"/>
      <c r="AR290" s="1"/>
      <c r="AS290" s="1"/>
      <c r="AT290" s="1"/>
      <c r="AU290" s="1"/>
      <c r="AV290" s="1"/>
      <c r="AW290" s="1"/>
      <c r="AX290" s="1" t="s">
        <v>5878</v>
      </c>
      <c r="AY290" s="1" t="s">
        <v>2523</v>
      </c>
      <c r="AZ290" s="1" t="s">
        <v>1019</v>
      </c>
      <c r="BA290" s="1" t="s">
        <v>413</v>
      </c>
      <c r="BB290" s="1">
        <v>79.7</v>
      </c>
      <c r="BC290" s="1">
        <v>7.97</v>
      </c>
      <c r="BD290" s="1"/>
      <c r="BE290" s="1"/>
      <c r="BF290" s="1"/>
      <c r="BG290" s="1"/>
      <c r="BH290" s="1"/>
      <c r="BI290" s="1"/>
      <c r="BJ290" s="1" t="s">
        <v>5879</v>
      </c>
      <c r="BK290" s="1"/>
      <c r="BL290" s="1"/>
      <c r="BM290" s="1" t="s">
        <v>5880</v>
      </c>
      <c r="BN290" s="1">
        <v>61</v>
      </c>
      <c r="BO290" s="1" t="s">
        <v>5881</v>
      </c>
      <c r="BP290" s="1" t="str">
        <f>HYPERLINK("https://nconnect.nicmar.ac.in/storage/profile/ProfilePhoto_P25700280_693247.jpg","Download")</f>
        <v>0</v>
      </c>
      <c r="BQ290" s="3"/>
      <c r="BR290" s="3"/>
    </row>
    <row r="291" spans="1:70">
      <c r="A291" s="1" t="s">
        <v>70</v>
      </c>
      <c r="B291" s="1" t="s">
        <v>441</v>
      </c>
      <c r="C291" s="1" t="s">
        <v>5882</v>
      </c>
      <c r="D291" s="1" t="s">
        <v>5883</v>
      </c>
      <c r="E291" s="1" t="s">
        <v>111</v>
      </c>
      <c r="F291" s="1" t="s">
        <v>5884</v>
      </c>
      <c r="G291" s="1" t="s">
        <v>5885</v>
      </c>
      <c r="H291" s="1" t="s">
        <v>5886</v>
      </c>
      <c r="I291" s="1" t="s">
        <v>5887</v>
      </c>
      <c r="J291" s="1">
        <v>9745629192</v>
      </c>
      <c r="K291" s="1" t="s">
        <v>148</v>
      </c>
      <c r="L291" s="1" t="s">
        <v>1117</v>
      </c>
      <c r="M291" s="1" t="s">
        <v>81</v>
      </c>
      <c r="N291" s="1" t="s">
        <v>5888</v>
      </c>
      <c r="O291" s="1"/>
      <c r="P291" s="1" t="s">
        <v>472</v>
      </c>
      <c r="Q291" s="1" t="s">
        <v>5889</v>
      </c>
      <c r="R291" s="1" t="s">
        <v>5890</v>
      </c>
      <c r="S291" s="1">
        <v>9446529192</v>
      </c>
      <c r="T291" s="1" t="s">
        <v>820</v>
      </c>
      <c r="U291" s="1" t="s">
        <v>5891</v>
      </c>
      <c r="V291" s="1">
        <v>9495929192</v>
      </c>
      <c r="W291" s="1" t="s">
        <v>273</v>
      </c>
      <c r="X291" s="1" t="s">
        <v>5892</v>
      </c>
      <c r="Y291" s="1" t="s">
        <v>1261</v>
      </c>
      <c r="Z291" s="1" t="s">
        <v>125</v>
      </c>
      <c r="AA291" s="1" t="s">
        <v>5892</v>
      </c>
      <c r="AB291" s="1" t="s">
        <v>1261</v>
      </c>
      <c r="AC291" s="1" t="s">
        <v>125</v>
      </c>
      <c r="AD291" s="1">
        <v>8.28</v>
      </c>
      <c r="AE291" s="1" t="s">
        <v>93</v>
      </c>
      <c r="AF291" s="1" t="s">
        <v>5836</v>
      </c>
      <c r="AG291" s="1" t="s">
        <v>307</v>
      </c>
      <c r="AH291" s="1" t="s">
        <v>562</v>
      </c>
      <c r="AI291" s="1" t="s">
        <v>281</v>
      </c>
      <c r="AJ291" s="1">
        <v>79</v>
      </c>
      <c r="AK291" s="1">
        <v>0</v>
      </c>
      <c r="AL291" s="1" t="s">
        <v>5893</v>
      </c>
      <c r="AM291" s="1" t="s">
        <v>5894</v>
      </c>
      <c r="AN291" s="1" t="s">
        <v>433</v>
      </c>
      <c r="AO291" s="1" t="s">
        <v>590</v>
      </c>
      <c r="AP291" s="1">
        <v>78.5</v>
      </c>
      <c r="AQ291" s="1">
        <v>0</v>
      </c>
      <c r="AR291" s="1"/>
      <c r="AS291" s="1"/>
      <c r="AT291" s="1"/>
      <c r="AU291" s="1"/>
      <c r="AV291" s="1"/>
      <c r="AW291" s="1"/>
      <c r="AX291" s="1" t="s">
        <v>132</v>
      </c>
      <c r="AY291" s="1" t="s">
        <v>5895</v>
      </c>
      <c r="AZ291" s="1" t="s">
        <v>135</v>
      </c>
      <c r="BA291" s="1" t="s">
        <v>594</v>
      </c>
      <c r="BB291" s="1">
        <v>74</v>
      </c>
      <c r="BC291" s="1">
        <v>7.4</v>
      </c>
      <c r="BD291" s="1"/>
      <c r="BE291" s="1"/>
      <c r="BF291" s="1"/>
      <c r="BG291" s="1"/>
      <c r="BH291" s="1"/>
      <c r="BI291" s="1"/>
      <c r="BJ291" s="1" t="s">
        <v>364</v>
      </c>
      <c r="BK291" s="1"/>
      <c r="BL291" s="1"/>
      <c r="BM291" s="1" t="s">
        <v>5896</v>
      </c>
      <c r="BN291" s="1">
        <v>8</v>
      </c>
      <c r="BO291" s="1" t="s">
        <v>5897</v>
      </c>
      <c r="BP291" s="1" t="str">
        <f>HYPERLINK("https://nconnect.nicmar.ac.in/storage/profile/ProfilePhoto_P25700282_942538.jpg","Download")</f>
        <v>0</v>
      </c>
      <c r="BQ291" s="3"/>
      <c r="BR291" s="3"/>
    </row>
    <row r="292" spans="1:70">
      <c r="A292" s="1" t="s">
        <v>70</v>
      </c>
      <c r="B292" s="1" t="s">
        <v>441</v>
      </c>
      <c r="C292" s="1" t="s">
        <v>5898</v>
      </c>
      <c r="D292" s="1" t="s">
        <v>2439</v>
      </c>
      <c r="E292" s="1" t="s">
        <v>5899</v>
      </c>
      <c r="F292" s="1" t="s">
        <v>5900</v>
      </c>
      <c r="G292" s="1" t="s">
        <v>5901</v>
      </c>
      <c r="H292" s="1" t="s">
        <v>5902</v>
      </c>
      <c r="I292" s="1" t="s">
        <v>5903</v>
      </c>
      <c r="J292" s="1">
        <v>8010828770</v>
      </c>
      <c r="K292" s="1" t="s">
        <v>79</v>
      </c>
      <c r="L292" s="1" t="s">
        <v>5904</v>
      </c>
      <c r="M292" s="1" t="s">
        <v>81</v>
      </c>
      <c r="N292" s="1" t="s">
        <v>883</v>
      </c>
      <c r="O292" s="1"/>
      <c r="P292" s="1" t="s">
        <v>5905</v>
      </c>
      <c r="Q292" s="1" t="s">
        <v>5906</v>
      </c>
      <c r="R292" s="1" t="s">
        <v>5907</v>
      </c>
      <c r="S292" s="1">
        <v>9527956934</v>
      </c>
      <c r="T292" s="1" t="s">
        <v>122</v>
      </c>
      <c r="U292" s="1" t="s">
        <v>5908</v>
      </c>
      <c r="V292" s="1">
        <v>9763979784</v>
      </c>
      <c r="W292" s="1" t="s">
        <v>156</v>
      </c>
      <c r="X292" s="1" t="s">
        <v>5909</v>
      </c>
      <c r="Y292" s="1" t="s">
        <v>191</v>
      </c>
      <c r="Z292" s="1" t="s">
        <v>92</v>
      </c>
      <c r="AA292" s="1" t="s">
        <v>5910</v>
      </c>
      <c r="AB292" s="1" t="s">
        <v>5911</v>
      </c>
      <c r="AC292" s="1" t="s">
        <v>92</v>
      </c>
      <c r="AD292" s="1">
        <v>8.28</v>
      </c>
      <c r="AE292" s="1" t="s">
        <v>93</v>
      </c>
      <c r="AF292" s="1" t="s">
        <v>5912</v>
      </c>
      <c r="AG292" s="1" t="s">
        <v>5913</v>
      </c>
      <c r="AH292" s="1" t="s">
        <v>162</v>
      </c>
      <c r="AI292" s="1" t="s">
        <v>165</v>
      </c>
      <c r="AJ292" s="1">
        <v>78.2</v>
      </c>
      <c r="AK292" s="1"/>
      <c r="AL292" s="1" t="s">
        <v>5914</v>
      </c>
      <c r="AM292" s="1" t="s">
        <v>5915</v>
      </c>
      <c r="AN292" s="1" t="s">
        <v>383</v>
      </c>
      <c r="AO292" s="1" t="s">
        <v>590</v>
      </c>
      <c r="AP292" s="1">
        <v>77.85</v>
      </c>
      <c r="AQ292" s="1"/>
      <c r="AR292" s="1"/>
      <c r="AS292" s="1"/>
      <c r="AT292" s="1"/>
      <c r="AU292" s="1"/>
      <c r="AV292" s="1"/>
      <c r="AW292" s="1"/>
      <c r="AX292" s="1" t="s">
        <v>361</v>
      </c>
      <c r="AY292" s="1" t="s">
        <v>5916</v>
      </c>
      <c r="AZ292" s="1" t="s">
        <v>363</v>
      </c>
      <c r="BA292" s="1" t="s">
        <v>202</v>
      </c>
      <c r="BB292" s="1">
        <v>74.6</v>
      </c>
      <c r="BC292" s="1">
        <v>8.3</v>
      </c>
      <c r="BD292" s="1"/>
      <c r="BE292" s="1"/>
      <c r="BF292" s="1"/>
      <c r="BG292" s="1"/>
      <c r="BH292" s="1"/>
      <c r="BI292" s="1"/>
      <c r="BJ292" s="1" t="s">
        <v>5917</v>
      </c>
      <c r="BK292" s="1"/>
      <c r="BL292" s="1"/>
      <c r="BM292" s="1" t="s">
        <v>5918</v>
      </c>
      <c r="BN292" s="1">
        <v>8</v>
      </c>
      <c r="BO292" s="1" t="s">
        <v>5919</v>
      </c>
      <c r="BP292" s="1" t="str">
        <f>HYPERLINK("https://nconnect.nicmar.ac.in/storage/profile/ProfilePhoto_P25700283_529847.jpg","Download")</f>
        <v>0</v>
      </c>
      <c r="BQ292" s="3"/>
      <c r="BR292" s="3"/>
    </row>
    <row r="293" spans="1:70">
      <c r="A293" s="1" t="s">
        <v>70</v>
      </c>
      <c r="B293" s="1" t="s">
        <v>441</v>
      </c>
      <c r="C293" s="1" t="s">
        <v>5920</v>
      </c>
      <c r="D293" s="1" t="s">
        <v>5921</v>
      </c>
      <c r="E293" s="1" t="s">
        <v>5922</v>
      </c>
      <c r="F293" s="1" t="s">
        <v>5923</v>
      </c>
      <c r="G293" s="1" t="s">
        <v>5924</v>
      </c>
      <c r="H293" s="1" t="s">
        <v>5925</v>
      </c>
      <c r="I293" s="1" t="s">
        <v>5926</v>
      </c>
      <c r="J293" s="1">
        <v>7620490959</v>
      </c>
      <c r="K293" s="1" t="s">
        <v>79</v>
      </c>
      <c r="L293" s="1" t="s">
        <v>5927</v>
      </c>
      <c r="M293" s="1" t="s">
        <v>81</v>
      </c>
      <c r="N293" s="1" t="s">
        <v>1079</v>
      </c>
      <c r="O293" s="1" t="s">
        <v>5928</v>
      </c>
      <c r="P293" s="1" t="s">
        <v>117</v>
      </c>
      <c r="Q293" s="1" t="s">
        <v>5929</v>
      </c>
      <c r="R293" s="1" t="s">
        <v>5930</v>
      </c>
      <c r="S293" s="1">
        <v>8999192909</v>
      </c>
      <c r="T293" s="1" t="s">
        <v>820</v>
      </c>
      <c r="U293" s="1" t="s">
        <v>5931</v>
      </c>
      <c r="V293" s="1">
        <v>7020057963</v>
      </c>
      <c r="W293" s="1" t="s">
        <v>156</v>
      </c>
      <c r="X293" s="1" t="s">
        <v>5932</v>
      </c>
      <c r="Y293" s="1" t="s">
        <v>191</v>
      </c>
      <c r="Z293" s="1" t="s">
        <v>92</v>
      </c>
      <c r="AA293" s="1" t="s">
        <v>5933</v>
      </c>
      <c r="AB293" s="1" t="s">
        <v>405</v>
      </c>
      <c r="AC293" s="1" t="s">
        <v>92</v>
      </c>
      <c r="AD293" s="1">
        <v>8.07</v>
      </c>
      <c r="AE293" s="1" t="s">
        <v>93</v>
      </c>
      <c r="AF293" s="1" t="s">
        <v>5934</v>
      </c>
      <c r="AG293" s="1" t="s">
        <v>358</v>
      </c>
      <c r="AH293" s="1" t="s">
        <v>165</v>
      </c>
      <c r="AI293" s="1" t="s">
        <v>281</v>
      </c>
      <c r="AJ293" s="1">
        <v>89.8</v>
      </c>
      <c r="AK293" s="1"/>
      <c r="AL293" s="1" t="s">
        <v>5935</v>
      </c>
      <c r="AM293" s="1" t="s">
        <v>358</v>
      </c>
      <c r="AN293" s="1" t="s">
        <v>433</v>
      </c>
      <c r="AO293" s="1" t="s">
        <v>460</v>
      </c>
      <c r="AP293" s="1">
        <v>71.69</v>
      </c>
      <c r="AQ293" s="1"/>
      <c r="AR293" s="1"/>
      <c r="AS293" s="1"/>
      <c r="AT293" s="1"/>
      <c r="AU293" s="1"/>
      <c r="AV293" s="1"/>
      <c r="AW293" s="1"/>
      <c r="AX293" s="1" t="s">
        <v>410</v>
      </c>
      <c r="AY293" s="1" t="s">
        <v>5936</v>
      </c>
      <c r="AZ293" s="1" t="s">
        <v>173</v>
      </c>
      <c r="BA293" s="1" t="s">
        <v>202</v>
      </c>
      <c r="BB293" s="1">
        <v>73</v>
      </c>
      <c r="BC293" s="1">
        <v>8.05</v>
      </c>
      <c r="BD293" s="1"/>
      <c r="BE293" s="1"/>
      <c r="BF293" s="1"/>
      <c r="BG293" s="1"/>
      <c r="BH293" s="1"/>
      <c r="BI293" s="1"/>
      <c r="BJ293" s="1" t="s">
        <v>5937</v>
      </c>
      <c r="BK293" s="1"/>
      <c r="BL293" s="1"/>
      <c r="BM293" s="1" t="s">
        <v>5938</v>
      </c>
      <c r="BN293" s="1">
        <v>40</v>
      </c>
      <c r="BO293" s="1" t="s">
        <v>5939</v>
      </c>
      <c r="BP293" s="1" t="str">
        <f>HYPERLINK("https://nconnect.nicmar.ac.in/storage/profile/ProfilePhoto_P25700284_724851.jpg","Download")</f>
        <v>0</v>
      </c>
      <c r="BQ293" s="3"/>
      <c r="BR293" s="3"/>
    </row>
    <row r="294" spans="1:70">
      <c r="A294" s="1" t="s">
        <v>70</v>
      </c>
      <c r="B294" s="1" t="s">
        <v>441</v>
      </c>
      <c r="C294" s="1" t="s">
        <v>5940</v>
      </c>
      <c r="D294" s="1" t="s">
        <v>4824</v>
      </c>
      <c r="E294" s="1" t="s">
        <v>5941</v>
      </c>
      <c r="F294" s="1" t="s">
        <v>5942</v>
      </c>
      <c r="G294" s="1" t="s">
        <v>5943</v>
      </c>
      <c r="H294" s="1" t="s">
        <v>5944</v>
      </c>
      <c r="I294" s="1" t="s">
        <v>5945</v>
      </c>
      <c r="J294" s="1">
        <v>9137909715</v>
      </c>
      <c r="K294" s="1" t="s">
        <v>79</v>
      </c>
      <c r="L294" s="1" t="s">
        <v>5946</v>
      </c>
      <c r="M294" s="1" t="s">
        <v>81</v>
      </c>
      <c r="N294" s="1" t="s">
        <v>3083</v>
      </c>
      <c r="O294" s="1"/>
      <c r="P294" s="1" t="s">
        <v>450</v>
      </c>
      <c r="Q294" s="1" t="s">
        <v>5947</v>
      </c>
      <c r="R294" s="1" t="s">
        <v>5948</v>
      </c>
      <c r="S294" s="1">
        <v>9004413615</v>
      </c>
      <c r="T294" s="1" t="s">
        <v>5949</v>
      </c>
      <c r="U294" s="1" t="s">
        <v>5950</v>
      </c>
      <c r="V294" s="1">
        <v>9137909715</v>
      </c>
      <c r="W294" s="1" t="s">
        <v>5951</v>
      </c>
      <c r="X294" s="1" t="s">
        <v>5952</v>
      </c>
      <c r="Y294" s="1" t="s">
        <v>2229</v>
      </c>
      <c r="Z294" s="1" t="s">
        <v>92</v>
      </c>
      <c r="AA294" s="1" t="s">
        <v>5952</v>
      </c>
      <c r="AB294" s="1" t="s">
        <v>2229</v>
      </c>
      <c r="AC294" s="1" t="s">
        <v>92</v>
      </c>
      <c r="AD294" s="1">
        <v>8.2</v>
      </c>
      <c r="AE294" s="1" t="s">
        <v>93</v>
      </c>
      <c r="AF294" s="1" t="s">
        <v>5953</v>
      </c>
      <c r="AG294" s="1" t="s">
        <v>5954</v>
      </c>
      <c r="AH294" s="1" t="s">
        <v>101</v>
      </c>
      <c r="AI294" s="1" t="s">
        <v>308</v>
      </c>
      <c r="AJ294" s="1">
        <v>61.8</v>
      </c>
      <c r="AK294" s="1">
        <v>0</v>
      </c>
      <c r="AL294" s="1"/>
      <c r="AM294" s="1"/>
      <c r="AN294" s="1"/>
      <c r="AO294" s="1"/>
      <c r="AP294" s="1"/>
      <c r="AQ294" s="1"/>
      <c r="AR294" s="1" t="s">
        <v>98</v>
      </c>
      <c r="AS294" s="1" t="s">
        <v>5955</v>
      </c>
      <c r="AT294" s="1" t="s">
        <v>310</v>
      </c>
      <c r="AU294" s="1" t="s">
        <v>105</v>
      </c>
      <c r="AV294" s="1">
        <v>90.16</v>
      </c>
      <c r="AW294" s="1">
        <v>0</v>
      </c>
      <c r="AX294" s="1" t="s">
        <v>253</v>
      </c>
      <c r="AY294" s="1" t="s">
        <v>5956</v>
      </c>
      <c r="AZ294" s="1" t="s">
        <v>1864</v>
      </c>
      <c r="BA294" s="1" t="s">
        <v>1379</v>
      </c>
      <c r="BB294" s="1">
        <v>66.65</v>
      </c>
      <c r="BC294" s="1">
        <v>7.32</v>
      </c>
      <c r="BD294" s="1"/>
      <c r="BE294" s="1"/>
      <c r="BF294" s="1"/>
      <c r="BG294" s="1"/>
      <c r="BH294" s="1"/>
      <c r="BI294" s="1"/>
      <c r="BJ294" s="1" t="s">
        <v>5957</v>
      </c>
      <c r="BK294" s="1"/>
      <c r="BL294" s="1"/>
      <c r="BM294" s="1" t="s">
        <v>5958</v>
      </c>
      <c r="BN294" s="1">
        <v>26</v>
      </c>
      <c r="BO294" s="1" t="s">
        <v>5959</v>
      </c>
      <c r="BP294" s="1" t="str">
        <f>HYPERLINK("https://nconnect.nicmar.ac.in/storage/profile/6a6caffb11d26.png","Download")</f>
        <v>0</v>
      </c>
      <c r="BQ294" s="3"/>
      <c r="BR294" s="3"/>
    </row>
    <row r="295" spans="1:70">
      <c r="A295" s="1" t="s">
        <v>70</v>
      </c>
      <c r="B295" s="1" t="s">
        <v>441</v>
      </c>
      <c r="C295" s="1" t="s">
        <v>5960</v>
      </c>
      <c r="D295" s="1" t="s">
        <v>3349</v>
      </c>
      <c r="E295" s="1" t="s">
        <v>5961</v>
      </c>
      <c r="F295" s="1" t="s">
        <v>574</v>
      </c>
      <c r="G295" s="1" t="s">
        <v>5962</v>
      </c>
      <c r="H295" s="1" t="s">
        <v>5963</v>
      </c>
      <c r="I295" s="1" t="s">
        <v>5964</v>
      </c>
      <c r="J295" s="1">
        <v>8139045033</v>
      </c>
      <c r="K295" s="1" t="s">
        <v>79</v>
      </c>
      <c r="L295" s="1" t="s">
        <v>5965</v>
      </c>
      <c r="M295" s="1" t="s">
        <v>81</v>
      </c>
      <c r="N295" s="1" t="s">
        <v>2513</v>
      </c>
      <c r="O295" s="1"/>
      <c r="P295" s="1" t="s">
        <v>497</v>
      </c>
      <c r="Q295" s="1" t="s">
        <v>5966</v>
      </c>
      <c r="R295" s="1" t="s">
        <v>5967</v>
      </c>
      <c r="S295" s="1">
        <v>9447453418</v>
      </c>
      <c r="T295" s="1" t="s">
        <v>5968</v>
      </c>
      <c r="U295" s="1" t="s">
        <v>5969</v>
      </c>
      <c r="V295" s="1">
        <v>6282314227</v>
      </c>
      <c r="W295" s="1" t="s">
        <v>5970</v>
      </c>
      <c r="X295" s="1" t="s">
        <v>5971</v>
      </c>
      <c r="Y295" s="1" t="s">
        <v>1261</v>
      </c>
      <c r="Z295" s="1" t="s">
        <v>125</v>
      </c>
      <c r="AA295" s="1" t="s">
        <v>5971</v>
      </c>
      <c r="AB295" s="1" t="s">
        <v>1261</v>
      </c>
      <c r="AC295" s="1" t="s">
        <v>125</v>
      </c>
      <c r="AD295" s="1">
        <v>9.07</v>
      </c>
      <c r="AE295" s="1" t="s">
        <v>93</v>
      </c>
      <c r="AF295" s="1" t="s">
        <v>5972</v>
      </c>
      <c r="AG295" s="1" t="s">
        <v>5973</v>
      </c>
      <c r="AH295" s="1" t="s">
        <v>281</v>
      </c>
      <c r="AI295" s="1" t="s">
        <v>308</v>
      </c>
      <c r="AJ295" s="1">
        <v>91</v>
      </c>
      <c r="AK295" s="1"/>
      <c r="AL295" s="1" t="s">
        <v>5972</v>
      </c>
      <c r="AM295" s="1" t="s">
        <v>5974</v>
      </c>
      <c r="AN295" s="1" t="s">
        <v>590</v>
      </c>
      <c r="AO295" s="1" t="s">
        <v>539</v>
      </c>
      <c r="AP295" s="1">
        <v>98.66</v>
      </c>
      <c r="AQ295" s="1"/>
      <c r="AR295" s="1"/>
      <c r="AS295" s="1"/>
      <c r="AT295" s="1"/>
      <c r="AU295" s="1"/>
      <c r="AV295" s="1"/>
      <c r="AW295" s="1"/>
      <c r="AX295" s="1" t="s">
        <v>132</v>
      </c>
      <c r="AY295" s="1" t="s">
        <v>5975</v>
      </c>
      <c r="AZ295" s="1" t="s">
        <v>135</v>
      </c>
      <c r="BA295" s="1" t="s">
        <v>829</v>
      </c>
      <c r="BB295" s="1">
        <v>83.9</v>
      </c>
      <c r="BC295" s="1"/>
      <c r="BD295" s="1"/>
      <c r="BE295" s="1"/>
      <c r="BF295" s="1"/>
      <c r="BG295" s="1"/>
      <c r="BH295" s="1"/>
      <c r="BI295" s="1"/>
      <c r="BJ295" s="1" t="s">
        <v>567</v>
      </c>
      <c r="BK295" s="1"/>
      <c r="BL295" s="1"/>
      <c r="BM295" s="1" t="s">
        <v>5976</v>
      </c>
      <c r="BN295" s="1">
        <v>7</v>
      </c>
      <c r="BO295" s="1" t="s">
        <v>5897</v>
      </c>
      <c r="BP295" s="1" t="str">
        <f>HYPERLINK("https://nconnect.nicmar.ac.in/storage/profile/ProfilePhoto_P25700286_398214.jpg","Download")</f>
        <v>0</v>
      </c>
      <c r="BQ295" s="3"/>
      <c r="BR295" s="3"/>
    </row>
    <row r="296" spans="1:70">
      <c r="A296" s="1" t="s">
        <v>70</v>
      </c>
      <c r="B296" s="1" t="s">
        <v>441</v>
      </c>
      <c r="C296" s="1" t="s">
        <v>5977</v>
      </c>
      <c r="D296" s="1" t="s">
        <v>4856</v>
      </c>
      <c r="E296" s="1" t="s">
        <v>5978</v>
      </c>
      <c r="F296" s="1" t="s">
        <v>5979</v>
      </c>
      <c r="G296" s="1" t="s">
        <v>5980</v>
      </c>
      <c r="H296" s="1" t="s">
        <v>5981</v>
      </c>
      <c r="I296" s="1" t="s">
        <v>5982</v>
      </c>
      <c r="J296" s="1">
        <v>9834762330</v>
      </c>
      <c r="K296" s="1" t="s">
        <v>79</v>
      </c>
      <c r="L296" s="1" t="s">
        <v>5983</v>
      </c>
      <c r="M296" s="1" t="s">
        <v>81</v>
      </c>
      <c r="N296" s="1" t="s">
        <v>751</v>
      </c>
      <c r="O296" s="1"/>
      <c r="P296" s="1" t="s">
        <v>450</v>
      </c>
      <c r="Q296" s="1" t="s">
        <v>5984</v>
      </c>
      <c r="R296" s="1" t="s">
        <v>5985</v>
      </c>
      <c r="S296" s="1">
        <v>9421510620</v>
      </c>
      <c r="T296" s="1" t="s">
        <v>122</v>
      </c>
      <c r="U296" s="1" t="s">
        <v>5986</v>
      </c>
      <c r="V296" s="1">
        <v>9423114762</v>
      </c>
      <c r="W296" s="1" t="s">
        <v>122</v>
      </c>
      <c r="X296" s="1" t="s">
        <v>5987</v>
      </c>
      <c r="Y296" s="1" t="s">
        <v>890</v>
      </c>
      <c r="Z296" s="1" t="s">
        <v>92</v>
      </c>
      <c r="AA296" s="1" t="s">
        <v>5987</v>
      </c>
      <c r="AB296" s="1" t="s">
        <v>890</v>
      </c>
      <c r="AC296" s="1" t="s">
        <v>92</v>
      </c>
      <c r="AD296" s="1">
        <v>8.08</v>
      </c>
      <c r="AE296" s="1" t="s">
        <v>93</v>
      </c>
      <c r="AF296" s="1" t="s">
        <v>5988</v>
      </c>
      <c r="AG296" s="1" t="s">
        <v>1942</v>
      </c>
      <c r="AH296" s="1" t="s">
        <v>505</v>
      </c>
      <c r="AI296" s="1" t="s">
        <v>97</v>
      </c>
      <c r="AJ296" s="1">
        <v>85.8</v>
      </c>
      <c r="AK296" s="1"/>
      <c r="AL296" s="1" t="s">
        <v>5988</v>
      </c>
      <c r="AM296" s="1" t="s">
        <v>1942</v>
      </c>
      <c r="AN296" s="1" t="s">
        <v>507</v>
      </c>
      <c r="AO296" s="1" t="s">
        <v>508</v>
      </c>
      <c r="AP296" s="1">
        <v>72</v>
      </c>
      <c r="AQ296" s="1"/>
      <c r="AR296" s="1"/>
      <c r="AS296" s="1"/>
      <c r="AT296" s="1"/>
      <c r="AU296" s="1"/>
      <c r="AV296" s="1"/>
      <c r="AW296" s="1"/>
      <c r="AX296" s="1" t="s">
        <v>361</v>
      </c>
      <c r="AY296" s="1" t="s">
        <v>5989</v>
      </c>
      <c r="AZ296" s="1" t="s">
        <v>2085</v>
      </c>
      <c r="BA296" s="1" t="s">
        <v>826</v>
      </c>
      <c r="BB296" s="1">
        <v>63.7</v>
      </c>
      <c r="BC296" s="1">
        <v>7.12</v>
      </c>
      <c r="BD296" s="1"/>
      <c r="BE296" s="1"/>
      <c r="BF296" s="1"/>
      <c r="BG296" s="1"/>
      <c r="BH296" s="1"/>
      <c r="BI296" s="1"/>
      <c r="BJ296" s="1" t="s">
        <v>3733</v>
      </c>
      <c r="BK296" s="1" t="s">
        <v>5990</v>
      </c>
      <c r="BL296" s="1" t="s">
        <v>569</v>
      </c>
      <c r="BM296" s="1" t="s">
        <v>5991</v>
      </c>
      <c r="BN296" s="1">
        <v>57</v>
      </c>
      <c r="BO296" s="1" t="s">
        <v>5992</v>
      </c>
      <c r="BP296" s="1" t="str">
        <f>HYPERLINK("https://nconnect.nicmar.ac.in/storage/profile/ProfilePhoto_P25700287_896372.jpg","Download")</f>
        <v>0</v>
      </c>
      <c r="BQ296" s="3"/>
      <c r="BR296" s="3"/>
    </row>
    <row r="297" spans="1:70">
      <c r="A297" s="1" t="s">
        <v>70</v>
      </c>
      <c r="B297" s="1" t="s">
        <v>441</v>
      </c>
      <c r="C297" s="1" t="s">
        <v>5993</v>
      </c>
      <c r="D297" s="1" t="s">
        <v>649</v>
      </c>
      <c r="E297" s="1"/>
      <c r="F297" s="1" t="s">
        <v>5994</v>
      </c>
      <c r="G297" s="1" t="s">
        <v>5995</v>
      </c>
      <c r="H297" s="1" t="s">
        <v>5996</v>
      </c>
      <c r="I297" s="1" t="s">
        <v>5997</v>
      </c>
      <c r="J297" s="1">
        <v>7980380083</v>
      </c>
      <c r="K297" s="1" t="s">
        <v>79</v>
      </c>
      <c r="L297" s="1" t="s">
        <v>5998</v>
      </c>
      <c r="M297" s="1" t="s">
        <v>81</v>
      </c>
      <c r="N297" s="1" t="s">
        <v>1205</v>
      </c>
      <c r="O297" s="1"/>
      <c r="P297" s="1" t="s">
        <v>497</v>
      </c>
      <c r="Q297" s="1" t="s">
        <v>5999</v>
      </c>
      <c r="R297" s="1" t="s">
        <v>6000</v>
      </c>
      <c r="S297" s="1">
        <v>9831075337</v>
      </c>
      <c r="T297" s="1" t="s">
        <v>216</v>
      </c>
      <c r="U297" s="1" t="s">
        <v>6001</v>
      </c>
      <c r="V297" s="1">
        <v>9831735275</v>
      </c>
      <c r="W297" s="1" t="s">
        <v>89</v>
      </c>
      <c r="X297" s="1" t="s">
        <v>6002</v>
      </c>
      <c r="Y297" s="1" t="s">
        <v>1210</v>
      </c>
      <c r="Z297" s="1" t="s">
        <v>1211</v>
      </c>
      <c r="AA297" s="1" t="s">
        <v>6002</v>
      </c>
      <c r="AB297" s="1" t="s">
        <v>1210</v>
      </c>
      <c r="AC297" s="1" t="s">
        <v>1211</v>
      </c>
      <c r="AD297" s="1">
        <v>8.84</v>
      </c>
      <c r="AE297" s="1" t="s">
        <v>93</v>
      </c>
      <c r="AF297" s="1" t="s">
        <v>6003</v>
      </c>
      <c r="AG297" s="1" t="s">
        <v>6004</v>
      </c>
      <c r="AH297" s="1" t="s">
        <v>131</v>
      </c>
      <c r="AI297" s="1" t="s">
        <v>614</v>
      </c>
      <c r="AJ297" s="1">
        <v>77.9</v>
      </c>
      <c r="AK297" s="1">
        <v>8.2</v>
      </c>
      <c r="AL297" s="1" t="s">
        <v>6003</v>
      </c>
      <c r="AM297" s="1" t="s">
        <v>6004</v>
      </c>
      <c r="AN297" s="1" t="s">
        <v>166</v>
      </c>
      <c r="AO297" s="1" t="s">
        <v>308</v>
      </c>
      <c r="AP297" s="1">
        <v>63.67</v>
      </c>
      <c r="AQ297" s="1"/>
      <c r="AR297" s="1"/>
      <c r="AS297" s="1"/>
      <c r="AT297" s="1"/>
      <c r="AU297" s="1"/>
      <c r="AV297" s="1"/>
      <c r="AW297" s="1"/>
      <c r="AX297" s="1" t="s">
        <v>1217</v>
      </c>
      <c r="AY297" s="1" t="s">
        <v>6005</v>
      </c>
      <c r="AZ297" s="1" t="s">
        <v>201</v>
      </c>
      <c r="BA297" s="1" t="s">
        <v>229</v>
      </c>
      <c r="BB297" s="1">
        <v>73.9</v>
      </c>
      <c r="BC297" s="1">
        <v>8.14</v>
      </c>
      <c r="BD297" s="1"/>
      <c r="BE297" s="1"/>
      <c r="BF297" s="1"/>
      <c r="BG297" s="1"/>
      <c r="BH297" s="1"/>
      <c r="BI297" s="1"/>
      <c r="BJ297" s="1" t="s">
        <v>6006</v>
      </c>
      <c r="BK297" s="1" t="s">
        <v>6007</v>
      </c>
      <c r="BL297" s="1" t="s">
        <v>1459</v>
      </c>
      <c r="BM297" s="1" t="s">
        <v>6008</v>
      </c>
      <c r="BN297" s="1">
        <v>14</v>
      </c>
      <c r="BO297" s="1" t="s">
        <v>6009</v>
      </c>
      <c r="BP297" s="1" t="str">
        <f>HYPERLINK("https://nconnect.nicmar.ac.in/storage/profile/ProfilePhoto_P25700288_156498.jpg","Download")</f>
        <v>0</v>
      </c>
      <c r="BQ297" s="3"/>
      <c r="BR297" s="3"/>
    </row>
    <row r="298" spans="1:70">
      <c r="A298" s="1" t="s">
        <v>70</v>
      </c>
      <c r="B298" s="1" t="s">
        <v>441</v>
      </c>
      <c r="C298" s="1" t="s">
        <v>6010</v>
      </c>
      <c r="D298" s="1" t="s">
        <v>6011</v>
      </c>
      <c r="E298" s="1" t="s">
        <v>6012</v>
      </c>
      <c r="F298" s="1" t="s">
        <v>6013</v>
      </c>
      <c r="G298" s="1" t="s">
        <v>6014</v>
      </c>
      <c r="H298" s="1" t="s">
        <v>6015</v>
      </c>
      <c r="I298" s="1" t="s">
        <v>6016</v>
      </c>
      <c r="J298" s="1">
        <v>9689670454</v>
      </c>
      <c r="K298" s="1" t="s">
        <v>148</v>
      </c>
      <c r="L298" s="1" t="s">
        <v>6017</v>
      </c>
      <c r="M298" s="1" t="s">
        <v>81</v>
      </c>
      <c r="N298" s="1" t="s">
        <v>605</v>
      </c>
      <c r="O298" s="1"/>
      <c r="P298" s="1" t="s">
        <v>497</v>
      </c>
      <c r="Q298" s="1" t="s">
        <v>6018</v>
      </c>
      <c r="R298" s="1" t="s">
        <v>1644</v>
      </c>
      <c r="S298" s="1">
        <v>9823494139</v>
      </c>
      <c r="T298" s="1" t="s">
        <v>6019</v>
      </c>
      <c r="U298" s="1" t="s">
        <v>6020</v>
      </c>
      <c r="V298" s="1">
        <v>9158976637</v>
      </c>
      <c r="W298" s="1" t="s">
        <v>156</v>
      </c>
      <c r="X298" s="1" t="s">
        <v>6021</v>
      </c>
      <c r="Y298" s="1" t="s">
        <v>405</v>
      </c>
      <c r="Z298" s="1" t="s">
        <v>92</v>
      </c>
      <c r="AA298" s="1" t="s">
        <v>6021</v>
      </c>
      <c r="AB298" s="1" t="s">
        <v>405</v>
      </c>
      <c r="AC298" s="1" t="s">
        <v>92</v>
      </c>
      <c r="AD298" s="1">
        <v>8.16</v>
      </c>
      <c r="AE298" s="1" t="s">
        <v>93</v>
      </c>
      <c r="AF298" s="1" t="s">
        <v>6022</v>
      </c>
      <c r="AG298" s="1" t="s">
        <v>1942</v>
      </c>
      <c r="AH298" s="1" t="s">
        <v>161</v>
      </c>
      <c r="AI298" s="1" t="s">
        <v>162</v>
      </c>
      <c r="AJ298" s="1">
        <v>96</v>
      </c>
      <c r="AK298" s="1"/>
      <c r="AL298" s="1" t="s">
        <v>6023</v>
      </c>
      <c r="AM298" s="1" t="s">
        <v>1942</v>
      </c>
      <c r="AN298" s="1" t="s">
        <v>165</v>
      </c>
      <c r="AO298" s="1" t="s">
        <v>1455</v>
      </c>
      <c r="AP298" s="1">
        <v>74</v>
      </c>
      <c r="AQ298" s="1"/>
      <c r="AR298" s="1"/>
      <c r="AS298" s="1"/>
      <c r="AT298" s="1"/>
      <c r="AU298" s="1"/>
      <c r="AV298" s="1"/>
      <c r="AW298" s="1"/>
      <c r="AX298" s="1" t="s">
        <v>6024</v>
      </c>
      <c r="AY298" s="1" t="s">
        <v>5464</v>
      </c>
      <c r="AZ298" s="1" t="s">
        <v>1043</v>
      </c>
      <c r="BA298" s="1" t="s">
        <v>229</v>
      </c>
      <c r="BB298" s="1">
        <v>66.2</v>
      </c>
      <c r="BC298" s="1">
        <v>7.37</v>
      </c>
      <c r="BD298" s="1" t="s">
        <v>6025</v>
      </c>
      <c r="BE298" s="1" t="s">
        <v>6026</v>
      </c>
      <c r="BF298" s="1" t="s">
        <v>386</v>
      </c>
      <c r="BG298" s="1" t="s">
        <v>543</v>
      </c>
      <c r="BH298" s="1">
        <v>58</v>
      </c>
      <c r="BI298" s="1"/>
      <c r="BJ298" s="1" t="s">
        <v>6027</v>
      </c>
      <c r="BK298" s="1"/>
      <c r="BL298" s="1"/>
      <c r="BM298" s="1" t="s">
        <v>6028</v>
      </c>
      <c r="BN298" s="1">
        <v>30</v>
      </c>
      <c r="BO298" s="1" t="s">
        <v>3615</v>
      </c>
      <c r="BP298" s="1" t="str">
        <f>HYPERLINK("https://nconnect.nicmar.ac.in/storage/profile/ProfilePhoto_P25700289_126498.jpg","Download")</f>
        <v>0</v>
      </c>
      <c r="BQ298" s="3"/>
      <c r="BR298" s="3"/>
    </row>
    <row r="299" spans="1:70">
      <c r="A299" s="1" t="s">
        <v>70</v>
      </c>
      <c r="B299" s="1" t="s">
        <v>441</v>
      </c>
      <c r="C299" s="1" t="s">
        <v>6029</v>
      </c>
      <c r="D299" s="1" t="s">
        <v>5754</v>
      </c>
      <c r="E299" s="1" t="s">
        <v>1053</v>
      </c>
      <c r="F299" s="1" t="s">
        <v>6030</v>
      </c>
      <c r="G299" s="1" t="s">
        <v>6031</v>
      </c>
      <c r="H299" s="1" t="s">
        <v>6032</v>
      </c>
      <c r="I299" s="1" t="s">
        <v>6033</v>
      </c>
      <c r="J299" s="1">
        <v>9404709592</v>
      </c>
      <c r="K299" s="1" t="s">
        <v>79</v>
      </c>
      <c r="L299" s="1" t="s">
        <v>6034</v>
      </c>
      <c r="M299" s="1" t="s">
        <v>81</v>
      </c>
      <c r="N299" s="1" t="s">
        <v>605</v>
      </c>
      <c r="O299" s="1"/>
      <c r="P299" s="1" t="s">
        <v>497</v>
      </c>
      <c r="Q299" s="1" t="s">
        <v>6035</v>
      </c>
      <c r="R299" s="1" t="s">
        <v>6036</v>
      </c>
      <c r="S299" s="1">
        <v>9423669295</v>
      </c>
      <c r="T299" s="1" t="s">
        <v>154</v>
      </c>
      <c r="U299" s="1" t="s">
        <v>6037</v>
      </c>
      <c r="V299" s="1">
        <v>9373981479</v>
      </c>
      <c r="W299" s="1" t="s">
        <v>273</v>
      </c>
      <c r="X299" s="1" t="s">
        <v>6038</v>
      </c>
      <c r="Y299" s="1" t="s">
        <v>191</v>
      </c>
      <c r="Z299" s="1" t="s">
        <v>92</v>
      </c>
      <c r="AA299" s="1" t="s">
        <v>6039</v>
      </c>
      <c r="AB299" s="1" t="s">
        <v>405</v>
      </c>
      <c r="AC299" s="1" t="s">
        <v>92</v>
      </c>
      <c r="AD299" s="1">
        <v>8.27</v>
      </c>
      <c r="AE299" s="1" t="s">
        <v>93</v>
      </c>
      <c r="AF299" s="1" t="s">
        <v>6040</v>
      </c>
      <c r="AG299" s="1" t="s">
        <v>758</v>
      </c>
      <c r="AH299" s="1" t="s">
        <v>96</v>
      </c>
      <c r="AI299" s="1" t="s">
        <v>131</v>
      </c>
      <c r="AJ299" s="1">
        <v>70.3</v>
      </c>
      <c r="AK299" s="1">
        <v>7.4</v>
      </c>
      <c r="AL299" s="1" t="s">
        <v>1818</v>
      </c>
      <c r="AM299" s="1" t="s">
        <v>5609</v>
      </c>
      <c r="AN299" s="1" t="s">
        <v>337</v>
      </c>
      <c r="AO299" s="1" t="s">
        <v>195</v>
      </c>
      <c r="AP299" s="1">
        <v>84.2</v>
      </c>
      <c r="AQ299" s="1"/>
      <c r="AR299" s="1"/>
      <c r="AS299" s="1"/>
      <c r="AT299" s="1"/>
      <c r="AU299" s="1"/>
      <c r="AV299" s="1"/>
      <c r="AW299" s="1"/>
      <c r="AX299" s="1" t="s">
        <v>410</v>
      </c>
      <c r="AY299" s="1" t="s">
        <v>6041</v>
      </c>
      <c r="AZ299" s="1" t="s">
        <v>383</v>
      </c>
      <c r="BA299" s="1" t="s">
        <v>826</v>
      </c>
      <c r="BB299" s="1">
        <v>70.8</v>
      </c>
      <c r="BC299" s="1">
        <v>7.83</v>
      </c>
      <c r="BD299" s="1"/>
      <c r="BE299" s="1"/>
      <c r="BF299" s="1"/>
      <c r="BG299" s="1"/>
      <c r="BH299" s="1"/>
      <c r="BI299" s="1"/>
      <c r="BJ299" s="1" t="s">
        <v>6042</v>
      </c>
      <c r="BK299" s="1" t="s">
        <v>6043</v>
      </c>
      <c r="BL299" s="1" t="s">
        <v>1335</v>
      </c>
      <c r="BM299" s="1" t="s">
        <v>6044</v>
      </c>
      <c r="BN299" s="1">
        <v>66</v>
      </c>
      <c r="BO299" s="1"/>
      <c r="BP299" s="1" t="str">
        <f>HYPERLINK("https://nconnect.nicmar.ac.in/storage/profile/ProfilePhoto_P25700290_567841.jpg","Download")</f>
        <v>0</v>
      </c>
      <c r="BQ299" s="3"/>
      <c r="BR299" s="3"/>
    </row>
    <row r="300" spans="1:70">
      <c r="A300" s="1" t="s">
        <v>70</v>
      </c>
      <c r="B300" s="1" t="s">
        <v>441</v>
      </c>
      <c r="C300" s="1" t="s">
        <v>6045</v>
      </c>
      <c r="D300" s="1" t="s">
        <v>920</v>
      </c>
      <c r="E300" s="1" t="s">
        <v>4712</v>
      </c>
      <c r="F300" s="1" t="s">
        <v>6046</v>
      </c>
      <c r="G300" s="1" t="s">
        <v>6047</v>
      </c>
      <c r="H300" s="1" t="s">
        <v>6048</v>
      </c>
      <c r="I300" s="1" t="s">
        <v>6049</v>
      </c>
      <c r="J300" s="1">
        <v>7768806989</v>
      </c>
      <c r="K300" s="1" t="s">
        <v>79</v>
      </c>
      <c r="L300" s="1" t="s">
        <v>6050</v>
      </c>
      <c r="M300" s="1" t="s">
        <v>81</v>
      </c>
      <c r="N300" s="1" t="s">
        <v>6051</v>
      </c>
      <c r="O300" s="1"/>
      <c r="P300" s="1" t="s">
        <v>450</v>
      </c>
      <c r="Q300" s="1" t="s">
        <v>6052</v>
      </c>
      <c r="R300" s="1" t="s">
        <v>4712</v>
      </c>
      <c r="S300" s="1">
        <v>9730033322</v>
      </c>
      <c r="T300" s="1" t="s">
        <v>820</v>
      </c>
      <c r="U300" s="1" t="s">
        <v>6053</v>
      </c>
      <c r="V300" s="1">
        <v>7588714571</v>
      </c>
      <c r="W300" s="1" t="s">
        <v>156</v>
      </c>
      <c r="X300" s="1" t="s">
        <v>6054</v>
      </c>
      <c r="Y300" s="1" t="s">
        <v>1166</v>
      </c>
      <c r="Z300" s="1" t="s">
        <v>92</v>
      </c>
      <c r="AA300" s="1" t="s">
        <v>6054</v>
      </c>
      <c r="AB300" s="1" t="s">
        <v>1166</v>
      </c>
      <c r="AC300" s="1" t="s">
        <v>92</v>
      </c>
      <c r="AD300" s="1">
        <v>8.77</v>
      </c>
      <c r="AE300" s="1" t="s">
        <v>93</v>
      </c>
      <c r="AF300" s="1" t="s">
        <v>6055</v>
      </c>
      <c r="AG300" s="1" t="s">
        <v>6056</v>
      </c>
      <c r="AH300" s="1" t="s">
        <v>162</v>
      </c>
      <c r="AI300" s="1" t="s">
        <v>195</v>
      </c>
      <c r="AJ300" s="1">
        <v>81.6</v>
      </c>
      <c r="AK300" s="1">
        <v>0</v>
      </c>
      <c r="AL300" s="1"/>
      <c r="AM300" s="1"/>
      <c r="AN300" s="1"/>
      <c r="AO300" s="1"/>
      <c r="AP300" s="1"/>
      <c r="AQ300" s="1"/>
      <c r="AR300" s="1" t="s">
        <v>434</v>
      </c>
      <c r="AS300" s="1" t="s">
        <v>6057</v>
      </c>
      <c r="AT300" s="1" t="s">
        <v>383</v>
      </c>
      <c r="AU300" s="1" t="s">
        <v>412</v>
      </c>
      <c r="AV300" s="1">
        <v>95.44</v>
      </c>
      <c r="AW300" s="1">
        <v>0</v>
      </c>
      <c r="AX300" s="1" t="s">
        <v>253</v>
      </c>
      <c r="AY300" s="1" t="s">
        <v>6058</v>
      </c>
      <c r="AZ300" s="1" t="s">
        <v>173</v>
      </c>
      <c r="BA300" s="1" t="s">
        <v>935</v>
      </c>
      <c r="BB300" s="1">
        <v>80.73</v>
      </c>
      <c r="BC300" s="1">
        <v>9.15</v>
      </c>
      <c r="BD300" s="1"/>
      <c r="BE300" s="1"/>
      <c r="BF300" s="1"/>
      <c r="BG300" s="1"/>
      <c r="BH300" s="1"/>
      <c r="BI300" s="1"/>
      <c r="BJ300" s="1" t="s">
        <v>6059</v>
      </c>
      <c r="BK300" s="1" t="s">
        <v>6060</v>
      </c>
      <c r="BL300" s="1" t="s">
        <v>695</v>
      </c>
      <c r="BM300" s="1" t="s">
        <v>6061</v>
      </c>
      <c r="BN300" s="1">
        <v>83</v>
      </c>
      <c r="BO300" s="1"/>
      <c r="BP300" s="1" t="str">
        <f>HYPERLINK("https://nconnect.nicmar.ac.in/storage/profile/ProfilePhoto_P25700291_245196.jpg","Download")</f>
        <v>0</v>
      </c>
      <c r="BQ300" s="3"/>
      <c r="BR300" s="3"/>
    </row>
    <row r="301" spans="1:70">
      <c r="A301" s="1" t="s">
        <v>70</v>
      </c>
      <c r="B301" s="1" t="s">
        <v>441</v>
      </c>
      <c r="C301" s="1" t="s">
        <v>6062</v>
      </c>
      <c r="D301" s="1" t="s">
        <v>6063</v>
      </c>
      <c r="E301" s="1"/>
      <c r="F301" s="1" t="s">
        <v>2530</v>
      </c>
      <c r="G301" s="1" t="s">
        <v>6064</v>
      </c>
      <c r="H301" s="1" t="s">
        <v>6065</v>
      </c>
      <c r="I301" s="1" t="s">
        <v>6066</v>
      </c>
      <c r="J301" s="1">
        <v>8085206366</v>
      </c>
      <c r="K301" s="1" t="s">
        <v>148</v>
      </c>
      <c r="L301" s="1" t="s">
        <v>6067</v>
      </c>
      <c r="M301" s="1" t="s">
        <v>81</v>
      </c>
      <c r="N301" s="1" t="s">
        <v>350</v>
      </c>
      <c r="O301" s="1"/>
      <c r="P301" s="1" t="s">
        <v>450</v>
      </c>
      <c r="Q301" s="1" t="s">
        <v>6068</v>
      </c>
      <c r="R301" s="1" t="s">
        <v>6069</v>
      </c>
      <c r="S301" s="1">
        <v>8085189955</v>
      </c>
      <c r="T301" s="1" t="s">
        <v>3414</v>
      </c>
      <c r="U301" s="1" t="s">
        <v>6070</v>
      </c>
      <c r="V301" s="1">
        <v>9752997968</v>
      </c>
      <c r="W301" s="1" t="s">
        <v>156</v>
      </c>
      <c r="X301" s="1" t="s">
        <v>6071</v>
      </c>
      <c r="Y301" s="1" t="s">
        <v>6072</v>
      </c>
      <c r="Z301" s="1" t="s">
        <v>2955</v>
      </c>
      <c r="AA301" s="1" t="s">
        <v>6071</v>
      </c>
      <c r="AB301" s="1" t="s">
        <v>6072</v>
      </c>
      <c r="AC301" s="1" t="s">
        <v>2955</v>
      </c>
      <c r="AD301" s="1">
        <v>8.25</v>
      </c>
      <c r="AE301" s="1" t="s">
        <v>93</v>
      </c>
      <c r="AF301" s="1" t="s">
        <v>6073</v>
      </c>
      <c r="AG301" s="1" t="s">
        <v>6074</v>
      </c>
      <c r="AH301" s="1" t="s">
        <v>195</v>
      </c>
      <c r="AI301" s="1" t="s">
        <v>166</v>
      </c>
      <c r="AJ301" s="1">
        <v>86.2</v>
      </c>
      <c r="AK301" s="1"/>
      <c r="AL301" s="1" t="s">
        <v>6075</v>
      </c>
      <c r="AM301" s="1" t="s">
        <v>6076</v>
      </c>
      <c r="AN301" s="1" t="s">
        <v>409</v>
      </c>
      <c r="AO301" s="1" t="s">
        <v>173</v>
      </c>
      <c r="AP301" s="1">
        <v>78</v>
      </c>
      <c r="AQ301" s="1"/>
      <c r="AR301" s="1"/>
      <c r="AS301" s="1"/>
      <c r="AT301" s="1"/>
      <c r="AU301" s="1"/>
      <c r="AV301" s="1"/>
      <c r="AW301" s="1"/>
      <c r="AX301" s="1" t="s">
        <v>5342</v>
      </c>
      <c r="AY301" s="1" t="s">
        <v>6077</v>
      </c>
      <c r="AZ301" s="1" t="s">
        <v>173</v>
      </c>
      <c r="BA301" s="1" t="s">
        <v>202</v>
      </c>
      <c r="BB301" s="1">
        <v>76.71</v>
      </c>
      <c r="BC301" s="1"/>
      <c r="BD301" s="1"/>
      <c r="BE301" s="1"/>
      <c r="BF301" s="1"/>
      <c r="BG301" s="1"/>
      <c r="BH301" s="1"/>
      <c r="BI301" s="1"/>
      <c r="BJ301" s="1" t="s">
        <v>6078</v>
      </c>
      <c r="BK301" s="1"/>
      <c r="BL301" s="1"/>
      <c r="BM301" s="1" t="s">
        <v>6079</v>
      </c>
      <c r="BN301" s="1">
        <v>8</v>
      </c>
      <c r="BO301" s="1"/>
      <c r="BP301" s="1" t="str">
        <f>HYPERLINK("https://nconnect.nicmar.ac.in/storage/profile/ProfilePhoto_P25700292_526814.jpg","Download")</f>
        <v>0</v>
      </c>
      <c r="BQ301" s="3"/>
      <c r="BR301" s="3"/>
    </row>
    <row r="302" spans="1:70">
      <c r="A302" s="1" t="s">
        <v>70</v>
      </c>
      <c r="B302" s="1" t="s">
        <v>441</v>
      </c>
      <c r="C302" s="1" t="s">
        <v>6080</v>
      </c>
      <c r="D302" s="1" t="s">
        <v>143</v>
      </c>
      <c r="E302" s="1" t="s">
        <v>6081</v>
      </c>
      <c r="F302" s="1" t="s">
        <v>6082</v>
      </c>
      <c r="G302" s="1" t="s">
        <v>6083</v>
      </c>
      <c r="H302" s="1" t="s">
        <v>6084</v>
      </c>
      <c r="I302" s="1" t="s">
        <v>6085</v>
      </c>
      <c r="J302" s="1">
        <v>8767880915</v>
      </c>
      <c r="K302" s="1" t="s">
        <v>148</v>
      </c>
      <c r="L302" s="1" t="s">
        <v>6086</v>
      </c>
      <c r="M302" s="1" t="s">
        <v>81</v>
      </c>
      <c r="N302" s="1" t="s">
        <v>6087</v>
      </c>
      <c r="O302" s="1"/>
      <c r="P302" s="1" t="s">
        <v>450</v>
      </c>
      <c r="Q302" s="1" t="s">
        <v>6088</v>
      </c>
      <c r="R302" s="1" t="s">
        <v>6081</v>
      </c>
      <c r="S302" s="1">
        <v>9823049607</v>
      </c>
      <c r="T302" s="1" t="s">
        <v>820</v>
      </c>
      <c r="U302" s="1" t="s">
        <v>6089</v>
      </c>
      <c r="V302" s="1">
        <v>7798726230</v>
      </c>
      <c r="W302" s="1" t="s">
        <v>156</v>
      </c>
      <c r="X302" s="1" t="s">
        <v>6090</v>
      </c>
      <c r="Y302" s="1" t="s">
        <v>191</v>
      </c>
      <c r="Z302" s="1" t="s">
        <v>92</v>
      </c>
      <c r="AA302" s="1" t="s">
        <v>6091</v>
      </c>
      <c r="AB302" s="1" t="s">
        <v>5185</v>
      </c>
      <c r="AC302" s="1" t="s">
        <v>92</v>
      </c>
      <c r="AD302" s="1">
        <v>8.98</v>
      </c>
      <c r="AE302" s="1" t="s">
        <v>93</v>
      </c>
      <c r="AF302" s="1" t="s">
        <v>6092</v>
      </c>
      <c r="AG302" s="1" t="s">
        <v>6093</v>
      </c>
      <c r="AH302" s="1" t="s">
        <v>162</v>
      </c>
      <c r="AI302" s="1" t="s">
        <v>195</v>
      </c>
      <c r="AJ302" s="1">
        <v>81</v>
      </c>
      <c r="AK302" s="1"/>
      <c r="AL302" s="1" t="s">
        <v>6094</v>
      </c>
      <c r="AM302" s="1" t="s">
        <v>6093</v>
      </c>
      <c r="AN302" s="1" t="s">
        <v>101</v>
      </c>
      <c r="AO302" s="1" t="s">
        <v>198</v>
      </c>
      <c r="AP302" s="1">
        <v>66.77</v>
      </c>
      <c r="AQ302" s="1"/>
      <c r="AR302" s="1"/>
      <c r="AS302" s="1"/>
      <c r="AT302" s="1"/>
      <c r="AU302" s="1"/>
      <c r="AV302" s="1"/>
      <c r="AW302" s="1"/>
      <c r="AX302" s="1" t="s">
        <v>361</v>
      </c>
      <c r="AY302" s="1" t="s">
        <v>6095</v>
      </c>
      <c r="AZ302" s="1" t="s">
        <v>201</v>
      </c>
      <c r="BA302" s="1" t="s">
        <v>229</v>
      </c>
      <c r="BB302" s="1">
        <v>79.65</v>
      </c>
      <c r="BC302" s="1">
        <v>8.95</v>
      </c>
      <c r="BD302" s="1"/>
      <c r="BE302" s="1"/>
      <c r="BF302" s="1"/>
      <c r="BG302" s="1"/>
      <c r="BH302" s="1"/>
      <c r="BI302" s="1"/>
      <c r="BJ302" s="1" t="s">
        <v>6096</v>
      </c>
      <c r="BK302" s="1"/>
      <c r="BL302" s="1"/>
      <c r="BM302" s="1" t="s">
        <v>6097</v>
      </c>
      <c r="BN302" s="1">
        <v>30</v>
      </c>
      <c r="BO302" s="1"/>
      <c r="BP302" s="1" t="str">
        <f>HYPERLINK("https://nconnect.nicmar.ac.in/storage/profile/ProfilePhoto_P25700293_417563.jpg","Download")</f>
        <v>0</v>
      </c>
      <c r="BQ302" s="3"/>
      <c r="BR302" s="3"/>
    </row>
    <row r="303" spans="1:70">
      <c r="A303" s="1" t="s">
        <v>70</v>
      </c>
      <c r="B303" s="1" t="s">
        <v>441</v>
      </c>
      <c r="C303" s="1" t="s">
        <v>6098</v>
      </c>
      <c r="D303" s="1" t="s">
        <v>6099</v>
      </c>
      <c r="E303" s="1" t="s">
        <v>6100</v>
      </c>
      <c r="F303" s="1" t="s">
        <v>6101</v>
      </c>
      <c r="G303" s="1" t="s">
        <v>6102</v>
      </c>
      <c r="H303" s="1" t="s">
        <v>6103</v>
      </c>
      <c r="I303" s="1" t="s">
        <v>6104</v>
      </c>
      <c r="J303" s="1">
        <v>7993688799</v>
      </c>
      <c r="K303" s="1" t="s">
        <v>79</v>
      </c>
      <c r="L303" s="1" t="s">
        <v>6105</v>
      </c>
      <c r="M303" s="1" t="s">
        <v>81</v>
      </c>
      <c r="N303" s="1" t="s">
        <v>6106</v>
      </c>
      <c r="O303" s="1"/>
      <c r="P303" s="1" t="s">
        <v>450</v>
      </c>
      <c r="Q303" s="1" t="s">
        <v>6107</v>
      </c>
      <c r="R303" s="1" t="s">
        <v>6100</v>
      </c>
      <c r="S303" s="1">
        <v>8412995054</v>
      </c>
      <c r="T303" s="1" t="s">
        <v>529</v>
      </c>
      <c r="U303" s="1" t="s">
        <v>6108</v>
      </c>
      <c r="V303" s="1">
        <v>8412995054</v>
      </c>
      <c r="W303" s="1" t="s">
        <v>531</v>
      </c>
      <c r="X303" s="1" t="s">
        <v>6109</v>
      </c>
      <c r="Y303" s="1" t="s">
        <v>191</v>
      </c>
      <c r="Z303" s="1" t="s">
        <v>92</v>
      </c>
      <c r="AA303" s="1" t="s">
        <v>6109</v>
      </c>
      <c r="AB303" s="1" t="s">
        <v>191</v>
      </c>
      <c r="AC303" s="1" t="s">
        <v>92</v>
      </c>
      <c r="AD303" s="1">
        <v>9.07</v>
      </c>
      <c r="AE303" s="1" t="s">
        <v>93</v>
      </c>
      <c r="AF303" s="1" t="s">
        <v>6110</v>
      </c>
      <c r="AG303" s="1" t="s">
        <v>6111</v>
      </c>
      <c r="AH303" s="1" t="s">
        <v>689</v>
      </c>
      <c r="AI303" s="1" t="s">
        <v>166</v>
      </c>
      <c r="AJ303" s="1">
        <v>75.8</v>
      </c>
      <c r="AK303" s="1"/>
      <c r="AL303" s="1" t="s">
        <v>3052</v>
      </c>
      <c r="AM303" s="1" t="s">
        <v>3053</v>
      </c>
      <c r="AN303" s="1" t="s">
        <v>537</v>
      </c>
      <c r="AO303" s="1" t="s">
        <v>460</v>
      </c>
      <c r="AP303" s="1">
        <v>86</v>
      </c>
      <c r="AQ303" s="1"/>
      <c r="AR303" s="1"/>
      <c r="AS303" s="1"/>
      <c r="AT303" s="1"/>
      <c r="AU303" s="1"/>
      <c r="AV303" s="1"/>
      <c r="AW303" s="1"/>
      <c r="AX303" s="1" t="s">
        <v>2625</v>
      </c>
      <c r="AY303" s="1" t="s">
        <v>6112</v>
      </c>
      <c r="AZ303" s="1" t="s">
        <v>1622</v>
      </c>
      <c r="BA303" s="1" t="s">
        <v>413</v>
      </c>
      <c r="BB303" s="1">
        <v>92.9</v>
      </c>
      <c r="BC303" s="1"/>
      <c r="BD303" s="1"/>
      <c r="BE303" s="1"/>
      <c r="BF303" s="1"/>
      <c r="BG303" s="1"/>
      <c r="BH303" s="1"/>
      <c r="BI303" s="1"/>
      <c r="BJ303" s="1" t="s">
        <v>6113</v>
      </c>
      <c r="BK303" s="1" t="s">
        <v>6114</v>
      </c>
      <c r="BL303" s="1" t="s">
        <v>287</v>
      </c>
      <c r="BM303" s="1" t="s">
        <v>6115</v>
      </c>
      <c r="BN303" s="1">
        <v>13</v>
      </c>
      <c r="BO303" s="1"/>
      <c r="BP303" s="1" t="str">
        <f>HYPERLINK("https://nconnect.nicmar.ac.in/storage/profile/ProfilePhoto_P25700294_947681.jpg","Download")</f>
        <v>0</v>
      </c>
      <c r="BQ303" s="3"/>
      <c r="BR303" s="3"/>
    </row>
    <row r="304" spans="1:70">
      <c r="A304" s="1" t="s">
        <v>70</v>
      </c>
      <c r="B304" s="1" t="s">
        <v>441</v>
      </c>
      <c r="C304" s="1" t="s">
        <v>6116</v>
      </c>
      <c r="D304" s="1" t="s">
        <v>1297</v>
      </c>
      <c r="E304" s="1" t="s">
        <v>6117</v>
      </c>
      <c r="F304" s="1" t="s">
        <v>236</v>
      </c>
      <c r="G304" s="1" t="s">
        <v>6118</v>
      </c>
      <c r="H304" s="1" t="s">
        <v>6119</v>
      </c>
      <c r="I304" s="1" t="s">
        <v>6120</v>
      </c>
      <c r="J304" s="1">
        <v>7620520360</v>
      </c>
      <c r="K304" s="1" t="s">
        <v>79</v>
      </c>
      <c r="L304" s="1" t="s">
        <v>6121</v>
      </c>
      <c r="M304" s="1" t="s">
        <v>81</v>
      </c>
      <c r="N304" s="1" t="s">
        <v>605</v>
      </c>
      <c r="O304" s="1" t="s">
        <v>152</v>
      </c>
      <c r="P304" s="1" t="s">
        <v>214</v>
      </c>
      <c r="Q304" s="1" t="s">
        <v>6122</v>
      </c>
      <c r="R304" s="1" t="s">
        <v>6123</v>
      </c>
      <c r="S304" s="1">
        <v>9923345160</v>
      </c>
      <c r="T304" s="1" t="s">
        <v>6124</v>
      </c>
      <c r="U304" s="1" t="s">
        <v>6125</v>
      </c>
      <c r="V304" s="1">
        <v>9403031440</v>
      </c>
      <c r="W304" s="1" t="s">
        <v>156</v>
      </c>
      <c r="X304" s="1" t="s">
        <v>6126</v>
      </c>
      <c r="Y304" s="1" t="s">
        <v>6127</v>
      </c>
      <c r="Z304" s="1" t="s">
        <v>92</v>
      </c>
      <c r="AA304" s="1" t="s">
        <v>6126</v>
      </c>
      <c r="AB304" s="1" t="s">
        <v>6127</v>
      </c>
      <c r="AC304" s="1" t="s">
        <v>92</v>
      </c>
      <c r="AD304" s="1">
        <v>8.56</v>
      </c>
      <c r="AE304" s="1" t="s">
        <v>93</v>
      </c>
      <c r="AF304" s="1" t="s">
        <v>6128</v>
      </c>
      <c r="AG304" s="1" t="s">
        <v>160</v>
      </c>
      <c r="AH304" s="1" t="s">
        <v>165</v>
      </c>
      <c r="AI304" s="1" t="s">
        <v>281</v>
      </c>
      <c r="AJ304" s="1">
        <v>90.6</v>
      </c>
      <c r="AK304" s="1"/>
      <c r="AL304" s="1"/>
      <c r="AM304" s="1"/>
      <c r="AN304" s="1"/>
      <c r="AO304" s="1"/>
      <c r="AP304" s="1"/>
      <c r="AQ304" s="1"/>
      <c r="AR304" s="1" t="s">
        <v>98</v>
      </c>
      <c r="AS304" s="1" t="s">
        <v>6129</v>
      </c>
      <c r="AT304" s="1" t="s">
        <v>1043</v>
      </c>
      <c r="AU304" s="1" t="s">
        <v>436</v>
      </c>
      <c r="AV304" s="1">
        <v>92.47</v>
      </c>
      <c r="AW304" s="1"/>
      <c r="AX304" s="1" t="s">
        <v>253</v>
      </c>
      <c r="AY304" s="1" t="s">
        <v>6130</v>
      </c>
      <c r="AZ304" s="1" t="s">
        <v>852</v>
      </c>
      <c r="BA304" s="1" t="s">
        <v>1067</v>
      </c>
      <c r="BB304" s="1">
        <v>60.13</v>
      </c>
      <c r="BC304" s="1"/>
      <c r="BD304" s="1"/>
      <c r="BE304" s="1"/>
      <c r="BF304" s="1"/>
      <c r="BG304" s="1"/>
      <c r="BH304" s="1"/>
      <c r="BI304" s="1"/>
      <c r="BJ304" s="1" t="s">
        <v>6131</v>
      </c>
      <c r="BK304" s="1" t="s">
        <v>6132</v>
      </c>
      <c r="BL304" s="1" t="s">
        <v>645</v>
      </c>
      <c r="BM304" s="1" t="s">
        <v>6133</v>
      </c>
      <c r="BN304" s="1">
        <v>8</v>
      </c>
      <c r="BO304" s="1"/>
      <c r="BP304" s="1" t="str">
        <f>HYPERLINK("https://nconnect.nicmar.ac.in/storage/profile/ProfilePhoto_P25700295_417832.jpg","Download")</f>
        <v>0</v>
      </c>
      <c r="BQ304" s="3"/>
      <c r="BR304" s="3"/>
    </row>
    <row r="305" spans="1:70">
      <c r="A305" s="1" t="s">
        <v>70</v>
      </c>
      <c r="B305" s="1" t="s">
        <v>441</v>
      </c>
      <c r="C305" s="1" t="s">
        <v>6134</v>
      </c>
      <c r="D305" s="1" t="s">
        <v>6135</v>
      </c>
      <c r="E305" s="1" t="s">
        <v>5755</v>
      </c>
      <c r="F305" s="1" t="s">
        <v>6136</v>
      </c>
      <c r="G305" s="1" t="s">
        <v>6137</v>
      </c>
      <c r="H305" s="1" t="s">
        <v>6138</v>
      </c>
      <c r="I305" s="1" t="s">
        <v>6139</v>
      </c>
      <c r="J305" s="1">
        <v>8317281697</v>
      </c>
      <c r="K305" s="1" t="s">
        <v>79</v>
      </c>
      <c r="L305" s="1" t="s">
        <v>6140</v>
      </c>
      <c r="M305" s="1" t="s">
        <v>81</v>
      </c>
      <c r="N305" s="1" t="s">
        <v>1058</v>
      </c>
      <c r="O305" s="1"/>
      <c r="P305" s="1" t="s">
        <v>450</v>
      </c>
      <c r="Q305" s="1" t="s">
        <v>6141</v>
      </c>
      <c r="R305" s="1" t="s">
        <v>6142</v>
      </c>
      <c r="S305" s="1">
        <v>9422459072</v>
      </c>
      <c r="T305" s="1" t="s">
        <v>3807</v>
      </c>
      <c r="U305" s="1" t="s">
        <v>6143</v>
      </c>
      <c r="V305" s="1">
        <v>7057241917</v>
      </c>
      <c r="W305" s="1" t="s">
        <v>273</v>
      </c>
      <c r="X305" s="1" t="s">
        <v>6144</v>
      </c>
      <c r="Y305" s="1" t="s">
        <v>405</v>
      </c>
      <c r="Z305" s="1" t="s">
        <v>92</v>
      </c>
      <c r="AA305" s="1" t="s">
        <v>6144</v>
      </c>
      <c r="AB305" s="1" t="s">
        <v>405</v>
      </c>
      <c r="AC305" s="1" t="s">
        <v>92</v>
      </c>
      <c r="AD305" s="1">
        <v>8.2</v>
      </c>
      <c r="AE305" s="1" t="s">
        <v>93</v>
      </c>
      <c r="AF305" s="1" t="s">
        <v>6145</v>
      </c>
      <c r="AG305" s="1" t="s">
        <v>160</v>
      </c>
      <c r="AH305" s="1" t="s">
        <v>166</v>
      </c>
      <c r="AI305" s="1" t="s">
        <v>433</v>
      </c>
      <c r="AJ305" s="1">
        <v>73.2</v>
      </c>
      <c r="AK305" s="1">
        <v>0</v>
      </c>
      <c r="AL305" s="1"/>
      <c r="AM305" s="1"/>
      <c r="AN305" s="1"/>
      <c r="AO305" s="1"/>
      <c r="AP305" s="1"/>
      <c r="AQ305" s="1"/>
      <c r="AR305" s="1" t="s">
        <v>223</v>
      </c>
      <c r="AS305" s="1" t="s">
        <v>6146</v>
      </c>
      <c r="AT305" s="1" t="s">
        <v>310</v>
      </c>
      <c r="AU305" s="1" t="s">
        <v>1378</v>
      </c>
      <c r="AV305" s="1">
        <v>75.95</v>
      </c>
      <c r="AW305" s="1">
        <v>0</v>
      </c>
      <c r="AX305" s="1" t="s">
        <v>361</v>
      </c>
      <c r="AY305" s="1" t="s">
        <v>6147</v>
      </c>
      <c r="AZ305" s="1" t="s">
        <v>1864</v>
      </c>
      <c r="BA305" s="1" t="s">
        <v>829</v>
      </c>
      <c r="BB305" s="1">
        <v>68.8</v>
      </c>
      <c r="BC305" s="1">
        <v>7.63</v>
      </c>
      <c r="BD305" s="1"/>
      <c r="BE305" s="1"/>
      <c r="BF305" s="1"/>
      <c r="BG305" s="1"/>
      <c r="BH305" s="1"/>
      <c r="BI305" s="1"/>
      <c r="BJ305" s="1" t="s">
        <v>6148</v>
      </c>
      <c r="BK305" s="1"/>
      <c r="BL305" s="1"/>
      <c r="BM305" s="1" t="s">
        <v>6149</v>
      </c>
      <c r="BN305" s="1">
        <v>12</v>
      </c>
      <c r="BO305" s="1"/>
      <c r="BP305" s="1" t="str">
        <f>HYPERLINK("https://nconnect.nicmar.ac.in/storage/profile/ProfilePhoto_P25700296_392684.jpg","Download")</f>
        <v>0</v>
      </c>
      <c r="BQ305" s="3"/>
      <c r="BR305" s="3"/>
    </row>
    <row r="306" spans="1:70">
      <c r="A306" s="1" t="s">
        <v>70</v>
      </c>
      <c r="B306" s="1" t="s">
        <v>441</v>
      </c>
      <c r="C306" s="1" t="s">
        <v>6150</v>
      </c>
      <c r="D306" s="1" t="s">
        <v>6151</v>
      </c>
      <c r="E306" s="1"/>
      <c r="F306" s="1" t="s">
        <v>6152</v>
      </c>
      <c r="G306" s="1" t="s">
        <v>6153</v>
      </c>
      <c r="H306" s="1" t="s">
        <v>6154</v>
      </c>
      <c r="I306" s="1" t="s">
        <v>6155</v>
      </c>
      <c r="J306" s="1">
        <v>8919304008</v>
      </c>
      <c r="K306" s="1" t="s">
        <v>79</v>
      </c>
      <c r="L306" s="1" t="s">
        <v>6156</v>
      </c>
      <c r="M306" s="1" t="s">
        <v>81</v>
      </c>
      <c r="N306" s="1" t="s">
        <v>5528</v>
      </c>
      <c r="O306" s="1"/>
      <c r="P306" s="1" t="s">
        <v>497</v>
      </c>
      <c r="Q306" s="1" t="s">
        <v>6157</v>
      </c>
      <c r="R306" s="1" t="s">
        <v>6158</v>
      </c>
      <c r="S306" s="1">
        <v>9866349968</v>
      </c>
      <c r="T306" s="1" t="s">
        <v>6159</v>
      </c>
      <c r="U306" s="1" t="s">
        <v>6160</v>
      </c>
      <c r="V306" s="1">
        <v>9491222511</v>
      </c>
      <c r="W306" s="1" t="s">
        <v>531</v>
      </c>
      <c r="X306" s="1" t="s">
        <v>6161</v>
      </c>
      <c r="Y306" s="1" t="s">
        <v>3050</v>
      </c>
      <c r="Z306" s="1" t="s">
        <v>456</v>
      </c>
      <c r="AA306" s="1" t="s">
        <v>6162</v>
      </c>
      <c r="AB306" s="1" t="s">
        <v>3050</v>
      </c>
      <c r="AC306" s="1" t="s">
        <v>456</v>
      </c>
      <c r="AD306" s="1">
        <v>8.59</v>
      </c>
      <c r="AE306" s="1" t="s">
        <v>93</v>
      </c>
      <c r="AF306" s="1" t="s">
        <v>6163</v>
      </c>
      <c r="AG306" s="1" t="s">
        <v>6164</v>
      </c>
      <c r="AH306" s="1" t="s">
        <v>101</v>
      </c>
      <c r="AI306" s="1" t="s">
        <v>308</v>
      </c>
      <c r="AJ306" s="1">
        <v>82</v>
      </c>
      <c r="AK306" s="1">
        <v>8.2</v>
      </c>
      <c r="AL306" s="1" t="s">
        <v>6165</v>
      </c>
      <c r="AM306" s="1" t="s">
        <v>6164</v>
      </c>
      <c r="AN306" s="1" t="s">
        <v>460</v>
      </c>
      <c r="AO306" s="1" t="s">
        <v>828</v>
      </c>
      <c r="AP306" s="1">
        <v>81.4</v>
      </c>
      <c r="AQ306" s="1">
        <v>8.14</v>
      </c>
      <c r="AR306" s="1"/>
      <c r="AS306" s="1"/>
      <c r="AT306" s="1"/>
      <c r="AU306" s="1"/>
      <c r="AV306" s="1"/>
      <c r="AW306" s="1"/>
      <c r="AX306" s="1" t="s">
        <v>6166</v>
      </c>
      <c r="AY306" s="1" t="s">
        <v>6167</v>
      </c>
      <c r="AZ306" s="1" t="s">
        <v>828</v>
      </c>
      <c r="BA306" s="1" t="s">
        <v>543</v>
      </c>
      <c r="BB306" s="1">
        <v>71.2</v>
      </c>
      <c r="BC306" s="1">
        <v>7.12</v>
      </c>
      <c r="BD306" s="1"/>
      <c r="BE306" s="1"/>
      <c r="BF306" s="1"/>
      <c r="BG306" s="1"/>
      <c r="BH306" s="1"/>
      <c r="BI306" s="1"/>
      <c r="BJ306" s="1" t="s">
        <v>6168</v>
      </c>
      <c r="BK306" s="1"/>
      <c r="BL306" s="1"/>
      <c r="BM306" s="1" t="s">
        <v>6169</v>
      </c>
      <c r="BN306" s="1">
        <v>11</v>
      </c>
      <c r="BO306" s="1" t="s">
        <v>6170</v>
      </c>
      <c r="BP306" s="1" t="str">
        <f>HYPERLINK("https://nconnect.nicmar.ac.in/storage/profile/ProfilePhoto_P25700297_213596.jpg","Download")</f>
        <v>0</v>
      </c>
      <c r="BQ306" s="3"/>
      <c r="BR306" s="3"/>
    </row>
    <row r="307" spans="1:70">
      <c r="A307" s="1" t="s">
        <v>70</v>
      </c>
      <c r="B307" s="1" t="s">
        <v>441</v>
      </c>
      <c r="C307" s="1" t="s">
        <v>6171</v>
      </c>
      <c r="D307" s="1" t="s">
        <v>5242</v>
      </c>
      <c r="E307" s="1" t="s">
        <v>6172</v>
      </c>
      <c r="F307" s="1" t="s">
        <v>3685</v>
      </c>
      <c r="G307" s="1" t="s">
        <v>6173</v>
      </c>
      <c r="H307" s="1" t="s">
        <v>6174</v>
      </c>
      <c r="I307" s="1" t="s">
        <v>6175</v>
      </c>
      <c r="J307" s="1">
        <v>8956224681</v>
      </c>
      <c r="K307" s="1" t="s">
        <v>148</v>
      </c>
      <c r="L307" s="1" t="s">
        <v>6176</v>
      </c>
      <c r="M307" s="1" t="s">
        <v>81</v>
      </c>
      <c r="N307" s="1" t="s">
        <v>6177</v>
      </c>
      <c r="O307" s="1" t="s">
        <v>6178</v>
      </c>
      <c r="P307" s="1" t="s">
        <v>117</v>
      </c>
      <c r="Q307" s="1" t="s">
        <v>6179</v>
      </c>
      <c r="R307" s="1" t="s">
        <v>6172</v>
      </c>
      <c r="S307" s="1">
        <v>7387747887</v>
      </c>
      <c r="T307" s="1" t="s">
        <v>820</v>
      </c>
      <c r="U307" s="1" t="s">
        <v>6180</v>
      </c>
      <c r="V307" s="1">
        <v>9890140647</v>
      </c>
      <c r="W307" s="1" t="s">
        <v>156</v>
      </c>
      <c r="X307" s="1" t="s">
        <v>6181</v>
      </c>
      <c r="Y307" s="1" t="s">
        <v>91</v>
      </c>
      <c r="Z307" s="1" t="s">
        <v>92</v>
      </c>
      <c r="AA307" s="1" t="s">
        <v>6181</v>
      </c>
      <c r="AB307" s="1" t="s">
        <v>91</v>
      </c>
      <c r="AC307" s="1" t="s">
        <v>92</v>
      </c>
      <c r="AD307" s="1">
        <v>7.91</v>
      </c>
      <c r="AE307" s="1" t="s">
        <v>93</v>
      </c>
      <c r="AF307" s="1" t="s">
        <v>6182</v>
      </c>
      <c r="AG307" s="1" t="s">
        <v>194</v>
      </c>
      <c r="AH307" s="1" t="s">
        <v>689</v>
      </c>
      <c r="AI307" s="1" t="s">
        <v>281</v>
      </c>
      <c r="AJ307" s="1">
        <v>90.2</v>
      </c>
      <c r="AK307" s="1">
        <v>0</v>
      </c>
      <c r="AL307" s="1" t="s">
        <v>6183</v>
      </c>
      <c r="AM307" s="1" t="s">
        <v>197</v>
      </c>
      <c r="AN307" s="1" t="s">
        <v>359</v>
      </c>
      <c r="AO307" s="1" t="s">
        <v>360</v>
      </c>
      <c r="AP307" s="1">
        <v>66.92</v>
      </c>
      <c r="AQ307" s="1">
        <v>0</v>
      </c>
      <c r="AR307" s="1"/>
      <c r="AS307" s="1"/>
      <c r="AT307" s="1"/>
      <c r="AU307" s="1"/>
      <c r="AV307" s="1"/>
      <c r="AW307" s="1"/>
      <c r="AX307" s="1" t="s">
        <v>4281</v>
      </c>
      <c r="AY307" s="1" t="s">
        <v>6184</v>
      </c>
      <c r="AZ307" s="1" t="s">
        <v>956</v>
      </c>
      <c r="BA307" s="1" t="s">
        <v>413</v>
      </c>
      <c r="BB307" s="1">
        <v>71.53</v>
      </c>
      <c r="BC307" s="1">
        <v>7.15</v>
      </c>
      <c r="BD307" s="1"/>
      <c r="BE307" s="1"/>
      <c r="BF307" s="1"/>
      <c r="BG307" s="1"/>
      <c r="BH307" s="1"/>
      <c r="BI307" s="1"/>
      <c r="BJ307" s="1" t="s">
        <v>6185</v>
      </c>
      <c r="BK307" s="1" t="s">
        <v>6186</v>
      </c>
      <c r="BL307" s="1" t="s">
        <v>2066</v>
      </c>
      <c r="BM307" s="1" t="s">
        <v>6187</v>
      </c>
      <c r="BN307" s="1">
        <v>30</v>
      </c>
      <c r="BO307" s="1" t="s">
        <v>6188</v>
      </c>
      <c r="BP307" s="1" t="str">
        <f>HYPERLINK("https://nconnect.nicmar.ac.in/storage/profile/ProfilePhoto_P25700298_589421.jpg","Download")</f>
        <v>0</v>
      </c>
      <c r="BQ307" s="3"/>
      <c r="BR307" s="3"/>
    </row>
    <row r="308" spans="1:70">
      <c r="A308" s="1" t="s">
        <v>70</v>
      </c>
      <c r="B308" s="1" t="s">
        <v>441</v>
      </c>
      <c r="C308" s="1" t="s">
        <v>6189</v>
      </c>
      <c r="D308" s="1" t="s">
        <v>2838</v>
      </c>
      <c r="E308" s="1"/>
      <c r="F308" s="1" t="s">
        <v>4891</v>
      </c>
      <c r="G308" s="1" t="s">
        <v>6190</v>
      </c>
      <c r="H308" s="1" t="s">
        <v>6191</v>
      </c>
      <c r="I308" s="1" t="s">
        <v>6192</v>
      </c>
      <c r="J308" s="1">
        <v>9881045980</v>
      </c>
      <c r="K308" s="1" t="s">
        <v>79</v>
      </c>
      <c r="L308" s="1" t="s">
        <v>3586</v>
      </c>
      <c r="M308" s="1" t="s">
        <v>81</v>
      </c>
      <c r="N308" s="1" t="s">
        <v>6193</v>
      </c>
      <c r="O308" s="1"/>
      <c r="P308" s="1" t="s">
        <v>497</v>
      </c>
      <c r="Q308" s="1" t="s">
        <v>6194</v>
      </c>
      <c r="R308" s="1" t="s">
        <v>5672</v>
      </c>
      <c r="S308" s="1">
        <v>9422531010</v>
      </c>
      <c r="T308" s="1" t="s">
        <v>906</v>
      </c>
      <c r="U308" s="1" t="s">
        <v>6195</v>
      </c>
      <c r="V308" s="1">
        <v>7522952032</v>
      </c>
      <c r="W308" s="1" t="s">
        <v>89</v>
      </c>
      <c r="X308" s="1" t="s">
        <v>6196</v>
      </c>
      <c r="Y308" s="1" t="s">
        <v>191</v>
      </c>
      <c r="Z308" s="1" t="s">
        <v>92</v>
      </c>
      <c r="AA308" s="1" t="s">
        <v>6197</v>
      </c>
      <c r="AB308" s="1" t="s">
        <v>91</v>
      </c>
      <c r="AC308" s="1" t="s">
        <v>92</v>
      </c>
      <c r="AD308" s="1">
        <v>7.9</v>
      </c>
      <c r="AE308" s="1" t="s">
        <v>93</v>
      </c>
      <c r="AF308" s="1" t="s">
        <v>6198</v>
      </c>
      <c r="AG308" s="1" t="s">
        <v>6199</v>
      </c>
      <c r="AH308" s="1" t="s">
        <v>101</v>
      </c>
      <c r="AI308" s="1" t="s">
        <v>308</v>
      </c>
      <c r="AJ308" s="1">
        <v>88.4</v>
      </c>
      <c r="AK308" s="1">
        <v>0</v>
      </c>
      <c r="AL308" s="1" t="s">
        <v>6200</v>
      </c>
      <c r="AM308" s="1" t="s">
        <v>160</v>
      </c>
      <c r="AN308" s="1" t="s">
        <v>460</v>
      </c>
      <c r="AO308" s="1" t="s">
        <v>826</v>
      </c>
      <c r="AP308" s="1">
        <v>91.17</v>
      </c>
      <c r="AQ308" s="1">
        <v>0</v>
      </c>
      <c r="AR308" s="1"/>
      <c r="AS308" s="1"/>
      <c r="AT308" s="1"/>
      <c r="AU308" s="1"/>
      <c r="AV308" s="1"/>
      <c r="AW308" s="1"/>
      <c r="AX308" s="1" t="s">
        <v>6201</v>
      </c>
      <c r="AY308" s="1" t="s">
        <v>6202</v>
      </c>
      <c r="AZ308" s="1" t="s">
        <v>852</v>
      </c>
      <c r="BA308" s="1" t="s">
        <v>829</v>
      </c>
      <c r="BB308" s="1">
        <v>66.19</v>
      </c>
      <c r="BC308" s="1">
        <v>6.61</v>
      </c>
      <c r="BD308" s="1"/>
      <c r="BE308" s="1"/>
      <c r="BF308" s="1"/>
      <c r="BG308" s="1"/>
      <c r="BH308" s="1"/>
      <c r="BI308" s="1"/>
      <c r="BJ308" s="1" t="s">
        <v>364</v>
      </c>
      <c r="BK308" s="1"/>
      <c r="BL308" s="1"/>
      <c r="BM308" s="1"/>
      <c r="BN308" s="1"/>
      <c r="BO308" s="1"/>
      <c r="BP308" s="1" t="str">
        <f>HYPERLINK("https://nconnect.nicmar.ac.in/storage/profile/ProfilePhoto_P25700299_148926.jpg","Download")</f>
        <v>0</v>
      </c>
      <c r="BQ308" s="3"/>
      <c r="BR308" s="3"/>
    </row>
    <row r="309" spans="1:70">
      <c r="A309" s="1" t="s">
        <v>70</v>
      </c>
      <c r="B309" s="1" t="s">
        <v>441</v>
      </c>
      <c r="C309" s="1" t="s">
        <v>6203</v>
      </c>
      <c r="D309" s="1" t="s">
        <v>6204</v>
      </c>
      <c r="E309" s="1" t="s">
        <v>6205</v>
      </c>
      <c r="F309" s="1" t="s">
        <v>6206</v>
      </c>
      <c r="G309" s="1" t="s">
        <v>6207</v>
      </c>
      <c r="H309" s="1" t="s">
        <v>6208</v>
      </c>
      <c r="I309" s="1" t="s">
        <v>6209</v>
      </c>
      <c r="J309" s="1">
        <v>7249391222</v>
      </c>
      <c r="K309" s="1" t="s">
        <v>79</v>
      </c>
      <c r="L309" s="1" t="s">
        <v>6210</v>
      </c>
      <c r="M309" s="1" t="s">
        <v>81</v>
      </c>
      <c r="N309" s="1" t="s">
        <v>605</v>
      </c>
      <c r="O309" s="1"/>
      <c r="P309" s="1" t="s">
        <v>450</v>
      </c>
      <c r="Q309" s="1" t="s">
        <v>6211</v>
      </c>
      <c r="R309" s="1" t="s">
        <v>6205</v>
      </c>
      <c r="S309" s="1">
        <v>9028294000</v>
      </c>
      <c r="T309" s="1" t="s">
        <v>820</v>
      </c>
      <c r="U309" s="1" t="s">
        <v>6212</v>
      </c>
      <c r="V309" s="1">
        <v>9421836969</v>
      </c>
      <c r="W309" s="1" t="s">
        <v>156</v>
      </c>
      <c r="X309" s="1" t="s">
        <v>6213</v>
      </c>
      <c r="Y309" s="1" t="s">
        <v>328</v>
      </c>
      <c r="Z309" s="1" t="s">
        <v>92</v>
      </c>
      <c r="AA309" s="1" t="s">
        <v>6213</v>
      </c>
      <c r="AB309" s="1" t="s">
        <v>328</v>
      </c>
      <c r="AC309" s="1" t="s">
        <v>92</v>
      </c>
      <c r="AD309" s="1">
        <v>7.58</v>
      </c>
      <c r="AE309" s="1" t="s">
        <v>93</v>
      </c>
      <c r="AF309" s="1" t="s">
        <v>6214</v>
      </c>
      <c r="AG309" s="1" t="s">
        <v>160</v>
      </c>
      <c r="AH309" s="1" t="s">
        <v>1190</v>
      </c>
      <c r="AI309" s="1" t="s">
        <v>433</v>
      </c>
      <c r="AJ309" s="1">
        <v>78.2</v>
      </c>
      <c r="AK309" s="1"/>
      <c r="AL309" s="1" t="s">
        <v>6215</v>
      </c>
      <c r="AM309" s="1" t="s">
        <v>160</v>
      </c>
      <c r="AN309" s="1" t="s">
        <v>310</v>
      </c>
      <c r="AO309" s="1" t="s">
        <v>436</v>
      </c>
      <c r="AP309" s="1">
        <v>94.5</v>
      </c>
      <c r="AQ309" s="1"/>
      <c r="AR309" s="1"/>
      <c r="AS309" s="1"/>
      <c r="AT309" s="1"/>
      <c r="AU309" s="1"/>
      <c r="AV309" s="1"/>
      <c r="AW309" s="1"/>
      <c r="AX309" s="1" t="s">
        <v>6216</v>
      </c>
      <c r="AY309" s="1" t="s">
        <v>6217</v>
      </c>
      <c r="AZ309" s="1" t="s">
        <v>852</v>
      </c>
      <c r="BA309" s="1" t="s">
        <v>1379</v>
      </c>
      <c r="BB309" s="1">
        <v>70.29</v>
      </c>
      <c r="BC309" s="1">
        <v>8.07</v>
      </c>
      <c r="BD309" s="1"/>
      <c r="BE309" s="1"/>
      <c r="BF309" s="1"/>
      <c r="BG309" s="1"/>
      <c r="BH309" s="1"/>
      <c r="BI309" s="1"/>
      <c r="BJ309" s="1" t="s">
        <v>6218</v>
      </c>
      <c r="BK309" s="1"/>
      <c r="BL309" s="1"/>
      <c r="BM309" s="1" t="s">
        <v>6219</v>
      </c>
      <c r="BN309" s="1">
        <v>11</v>
      </c>
      <c r="BO309" s="1" t="s">
        <v>6220</v>
      </c>
      <c r="BP309" s="1" t="str">
        <f>HYPERLINK("https://nconnect.nicmar.ac.in/storage/profile/ProfilePhoto_P25700300_153649.jpg","Download")</f>
        <v>0</v>
      </c>
      <c r="BQ309" s="3"/>
      <c r="BR309" s="3"/>
    </row>
    <row r="310" spans="1:70">
      <c r="A310" s="1" t="s">
        <v>70</v>
      </c>
      <c r="B310" s="1" t="s">
        <v>441</v>
      </c>
      <c r="C310" s="1" t="s">
        <v>6221</v>
      </c>
      <c r="D310" s="1" t="s">
        <v>6222</v>
      </c>
      <c r="E310" s="1"/>
      <c r="F310" s="1" t="s">
        <v>520</v>
      </c>
      <c r="G310" s="1" t="s">
        <v>6223</v>
      </c>
      <c r="H310" s="1" t="s">
        <v>6224</v>
      </c>
      <c r="I310" s="1" t="s">
        <v>6225</v>
      </c>
      <c r="J310" s="1">
        <v>7078578902</v>
      </c>
      <c r="K310" s="1" t="s">
        <v>79</v>
      </c>
      <c r="L310" s="1" t="s">
        <v>6226</v>
      </c>
      <c r="M310" s="1" t="s">
        <v>81</v>
      </c>
      <c r="N310" s="1" t="s">
        <v>241</v>
      </c>
      <c r="O310" s="1"/>
      <c r="P310" s="1" t="s">
        <v>450</v>
      </c>
      <c r="Q310" s="1" t="s">
        <v>6227</v>
      </c>
      <c r="R310" s="1" t="s">
        <v>6228</v>
      </c>
      <c r="S310" s="1">
        <v>7500947699</v>
      </c>
      <c r="T310" s="1" t="s">
        <v>3915</v>
      </c>
      <c r="U310" s="1" t="s">
        <v>6229</v>
      </c>
      <c r="V310" s="1">
        <v>7906433225</v>
      </c>
      <c r="W310" s="1" t="s">
        <v>156</v>
      </c>
      <c r="X310" s="1" t="s">
        <v>6230</v>
      </c>
      <c r="Y310" s="1" t="s">
        <v>6231</v>
      </c>
      <c r="Z310" s="1" t="s">
        <v>534</v>
      </c>
      <c r="AA310" s="1" t="s">
        <v>6230</v>
      </c>
      <c r="AB310" s="1" t="s">
        <v>6231</v>
      </c>
      <c r="AC310" s="1" t="s">
        <v>534</v>
      </c>
      <c r="AD310" s="1">
        <v>9.18</v>
      </c>
      <c r="AE310" s="1" t="s">
        <v>93</v>
      </c>
      <c r="AF310" s="1" t="s">
        <v>6232</v>
      </c>
      <c r="AG310" s="1" t="s">
        <v>6233</v>
      </c>
      <c r="AH310" s="1" t="s">
        <v>281</v>
      </c>
      <c r="AI310" s="1" t="s">
        <v>308</v>
      </c>
      <c r="AJ310" s="1">
        <v>86.4</v>
      </c>
      <c r="AK310" s="1"/>
      <c r="AL310" s="1" t="s">
        <v>6234</v>
      </c>
      <c r="AM310" s="1" t="s">
        <v>6233</v>
      </c>
      <c r="AN310" s="1" t="s">
        <v>956</v>
      </c>
      <c r="AO310" s="1" t="s">
        <v>539</v>
      </c>
      <c r="AP310" s="1">
        <v>84.16</v>
      </c>
      <c r="AQ310" s="1"/>
      <c r="AR310" s="1"/>
      <c r="AS310" s="1"/>
      <c r="AT310" s="1"/>
      <c r="AU310" s="1"/>
      <c r="AV310" s="1"/>
      <c r="AW310" s="1"/>
      <c r="AX310" s="1" t="s">
        <v>957</v>
      </c>
      <c r="AY310" s="1" t="s">
        <v>6235</v>
      </c>
      <c r="AZ310" s="1" t="s">
        <v>436</v>
      </c>
      <c r="BA310" s="1" t="s">
        <v>543</v>
      </c>
      <c r="BB310" s="1">
        <v>86.9</v>
      </c>
      <c r="BC310" s="1">
        <v>8.69</v>
      </c>
      <c r="BD310" s="1"/>
      <c r="BE310" s="1"/>
      <c r="BF310" s="1"/>
      <c r="BG310" s="1"/>
      <c r="BH310" s="1"/>
      <c r="BI310" s="1"/>
      <c r="BJ310" s="1" t="s">
        <v>6236</v>
      </c>
      <c r="BK310" s="1"/>
      <c r="BL310" s="1"/>
      <c r="BM310" s="1" t="s">
        <v>6237</v>
      </c>
      <c r="BN310" s="1">
        <v>17</v>
      </c>
      <c r="BO310" s="1" t="s">
        <v>6238</v>
      </c>
      <c r="BP310" s="1" t="str">
        <f>HYPERLINK("https://nconnect.nicmar.ac.in/storage/profile/ProfilePhoto_P25700301_346981.jpg","Download")</f>
        <v>0</v>
      </c>
      <c r="BQ310" s="3"/>
      <c r="BR310" s="3"/>
    </row>
    <row r="311" spans="1:70">
      <c r="A311" s="1" t="s">
        <v>70</v>
      </c>
      <c r="B311" s="1" t="s">
        <v>441</v>
      </c>
      <c r="C311" s="1" t="s">
        <v>6239</v>
      </c>
      <c r="D311" s="1" t="s">
        <v>6240</v>
      </c>
      <c r="E311" s="1" t="s">
        <v>6241</v>
      </c>
      <c r="F311" s="1" t="s">
        <v>1763</v>
      </c>
      <c r="G311" s="1" t="s">
        <v>6242</v>
      </c>
      <c r="H311" s="1" t="s">
        <v>6243</v>
      </c>
      <c r="I311" s="1" t="s">
        <v>6244</v>
      </c>
      <c r="J311" s="1">
        <v>7972098689</v>
      </c>
      <c r="K311" s="1" t="s">
        <v>79</v>
      </c>
      <c r="L311" s="1" t="s">
        <v>6245</v>
      </c>
      <c r="M311" s="1" t="s">
        <v>81</v>
      </c>
      <c r="N311" s="1" t="s">
        <v>6246</v>
      </c>
      <c r="O311" s="1"/>
      <c r="P311" s="1" t="s">
        <v>497</v>
      </c>
      <c r="Q311" s="1" t="s">
        <v>6247</v>
      </c>
      <c r="R311" s="1" t="s">
        <v>1763</v>
      </c>
      <c r="S311" s="1">
        <v>7972098689</v>
      </c>
      <c r="T311" s="1" t="s">
        <v>154</v>
      </c>
      <c r="U311" s="1" t="s">
        <v>3589</v>
      </c>
      <c r="V311" s="1">
        <v>7972098689</v>
      </c>
      <c r="W311" s="1" t="s">
        <v>156</v>
      </c>
      <c r="X311" s="1" t="s">
        <v>6248</v>
      </c>
      <c r="Y311" s="1" t="s">
        <v>191</v>
      </c>
      <c r="Z311" s="1" t="s">
        <v>92</v>
      </c>
      <c r="AA311" s="1" t="s">
        <v>6249</v>
      </c>
      <c r="AB311" s="1" t="s">
        <v>1166</v>
      </c>
      <c r="AC311" s="1" t="s">
        <v>92</v>
      </c>
      <c r="AD311" s="1">
        <v>8.43</v>
      </c>
      <c r="AE311" s="1" t="s">
        <v>93</v>
      </c>
      <c r="AF311" s="1" t="s">
        <v>6250</v>
      </c>
      <c r="AG311" s="1" t="s">
        <v>6251</v>
      </c>
      <c r="AH311" s="1" t="s">
        <v>3303</v>
      </c>
      <c r="AI311" s="1" t="s">
        <v>128</v>
      </c>
      <c r="AJ311" s="1">
        <v>81.27</v>
      </c>
      <c r="AK311" s="1"/>
      <c r="AL311" s="1" t="s">
        <v>6252</v>
      </c>
      <c r="AM311" s="1" t="s">
        <v>6253</v>
      </c>
      <c r="AN311" s="1" t="s">
        <v>1559</v>
      </c>
      <c r="AO311" s="1" t="s">
        <v>96</v>
      </c>
      <c r="AP311" s="1">
        <v>66.31</v>
      </c>
      <c r="AQ311" s="1"/>
      <c r="AR311" s="1"/>
      <c r="AS311" s="1"/>
      <c r="AT311" s="1"/>
      <c r="AU311" s="1"/>
      <c r="AV311" s="1"/>
      <c r="AW311" s="1"/>
      <c r="AX311" s="1" t="s">
        <v>361</v>
      </c>
      <c r="AY311" s="1" t="s">
        <v>6254</v>
      </c>
      <c r="AZ311" s="1" t="s">
        <v>130</v>
      </c>
      <c r="BA311" s="1" t="s">
        <v>169</v>
      </c>
      <c r="BB311" s="1">
        <v>65.54</v>
      </c>
      <c r="BC311" s="1"/>
      <c r="BD311" s="1"/>
      <c r="BE311" s="1"/>
      <c r="BF311" s="1"/>
      <c r="BG311" s="1"/>
      <c r="BH311" s="1"/>
      <c r="BI311" s="1"/>
      <c r="BJ311" s="1" t="s">
        <v>364</v>
      </c>
      <c r="BK311" s="1" t="s">
        <v>6255</v>
      </c>
      <c r="BL311" s="1" t="s">
        <v>6256</v>
      </c>
      <c r="BM311" s="1" t="s">
        <v>6257</v>
      </c>
      <c r="BN311" s="1">
        <v>9</v>
      </c>
      <c r="BO311" s="1" t="s">
        <v>6258</v>
      </c>
      <c r="BP311" s="1" t="str">
        <f>HYPERLINK("https://nconnect.nicmar.ac.in/storage/profile/ProfilePhoto_P25700302_214356.jpg","Download")</f>
        <v>0</v>
      </c>
      <c r="BQ311" s="3"/>
      <c r="BR311" s="3"/>
    </row>
    <row r="312" spans="1:70">
      <c r="A312" s="1" t="s">
        <v>70</v>
      </c>
      <c r="B312" s="1" t="s">
        <v>441</v>
      </c>
      <c r="C312" s="1" t="s">
        <v>6259</v>
      </c>
      <c r="D312" s="1" t="s">
        <v>2651</v>
      </c>
      <c r="E312" s="1" t="s">
        <v>5434</v>
      </c>
      <c r="F312" s="1" t="s">
        <v>3668</v>
      </c>
      <c r="G312" s="1" t="s">
        <v>6260</v>
      </c>
      <c r="H312" s="1" t="s">
        <v>6261</v>
      </c>
      <c r="I312" s="1" t="s">
        <v>6262</v>
      </c>
      <c r="J312" s="1">
        <v>9704344140</v>
      </c>
      <c r="K312" s="1" t="s">
        <v>79</v>
      </c>
      <c r="L312" s="1" t="s">
        <v>968</v>
      </c>
      <c r="M312" s="1" t="s">
        <v>81</v>
      </c>
      <c r="N312" s="1" t="s">
        <v>6263</v>
      </c>
      <c r="O312" s="1"/>
      <c r="P312" s="1" t="s">
        <v>472</v>
      </c>
      <c r="Q312" s="1" t="s">
        <v>6264</v>
      </c>
      <c r="R312" s="1" t="s">
        <v>6265</v>
      </c>
      <c r="S312" s="1">
        <v>8919045993</v>
      </c>
      <c r="T312" s="1" t="s">
        <v>820</v>
      </c>
      <c r="U312" s="1" t="s">
        <v>6266</v>
      </c>
      <c r="V312" s="1">
        <v>9618089886</v>
      </c>
      <c r="W312" s="1" t="s">
        <v>531</v>
      </c>
      <c r="X312" s="1" t="s">
        <v>6267</v>
      </c>
      <c r="Y312" s="1" t="s">
        <v>3863</v>
      </c>
      <c r="Z312" s="1" t="s">
        <v>276</v>
      </c>
      <c r="AA312" s="1" t="s">
        <v>6267</v>
      </c>
      <c r="AB312" s="1" t="s">
        <v>3863</v>
      </c>
      <c r="AC312" s="1" t="s">
        <v>276</v>
      </c>
      <c r="AD312" s="1">
        <v>8.26</v>
      </c>
      <c r="AE312" s="1" t="s">
        <v>93</v>
      </c>
      <c r="AF312" s="1" t="s">
        <v>6268</v>
      </c>
      <c r="AG312" s="1" t="s">
        <v>6269</v>
      </c>
      <c r="AH312" s="1" t="s">
        <v>195</v>
      </c>
      <c r="AI312" s="1" t="s">
        <v>166</v>
      </c>
      <c r="AJ312" s="1">
        <v>86</v>
      </c>
      <c r="AK312" s="1"/>
      <c r="AL312" s="1" t="s">
        <v>6270</v>
      </c>
      <c r="AM312" s="1" t="s">
        <v>6271</v>
      </c>
      <c r="AN312" s="1" t="s">
        <v>101</v>
      </c>
      <c r="AO312" s="1" t="s">
        <v>460</v>
      </c>
      <c r="AP312" s="1">
        <v>84.3</v>
      </c>
      <c r="AQ312" s="1">
        <v>8.86</v>
      </c>
      <c r="AR312" s="1"/>
      <c r="AS312" s="1"/>
      <c r="AT312" s="1"/>
      <c r="AU312" s="1"/>
      <c r="AV312" s="1"/>
      <c r="AW312" s="1"/>
      <c r="AX312" s="1" t="s">
        <v>282</v>
      </c>
      <c r="AY312" s="1" t="s">
        <v>6272</v>
      </c>
      <c r="AZ312" s="1" t="s">
        <v>1019</v>
      </c>
      <c r="BA312" s="1" t="s">
        <v>1067</v>
      </c>
      <c r="BB312" s="1">
        <v>72.82</v>
      </c>
      <c r="BC312" s="1">
        <v>7.76</v>
      </c>
      <c r="BD312" s="1"/>
      <c r="BE312" s="1"/>
      <c r="BF312" s="1"/>
      <c r="BG312" s="1"/>
      <c r="BH312" s="1"/>
      <c r="BI312" s="1"/>
      <c r="BJ312" s="1" t="s">
        <v>1904</v>
      </c>
      <c r="BK312" s="1"/>
      <c r="BL312" s="1"/>
      <c r="BM312" s="1" t="s">
        <v>6273</v>
      </c>
      <c r="BN312" s="1">
        <v>30</v>
      </c>
      <c r="BO312" s="1"/>
      <c r="BP312" s="1" t="str">
        <f>HYPERLINK("https://nconnect.nicmar.ac.in/storage/profile/ProfilePhoto_P25700303_641892.jpg","Download")</f>
        <v>0</v>
      </c>
      <c r="BQ312" s="3"/>
      <c r="BR312" s="3"/>
    </row>
    <row r="313" spans="1:70">
      <c r="A313" s="1" t="s">
        <v>70</v>
      </c>
      <c r="B313" s="1" t="s">
        <v>441</v>
      </c>
      <c r="C313" s="1" t="s">
        <v>6274</v>
      </c>
      <c r="D313" s="1" t="s">
        <v>6275</v>
      </c>
      <c r="E313" s="1" t="s">
        <v>6276</v>
      </c>
      <c r="F313" s="1" t="s">
        <v>6277</v>
      </c>
      <c r="G313" s="1" t="s">
        <v>6278</v>
      </c>
      <c r="H313" s="1" t="s">
        <v>6279</v>
      </c>
      <c r="I313" s="1" t="s">
        <v>6280</v>
      </c>
      <c r="J313" s="1">
        <v>9494842354</v>
      </c>
      <c r="K313" s="1" t="s">
        <v>79</v>
      </c>
      <c r="L313" s="1" t="s">
        <v>6281</v>
      </c>
      <c r="M313" s="1" t="s">
        <v>81</v>
      </c>
      <c r="N313" s="1" t="s">
        <v>4844</v>
      </c>
      <c r="O313" s="1"/>
      <c r="P313" s="1" t="s">
        <v>450</v>
      </c>
      <c r="Q313" s="1" t="s">
        <v>6282</v>
      </c>
      <c r="R313" s="1" t="s">
        <v>6283</v>
      </c>
      <c r="S313" s="1">
        <v>9948281111</v>
      </c>
      <c r="T313" s="1" t="s">
        <v>154</v>
      </c>
      <c r="U313" s="1" t="s">
        <v>6284</v>
      </c>
      <c r="V313" s="1">
        <v>9000911266</v>
      </c>
      <c r="W313" s="1" t="s">
        <v>273</v>
      </c>
      <c r="X313" s="1" t="s">
        <v>6285</v>
      </c>
      <c r="Y313" s="1" t="s">
        <v>3541</v>
      </c>
      <c r="Z313" s="1" t="s">
        <v>276</v>
      </c>
      <c r="AA313" s="1" t="s">
        <v>6285</v>
      </c>
      <c r="AB313" s="1" t="s">
        <v>3541</v>
      </c>
      <c r="AC313" s="1" t="s">
        <v>276</v>
      </c>
      <c r="AD313" s="1">
        <v>9.07</v>
      </c>
      <c r="AE313" s="1" t="s">
        <v>93</v>
      </c>
      <c r="AF313" s="1" t="s">
        <v>6286</v>
      </c>
      <c r="AG313" s="1" t="s">
        <v>6287</v>
      </c>
      <c r="AH313" s="1" t="s">
        <v>165</v>
      </c>
      <c r="AI313" s="1" t="s">
        <v>281</v>
      </c>
      <c r="AJ313" s="1">
        <v>95</v>
      </c>
      <c r="AK313" s="1">
        <v>9.5</v>
      </c>
      <c r="AL313" s="1" t="s">
        <v>6288</v>
      </c>
      <c r="AM313" s="1" t="s">
        <v>1398</v>
      </c>
      <c r="AN313" s="1" t="s">
        <v>101</v>
      </c>
      <c r="AO313" s="1" t="s">
        <v>590</v>
      </c>
      <c r="AP313" s="1">
        <v>89.9</v>
      </c>
      <c r="AQ313" s="1">
        <v>9.29</v>
      </c>
      <c r="AR313" s="1"/>
      <c r="AS313" s="1"/>
      <c r="AT313" s="1"/>
      <c r="AU313" s="1"/>
      <c r="AV313" s="1"/>
      <c r="AW313" s="1"/>
      <c r="AX313" s="1" t="s">
        <v>2664</v>
      </c>
      <c r="AY313" s="1" t="s">
        <v>6289</v>
      </c>
      <c r="AZ313" s="1" t="s">
        <v>460</v>
      </c>
      <c r="BA313" s="1" t="s">
        <v>1292</v>
      </c>
      <c r="BB313" s="1">
        <v>75.3</v>
      </c>
      <c r="BC313" s="1">
        <v>8.28</v>
      </c>
      <c r="BD313" s="1"/>
      <c r="BE313" s="1"/>
      <c r="BF313" s="1"/>
      <c r="BG313" s="1"/>
      <c r="BH313" s="1"/>
      <c r="BI313" s="1"/>
      <c r="BJ313" s="1" t="s">
        <v>364</v>
      </c>
      <c r="BK313" s="1"/>
      <c r="BL313" s="1"/>
      <c r="BM313" s="1" t="s">
        <v>6290</v>
      </c>
      <c r="BN313" s="1">
        <v>26</v>
      </c>
      <c r="BO313" s="1"/>
      <c r="BP313" s="1" t="str">
        <f>HYPERLINK("https://nconnect.nicmar.ac.in/storage/profile/ProfilePhoto_P25700304_328576.jpg","Download")</f>
        <v>0</v>
      </c>
      <c r="BQ313" s="3"/>
      <c r="BR313" s="3"/>
    </row>
    <row r="314" spans="1:70">
      <c r="A314" s="1" t="s">
        <v>70</v>
      </c>
      <c r="B314" s="1" t="s">
        <v>441</v>
      </c>
      <c r="C314" s="1" t="s">
        <v>6291</v>
      </c>
      <c r="D314" s="1" t="s">
        <v>744</v>
      </c>
      <c r="E314" s="1" t="s">
        <v>6292</v>
      </c>
      <c r="F314" s="1" t="s">
        <v>6293</v>
      </c>
      <c r="G314" s="1" t="s">
        <v>6294</v>
      </c>
      <c r="H314" s="1" t="s">
        <v>6295</v>
      </c>
      <c r="I314" s="1" t="s">
        <v>6296</v>
      </c>
      <c r="J314" s="1">
        <v>9325587022</v>
      </c>
      <c r="K314" s="1" t="s">
        <v>79</v>
      </c>
      <c r="L314" s="1" t="s">
        <v>3995</v>
      </c>
      <c r="M314" s="1" t="s">
        <v>81</v>
      </c>
      <c r="N314" s="1" t="s">
        <v>883</v>
      </c>
      <c r="O314" s="1"/>
      <c r="P314" s="1" t="s">
        <v>450</v>
      </c>
      <c r="Q314" s="1" t="s">
        <v>6297</v>
      </c>
      <c r="R314" s="1" t="s">
        <v>6298</v>
      </c>
      <c r="S314" s="1">
        <v>9158878170</v>
      </c>
      <c r="T314" s="1" t="s">
        <v>154</v>
      </c>
      <c r="U314" s="1" t="s">
        <v>6299</v>
      </c>
      <c r="V314" s="1">
        <v>9158878170</v>
      </c>
      <c r="W314" s="1" t="s">
        <v>156</v>
      </c>
      <c r="X314" s="1" t="s">
        <v>6300</v>
      </c>
      <c r="Y314" s="1" t="s">
        <v>1754</v>
      </c>
      <c r="Z314" s="1" t="s">
        <v>92</v>
      </c>
      <c r="AA314" s="1" t="s">
        <v>6300</v>
      </c>
      <c r="AB314" s="1" t="s">
        <v>1754</v>
      </c>
      <c r="AC314" s="1" t="s">
        <v>92</v>
      </c>
      <c r="AD314" s="1">
        <v>7.25</v>
      </c>
      <c r="AE314" s="1" t="s">
        <v>93</v>
      </c>
      <c r="AF314" s="1" t="s">
        <v>6301</v>
      </c>
      <c r="AG314" s="1" t="s">
        <v>6302</v>
      </c>
      <c r="AH314" s="1" t="s">
        <v>162</v>
      </c>
      <c r="AI314" s="1" t="s">
        <v>195</v>
      </c>
      <c r="AJ314" s="1">
        <v>70.6</v>
      </c>
      <c r="AK314" s="1">
        <v>0</v>
      </c>
      <c r="AL314" s="1" t="s">
        <v>6303</v>
      </c>
      <c r="AM314" s="1" t="s">
        <v>6304</v>
      </c>
      <c r="AN314" s="1" t="s">
        <v>101</v>
      </c>
      <c r="AO314" s="1" t="s">
        <v>198</v>
      </c>
      <c r="AP314" s="1">
        <v>50.31</v>
      </c>
      <c r="AQ314" s="1">
        <v>0</v>
      </c>
      <c r="AR314" s="1" t="s">
        <v>98</v>
      </c>
      <c r="AS314" s="1" t="s">
        <v>6305</v>
      </c>
      <c r="AT314" s="1" t="s">
        <v>433</v>
      </c>
      <c r="AU314" s="1" t="s">
        <v>826</v>
      </c>
      <c r="AV314" s="1">
        <v>81.89</v>
      </c>
      <c r="AW314" s="1">
        <v>0</v>
      </c>
      <c r="AX314" s="1" t="s">
        <v>361</v>
      </c>
      <c r="AY314" s="1" t="s">
        <v>6306</v>
      </c>
      <c r="AZ314" s="1" t="s">
        <v>852</v>
      </c>
      <c r="BA314" s="1" t="s">
        <v>413</v>
      </c>
      <c r="BB314" s="1">
        <v>60.4</v>
      </c>
      <c r="BC314" s="1">
        <v>6.79</v>
      </c>
      <c r="BD314" s="1"/>
      <c r="BE314" s="1"/>
      <c r="BF314" s="1"/>
      <c r="BG314" s="1"/>
      <c r="BH314" s="1"/>
      <c r="BI314" s="1"/>
      <c r="BJ314" s="1" t="s">
        <v>6307</v>
      </c>
      <c r="BK314" s="1" t="s">
        <v>6308</v>
      </c>
      <c r="BL314" s="1" t="s">
        <v>873</v>
      </c>
      <c r="BM314" s="1" t="s">
        <v>6309</v>
      </c>
      <c r="BN314" s="1">
        <v>9</v>
      </c>
      <c r="BO314" s="1" t="s">
        <v>6310</v>
      </c>
      <c r="BP314" s="1" t="str">
        <f>HYPERLINK("https://nconnect.nicmar.ac.in/storage/profile/ProfilePhoto_P25700305_358149.jpg","Download")</f>
        <v>0</v>
      </c>
      <c r="BQ314" s="3"/>
      <c r="BR314" s="3"/>
    </row>
    <row r="315" spans="1:70">
      <c r="A315" s="1" t="s">
        <v>70</v>
      </c>
      <c r="B315" s="1" t="s">
        <v>441</v>
      </c>
      <c r="C315" s="1" t="s">
        <v>6311</v>
      </c>
      <c r="D315" s="1" t="s">
        <v>6312</v>
      </c>
      <c r="E315" s="1"/>
      <c r="F315" s="1" t="s">
        <v>6313</v>
      </c>
      <c r="G315" s="1" t="s">
        <v>6314</v>
      </c>
      <c r="H315" s="1" t="s">
        <v>6315</v>
      </c>
      <c r="I315" s="1" t="s">
        <v>6316</v>
      </c>
      <c r="J315" s="1">
        <v>9249411028</v>
      </c>
      <c r="K315" s="1" t="s">
        <v>79</v>
      </c>
      <c r="L315" s="1" t="s">
        <v>6317</v>
      </c>
      <c r="M315" s="1" t="s">
        <v>81</v>
      </c>
      <c r="N315" s="1" t="s">
        <v>579</v>
      </c>
      <c r="O315" s="1"/>
      <c r="P315" s="1" t="s">
        <v>497</v>
      </c>
      <c r="Q315" s="1" t="s">
        <v>6318</v>
      </c>
      <c r="R315" s="1" t="s">
        <v>6319</v>
      </c>
      <c r="S315" s="1">
        <v>9847281242</v>
      </c>
      <c r="T315" s="1" t="s">
        <v>820</v>
      </c>
      <c r="U315" s="1" t="s">
        <v>6320</v>
      </c>
      <c r="V315" s="1">
        <v>8089122440</v>
      </c>
      <c r="W315" s="1" t="s">
        <v>820</v>
      </c>
      <c r="X315" s="1" t="s">
        <v>6321</v>
      </c>
      <c r="Y315" s="1" t="s">
        <v>686</v>
      </c>
      <c r="Z315" s="1" t="s">
        <v>125</v>
      </c>
      <c r="AA315" s="1" t="s">
        <v>6321</v>
      </c>
      <c r="AB315" s="1" t="s">
        <v>686</v>
      </c>
      <c r="AC315" s="1" t="s">
        <v>125</v>
      </c>
      <c r="AD315" s="1">
        <v>8.61</v>
      </c>
      <c r="AE315" s="1" t="s">
        <v>93</v>
      </c>
      <c r="AF315" s="1" t="s">
        <v>6322</v>
      </c>
      <c r="AG315" s="1" t="s">
        <v>758</v>
      </c>
      <c r="AH315" s="1" t="s">
        <v>161</v>
      </c>
      <c r="AI315" s="1" t="s">
        <v>131</v>
      </c>
      <c r="AJ315" s="1">
        <v>83.6</v>
      </c>
      <c r="AK315" s="1">
        <v>8.8</v>
      </c>
      <c r="AL315" s="1" t="s">
        <v>6322</v>
      </c>
      <c r="AM315" s="1" t="s">
        <v>758</v>
      </c>
      <c r="AN315" s="1" t="s">
        <v>162</v>
      </c>
      <c r="AO315" s="1" t="s">
        <v>562</v>
      </c>
      <c r="AP315" s="1">
        <v>85.8</v>
      </c>
      <c r="AQ315" s="1">
        <v>0</v>
      </c>
      <c r="AR315" s="1"/>
      <c r="AS315" s="1"/>
      <c r="AT315" s="1"/>
      <c r="AU315" s="1"/>
      <c r="AV315" s="1"/>
      <c r="AW315" s="1"/>
      <c r="AX315" s="1" t="s">
        <v>6323</v>
      </c>
      <c r="AY315" s="1" t="s">
        <v>6324</v>
      </c>
      <c r="AZ315" s="1" t="s">
        <v>225</v>
      </c>
      <c r="BA315" s="1" t="s">
        <v>511</v>
      </c>
      <c r="BB315" s="1">
        <v>65.9</v>
      </c>
      <c r="BC315" s="1">
        <v>6.59</v>
      </c>
      <c r="BD315" s="1"/>
      <c r="BE315" s="1"/>
      <c r="BF315" s="1"/>
      <c r="BG315" s="1"/>
      <c r="BH315" s="1"/>
      <c r="BI315" s="1"/>
      <c r="BJ315" s="1" t="s">
        <v>6325</v>
      </c>
      <c r="BK315" s="1" t="s">
        <v>6326</v>
      </c>
      <c r="BL315" s="1" t="s">
        <v>4165</v>
      </c>
      <c r="BM315" s="1" t="s">
        <v>6327</v>
      </c>
      <c r="BN315" s="1">
        <v>70</v>
      </c>
      <c r="BO315" s="1"/>
      <c r="BP315" s="1" t="str">
        <f>HYPERLINK("https://nconnect.nicmar.ac.in/storage/profile/ProfilePhoto_P25700306_128963.jpg","Download")</f>
        <v>0</v>
      </c>
      <c r="BQ315" s="3"/>
      <c r="BR315" s="3"/>
    </row>
    <row r="316" spans="1:70">
      <c r="A316" s="1" t="s">
        <v>70</v>
      </c>
      <c r="B316" s="1" t="s">
        <v>441</v>
      </c>
      <c r="C316" s="1" t="s">
        <v>6328</v>
      </c>
      <c r="D316" s="1" t="s">
        <v>6329</v>
      </c>
      <c r="E316" s="1" t="s">
        <v>6330</v>
      </c>
      <c r="F316" s="1" t="s">
        <v>6331</v>
      </c>
      <c r="G316" s="1" t="s">
        <v>6332</v>
      </c>
      <c r="H316" s="1" t="s">
        <v>6333</v>
      </c>
      <c r="I316" s="1" t="s">
        <v>6334</v>
      </c>
      <c r="J316" s="1">
        <v>8605723457</v>
      </c>
      <c r="K316" s="1" t="s">
        <v>79</v>
      </c>
      <c r="L316" s="1" t="s">
        <v>6335</v>
      </c>
      <c r="M316" s="1" t="s">
        <v>81</v>
      </c>
      <c r="N316" s="1" t="s">
        <v>605</v>
      </c>
      <c r="O316" s="1"/>
      <c r="P316" s="1" t="s">
        <v>472</v>
      </c>
      <c r="Q316" s="1" t="s">
        <v>6336</v>
      </c>
      <c r="R316" s="1" t="s">
        <v>6330</v>
      </c>
      <c r="S316" s="1">
        <v>8605723457</v>
      </c>
      <c r="T316" s="1" t="s">
        <v>93</v>
      </c>
      <c r="U316" s="1" t="s">
        <v>6337</v>
      </c>
      <c r="V316" s="1">
        <v>8862021135</v>
      </c>
      <c r="W316" s="1" t="s">
        <v>1490</v>
      </c>
      <c r="X316" s="1" t="s">
        <v>6338</v>
      </c>
      <c r="Y316" s="1" t="s">
        <v>191</v>
      </c>
      <c r="Z316" s="1" t="s">
        <v>92</v>
      </c>
      <c r="AA316" s="1" t="s">
        <v>6338</v>
      </c>
      <c r="AB316" s="1" t="s">
        <v>191</v>
      </c>
      <c r="AC316" s="1" t="s">
        <v>92</v>
      </c>
      <c r="AD316" s="1">
        <v>8.36</v>
      </c>
      <c r="AE316" s="1" t="s">
        <v>93</v>
      </c>
      <c r="AF316" s="1" t="s">
        <v>6339</v>
      </c>
      <c r="AG316" s="1" t="s">
        <v>160</v>
      </c>
      <c r="AH316" s="1" t="s">
        <v>161</v>
      </c>
      <c r="AI316" s="1" t="s">
        <v>162</v>
      </c>
      <c r="AJ316" s="1">
        <v>86.4</v>
      </c>
      <c r="AK316" s="1">
        <v>0</v>
      </c>
      <c r="AL316" s="1"/>
      <c r="AM316" s="1"/>
      <c r="AN316" s="1"/>
      <c r="AO316" s="1"/>
      <c r="AP316" s="1"/>
      <c r="AQ316" s="1"/>
      <c r="AR316" s="1" t="s">
        <v>98</v>
      </c>
      <c r="AS316" s="1" t="s">
        <v>6340</v>
      </c>
      <c r="AT316" s="1" t="s">
        <v>162</v>
      </c>
      <c r="AU316" s="1" t="s">
        <v>433</v>
      </c>
      <c r="AV316" s="1">
        <v>84.3</v>
      </c>
      <c r="AW316" s="1">
        <v>0</v>
      </c>
      <c r="AX316" s="1" t="s">
        <v>361</v>
      </c>
      <c r="AY316" s="1" t="s">
        <v>6341</v>
      </c>
      <c r="AZ316" s="1" t="s">
        <v>433</v>
      </c>
      <c r="BA316" s="1" t="s">
        <v>105</v>
      </c>
      <c r="BB316" s="1">
        <v>84.68</v>
      </c>
      <c r="BC316" s="1">
        <v>9.14</v>
      </c>
      <c r="BD316" s="1"/>
      <c r="BE316" s="1"/>
      <c r="BF316" s="1"/>
      <c r="BG316" s="1"/>
      <c r="BH316" s="1"/>
      <c r="BI316" s="1"/>
      <c r="BJ316" s="1" t="s">
        <v>6342</v>
      </c>
      <c r="BK316" s="1" t="s">
        <v>6343</v>
      </c>
      <c r="BL316" s="1" t="s">
        <v>1048</v>
      </c>
      <c r="BM316" s="1" t="s">
        <v>6344</v>
      </c>
      <c r="BN316" s="1">
        <v>39</v>
      </c>
      <c r="BO316" s="1" t="s">
        <v>6345</v>
      </c>
      <c r="BP316" s="1" t="str">
        <f>HYPERLINK("https://nconnect.nicmar.ac.in/storage/profile/ProfilePhoto_P25700307_873512.jpg","Download")</f>
        <v>0</v>
      </c>
      <c r="BQ316" s="3"/>
      <c r="BR316" s="3"/>
    </row>
    <row r="317" spans="1:70">
      <c r="A317" s="1" t="s">
        <v>70</v>
      </c>
      <c r="B317" s="1" t="s">
        <v>441</v>
      </c>
      <c r="C317" s="1" t="s">
        <v>6346</v>
      </c>
      <c r="D317" s="1" t="s">
        <v>6347</v>
      </c>
      <c r="E317" s="1"/>
      <c r="F317" s="1" t="s">
        <v>6348</v>
      </c>
      <c r="G317" s="1" t="s">
        <v>6349</v>
      </c>
      <c r="H317" s="1" t="s">
        <v>6350</v>
      </c>
      <c r="I317" s="1" t="s">
        <v>6351</v>
      </c>
      <c r="J317" s="1">
        <v>9162596927</v>
      </c>
      <c r="K317" s="1" t="s">
        <v>79</v>
      </c>
      <c r="L317" s="1" t="s">
        <v>6352</v>
      </c>
      <c r="M317" s="1" t="s">
        <v>81</v>
      </c>
      <c r="N317" s="1" t="s">
        <v>6353</v>
      </c>
      <c r="O317" s="1"/>
      <c r="P317" s="1" t="s">
        <v>450</v>
      </c>
      <c r="Q317" s="1" t="s">
        <v>6354</v>
      </c>
      <c r="R317" s="1" t="s">
        <v>6355</v>
      </c>
      <c r="S317" s="1">
        <v>6206009766</v>
      </c>
      <c r="T317" s="1" t="s">
        <v>120</v>
      </c>
      <c r="U317" s="1" t="s">
        <v>6356</v>
      </c>
      <c r="V317" s="1">
        <v>9162596927</v>
      </c>
      <c r="W317" s="1" t="s">
        <v>156</v>
      </c>
      <c r="X317" s="1" t="s">
        <v>6357</v>
      </c>
      <c r="Y317" s="1" t="s">
        <v>635</v>
      </c>
      <c r="Z317" s="1" t="s">
        <v>636</v>
      </c>
      <c r="AA317" s="1" t="s">
        <v>6357</v>
      </c>
      <c r="AB317" s="1" t="s">
        <v>635</v>
      </c>
      <c r="AC317" s="1" t="s">
        <v>636</v>
      </c>
      <c r="AD317" s="1">
        <v>7.28</v>
      </c>
      <c r="AE317" s="1" t="s">
        <v>93</v>
      </c>
      <c r="AF317" s="1" t="s">
        <v>6358</v>
      </c>
      <c r="AG317" s="1" t="s">
        <v>6359</v>
      </c>
      <c r="AH317" s="1" t="s">
        <v>3439</v>
      </c>
      <c r="AI317" s="1" t="s">
        <v>131</v>
      </c>
      <c r="AJ317" s="1">
        <v>74.1</v>
      </c>
      <c r="AK317" s="1">
        <v>7.8</v>
      </c>
      <c r="AL317" s="1" t="s">
        <v>6360</v>
      </c>
      <c r="AM317" s="1" t="s">
        <v>6361</v>
      </c>
      <c r="AN317" s="1" t="s">
        <v>195</v>
      </c>
      <c r="AO317" s="1" t="s">
        <v>409</v>
      </c>
      <c r="AP317" s="1">
        <v>68</v>
      </c>
      <c r="AQ317" s="1"/>
      <c r="AR317" s="1"/>
      <c r="AS317" s="1"/>
      <c r="AT317" s="1"/>
      <c r="AU317" s="1"/>
      <c r="AV317" s="1"/>
      <c r="AW317" s="1"/>
      <c r="AX317" s="1" t="s">
        <v>4966</v>
      </c>
      <c r="AY317" s="1" t="s">
        <v>6362</v>
      </c>
      <c r="AZ317" s="1" t="s">
        <v>433</v>
      </c>
      <c r="BA317" s="1" t="s">
        <v>935</v>
      </c>
      <c r="BB317" s="1">
        <v>82.2</v>
      </c>
      <c r="BC317" s="1">
        <v>8.22</v>
      </c>
      <c r="BD317" s="1"/>
      <c r="BE317" s="1"/>
      <c r="BF317" s="1"/>
      <c r="BG317" s="1"/>
      <c r="BH317" s="1"/>
      <c r="BI317" s="1"/>
      <c r="BJ317" s="1" t="s">
        <v>364</v>
      </c>
      <c r="BK317" s="1" t="s">
        <v>6363</v>
      </c>
      <c r="BL317" s="1" t="s">
        <v>4887</v>
      </c>
      <c r="BM317" s="1" t="s">
        <v>6364</v>
      </c>
      <c r="BN317" s="1">
        <v>8</v>
      </c>
      <c r="BO317" s="1"/>
      <c r="BP317" s="1" t="str">
        <f>HYPERLINK("https://nconnect.nicmar.ac.in/storage/profile/ProfilePhoto_P25700308_942517.jpg","Download")</f>
        <v>0</v>
      </c>
      <c r="BQ317" s="3"/>
      <c r="BR317" s="3"/>
    </row>
    <row r="318" spans="1:70">
      <c r="A318" s="1" t="s">
        <v>70</v>
      </c>
      <c r="B318" s="1" t="s">
        <v>441</v>
      </c>
      <c r="C318" s="1" t="s">
        <v>6365</v>
      </c>
      <c r="D318" s="1" t="s">
        <v>6366</v>
      </c>
      <c r="E318" s="1"/>
      <c r="F318" s="1" t="s">
        <v>4014</v>
      </c>
      <c r="G318" s="1" t="s">
        <v>6367</v>
      </c>
      <c r="H318" s="1" t="s">
        <v>6368</v>
      </c>
      <c r="I318" s="1" t="s">
        <v>6369</v>
      </c>
      <c r="J318" s="1">
        <v>9994273557</v>
      </c>
      <c r="K318" s="1" t="s">
        <v>79</v>
      </c>
      <c r="L318" s="1" t="s">
        <v>6370</v>
      </c>
      <c r="M318" s="1" t="s">
        <v>81</v>
      </c>
      <c r="N318" s="1" t="s">
        <v>6371</v>
      </c>
      <c r="O318" s="1"/>
      <c r="P318" s="1" t="s">
        <v>450</v>
      </c>
      <c r="Q318" s="1" t="s">
        <v>6372</v>
      </c>
      <c r="R318" s="1" t="s">
        <v>6373</v>
      </c>
      <c r="S318" s="1">
        <v>8012502994</v>
      </c>
      <c r="T318" s="1" t="s">
        <v>6374</v>
      </c>
      <c r="U318" s="1" t="s">
        <v>6375</v>
      </c>
      <c r="V318" s="1">
        <v>6369457817</v>
      </c>
      <c r="W318" s="1" t="s">
        <v>531</v>
      </c>
      <c r="X318" s="1" t="s">
        <v>6376</v>
      </c>
      <c r="Y318" s="1" t="s">
        <v>1839</v>
      </c>
      <c r="Z318" s="1" t="s">
        <v>559</v>
      </c>
      <c r="AA318" s="1" t="s">
        <v>6376</v>
      </c>
      <c r="AB318" s="1" t="s">
        <v>1839</v>
      </c>
      <c r="AC318" s="1" t="s">
        <v>559</v>
      </c>
      <c r="AD318" s="1">
        <v>8.31</v>
      </c>
      <c r="AE318" s="1" t="s">
        <v>93</v>
      </c>
      <c r="AF318" s="1" t="s">
        <v>6377</v>
      </c>
      <c r="AG318" s="1" t="s">
        <v>561</v>
      </c>
      <c r="AH318" s="1" t="s">
        <v>101</v>
      </c>
      <c r="AI318" s="1" t="s">
        <v>537</v>
      </c>
      <c r="AJ318" s="1">
        <v>83</v>
      </c>
      <c r="AK318" s="1">
        <v>0</v>
      </c>
      <c r="AL318" s="1" t="s">
        <v>6377</v>
      </c>
      <c r="AM318" s="1" t="s">
        <v>561</v>
      </c>
      <c r="AN318" s="1" t="s">
        <v>460</v>
      </c>
      <c r="AO318" s="1" t="s">
        <v>539</v>
      </c>
      <c r="AP318" s="1">
        <v>85</v>
      </c>
      <c r="AQ318" s="1">
        <v>0</v>
      </c>
      <c r="AR318" s="1"/>
      <c r="AS318" s="1"/>
      <c r="AT318" s="1"/>
      <c r="AU318" s="1"/>
      <c r="AV318" s="1"/>
      <c r="AW318" s="1"/>
      <c r="AX318" s="1" t="s">
        <v>564</v>
      </c>
      <c r="AY318" s="1" t="s">
        <v>6378</v>
      </c>
      <c r="AZ318" s="1" t="s">
        <v>593</v>
      </c>
      <c r="BA318" s="1" t="s">
        <v>594</v>
      </c>
      <c r="BB318" s="1">
        <v>81.8</v>
      </c>
      <c r="BC318" s="1">
        <v>8.18</v>
      </c>
      <c r="BD318" s="1"/>
      <c r="BE318" s="1"/>
      <c r="BF318" s="1"/>
      <c r="BG318" s="1"/>
      <c r="BH318" s="1"/>
      <c r="BI318" s="1"/>
      <c r="BJ318" s="1" t="s">
        <v>6379</v>
      </c>
      <c r="BK318" s="1"/>
      <c r="BL318" s="1"/>
      <c r="BM318" s="1" t="s">
        <v>6380</v>
      </c>
      <c r="BN318" s="1">
        <v>14</v>
      </c>
      <c r="BO318" s="1" t="s">
        <v>6381</v>
      </c>
      <c r="BP318" s="1" t="str">
        <f>HYPERLINK("https://nconnect.nicmar.ac.in/storage/profile/ProfilePhoto_P25700309_361294.jpg","Download")</f>
        <v>0</v>
      </c>
      <c r="BQ318" s="3"/>
      <c r="BR318" s="3"/>
    </row>
    <row r="319" spans="1:70">
      <c r="A319" s="1" t="s">
        <v>70</v>
      </c>
      <c r="B319" s="1" t="s">
        <v>441</v>
      </c>
      <c r="C319" s="1" t="s">
        <v>6382</v>
      </c>
      <c r="D319" s="1" t="s">
        <v>5234</v>
      </c>
      <c r="E319" s="1"/>
      <c r="F319" s="1" t="s">
        <v>2876</v>
      </c>
      <c r="G319" s="1" t="s">
        <v>6383</v>
      </c>
      <c r="H319" s="1" t="s">
        <v>6384</v>
      </c>
      <c r="I319" s="1" t="s">
        <v>6385</v>
      </c>
      <c r="J319" s="1">
        <v>8669109766</v>
      </c>
      <c r="K319" s="1" t="s">
        <v>79</v>
      </c>
      <c r="L319" s="1" t="s">
        <v>6386</v>
      </c>
      <c r="M319" s="1" t="s">
        <v>81</v>
      </c>
      <c r="N319" s="1" t="s">
        <v>6387</v>
      </c>
      <c r="O319" s="1"/>
      <c r="P319" s="1" t="s">
        <v>450</v>
      </c>
      <c r="Q319" s="1" t="s">
        <v>6388</v>
      </c>
      <c r="R319" s="1" t="s">
        <v>6389</v>
      </c>
      <c r="S319" s="1">
        <v>9923699521</v>
      </c>
      <c r="T319" s="1" t="s">
        <v>1472</v>
      </c>
      <c r="U319" s="1" t="s">
        <v>6390</v>
      </c>
      <c r="V319" s="1">
        <v>8669101539</v>
      </c>
      <c r="W319" s="1" t="s">
        <v>156</v>
      </c>
      <c r="X319" s="1" t="s">
        <v>6391</v>
      </c>
      <c r="Y319" s="1" t="s">
        <v>405</v>
      </c>
      <c r="Z319" s="1" t="s">
        <v>92</v>
      </c>
      <c r="AA319" s="1" t="s">
        <v>6392</v>
      </c>
      <c r="AB319" s="1" t="s">
        <v>991</v>
      </c>
      <c r="AC319" s="1" t="s">
        <v>92</v>
      </c>
      <c r="AD319" s="1">
        <v>8.87</v>
      </c>
      <c r="AE319" s="1" t="s">
        <v>93</v>
      </c>
      <c r="AF319" s="1" t="s">
        <v>6393</v>
      </c>
      <c r="AG319" s="1" t="s">
        <v>6394</v>
      </c>
      <c r="AH319" s="1" t="s">
        <v>281</v>
      </c>
      <c r="AI319" s="1" t="s">
        <v>409</v>
      </c>
      <c r="AJ319" s="1">
        <v>69.8</v>
      </c>
      <c r="AK319" s="1"/>
      <c r="AL319" s="1" t="s">
        <v>6395</v>
      </c>
      <c r="AM319" s="1" t="s">
        <v>6394</v>
      </c>
      <c r="AN319" s="1" t="s">
        <v>590</v>
      </c>
      <c r="AO319" s="1" t="s">
        <v>1169</v>
      </c>
      <c r="AP319" s="1">
        <v>90.67</v>
      </c>
      <c r="AQ319" s="1"/>
      <c r="AR319" s="1"/>
      <c r="AS319" s="1"/>
      <c r="AT319" s="1"/>
      <c r="AU319" s="1"/>
      <c r="AV319" s="1"/>
      <c r="AW319" s="1"/>
      <c r="AX319" s="1" t="s">
        <v>410</v>
      </c>
      <c r="AY319" s="1" t="s">
        <v>6396</v>
      </c>
      <c r="AZ319" s="1" t="s">
        <v>852</v>
      </c>
      <c r="BA319" s="1" t="s">
        <v>829</v>
      </c>
      <c r="BB319" s="1">
        <v>83.1</v>
      </c>
      <c r="BC319" s="1">
        <v>8.31</v>
      </c>
      <c r="BD319" s="1"/>
      <c r="BE319" s="1"/>
      <c r="BF319" s="1"/>
      <c r="BG319" s="1"/>
      <c r="BH319" s="1"/>
      <c r="BI319" s="1"/>
      <c r="BJ319" s="1" t="s">
        <v>6397</v>
      </c>
      <c r="BK319" s="1"/>
      <c r="BL319" s="1"/>
      <c r="BM319" s="1" t="s">
        <v>6398</v>
      </c>
      <c r="BN319" s="1">
        <v>38</v>
      </c>
      <c r="BO319" s="1" t="s">
        <v>6399</v>
      </c>
      <c r="BP319" s="1" t="str">
        <f>HYPERLINK("https://nconnect.nicmar.ac.in/storage/profile/6a6247b201416.png","Download")</f>
        <v>0</v>
      </c>
      <c r="BQ319" s="3"/>
      <c r="BR319" s="3"/>
    </row>
    <row r="320" spans="1:70">
      <c r="A320" s="1" t="s">
        <v>70</v>
      </c>
      <c r="B320" s="1" t="s">
        <v>441</v>
      </c>
      <c r="C320" s="1" t="s">
        <v>6400</v>
      </c>
      <c r="D320" s="1" t="s">
        <v>1724</v>
      </c>
      <c r="E320" s="1"/>
      <c r="F320" s="1" t="s">
        <v>1938</v>
      </c>
      <c r="G320" s="1" t="s">
        <v>6401</v>
      </c>
      <c r="H320" s="1" t="s">
        <v>6402</v>
      </c>
      <c r="I320" s="1" t="s">
        <v>6403</v>
      </c>
      <c r="J320" s="1">
        <v>9972187849</v>
      </c>
      <c r="K320" s="1" t="s">
        <v>148</v>
      </c>
      <c r="L320" s="1" t="s">
        <v>6404</v>
      </c>
      <c r="M320" s="1" t="s">
        <v>81</v>
      </c>
      <c r="N320" s="1" t="s">
        <v>4079</v>
      </c>
      <c r="O320" s="1" t="s">
        <v>6405</v>
      </c>
      <c r="P320" s="1" t="s">
        <v>214</v>
      </c>
      <c r="Q320" s="1" t="s">
        <v>6406</v>
      </c>
      <c r="R320" s="1" t="s">
        <v>6407</v>
      </c>
      <c r="S320" s="1">
        <v>9036267539</v>
      </c>
      <c r="T320" s="1" t="s">
        <v>6408</v>
      </c>
      <c r="U320" s="1" t="s">
        <v>6409</v>
      </c>
      <c r="V320" s="1">
        <v>9449642810</v>
      </c>
      <c r="W320" s="1" t="s">
        <v>531</v>
      </c>
      <c r="X320" s="1" t="s">
        <v>6410</v>
      </c>
      <c r="Y320" s="1" t="s">
        <v>6411</v>
      </c>
      <c r="Z320" s="1" t="s">
        <v>1187</v>
      </c>
      <c r="AA320" s="1" t="s">
        <v>6410</v>
      </c>
      <c r="AB320" s="1" t="s">
        <v>6411</v>
      </c>
      <c r="AC320" s="1" t="s">
        <v>1187</v>
      </c>
      <c r="AD320" s="1">
        <v>7.94</v>
      </c>
      <c r="AE320" s="1" t="s">
        <v>93</v>
      </c>
      <c r="AF320" s="1" t="s">
        <v>6412</v>
      </c>
      <c r="AG320" s="1" t="s">
        <v>6413</v>
      </c>
      <c r="AH320" s="1" t="s">
        <v>1239</v>
      </c>
      <c r="AI320" s="1" t="s">
        <v>131</v>
      </c>
      <c r="AJ320" s="1">
        <v>81.7</v>
      </c>
      <c r="AK320" s="1">
        <v>8.6</v>
      </c>
      <c r="AL320" s="1" t="s">
        <v>6414</v>
      </c>
      <c r="AM320" s="1" t="s">
        <v>6415</v>
      </c>
      <c r="AN320" s="1" t="s">
        <v>279</v>
      </c>
      <c r="AO320" s="1" t="s">
        <v>281</v>
      </c>
      <c r="AP320" s="1">
        <v>73.66</v>
      </c>
      <c r="AQ320" s="1"/>
      <c r="AR320" s="1"/>
      <c r="AS320" s="1"/>
      <c r="AT320" s="1" t="s">
        <v>228</v>
      </c>
      <c r="AU320" s="1" t="s">
        <v>915</v>
      </c>
      <c r="AV320" s="1"/>
      <c r="AW320" s="1"/>
      <c r="AX320" s="1" t="s">
        <v>6416</v>
      </c>
      <c r="AY320" s="1" t="s">
        <v>6417</v>
      </c>
      <c r="AZ320" s="1" t="s">
        <v>169</v>
      </c>
      <c r="BA320" s="1" t="s">
        <v>202</v>
      </c>
      <c r="BB320" s="1">
        <v>69.8</v>
      </c>
      <c r="BC320" s="1">
        <v>7.73</v>
      </c>
      <c r="BD320" s="1"/>
      <c r="BE320" s="1"/>
      <c r="BF320" s="1"/>
      <c r="BG320" s="1"/>
      <c r="BH320" s="1"/>
      <c r="BI320" s="1"/>
      <c r="BJ320" s="1" t="s">
        <v>6418</v>
      </c>
      <c r="BK320" s="1" t="s">
        <v>6419</v>
      </c>
      <c r="BL320" s="1" t="s">
        <v>1048</v>
      </c>
      <c r="BM320" s="1" t="s">
        <v>6420</v>
      </c>
      <c r="BN320" s="1">
        <v>61</v>
      </c>
      <c r="BO320" s="1" t="s">
        <v>6421</v>
      </c>
      <c r="BP320" s="1" t="str">
        <f>HYPERLINK("https://nconnect.nicmar.ac.in/storage/profile/ProfilePhoto_P25700311_175346.jpg","Download")</f>
        <v>0</v>
      </c>
      <c r="BQ320" s="3"/>
      <c r="BR320" s="3"/>
    </row>
    <row r="321" spans="1:70">
      <c r="A321" s="1" t="s">
        <v>70</v>
      </c>
      <c r="B321" s="1" t="s">
        <v>441</v>
      </c>
      <c r="C321" s="1" t="s">
        <v>6422</v>
      </c>
      <c r="D321" s="1" t="s">
        <v>6423</v>
      </c>
      <c r="E321" s="1" t="s">
        <v>6424</v>
      </c>
      <c r="F321" s="1" t="s">
        <v>1156</v>
      </c>
      <c r="G321" s="1" t="s">
        <v>6425</v>
      </c>
      <c r="H321" s="1" t="s">
        <v>6426</v>
      </c>
      <c r="I321" s="1" t="s">
        <v>6427</v>
      </c>
      <c r="J321" s="1">
        <v>9623087386</v>
      </c>
      <c r="K321" s="1" t="s">
        <v>79</v>
      </c>
      <c r="L321" s="1" t="s">
        <v>6428</v>
      </c>
      <c r="M321" s="1" t="s">
        <v>81</v>
      </c>
      <c r="N321" s="1" t="s">
        <v>4213</v>
      </c>
      <c r="O321" s="1"/>
      <c r="P321" s="1" t="s">
        <v>1007</v>
      </c>
      <c r="Q321" s="1" t="s">
        <v>6429</v>
      </c>
      <c r="R321" s="1" t="s">
        <v>6430</v>
      </c>
      <c r="S321" s="1">
        <v>9075184735</v>
      </c>
      <c r="T321" s="1" t="s">
        <v>154</v>
      </c>
      <c r="U321" s="1" t="s">
        <v>6431</v>
      </c>
      <c r="V321" s="1">
        <v>9075184735</v>
      </c>
      <c r="W321" s="1" t="s">
        <v>154</v>
      </c>
      <c r="X321" s="1" t="s">
        <v>6432</v>
      </c>
      <c r="Y321" s="1" t="s">
        <v>191</v>
      </c>
      <c r="Z321" s="1" t="s">
        <v>92</v>
      </c>
      <c r="AA321" s="1" t="s">
        <v>6432</v>
      </c>
      <c r="AB321" s="1" t="s">
        <v>191</v>
      </c>
      <c r="AC321" s="1" t="s">
        <v>92</v>
      </c>
      <c r="AD321" s="1">
        <v>7.82</v>
      </c>
      <c r="AE321" s="1" t="s">
        <v>93</v>
      </c>
      <c r="AF321" s="1" t="s">
        <v>6433</v>
      </c>
      <c r="AG321" s="1" t="s">
        <v>1942</v>
      </c>
      <c r="AH321" s="1" t="s">
        <v>96</v>
      </c>
      <c r="AI321" s="1" t="s">
        <v>97</v>
      </c>
      <c r="AJ321" s="1">
        <v>80.8</v>
      </c>
      <c r="AK321" s="1"/>
      <c r="AL321" s="1"/>
      <c r="AM321" s="1"/>
      <c r="AN321" s="1"/>
      <c r="AO321" s="1"/>
      <c r="AP321" s="1"/>
      <c r="AQ321" s="1"/>
      <c r="AR321" s="1" t="s">
        <v>98</v>
      </c>
      <c r="AS321" s="1" t="s">
        <v>6434</v>
      </c>
      <c r="AT321" s="1" t="s">
        <v>1043</v>
      </c>
      <c r="AU321" s="1" t="s">
        <v>436</v>
      </c>
      <c r="AV321" s="1">
        <v>92.11</v>
      </c>
      <c r="AW321" s="1"/>
      <c r="AX321" s="1" t="s">
        <v>361</v>
      </c>
      <c r="AY321" s="1" t="s">
        <v>6435</v>
      </c>
      <c r="AZ321" s="1" t="s">
        <v>593</v>
      </c>
      <c r="BA321" s="1" t="s">
        <v>1292</v>
      </c>
      <c r="BB321" s="1">
        <v>72.7</v>
      </c>
      <c r="BC321" s="1">
        <v>8.02</v>
      </c>
      <c r="BD321" s="1"/>
      <c r="BE321" s="1"/>
      <c r="BF321" s="1"/>
      <c r="BG321" s="1"/>
      <c r="BH321" s="1"/>
      <c r="BI321" s="1"/>
      <c r="BJ321" s="1" t="s">
        <v>6436</v>
      </c>
      <c r="BK321" s="1"/>
      <c r="BL321" s="1"/>
      <c r="BM321" s="1" t="s">
        <v>6437</v>
      </c>
      <c r="BN321" s="1">
        <v>165</v>
      </c>
      <c r="BO321" s="1" t="s">
        <v>6438</v>
      </c>
      <c r="BP321" s="1" t="str">
        <f>HYPERLINK("https://nconnect.nicmar.ac.in/storage/profile/ProfilePhoto_P25700312_491872.jpg","Download")</f>
        <v>0</v>
      </c>
      <c r="BQ321" s="3"/>
      <c r="BR321" s="3"/>
    </row>
    <row r="322" spans="1:70">
      <c r="A322" s="1" t="s">
        <v>70</v>
      </c>
      <c r="B322" s="1" t="s">
        <v>441</v>
      </c>
      <c r="C322" s="1" t="s">
        <v>6439</v>
      </c>
      <c r="D322" s="1" t="s">
        <v>490</v>
      </c>
      <c r="E322" s="1"/>
      <c r="F322" s="1" t="s">
        <v>6440</v>
      </c>
      <c r="G322" s="1" t="s">
        <v>6441</v>
      </c>
      <c r="H322" s="1" t="s">
        <v>6442</v>
      </c>
      <c r="I322" s="1" t="s">
        <v>6443</v>
      </c>
      <c r="J322" s="1">
        <v>7899628030</v>
      </c>
      <c r="K322" s="1" t="s">
        <v>79</v>
      </c>
      <c r="L322" s="1" t="s">
        <v>6444</v>
      </c>
      <c r="M322" s="1" t="s">
        <v>81</v>
      </c>
      <c r="N322" s="1" t="s">
        <v>4493</v>
      </c>
      <c r="O322" s="1"/>
      <c r="P322" s="1" t="s">
        <v>450</v>
      </c>
      <c r="Q322" s="1" t="s">
        <v>6445</v>
      </c>
      <c r="R322" s="1" t="s">
        <v>6446</v>
      </c>
      <c r="S322" s="1">
        <v>9980809271</v>
      </c>
      <c r="T322" s="1" t="s">
        <v>154</v>
      </c>
      <c r="U322" s="1" t="s">
        <v>6447</v>
      </c>
      <c r="V322" s="1">
        <v>9980797785</v>
      </c>
      <c r="W322" s="1" t="s">
        <v>531</v>
      </c>
      <c r="X322" s="1" t="s">
        <v>6448</v>
      </c>
      <c r="Y322" s="1" t="s">
        <v>6449</v>
      </c>
      <c r="Z322" s="1" t="s">
        <v>1187</v>
      </c>
      <c r="AA322" s="1" t="s">
        <v>6448</v>
      </c>
      <c r="AB322" s="1" t="s">
        <v>6449</v>
      </c>
      <c r="AC322" s="1" t="s">
        <v>1187</v>
      </c>
      <c r="AD322" s="1">
        <v>8.46</v>
      </c>
      <c r="AE322" s="1" t="s">
        <v>93</v>
      </c>
      <c r="AF322" s="1" t="s">
        <v>6450</v>
      </c>
      <c r="AG322" s="1" t="s">
        <v>4500</v>
      </c>
      <c r="AH322" s="1" t="s">
        <v>96</v>
      </c>
      <c r="AI322" s="1" t="s">
        <v>131</v>
      </c>
      <c r="AJ322" s="1">
        <v>79.8</v>
      </c>
      <c r="AK322" s="1">
        <v>8.4</v>
      </c>
      <c r="AL322" s="1" t="s">
        <v>6451</v>
      </c>
      <c r="AM322" s="1" t="s">
        <v>6452</v>
      </c>
      <c r="AN322" s="1" t="s">
        <v>162</v>
      </c>
      <c r="AO322" s="1" t="s">
        <v>562</v>
      </c>
      <c r="AP322" s="1">
        <v>89.67</v>
      </c>
      <c r="AQ322" s="1">
        <v>0</v>
      </c>
      <c r="AR322" s="1"/>
      <c r="AS322" s="1"/>
      <c r="AT322" s="1"/>
      <c r="AU322" s="1"/>
      <c r="AV322" s="1"/>
      <c r="AW322" s="1"/>
      <c r="AX322" s="1" t="s">
        <v>1194</v>
      </c>
      <c r="AY322" s="1" t="s">
        <v>6453</v>
      </c>
      <c r="AZ322" s="1" t="s">
        <v>225</v>
      </c>
      <c r="BA322" s="1" t="s">
        <v>436</v>
      </c>
      <c r="BB322" s="1">
        <v>71.8</v>
      </c>
      <c r="BC322" s="1">
        <v>7.93</v>
      </c>
      <c r="BD322" s="1"/>
      <c r="BE322" s="1"/>
      <c r="BF322" s="1"/>
      <c r="BG322" s="1"/>
      <c r="BH322" s="1"/>
      <c r="BI322" s="1"/>
      <c r="BJ322" s="1" t="s">
        <v>6454</v>
      </c>
      <c r="BK322" s="1" t="s">
        <v>6455</v>
      </c>
      <c r="BL322" s="1" t="s">
        <v>4948</v>
      </c>
      <c r="BM322" s="1" t="s">
        <v>6456</v>
      </c>
      <c r="BN322" s="1">
        <v>16</v>
      </c>
      <c r="BO322" s="1" t="s">
        <v>6457</v>
      </c>
      <c r="BP322" s="1" t="str">
        <f>HYPERLINK("https://nconnect.nicmar.ac.in/storage/profile/ProfilePhoto_P25700313_351694.jpg","Download")</f>
        <v>0</v>
      </c>
      <c r="BQ322" s="3"/>
      <c r="BR322" s="3"/>
    </row>
    <row r="323" spans="1:70">
      <c r="A323" s="1" t="s">
        <v>70</v>
      </c>
      <c r="B323" s="1" t="s">
        <v>441</v>
      </c>
      <c r="C323" s="1" t="s">
        <v>6458</v>
      </c>
      <c r="D323" s="1" t="s">
        <v>6459</v>
      </c>
      <c r="E323" s="1" t="s">
        <v>144</v>
      </c>
      <c r="F323" s="1" t="s">
        <v>6460</v>
      </c>
      <c r="G323" s="1" t="s">
        <v>6461</v>
      </c>
      <c r="H323" s="1" t="s">
        <v>6462</v>
      </c>
      <c r="I323" s="1" t="s">
        <v>6463</v>
      </c>
      <c r="J323" s="1">
        <v>9403661274</v>
      </c>
      <c r="K323" s="1" t="s">
        <v>148</v>
      </c>
      <c r="L323" s="1" t="s">
        <v>6464</v>
      </c>
      <c r="M323" s="1" t="s">
        <v>81</v>
      </c>
      <c r="N323" s="1" t="s">
        <v>605</v>
      </c>
      <c r="O323" s="1"/>
      <c r="P323" s="1" t="s">
        <v>2035</v>
      </c>
      <c r="Q323" s="1" t="s">
        <v>6465</v>
      </c>
      <c r="R323" s="1" t="s">
        <v>144</v>
      </c>
      <c r="S323" s="1">
        <v>9975571256</v>
      </c>
      <c r="T323" s="1" t="s">
        <v>529</v>
      </c>
      <c r="U323" s="1" t="s">
        <v>6466</v>
      </c>
      <c r="V323" s="1">
        <v>9404684258</v>
      </c>
      <c r="W323" s="1" t="s">
        <v>531</v>
      </c>
      <c r="X323" s="1" t="s">
        <v>6467</v>
      </c>
      <c r="Y323" s="1" t="s">
        <v>191</v>
      </c>
      <c r="Z323" s="1" t="s">
        <v>92</v>
      </c>
      <c r="AA323" s="1" t="s">
        <v>6467</v>
      </c>
      <c r="AB323" s="1" t="s">
        <v>191</v>
      </c>
      <c r="AC323" s="1" t="s">
        <v>92</v>
      </c>
      <c r="AD323" s="1">
        <v>8.41</v>
      </c>
      <c r="AE323" s="1" t="s">
        <v>93</v>
      </c>
      <c r="AF323" s="1" t="s">
        <v>6468</v>
      </c>
      <c r="AG323" s="1" t="s">
        <v>6469</v>
      </c>
      <c r="AH323" s="1" t="s">
        <v>279</v>
      </c>
      <c r="AI323" s="1" t="s">
        <v>562</v>
      </c>
      <c r="AJ323" s="1">
        <v>84.8</v>
      </c>
      <c r="AK323" s="1"/>
      <c r="AL323" s="1"/>
      <c r="AM323" s="1"/>
      <c r="AN323" s="1"/>
      <c r="AO323" s="1"/>
      <c r="AP323" s="1"/>
      <c r="AQ323" s="1"/>
      <c r="AR323" s="1" t="s">
        <v>98</v>
      </c>
      <c r="AS323" s="1" t="s">
        <v>6470</v>
      </c>
      <c r="AT323" s="1" t="s">
        <v>225</v>
      </c>
      <c r="AU323" s="1" t="s">
        <v>1622</v>
      </c>
      <c r="AV323" s="1">
        <v>82.25</v>
      </c>
      <c r="AW323" s="1"/>
      <c r="AX323" s="1" t="s">
        <v>361</v>
      </c>
      <c r="AY323" s="1" t="s">
        <v>6471</v>
      </c>
      <c r="AZ323" s="1" t="s">
        <v>4744</v>
      </c>
      <c r="BA323" s="1" t="s">
        <v>174</v>
      </c>
      <c r="BB323" s="1">
        <v>77.87</v>
      </c>
      <c r="BC323" s="1">
        <v>8.75</v>
      </c>
      <c r="BD323" s="1"/>
      <c r="BE323" s="1"/>
      <c r="BF323" s="1"/>
      <c r="BG323" s="1"/>
      <c r="BH323" s="1"/>
      <c r="BI323" s="1"/>
      <c r="BJ323" s="1" t="s">
        <v>6027</v>
      </c>
      <c r="BK323" s="1"/>
      <c r="BL323" s="1"/>
      <c r="BM323" s="1" t="s">
        <v>6472</v>
      </c>
      <c r="BN323" s="1">
        <v>13</v>
      </c>
      <c r="BO323" s="1" t="s">
        <v>6473</v>
      </c>
      <c r="BP323" s="1" t="str">
        <f>HYPERLINK("https://nconnect.nicmar.ac.in/storage/profile/ProfilePhoto_P25700314_541362.jpg","Download")</f>
        <v>0</v>
      </c>
      <c r="BQ323" s="3"/>
      <c r="BR323" s="3"/>
    </row>
    <row r="324" spans="1:70">
      <c r="A324" s="1" t="s">
        <v>70</v>
      </c>
      <c r="B324" s="1" t="s">
        <v>441</v>
      </c>
      <c r="C324" s="1" t="s">
        <v>6474</v>
      </c>
      <c r="D324" s="1" t="s">
        <v>6475</v>
      </c>
      <c r="E324" s="1"/>
      <c r="F324" s="1" t="s">
        <v>2530</v>
      </c>
      <c r="G324" s="1" t="s">
        <v>6476</v>
      </c>
      <c r="H324" s="1" t="s">
        <v>6477</v>
      </c>
      <c r="I324" s="1" t="s">
        <v>6478</v>
      </c>
      <c r="J324" s="1">
        <v>9910143216</v>
      </c>
      <c r="K324" s="1" t="s">
        <v>79</v>
      </c>
      <c r="L324" s="1" t="s">
        <v>6479</v>
      </c>
      <c r="M324" s="1" t="s">
        <v>81</v>
      </c>
      <c r="N324" s="1" t="s">
        <v>241</v>
      </c>
      <c r="O324" s="1"/>
      <c r="P324" s="1" t="s">
        <v>472</v>
      </c>
      <c r="Q324" s="1" t="s">
        <v>6480</v>
      </c>
      <c r="R324" s="1" t="s">
        <v>6481</v>
      </c>
      <c r="S324" s="1">
        <v>7838414073</v>
      </c>
      <c r="T324" s="1" t="s">
        <v>120</v>
      </c>
      <c r="U324" s="1" t="s">
        <v>6482</v>
      </c>
      <c r="V324" s="1">
        <v>9582989699</v>
      </c>
      <c r="W324" s="1" t="s">
        <v>120</v>
      </c>
      <c r="X324" s="1" t="s">
        <v>6483</v>
      </c>
      <c r="Y324" s="1" t="s">
        <v>6484</v>
      </c>
      <c r="Z324" s="1" t="s">
        <v>1714</v>
      </c>
      <c r="AA324" s="1" t="s">
        <v>6483</v>
      </c>
      <c r="AB324" s="1" t="s">
        <v>6484</v>
      </c>
      <c r="AC324" s="1" t="s">
        <v>1714</v>
      </c>
      <c r="AD324" s="1">
        <v>8.95</v>
      </c>
      <c r="AE324" s="1" t="s">
        <v>93</v>
      </c>
      <c r="AF324" s="1" t="s">
        <v>6485</v>
      </c>
      <c r="AG324" s="1" t="s">
        <v>6486</v>
      </c>
      <c r="AH324" s="1" t="s">
        <v>131</v>
      </c>
      <c r="AI324" s="1" t="s">
        <v>614</v>
      </c>
      <c r="AJ324" s="1">
        <v>74.1</v>
      </c>
      <c r="AK324" s="1">
        <v>7.8</v>
      </c>
      <c r="AL324" s="1" t="s">
        <v>6485</v>
      </c>
      <c r="AM324" s="1" t="s">
        <v>6487</v>
      </c>
      <c r="AN324" s="1" t="s">
        <v>562</v>
      </c>
      <c r="AO324" s="1" t="s">
        <v>166</v>
      </c>
      <c r="AP324" s="1">
        <v>73</v>
      </c>
      <c r="AQ324" s="1"/>
      <c r="AR324" s="1"/>
      <c r="AS324" s="1"/>
      <c r="AT324" s="1"/>
      <c r="AU324" s="1"/>
      <c r="AV324" s="1"/>
      <c r="AW324" s="1"/>
      <c r="AX324" s="1" t="s">
        <v>6488</v>
      </c>
      <c r="AY324" s="1" t="s">
        <v>6489</v>
      </c>
      <c r="AZ324" s="1" t="s">
        <v>1043</v>
      </c>
      <c r="BA324" s="1" t="s">
        <v>284</v>
      </c>
      <c r="BB324" s="1">
        <v>84.4</v>
      </c>
      <c r="BC324" s="1"/>
      <c r="BD324" s="1"/>
      <c r="BE324" s="1"/>
      <c r="BF324" s="1"/>
      <c r="BG324" s="1"/>
      <c r="BH324" s="1"/>
      <c r="BI324" s="1"/>
      <c r="BJ324" s="1" t="s">
        <v>6490</v>
      </c>
      <c r="BK324" s="1"/>
      <c r="BL324" s="1"/>
      <c r="BM324" s="1" t="s">
        <v>6491</v>
      </c>
      <c r="BN324" s="1">
        <v>17</v>
      </c>
      <c r="BO324" s="1" t="s">
        <v>6492</v>
      </c>
      <c r="BP324" s="1" t="str">
        <f>HYPERLINK("https://nconnect.nicmar.ac.in/storage/profile/ProfilePhoto_P25700316_645173.jpg","Download")</f>
        <v>0</v>
      </c>
      <c r="BQ324" s="3"/>
      <c r="BR324" s="3"/>
    </row>
    <row r="325" spans="1:70">
      <c r="A325" s="1" t="s">
        <v>70</v>
      </c>
      <c r="B325" s="1" t="s">
        <v>441</v>
      </c>
      <c r="C325" s="1" t="s">
        <v>6493</v>
      </c>
      <c r="D325" s="1" t="s">
        <v>5369</v>
      </c>
      <c r="E325" s="1"/>
      <c r="F325" s="1" t="s">
        <v>6494</v>
      </c>
      <c r="G325" s="1" t="s">
        <v>6495</v>
      </c>
      <c r="H325" s="1" t="s">
        <v>6496</v>
      </c>
      <c r="I325" s="1" t="s">
        <v>6497</v>
      </c>
      <c r="J325" s="1">
        <v>7720858074</v>
      </c>
      <c r="K325" s="1" t="s">
        <v>148</v>
      </c>
      <c r="L325" s="1" t="s">
        <v>6498</v>
      </c>
      <c r="M325" s="1" t="s">
        <v>81</v>
      </c>
      <c r="N325" s="1" t="s">
        <v>6499</v>
      </c>
      <c r="O325" s="1" t="s">
        <v>152</v>
      </c>
      <c r="P325" s="1" t="s">
        <v>214</v>
      </c>
      <c r="Q325" s="1" t="s">
        <v>6500</v>
      </c>
      <c r="R325" s="1" t="s">
        <v>3061</v>
      </c>
      <c r="S325" s="1">
        <v>9422135541</v>
      </c>
      <c r="T325" s="1" t="s">
        <v>3457</v>
      </c>
      <c r="U325" s="1" t="s">
        <v>6501</v>
      </c>
      <c r="V325" s="1">
        <v>9422140540</v>
      </c>
      <c r="W325" s="1" t="s">
        <v>156</v>
      </c>
      <c r="X325" s="1" t="s">
        <v>6502</v>
      </c>
      <c r="Y325" s="1" t="s">
        <v>611</v>
      </c>
      <c r="Z325" s="1" t="s">
        <v>92</v>
      </c>
      <c r="AA325" s="1" t="s">
        <v>6502</v>
      </c>
      <c r="AB325" s="1" t="s">
        <v>611</v>
      </c>
      <c r="AC325" s="1" t="s">
        <v>92</v>
      </c>
      <c r="AD325" s="1">
        <v>8.09</v>
      </c>
      <c r="AE325" s="1" t="s">
        <v>93</v>
      </c>
      <c r="AF325" s="1" t="s">
        <v>6503</v>
      </c>
      <c r="AG325" s="1" t="s">
        <v>1942</v>
      </c>
      <c r="AH325" s="1" t="s">
        <v>161</v>
      </c>
      <c r="AI325" s="1" t="s">
        <v>1089</v>
      </c>
      <c r="AJ325" s="1">
        <v>71.6</v>
      </c>
      <c r="AK325" s="1"/>
      <c r="AL325" s="1" t="s">
        <v>6504</v>
      </c>
      <c r="AM325" s="1" t="s">
        <v>3053</v>
      </c>
      <c r="AN325" s="1" t="s">
        <v>165</v>
      </c>
      <c r="AO325" s="1" t="s">
        <v>281</v>
      </c>
      <c r="AP325" s="1">
        <v>85</v>
      </c>
      <c r="AQ325" s="1"/>
      <c r="AR325" s="1" t="s">
        <v>6505</v>
      </c>
      <c r="AS325" s="1" t="s">
        <v>6506</v>
      </c>
      <c r="AT325" s="1" t="s">
        <v>101</v>
      </c>
      <c r="AU325" s="1" t="s">
        <v>308</v>
      </c>
      <c r="AV325" s="1">
        <v>54.85</v>
      </c>
      <c r="AW325" s="1"/>
      <c r="AX325" s="1" t="s">
        <v>976</v>
      </c>
      <c r="AY325" s="1" t="s">
        <v>6507</v>
      </c>
      <c r="AZ325" s="1" t="s">
        <v>433</v>
      </c>
      <c r="BA325" s="1" t="s">
        <v>202</v>
      </c>
      <c r="BB325" s="1">
        <v>66.4</v>
      </c>
      <c r="BC325" s="1">
        <v>7.21</v>
      </c>
      <c r="BD325" s="1"/>
      <c r="BE325" s="1"/>
      <c r="BF325" s="1"/>
      <c r="BG325" s="1"/>
      <c r="BH325" s="1"/>
      <c r="BI325" s="1"/>
      <c r="BJ325" s="1" t="s">
        <v>6508</v>
      </c>
      <c r="BK325" s="1"/>
      <c r="BL325" s="1"/>
      <c r="BM325" s="1" t="s">
        <v>6509</v>
      </c>
      <c r="BN325" s="1">
        <v>42</v>
      </c>
      <c r="BO325" s="1"/>
      <c r="BP325" s="1" t="str">
        <f>HYPERLINK("https://nconnect.nicmar.ac.in/storage/profile/ProfilePhoto_P25700317_381597.jpg","Download")</f>
        <v>0</v>
      </c>
      <c r="BQ325" s="3"/>
      <c r="BR325" s="3"/>
    </row>
    <row r="326" spans="1:70">
      <c r="A326" s="1" t="s">
        <v>70</v>
      </c>
      <c r="B326" s="1" t="s">
        <v>441</v>
      </c>
      <c r="C326" s="1" t="s">
        <v>6510</v>
      </c>
      <c r="D326" s="1" t="s">
        <v>6511</v>
      </c>
      <c r="E326" s="1" t="s">
        <v>6512</v>
      </c>
      <c r="F326" s="1" t="s">
        <v>6513</v>
      </c>
      <c r="G326" s="1" t="s">
        <v>6514</v>
      </c>
      <c r="H326" s="1" t="s">
        <v>6515</v>
      </c>
      <c r="I326" s="1" t="s">
        <v>6516</v>
      </c>
      <c r="J326" s="1">
        <v>9607229977</v>
      </c>
      <c r="K326" s="1" t="s">
        <v>79</v>
      </c>
      <c r="L326" s="1" t="s">
        <v>6517</v>
      </c>
      <c r="M326" s="1" t="s">
        <v>81</v>
      </c>
      <c r="N326" s="1" t="s">
        <v>751</v>
      </c>
      <c r="O326" s="1" t="s">
        <v>6518</v>
      </c>
      <c r="P326" s="1" t="s">
        <v>117</v>
      </c>
      <c r="Q326" s="1" t="s">
        <v>6519</v>
      </c>
      <c r="R326" s="1" t="s">
        <v>6520</v>
      </c>
      <c r="S326" s="1">
        <v>9420239215</v>
      </c>
      <c r="T326" s="1" t="s">
        <v>154</v>
      </c>
      <c r="U326" s="1" t="s">
        <v>6521</v>
      </c>
      <c r="V326" s="1">
        <v>9403005017</v>
      </c>
      <c r="W326" s="1" t="s">
        <v>6522</v>
      </c>
      <c r="X326" s="1" t="s">
        <v>6523</v>
      </c>
      <c r="Y326" s="1" t="s">
        <v>219</v>
      </c>
      <c r="Z326" s="1" t="s">
        <v>92</v>
      </c>
      <c r="AA326" s="1" t="s">
        <v>6524</v>
      </c>
      <c r="AB326" s="1" t="s">
        <v>191</v>
      </c>
      <c r="AC326" s="1" t="s">
        <v>92</v>
      </c>
      <c r="AD326" s="1">
        <v>7.71</v>
      </c>
      <c r="AE326" s="1" t="s">
        <v>93</v>
      </c>
      <c r="AF326" s="1" t="s">
        <v>6525</v>
      </c>
      <c r="AG326" s="1" t="s">
        <v>5915</v>
      </c>
      <c r="AH326" s="1" t="s">
        <v>128</v>
      </c>
      <c r="AI326" s="1" t="s">
        <v>101</v>
      </c>
      <c r="AJ326" s="1">
        <v>79.2</v>
      </c>
      <c r="AK326" s="1"/>
      <c r="AL326" s="1"/>
      <c r="AM326" s="1"/>
      <c r="AN326" s="1"/>
      <c r="AO326" s="1"/>
      <c r="AP326" s="1"/>
      <c r="AQ326" s="1"/>
      <c r="AR326" s="1" t="s">
        <v>250</v>
      </c>
      <c r="AS326" s="1" t="s">
        <v>6526</v>
      </c>
      <c r="AT326" s="1" t="s">
        <v>1043</v>
      </c>
      <c r="AU326" s="1" t="s">
        <v>542</v>
      </c>
      <c r="AV326" s="1">
        <v>92.26</v>
      </c>
      <c r="AW326" s="1"/>
      <c r="AX326" s="1" t="s">
        <v>361</v>
      </c>
      <c r="AY326" s="1" t="s">
        <v>6527</v>
      </c>
      <c r="AZ326" s="1" t="s">
        <v>852</v>
      </c>
      <c r="BA326" s="1" t="s">
        <v>202</v>
      </c>
      <c r="BB326" s="1">
        <v>74.6</v>
      </c>
      <c r="BC326" s="1">
        <v>8.3</v>
      </c>
      <c r="BD326" s="1"/>
      <c r="BE326" s="1"/>
      <c r="BF326" s="1"/>
      <c r="BG326" s="1"/>
      <c r="BH326" s="1"/>
      <c r="BI326" s="1"/>
      <c r="BJ326" s="1" t="s">
        <v>6528</v>
      </c>
      <c r="BK326" s="1"/>
      <c r="BL326" s="1"/>
      <c r="BM326" s="1" t="s">
        <v>6529</v>
      </c>
      <c r="BN326" s="1">
        <v>38</v>
      </c>
      <c r="BO326" s="1" t="s">
        <v>6530</v>
      </c>
      <c r="BP326" s="1" t="str">
        <f>HYPERLINK("https://nconnect.nicmar.ac.in/storage/profile/ProfilePhoto_P25700318_763418.jpg","Download")</f>
        <v>0</v>
      </c>
      <c r="BQ326" s="3"/>
      <c r="BR326" s="3"/>
    </row>
    <row r="327" spans="1:70">
      <c r="A327" s="1" t="s">
        <v>70</v>
      </c>
      <c r="B327" s="1" t="s">
        <v>441</v>
      </c>
      <c r="C327" s="1" t="s">
        <v>6531</v>
      </c>
      <c r="D327" s="1" t="s">
        <v>1867</v>
      </c>
      <c r="E327" s="1"/>
      <c r="F327" s="1" t="s">
        <v>6532</v>
      </c>
      <c r="G327" s="1" t="s">
        <v>6533</v>
      </c>
      <c r="H327" s="1" t="s">
        <v>6534</v>
      </c>
      <c r="I327" s="1" t="s">
        <v>6535</v>
      </c>
      <c r="J327" s="1">
        <v>8390284585</v>
      </c>
      <c r="K327" s="1" t="s">
        <v>79</v>
      </c>
      <c r="L327" s="1" t="s">
        <v>6536</v>
      </c>
      <c r="M327" s="1" t="s">
        <v>81</v>
      </c>
      <c r="N327" s="1" t="s">
        <v>6537</v>
      </c>
      <c r="O327" s="1"/>
      <c r="P327" s="1" t="s">
        <v>472</v>
      </c>
      <c r="Q327" s="1" t="s">
        <v>6538</v>
      </c>
      <c r="R327" s="1" t="s">
        <v>6539</v>
      </c>
      <c r="S327" s="1">
        <v>9765376109</v>
      </c>
      <c r="T327" s="1" t="s">
        <v>120</v>
      </c>
      <c r="U327" s="1" t="s">
        <v>6540</v>
      </c>
      <c r="V327" s="1">
        <v>9823356378</v>
      </c>
      <c r="W327" s="1" t="s">
        <v>156</v>
      </c>
      <c r="X327" s="1" t="s">
        <v>6541</v>
      </c>
      <c r="Y327" s="1" t="s">
        <v>1754</v>
      </c>
      <c r="Z327" s="1" t="s">
        <v>92</v>
      </c>
      <c r="AA327" s="1" t="s">
        <v>6542</v>
      </c>
      <c r="AB327" s="1" t="s">
        <v>6543</v>
      </c>
      <c r="AC327" s="1" t="s">
        <v>6544</v>
      </c>
      <c r="AD327" s="1">
        <v>7.68</v>
      </c>
      <c r="AE327" s="1" t="s">
        <v>93</v>
      </c>
      <c r="AF327" s="1" t="s">
        <v>6545</v>
      </c>
      <c r="AG327" s="1" t="s">
        <v>6546</v>
      </c>
      <c r="AH327" s="1" t="s">
        <v>161</v>
      </c>
      <c r="AI327" s="1" t="s">
        <v>614</v>
      </c>
      <c r="AJ327" s="1">
        <v>74.67</v>
      </c>
      <c r="AK327" s="1"/>
      <c r="AL327" s="1" t="s">
        <v>6547</v>
      </c>
      <c r="AM327" s="1" t="s">
        <v>6546</v>
      </c>
      <c r="AN327" s="1" t="s">
        <v>165</v>
      </c>
      <c r="AO327" s="1" t="s">
        <v>481</v>
      </c>
      <c r="AP327" s="1">
        <v>65.33</v>
      </c>
      <c r="AQ327" s="1"/>
      <c r="AR327" s="1"/>
      <c r="AS327" s="1"/>
      <c r="AT327" s="1"/>
      <c r="AU327" s="1"/>
      <c r="AV327" s="1"/>
      <c r="AW327" s="1"/>
      <c r="AX327" s="1" t="s">
        <v>6548</v>
      </c>
      <c r="AY327" s="1" t="s">
        <v>6549</v>
      </c>
      <c r="AZ327" s="1" t="s">
        <v>1043</v>
      </c>
      <c r="BA327" s="1" t="s">
        <v>1777</v>
      </c>
      <c r="BB327" s="1">
        <v>60.6</v>
      </c>
      <c r="BC327" s="1"/>
      <c r="BD327" s="1"/>
      <c r="BE327" s="1"/>
      <c r="BF327" s="1"/>
      <c r="BG327" s="1"/>
      <c r="BH327" s="1"/>
      <c r="BI327" s="1"/>
      <c r="BJ327" s="1" t="s">
        <v>6550</v>
      </c>
      <c r="BK327" s="1" t="s">
        <v>6551</v>
      </c>
      <c r="BL327" s="1" t="s">
        <v>4887</v>
      </c>
      <c r="BM327" s="1" t="s">
        <v>6552</v>
      </c>
      <c r="BN327" s="1">
        <v>9</v>
      </c>
      <c r="BO327" s="1" t="s">
        <v>6553</v>
      </c>
      <c r="BP327" s="1" t="str">
        <f>HYPERLINK("https://nconnect.nicmar.ac.in/storage/profile/ProfilePhoto_P25700320_432967.jpg","Download")</f>
        <v>0</v>
      </c>
      <c r="BQ327" s="3"/>
      <c r="BR327" s="3"/>
    </row>
    <row r="328" spans="1:70">
      <c r="A328" s="1" t="s">
        <v>70</v>
      </c>
      <c r="B328" s="1" t="s">
        <v>441</v>
      </c>
      <c r="C328" s="1" t="s">
        <v>6554</v>
      </c>
      <c r="D328" s="1" t="s">
        <v>6555</v>
      </c>
      <c r="E328" s="1"/>
      <c r="F328" s="1" t="s">
        <v>6556</v>
      </c>
      <c r="G328" s="1" t="s">
        <v>6557</v>
      </c>
      <c r="H328" s="1" t="s">
        <v>6558</v>
      </c>
      <c r="I328" s="1" t="s">
        <v>6559</v>
      </c>
      <c r="J328" s="1">
        <v>7838940331</v>
      </c>
      <c r="K328" s="1" t="s">
        <v>79</v>
      </c>
      <c r="L328" s="1" t="s">
        <v>6560</v>
      </c>
      <c r="M328" s="1" t="s">
        <v>81</v>
      </c>
      <c r="N328" s="1" t="s">
        <v>6561</v>
      </c>
      <c r="O328" s="1"/>
      <c r="P328" s="1" t="s">
        <v>1007</v>
      </c>
      <c r="Q328" s="1" t="s">
        <v>6562</v>
      </c>
      <c r="R328" s="1" t="s">
        <v>6563</v>
      </c>
      <c r="S328" s="1">
        <v>9650036051</v>
      </c>
      <c r="T328" s="1" t="s">
        <v>6564</v>
      </c>
      <c r="U328" s="1" t="s">
        <v>6565</v>
      </c>
      <c r="V328" s="1">
        <v>9650036051</v>
      </c>
      <c r="W328" s="1" t="s">
        <v>156</v>
      </c>
      <c r="X328" s="1" t="s">
        <v>6566</v>
      </c>
      <c r="Y328" s="1" t="s">
        <v>191</v>
      </c>
      <c r="Z328" s="1" t="s">
        <v>92</v>
      </c>
      <c r="AA328" s="1" t="s">
        <v>6567</v>
      </c>
      <c r="AB328" s="1" t="s">
        <v>1713</v>
      </c>
      <c r="AC328" s="1" t="s">
        <v>1714</v>
      </c>
      <c r="AD328" s="1">
        <v>8.07</v>
      </c>
      <c r="AE328" s="1" t="s">
        <v>93</v>
      </c>
      <c r="AF328" s="1" t="s">
        <v>6568</v>
      </c>
      <c r="AG328" s="1" t="s">
        <v>6569</v>
      </c>
      <c r="AH328" s="1" t="s">
        <v>481</v>
      </c>
      <c r="AI328" s="1" t="s">
        <v>308</v>
      </c>
      <c r="AJ328" s="1">
        <v>93.4</v>
      </c>
      <c r="AK328" s="1">
        <v>0</v>
      </c>
      <c r="AL328" s="1" t="s">
        <v>6568</v>
      </c>
      <c r="AM328" s="1" t="s">
        <v>6569</v>
      </c>
      <c r="AN328" s="1" t="s">
        <v>956</v>
      </c>
      <c r="AO328" s="1" t="s">
        <v>539</v>
      </c>
      <c r="AP328" s="1">
        <v>85.6</v>
      </c>
      <c r="AQ328" s="1">
        <v>0</v>
      </c>
      <c r="AR328" s="1"/>
      <c r="AS328" s="1"/>
      <c r="AT328" s="1"/>
      <c r="AU328" s="1"/>
      <c r="AV328" s="1"/>
      <c r="AW328" s="1"/>
      <c r="AX328" s="1" t="s">
        <v>6570</v>
      </c>
      <c r="AY328" s="1" t="s">
        <v>6571</v>
      </c>
      <c r="AZ328" s="1" t="s">
        <v>852</v>
      </c>
      <c r="BA328" s="1" t="s">
        <v>543</v>
      </c>
      <c r="BB328" s="1">
        <v>87.9</v>
      </c>
      <c r="BC328" s="1">
        <v>8.79</v>
      </c>
      <c r="BD328" s="1"/>
      <c r="BE328" s="1"/>
      <c r="BF328" s="1"/>
      <c r="BG328" s="1"/>
      <c r="BH328" s="1"/>
      <c r="BI328" s="1"/>
      <c r="BJ328" s="1" t="s">
        <v>255</v>
      </c>
      <c r="BK328" s="1"/>
      <c r="BL328" s="1"/>
      <c r="BM328" s="1" t="s">
        <v>6572</v>
      </c>
      <c r="BN328" s="1">
        <v>14</v>
      </c>
      <c r="BO328" s="1" t="s">
        <v>6573</v>
      </c>
      <c r="BP328" s="1" t="str">
        <f>HYPERLINK("https://nconnect.nicmar.ac.in/storage/profile/ProfilePhoto_P25700321_248693.jpg","Download")</f>
        <v>0</v>
      </c>
      <c r="BQ328" s="3"/>
      <c r="BR328" s="3"/>
    </row>
    <row r="329" spans="1:70">
      <c r="A329" s="1" t="s">
        <v>70</v>
      </c>
      <c r="B329" s="1" t="s">
        <v>441</v>
      </c>
      <c r="C329" s="1" t="s">
        <v>6574</v>
      </c>
      <c r="D329" s="1" t="s">
        <v>6575</v>
      </c>
      <c r="E329" s="1"/>
      <c r="F329" s="1" t="s">
        <v>6576</v>
      </c>
      <c r="G329" s="1" t="s">
        <v>6577</v>
      </c>
      <c r="H329" s="1" t="s">
        <v>6578</v>
      </c>
      <c r="I329" s="1" t="s">
        <v>6579</v>
      </c>
      <c r="J329" s="1">
        <v>8848590645</v>
      </c>
      <c r="K329" s="1" t="s">
        <v>79</v>
      </c>
      <c r="L329" s="1" t="s">
        <v>6580</v>
      </c>
      <c r="M329" s="1" t="s">
        <v>81</v>
      </c>
      <c r="N329" s="1" t="s">
        <v>6581</v>
      </c>
      <c r="O329" s="1"/>
      <c r="P329" s="1" t="s">
        <v>450</v>
      </c>
      <c r="Q329" s="1" t="s">
        <v>6582</v>
      </c>
      <c r="R329" s="1" t="s">
        <v>6583</v>
      </c>
      <c r="S329" s="1">
        <v>9495679411</v>
      </c>
      <c r="T329" s="1" t="s">
        <v>6584</v>
      </c>
      <c r="U329" s="1" t="s">
        <v>6585</v>
      </c>
      <c r="V329" s="1">
        <v>8281733209</v>
      </c>
      <c r="W329" s="1" t="s">
        <v>6584</v>
      </c>
      <c r="X329" s="1" t="s">
        <v>6586</v>
      </c>
      <c r="Y329" s="1" t="s">
        <v>3209</v>
      </c>
      <c r="Z329" s="1" t="s">
        <v>125</v>
      </c>
      <c r="AA329" s="1" t="s">
        <v>6586</v>
      </c>
      <c r="AB329" s="1" t="s">
        <v>3209</v>
      </c>
      <c r="AC329" s="1" t="s">
        <v>125</v>
      </c>
      <c r="AD329" s="1">
        <v>8.64</v>
      </c>
      <c r="AE329" s="1" t="s">
        <v>93</v>
      </c>
      <c r="AF329" s="1" t="s">
        <v>6587</v>
      </c>
      <c r="AG329" s="1" t="s">
        <v>6588</v>
      </c>
      <c r="AH329" s="1" t="s">
        <v>689</v>
      </c>
      <c r="AI329" s="1" t="s">
        <v>166</v>
      </c>
      <c r="AJ329" s="1">
        <v>92.6</v>
      </c>
      <c r="AK329" s="1"/>
      <c r="AL329" s="1" t="s">
        <v>6587</v>
      </c>
      <c r="AM329" s="1" t="s">
        <v>6588</v>
      </c>
      <c r="AN329" s="1" t="s">
        <v>537</v>
      </c>
      <c r="AO329" s="1" t="s">
        <v>173</v>
      </c>
      <c r="AP329" s="1">
        <v>90.2</v>
      </c>
      <c r="AQ329" s="1"/>
      <c r="AR329" s="1"/>
      <c r="AS329" s="1"/>
      <c r="AT329" s="1"/>
      <c r="AU329" s="1"/>
      <c r="AV329" s="1"/>
      <c r="AW329" s="1"/>
      <c r="AX329" s="1" t="s">
        <v>132</v>
      </c>
      <c r="AY329" s="1" t="s">
        <v>6589</v>
      </c>
      <c r="AZ329" s="1" t="s">
        <v>593</v>
      </c>
      <c r="BA329" s="1" t="s">
        <v>594</v>
      </c>
      <c r="BB329" s="1">
        <v>71.4</v>
      </c>
      <c r="BC329" s="1"/>
      <c r="BD329" s="1"/>
      <c r="BE329" s="1"/>
      <c r="BF329" s="1"/>
      <c r="BG329" s="1"/>
      <c r="BH329" s="1"/>
      <c r="BI329" s="1"/>
      <c r="BJ329" s="1" t="s">
        <v>6590</v>
      </c>
      <c r="BK329" s="1"/>
      <c r="BL329" s="1"/>
      <c r="BM329" s="1" t="s">
        <v>6591</v>
      </c>
      <c r="BN329" s="1">
        <v>9</v>
      </c>
      <c r="BO329" s="1"/>
      <c r="BP329" s="1" t="str">
        <f>HYPERLINK("https://nconnect.nicmar.ac.in/storage/profile/ProfilePhoto_P25700322_174659.jpg","Download")</f>
        <v>0</v>
      </c>
      <c r="BQ329" s="3"/>
      <c r="BR329" s="3"/>
    </row>
    <row r="330" spans="1:70">
      <c r="A330" s="1" t="s">
        <v>70</v>
      </c>
      <c r="B330" s="1" t="s">
        <v>441</v>
      </c>
      <c r="C330" s="1" t="s">
        <v>6592</v>
      </c>
      <c r="D330" s="1" t="s">
        <v>6593</v>
      </c>
      <c r="E330" s="1"/>
      <c r="F330" s="1" t="s">
        <v>6594</v>
      </c>
      <c r="G330" s="1" t="s">
        <v>6595</v>
      </c>
      <c r="H330" s="1" t="s">
        <v>6596</v>
      </c>
      <c r="I330" s="1" t="s">
        <v>6597</v>
      </c>
      <c r="J330" s="1">
        <v>7385659046</v>
      </c>
      <c r="K330" s="1" t="s">
        <v>79</v>
      </c>
      <c r="L330" s="1" t="s">
        <v>6598</v>
      </c>
      <c r="M330" s="1" t="s">
        <v>81</v>
      </c>
      <c r="N330" s="1" t="s">
        <v>6599</v>
      </c>
      <c r="O330" s="1"/>
      <c r="P330" s="1" t="s">
        <v>497</v>
      </c>
      <c r="Q330" s="1" t="s">
        <v>6600</v>
      </c>
      <c r="R330" s="1" t="s">
        <v>6601</v>
      </c>
      <c r="S330" s="1">
        <v>7030882121</v>
      </c>
      <c r="T330" s="1" t="s">
        <v>6602</v>
      </c>
      <c r="U330" s="1" t="s">
        <v>6603</v>
      </c>
      <c r="V330" s="1">
        <v>9970767523</v>
      </c>
      <c r="W330" s="1" t="s">
        <v>122</v>
      </c>
      <c r="X330" s="1" t="s">
        <v>6604</v>
      </c>
      <c r="Y330" s="1" t="s">
        <v>158</v>
      </c>
      <c r="Z330" s="1" t="s">
        <v>92</v>
      </c>
      <c r="AA330" s="1" t="s">
        <v>6604</v>
      </c>
      <c r="AB330" s="1" t="s">
        <v>158</v>
      </c>
      <c r="AC330" s="1" t="s">
        <v>92</v>
      </c>
      <c r="AD330" s="1">
        <v>7.34</v>
      </c>
      <c r="AE330" s="1" t="s">
        <v>93</v>
      </c>
      <c r="AF330" s="1" t="s">
        <v>4742</v>
      </c>
      <c r="AG330" s="1" t="s">
        <v>6605</v>
      </c>
      <c r="AH330" s="1" t="s">
        <v>1088</v>
      </c>
      <c r="AI330" s="1" t="s">
        <v>162</v>
      </c>
      <c r="AJ330" s="1">
        <v>80.4</v>
      </c>
      <c r="AK330" s="1"/>
      <c r="AL330" s="1" t="s">
        <v>6606</v>
      </c>
      <c r="AM330" s="1" t="s">
        <v>6605</v>
      </c>
      <c r="AN330" s="1" t="s">
        <v>162</v>
      </c>
      <c r="AO330" s="1" t="s">
        <v>101</v>
      </c>
      <c r="AP330" s="1">
        <v>74.15</v>
      </c>
      <c r="AQ330" s="1"/>
      <c r="AR330" s="1"/>
      <c r="AS330" s="1"/>
      <c r="AT330" s="1"/>
      <c r="AU330" s="1"/>
      <c r="AV330" s="1"/>
      <c r="AW330" s="1"/>
      <c r="AX330" s="1" t="s">
        <v>6607</v>
      </c>
      <c r="AY330" s="1" t="s">
        <v>6608</v>
      </c>
      <c r="AZ330" s="1" t="s">
        <v>310</v>
      </c>
      <c r="BA330" s="1" t="s">
        <v>1378</v>
      </c>
      <c r="BB330" s="1">
        <v>81.6</v>
      </c>
      <c r="BC330" s="1">
        <v>8.66</v>
      </c>
      <c r="BD330" s="1"/>
      <c r="BE330" s="1"/>
      <c r="BF330" s="1"/>
      <c r="BG330" s="1"/>
      <c r="BH330" s="1"/>
      <c r="BI330" s="1"/>
      <c r="BJ330" s="1" t="s">
        <v>6609</v>
      </c>
      <c r="BK330" s="1"/>
      <c r="BL330" s="1"/>
      <c r="BM330" s="1" t="s">
        <v>6610</v>
      </c>
      <c r="BN330" s="1">
        <v>14</v>
      </c>
      <c r="BO330" s="1" t="s">
        <v>6611</v>
      </c>
      <c r="BP330" s="1" t="str">
        <f>HYPERLINK("https://nconnect.nicmar.ac.in/storage/profile/ProfilePhoto_P25700323_852916.jpg","Download")</f>
        <v>0</v>
      </c>
      <c r="BQ330" s="3"/>
      <c r="BR330" s="3"/>
    </row>
    <row r="331" spans="1:70">
      <c r="A331" s="1" t="s">
        <v>70</v>
      </c>
      <c r="B331" s="1" t="s">
        <v>441</v>
      </c>
      <c r="C331" s="1" t="s">
        <v>6612</v>
      </c>
      <c r="D331" s="1" t="s">
        <v>6613</v>
      </c>
      <c r="E331" s="1"/>
      <c r="F331" s="1" t="s">
        <v>5810</v>
      </c>
      <c r="G331" s="1" t="s">
        <v>6614</v>
      </c>
      <c r="H331" s="1" t="s">
        <v>6615</v>
      </c>
      <c r="I331" s="1" t="s">
        <v>6616</v>
      </c>
      <c r="J331" s="1">
        <v>9720745458</v>
      </c>
      <c r="K331" s="1" t="s">
        <v>79</v>
      </c>
      <c r="L331" s="1" t="s">
        <v>6617</v>
      </c>
      <c r="M331" s="1" t="s">
        <v>81</v>
      </c>
      <c r="N331" s="1" t="s">
        <v>350</v>
      </c>
      <c r="O331" s="1"/>
      <c r="P331" s="1" t="s">
        <v>497</v>
      </c>
      <c r="Q331" s="1" t="s">
        <v>6618</v>
      </c>
      <c r="R331" s="1" t="s">
        <v>6619</v>
      </c>
      <c r="S331" s="1">
        <v>9719832735</v>
      </c>
      <c r="T331" s="1" t="s">
        <v>154</v>
      </c>
      <c r="U331" s="1" t="s">
        <v>6620</v>
      </c>
      <c r="V331" s="1">
        <v>8006914895</v>
      </c>
      <c r="W331" s="1" t="s">
        <v>89</v>
      </c>
      <c r="X331" s="1" t="s">
        <v>6621</v>
      </c>
      <c r="Y331" s="1" t="s">
        <v>775</v>
      </c>
      <c r="Z331" s="1" t="s">
        <v>534</v>
      </c>
      <c r="AA331" s="1" t="s">
        <v>6621</v>
      </c>
      <c r="AB331" s="1" t="s">
        <v>775</v>
      </c>
      <c r="AC331" s="1" t="s">
        <v>534</v>
      </c>
      <c r="AD331" s="1">
        <v>8.04</v>
      </c>
      <c r="AE331" s="1" t="s">
        <v>93</v>
      </c>
      <c r="AF331" s="1" t="s">
        <v>6622</v>
      </c>
      <c r="AG331" s="1" t="s">
        <v>6623</v>
      </c>
      <c r="AH331" s="1" t="s">
        <v>689</v>
      </c>
      <c r="AI331" s="1" t="s">
        <v>166</v>
      </c>
      <c r="AJ331" s="1">
        <v>76.4</v>
      </c>
      <c r="AK331" s="1"/>
      <c r="AL331" s="1" t="s">
        <v>6624</v>
      </c>
      <c r="AM331" s="1" t="s">
        <v>6623</v>
      </c>
      <c r="AN331" s="1" t="s">
        <v>537</v>
      </c>
      <c r="AO331" s="1" t="s">
        <v>173</v>
      </c>
      <c r="AP331" s="1">
        <v>75</v>
      </c>
      <c r="AQ331" s="1"/>
      <c r="AR331" s="1"/>
      <c r="AS331" s="1"/>
      <c r="AT331" s="1"/>
      <c r="AU331" s="1"/>
      <c r="AV331" s="1"/>
      <c r="AW331" s="1"/>
      <c r="AX331" s="1" t="s">
        <v>6625</v>
      </c>
      <c r="AY331" s="1" t="s">
        <v>6626</v>
      </c>
      <c r="AZ331" s="1" t="s">
        <v>1019</v>
      </c>
      <c r="BA331" s="1" t="s">
        <v>1067</v>
      </c>
      <c r="BB331" s="1">
        <v>73.6</v>
      </c>
      <c r="BC331" s="1">
        <v>7.36</v>
      </c>
      <c r="BD331" s="1"/>
      <c r="BE331" s="1"/>
      <c r="BF331" s="1"/>
      <c r="BG331" s="1"/>
      <c r="BH331" s="1"/>
      <c r="BI331" s="1"/>
      <c r="BJ331" s="1" t="s">
        <v>567</v>
      </c>
      <c r="BK331" s="1"/>
      <c r="BL331" s="1"/>
      <c r="BM331" s="1" t="s">
        <v>6627</v>
      </c>
      <c r="BN331" s="1">
        <v>16</v>
      </c>
      <c r="BO331" s="1"/>
      <c r="BP331" s="1" t="str">
        <f>HYPERLINK("https://nconnect.nicmar.ac.in/storage/profile/ProfilePhoto_P25700324_649581.jpg","Download")</f>
        <v>0</v>
      </c>
      <c r="BQ331" s="3"/>
      <c r="BR331" s="3"/>
    </row>
    <row r="332" spans="1:70">
      <c r="A332" s="1" t="s">
        <v>70</v>
      </c>
      <c r="B332" s="1" t="s">
        <v>441</v>
      </c>
      <c r="C332" s="1" t="s">
        <v>6628</v>
      </c>
      <c r="D332" s="1" t="s">
        <v>5754</v>
      </c>
      <c r="E332" s="1" t="s">
        <v>6629</v>
      </c>
      <c r="F332" s="1" t="s">
        <v>6630</v>
      </c>
      <c r="G332" s="1" t="s">
        <v>6631</v>
      </c>
      <c r="H332" s="1" t="s">
        <v>6632</v>
      </c>
      <c r="I332" s="1" t="s">
        <v>6633</v>
      </c>
      <c r="J332" s="1">
        <v>8866685393</v>
      </c>
      <c r="K332" s="1" t="s">
        <v>79</v>
      </c>
      <c r="L332" s="1" t="s">
        <v>6634</v>
      </c>
      <c r="M332" s="1" t="s">
        <v>81</v>
      </c>
      <c r="N332" s="1" t="s">
        <v>6635</v>
      </c>
      <c r="O332" s="1"/>
      <c r="P332" s="1" t="s">
        <v>497</v>
      </c>
      <c r="Q332" s="1" t="s">
        <v>6636</v>
      </c>
      <c r="R332" s="1" t="s">
        <v>6637</v>
      </c>
      <c r="S332" s="1">
        <v>9879360698</v>
      </c>
      <c r="T332" s="1" t="s">
        <v>6638</v>
      </c>
      <c r="U332" s="1" t="s">
        <v>6639</v>
      </c>
      <c r="V332" s="1">
        <v>7874786501</v>
      </c>
      <c r="W332" s="1" t="s">
        <v>122</v>
      </c>
      <c r="X332" s="1" t="s">
        <v>6640</v>
      </c>
      <c r="Y332" s="1" t="s">
        <v>5141</v>
      </c>
      <c r="Z332" s="1" t="s">
        <v>662</v>
      </c>
      <c r="AA332" s="1" t="s">
        <v>6640</v>
      </c>
      <c r="AB332" s="1" t="s">
        <v>5141</v>
      </c>
      <c r="AC332" s="1" t="s">
        <v>662</v>
      </c>
      <c r="AD332" s="1">
        <v>9.02</v>
      </c>
      <c r="AE332" s="1" t="s">
        <v>93</v>
      </c>
      <c r="AF332" s="1" t="s">
        <v>6641</v>
      </c>
      <c r="AG332" s="1" t="s">
        <v>6642</v>
      </c>
      <c r="AH332" s="1" t="s">
        <v>96</v>
      </c>
      <c r="AI332" s="1" t="s">
        <v>97</v>
      </c>
      <c r="AJ332" s="1">
        <v>71.5</v>
      </c>
      <c r="AK332" s="1">
        <v>0</v>
      </c>
      <c r="AL332" s="1" t="s">
        <v>6641</v>
      </c>
      <c r="AM332" s="1" t="s">
        <v>6642</v>
      </c>
      <c r="AN332" s="1" t="s">
        <v>162</v>
      </c>
      <c r="AO332" s="1" t="s">
        <v>195</v>
      </c>
      <c r="AP332" s="1">
        <v>64</v>
      </c>
      <c r="AQ332" s="1">
        <v>0</v>
      </c>
      <c r="AR332" s="1"/>
      <c r="AS332" s="1"/>
      <c r="AT332" s="1"/>
      <c r="AU332" s="1"/>
      <c r="AV332" s="1"/>
      <c r="AW332" s="1"/>
      <c r="AX332" s="1" t="s">
        <v>5245</v>
      </c>
      <c r="AY332" s="1" t="s">
        <v>6643</v>
      </c>
      <c r="AZ332" s="1" t="s">
        <v>383</v>
      </c>
      <c r="BA332" s="1" t="s">
        <v>828</v>
      </c>
      <c r="BB332" s="1">
        <v>77.8</v>
      </c>
      <c r="BC332" s="1">
        <v>8.28</v>
      </c>
      <c r="BD332" s="1"/>
      <c r="BE332" s="1"/>
      <c r="BF332" s="1"/>
      <c r="BG332" s="1"/>
      <c r="BH332" s="1"/>
      <c r="BI332" s="1"/>
      <c r="BJ332" s="1" t="s">
        <v>6644</v>
      </c>
      <c r="BK332" s="1" t="s">
        <v>6645</v>
      </c>
      <c r="BL332" s="1" t="s">
        <v>6646</v>
      </c>
      <c r="BM332" s="1" t="s">
        <v>6647</v>
      </c>
      <c r="BN332" s="1">
        <v>9</v>
      </c>
      <c r="BO332" s="1" t="s">
        <v>6648</v>
      </c>
      <c r="BP332" s="1" t="str">
        <f>HYPERLINK("https://nconnect.nicmar.ac.in/storage/profile/6a6247e7c603e.png","Download")</f>
        <v>0</v>
      </c>
      <c r="BQ332" s="3"/>
      <c r="BR332" s="3"/>
    </row>
    <row r="333" spans="1:70">
      <c r="A333" s="1" t="s">
        <v>70</v>
      </c>
      <c r="B333" s="1" t="s">
        <v>441</v>
      </c>
      <c r="C333" s="1" t="s">
        <v>6649</v>
      </c>
      <c r="D333" s="1" t="s">
        <v>6650</v>
      </c>
      <c r="E333" s="1"/>
      <c r="F333" s="1" t="s">
        <v>6651</v>
      </c>
      <c r="G333" s="1" t="s">
        <v>6652</v>
      </c>
      <c r="H333" s="1" t="s">
        <v>6653</v>
      </c>
      <c r="I333" s="1" t="s">
        <v>6654</v>
      </c>
      <c r="J333" s="1">
        <v>8618327899</v>
      </c>
      <c r="K333" s="1" t="s">
        <v>148</v>
      </c>
      <c r="L333" s="1" t="s">
        <v>6655</v>
      </c>
      <c r="M333" s="1" t="s">
        <v>81</v>
      </c>
      <c r="N333" s="1" t="s">
        <v>6656</v>
      </c>
      <c r="O333" s="1"/>
      <c r="P333" s="1" t="s">
        <v>497</v>
      </c>
      <c r="Q333" s="1" t="s">
        <v>6657</v>
      </c>
      <c r="R333" s="1" t="s">
        <v>6658</v>
      </c>
      <c r="S333" s="1">
        <v>7338431029</v>
      </c>
      <c r="T333" s="1" t="s">
        <v>120</v>
      </c>
      <c r="U333" s="1" t="s">
        <v>6659</v>
      </c>
      <c r="V333" s="1">
        <v>9535545539</v>
      </c>
      <c r="W333" s="1" t="s">
        <v>1553</v>
      </c>
      <c r="X333" s="1" t="s">
        <v>6660</v>
      </c>
      <c r="Y333" s="1" t="s">
        <v>3151</v>
      </c>
      <c r="Z333" s="1" t="s">
        <v>1187</v>
      </c>
      <c r="AA333" s="1" t="s">
        <v>6660</v>
      </c>
      <c r="AB333" s="1" t="s">
        <v>3151</v>
      </c>
      <c r="AC333" s="1" t="s">
        <v>1187</v>
      </c>
      <c r="AD333" s="1">
        <v>8.66</v>
      </c>
      <c r="AE333" s="1" t="s">
        <v>93</v>
      </c>
      <c r="AF333" s="1" t="s">
        <v>6661</v>
      </c>
      <c r="AG333" s="1" t="s">
        <v>6662</v>
      </c>
      <c r="AH333" s="1" t="s">
        <v>166</v>
      </c>
      <c r="AI333" s="1" t="s">
        <v>308</v>
      </c>
      <c r="AJ333" s="1">
        <v>81.9</v>
      </c>
      <c r="AK333" s="1">
        <v>0</v>
      </c>
      <c r="AL333" s="1" t="s">
        <v>4623</v>
      </c>
      <c r="AM333" s="1" t="s">
        <v>1193</v>
      </c>
      <c r="AN333" s="1" t="s">
        <v>310</v>
      </c>
      <c r="AO333" s="1" t="s">
        <v>539</v>
      </c>
      <c r="AP333" s="1">
        <v>91.5</v>
      </c>
      <c r="AQ333" s="1">
        <v>0</v>
      </c>
      <c r="AR333" s="1"/>
      <c r="AS333" s="1"/>
      <c r="AT333" s="1"/>
      <c r="AU333" s="1"/>
      <c r="AV333" s="1"/>
      <c r="AW333" s="1"/>
      <c r="AX333" s="1" t="s">
        <v>6663</v>
      </c>
      <c r="AY333" s="1" t="s">
        <v>6664</v>
      </c>
      <c r="AZ333" s="1" t="s">
        <v>135</v>
      </c>
      <c r="BA333" s="1" t="s">
        <v>543</v>
      </c>
      <c r="BB333" s="1">
        <v>76.3</v>
      </c>
      <c r="BC333" s="1">
        <v>7.63</v>
      </c>
      <c r="BD333" s="1"/>
      <c r="BE333" s="1"/>
      <c r="BF333" s="1"/>
      <c r="BG333" s="1"/>
      <c r="BH333" s="1"/>
      <c r="BI333" s="1"/>
      <c r="BJ333" s="1" t="s">
        <v>364</v>
      </c>
      <c r="BK333" s="1"/>
      <c r="BL333" s="1"/>
      <c r="BM333" s="1" t="s">
        <v>6665</v>
      </c>
      <c r="BN333" s="1">
        <v>13</v>
      </c>
      <c r="BO333" s="1"/>
      <c r="BP333" s="1" t="str">
        <f>HYPERLINK("https://nconnect.nicmar.ac.in/storage/profile/ProfilePhoto_P25700327_437895.jpg","Download")</f>
        <v>0</v>
      </c>
      <c r="BQ333" s="3"/>
      <c r="BR333" s="3"/>
    </row>
    <row r="334" spans="1:70">
      <c r="A334" s="1" t="s">
        <v>70</v>
      </c>
      <c r="B334" s="1" t="s">
        <v>441</v>
      </c>
      <c r="C334" s="1" t="s">
        <v>6666</v>
      </c>
      <c r="D334" s="1" t="s">
        <v>6667</v>
      </c>
      <c r="E334" s="1" t="s">
        <v>3368</v>
      </c>
      <c r="F334" s="1" t="s">
        <v>144</v>
      </c>
      <c r="G334" s="1" t="s">
        <v>6668</v>
      </c>
      <c r="H334" s="1" t="s">
        <v>6669</v>
      </c>
      <c r="I334" s="1" t="s">
        <v>6670</v>
      </c>
      <c r="J334" s="1">
        <v>9730221414</v>
      </c>
      <c r="K334" s="1" t="s">
        <v>79</v>
      </c>
      <c r="L334" s="1" t="s">
        <v>6671</v>
      </c>
      <c r="M334" s="1" t="s">
        <v>81</v>
      </c>
      <c r="N334" s="1" t="s">
        <v>605</v>
      </c>
      <c r="O334" s="1"/>
      <c r="P334" s="1" t="s">
        <v>472</v>
      </c>
      <c r="Q334" s="1" t="s">
        <v>6672</v>
      </c>
      <c r="R334" s="1" t="s">
        <v>6673</v>
      </c>
      <c r="S334" s="1">
        <v>9403846002</v>
      </c>
      <c r="T334" s="1" t="s">
        <v>6674</v>
      </c>
      <c r="U334" s="1" t="s">
        <v>6675</v>
      </c>
      <c r="V334" s="1">
        <v>7038720012</v>
      </c>
      <c r="W334" s="1" t="s">
        <v>156</v>
      </c>
      <c r="X334" s="1" t="s">
        <v>6676</v>
      </c>
      <c r="Y334" s="1" t="s">
        <v>191</v>
      </c>
      <c r="Z334" s="1" t="s">
        <v>92</v>
      </c>
      <c r="AA334" s="1" t="s">
        <v>6677</v>
      </c>
      <c r="AB334" s="1" t="s">
        <v>3557</v>
      </c>
      <c r="AC334" s="1" t="s">
        <v>92</v>
      </c>
      <c r="AD334" s="1">
        <v>8.58</v>
      </c>
      <c r="AE334" s="1" t="s">
        <v>93</v>
      </c>
      <c r="AF334" s="1" t="s">
        <v>6678</v>
      </c>
      <c r="AG334" s="1" t="s">
        <v>975</v>
      </c>
      <c r="AH334" s="1" t="s">
        <v>165</v>
      </c>
      <c r="AI334" s="1" t="s">
        <v>281</v>
      </c>
      <c r="AJ334" s="1">
        <v>98.4</v>
      </c>
      <c r="AK334" s="1">
        <v>0</v>
      </c>
      <c r="AL334" s="1" t="s">
        <v>3982</v>
      </c>
      <c r="AM334" s="1" t="s">
        <v>975</v>
      </c>
      <c r="AN334" s="1" t="s">
        <v>310</v>
      </c>
      <c r="AO334" s="1" t="s">
        <v>360</v>
      </c>
      <c r="AP334" s="1">
        <v>81.23</v>
      </c>
      <c r="AQ334" s="1">
        <v>0</v>
      </c>
      <c r="AR334" s="1"/>
      <c r="AS334" s="1"/>
      <c r="AT334" s="1"/>
      <c r="AU334" s="1"/>
      <c r="AV334" s="1"/>
      <c r="AW334" s="1"/>
      <c r="AX334" s="1" t="s">
        <v>361</v>
      </c>
      <c r="AY334" s="1" t="s">
        <v>6679</v>
      </c>
      <c r="AZ334" s="1" t="s">
        <v>1622</v>
      </c>
      <c r="BA334" s="1" t="s">
        <v>594</v>
      </c>
      <c r="BB334" s="1">
        <v>74.9</v>
      </c>
      <c r="BC334" s="1">
        <v>8.24</v>
      </c>
      <c r="BD334" s="1"/>
      <c r="BE334" s="1"/>
      <c r="BF334" s="1"/>
      <c r="BG334" s="1"/>
      <c r="BH334" s="1"/>
      <c r="BI334" s="1"/>
      <c r="BJ334" s="1" t="s">
        <v>6680</v>
      </c>
      <c r="BK334" s="1"/>
      <c r="BL334" s="1"/>
      <c r="BM334" s="1" t="s">
        <v>6681</v>
      </c>
      <c r="BN334" s="1">
        <v>27</v>
      </c>
      <c r="BO334" s="1" t="s">
        <v>6682</v>
      </c>
      <c r="BP334" s="1" t="str">
        <f>HYPERLINK("https://nconnect.nicmar.ac.in/storage/profile/ProfilePhoto_P25700328_694123.jpg","Download")</f>
        <v>0</v>
      </c>
      <c r="BQ334" s="3"/>
      <c r="BR334" s="3"/>
    </row>
    <row r="335" spans="1:70">
      <c r="A335" s="1" t="s">
        <v>70</v>
      </c>
      <c r="B335" s="1" t="s">
        <v>441</v>
      </c>
      <c r="C335" s="1" t="s">
        <v>6683</v>
      </c>
      <c r="D335" s="1" t="s">
        <v>6684</v>
      </c>
      <c r="E335" s="1" t="s">
        <v>6685</v>
      </c>
      <c r="F335" s="1" t="s">
        <v>2965</v>
      </c>
      <c r="G335" s="1" t="s">
        <v>6686</v>
      </c>
      <c r="H335" s="1" t="s">
        <v>6687</v>
      </c>
      <c r="I335" s="1" t="s">
        <v>6688</v>
      </c>
      <c r="J335" s="1">
        <v>9604854747</v>
      </c>
      <c r="K335" s="1" t="s">
        <v>148</v>
      </c>
      <c r="L335" s="1" t="s">
        <v>6689</v>
      </c>
      <c r="M335" s="1" t="s">
        <v>81</v>
      </c>
      <c r="N335" s="1" t="s">
        <v>751</v>
      </c>
      <c r="O335" s="1"/>
      <c r="P335" s="1" t="s">
        <v>472</v>
      </c>
      <c r="Q335" s="1" t="s">
        <v>6690</v>
      </c>
      <c r="R335" s="1" t="s">
        <v>6685</v>
      </c>
      <c r="S335" s="1">
        <v>8459551170</v>
      </c>
      <c r="T335" s="1" t="s">
        <v>122</v>
      </c>
      <c r="U335" s="1" t="s">
        <v>1874</v>
      </c>
      <c r="V335" s="1">
        <v>8208876304</v>
      </c>
      <c r="W335" s="1" t="s">
        <v>156</v>
      </c>
      <c r="X335" s="1" t="s">
        <v>6691</v>
      </c>
      <c r="Y335" s="1" t="s">
        <v>405</v>
      </c>
      <c r="Z335" s="1" t="s">
        <v>92</v>
      </c>
      <c r="AA335" s="1" t="s">
        <v>6691</v>
      </c>
      <c r="AB335" s="1" t="s">
        <v>405</v>
      </c>
      <c r="AC335" s="1" t="s">
        <v>92</v>
      </c>
      <c r="AD335" s="1">
        <v>8.03</v>
      </c>
      <c r="AE335" s="1" t="s">
        <v>93</v>
      </c>
      <c r="AF335" s="1" t="s">
        <v>6692</v>
      </c>
      <c r="AG335" s="1" t="s">
        <v>307</v>
      </c>
      <c r="AH335" s="1" t="s">
        <v>689</v>
      </c>
      <c r="AI335" s="1" t="s">
        <v>166</v>
      </c>
      <c r="AJ335" s="1">
        <v>79.8</v>
      </c>
      <c r="AK335" s="1"/>
      <c r="AL335" s="1" t="s">
        <v>6693</v>
      </c>
      <c r="AM335" s="1" t="s">
        <v>6694</v>
      </c>
      <c r="AN335" s="1" t="s">
        <v>433</v>
      </c>
      <c r="AO335" s="1" t="s">
        <v>460</v>
      </c>
      <c r="AP335" s="1">
        <v>67.85</v>
      </c>
      <c r="AQ335" s="1"/>
      <c r="AR335" s="1"/>
      <c r="AS335" s="1"/>
      <c r="AT335" s="1"/>
      <c r="AU335" s="1"/>
      <c r="AV335" s="1"/>
      <c r="AW335" s="1"/>
      <c r="AX335" s="1" t="s">
        <v>410</v>
      </c>
      <c r="AY335" s="1" t="s">
        <v>5464</v>
      </c>
      <c r="AZ335" s="1" t="s">
        <v>363</v>
      </c>
      <c r="BA335" s="1" t="s">
        <v>413</v>
      </c>
      <c r="BB335" s="1">
        <v>70.5</v>
      </c>
      <c r="BC335" s="1">
        <v>7.8</v>
      </c>
      <c r="BD335" s="1"/>
      <c r="BE335" s="1"/>
      <c r="BF335" s="1"/>
      <c r="BG335" s="1"/>
      <c r="BH335" s="1"/>
      <c r="BI335" s="1"/>
      <c r="BJ335" s="1" t="s">
        <v>6695</v>
      </c>
      <c r="BK335" s="1"/>
      <c r="BL335" s="1"/>
      <c r="BM335" s="1" t="s">
        <v>6696</v>
      </c>
      <c r="BN335" s="1">
        <v>25</v>
      </c>
      <c r="BO335" s="1"/>
      <c r="BP335" s="1" t="str">
        <f>HYPERLINK("https://nconnect.nicmar.ac.in/storage/profile/ProfilePhoto_P25700329_934817.jpg","Download")</f>
        <v>0</v>
      </c>
      <c r="BQ335" s="3"/>
      <c r="BR335" s="3"/>
    </row>
    <row r="336" spans="1:70">
      <c r="A336" s="1" t="s">
        <v>70</v>
      </c>
      <c r="B336" s="1" t="s">
        <v>441</v>
      </c>
      <c r="C336" s="1" t="s">
        <v>6697</v>
      </c>
      <c r="D336" s="1" t="s">
        <v>6698</v>
      </c>
      <c r="E336" s="1" t="s">
        <v>3658</v>
      </c>
      <c r="F336" s="1" t="s">
        <v>1156</v>
      </c>
      <c r="G336" s="1" t="s">
        <v>6699</v>
      </c>
      <c r="H336" s="1" t="s">
        <v>6700</v>
      </c>
      <c r="I336" s="1" t="s">
        <v>6701</v>
      </c>
      <c r="J336" s="1">
        <v>7798893088</v>
      </c>
      <c r="K336" s="1" t="s">
        <v>79</v>
      </c>
      <c r="L336" s="1" t="s">
        <v>6702</v>
      </c>
      <c r="M336" s="1" t="s">
        <v>81</v>
      </c>
      <c r="N336" s="1" t="s">
        <v>6703</v>
      </c>
      <c r="O336" s="1"/>
      <c r="P336" s="1" t="s">
        <v>1007</v>
      </c>
      <c r="Q336" s="1" t="s">
        <v>6704</v>
      </c>
      <c r="R336" s="1" t="s">
        <v>6705</v>
      </c>
      <c r="S336" s="1">
        <v>9922934423</v>
      </c>
      <c r="T336" s="1" t="s">
        <v>6706</v>
      </c>
      <c r="U336" s="1" t="s">
        <v>6707</v>
      </c>
      <c r="V336" s="1">
        <v>9922934423</v>
      </c>
      <c r="W336" s="1" t="s">
        <v>273</v>
      </c>
      <c r="X336" s="1" t="s">
        <v>6708</v>
      </c>
      <c r="Y336" s="1" t="s">
        <v>5663</v>
      </c>
      <c r="Z336" s="1" t="s">
        <v>92</v>
      </c>
      <c r="AA336" s="1" t="s">
        <v>6708</v>
      </c>
      <c r="AB336" s="1" t="s">
        <v>5663</v>
      </c>
      <c r="AC336" s="1" t="s">
        <v>92</v>
      </c>
      <c r="AD336" s="1">
        <v>6.52</v>
      </c>
      <c r="AE336" s="1" t="s">
        <v>93</v>
      </c>
      <c r="AF336" s="1" t="s">
        <v>6709</v>
      </c>
      <c r="AG336" s="1" t="s">
        <v>6710</v>
      </c>
      <c r="AH336" s="1" t="s">
        <v>96</v>
      </c>
      <c r="AI336" s="1" t="s">
        <v>97</v>
      </c>
      <c r="AJ336" s="1">
        <v>76.6</v>
      </c>
      <c r="AK336" s="1"/>
      <c r="AL336" s="1" t="s">
        <v>6711</v>
      </c>
      <c r="AM336" s="1" t="s">
        <v>6710</v>
      </c>
      <c r="AN336" s="1" t="s">
        <v>162</v>
      </c>
      <c r="AO336" s="1" t="s">
        <v>508</v>
      </c>
      <c r="AP336" s="1">
        <v>56.77</v>
      </c>
      <c r="AQ336" s="1"/>
      <c r="AR336" s="1" t="s">
        <v>98</v>
      </c>
      <c r="AS336" s="1" t="s">
        <v>6712</v>
      </c>
      <c r="AT336" s="1" t="s">
        <v>460</v>
      </c>
      <c r="AU336" s="1" t="s">
        <v>511</v>
      </c>
      <c r="AV336" s="1">
        <v>74.32</v>
      </c>
      <c r="AW336" s="1"/>
      <c r="AX336" s="1" t="s">
        <v>6713</v>
      </c>
      <c r="AY336" s="1" t="s">
        <v>6714</v>
      </c>
      <c r="AZ336" s="1" t="s">
        <v>1378</v>
      </c>
      <c r="BA336" s="1" t="s">
        <v>1379</v>
      </c>
      <c r="BB336" s="1">
        <v>66.36</v>
      </c>
      <c r="BC336" s="1">
        <v>7.19</v>
      </c>
      <c r="BD336" s="1"/>
      <c r="BE336" s="1"/>
      <c r="BF336" s="1"/>
      <c r="BG336" s="1"/>
      <c r="BH336" s="1"/>
      <c r="BI336" s="1"/>
      <c r="BJ336" s="1" t="s">
        <v>255</v>
      </c>
      <c r="BK336" s="1"/>
      <c r="BL336" s="1"/>
      <c r="BM336" s="1" t="s">
        <v>6715</v>
      </c>
      <c r="BN336" s="1">
        <v>8</v>
      </c>
      <c r="BO336" s="1" t="s">
        <v>6716</v>
      </c>
      <c r="BP336" s="1" t="str">
        <f>HYPERLINK("https://nconnect.nicmar.ac.in/storage/profile/ProfilePhoto_P25700330_839724.jpg","Download")</f>
        <v>0</v>
      </c>
      <c r="BQ336" s="3"/>
      <c r="BR336" s="3"/>
    </row>
    <row r="337" spans="1:70">
      <c r="A337" s="1" t="s">
        <v>70</v>
      </c>
      <c r="B337" s="1" t="s">
        <v>441</v>
      </c>
      <c r="C337" s="1" t="s">
        <v>6717</v>
      </c>
      <c r="D337" s="1" t="s">
        <v>6718</v>
      </c>
      <c r="E337" s="1"/>
      <c r="F337" s="1" t="s">
        <v>6719</v>
      </c>
      <c r="G337" s="1" t="s">
        <v>6720</v>
      </c>
      <c r="H337" s="1" t="s">
        <v>6721</v>
      </c>
      <c r="I337" s="1" t="s">
        <v>6722</v>
      </c>
      <c r="J337" s="1">
        <v>8378929055</v>
      </c>
      <c r="K337" s="1" t="s">
        <v>148</v>
      </c>
      <c r="L337" s="1" t="s">
        <v>6723</v>
      </c>
      <c r="M337" s="1" t="s">
        <v>81</v>
      </c>
      <c r="N337" s="1" t="s">
        <v>6087</v>
      </c>
      <c r="O337" s="1"/>
      <c r="P337" s="1" t="s">
        <v>450</v>
      </c>
      <c r="Q337" s="1" t="s">
        <v>6724</v>
      </c>
      <c r="R337" s="1" t="s">
        <v>392</v>
      </c>
      <c r="S337" s="1">
        <v>9260278284</v>
      </c>
      <c r="T337" s="1" t="s">
        <v>6725</v>
      </c>
      <c r="U337" s="1" t="s">
        <v>4176</v>
      </c>
      <c r="V337" s="1">
        <v>8308476336</v>
      </c>
      <c r="W337" s="1" t="s">
        <v>156</v>
      </c>
      <c r="X337" s="1" t="s">
        <v>6726</v>
      </c>
      <c r="Y337" s="1" t="s">
        <v>191</v>
      </c>
      <c r="Z337" s="1" t="s">
        <v>92</v>
      </c>
      <c r="AA337" s="1" t="s">
        <v>6726</v>
      </c>
      <c r="AB337" s="1" t="s">
        <v>191</v>
      </c>
      <c r="AC337" s="1" t="s">
        <v>92</v>
      </c>
      <c r="AD337" s="1">
        <v>8.27</v>
      </c>
      <c r="AE337" s="1" t="s">
        <v>93</v>
      </c>
      <c r="AF337" s="1" t="s">
        <v>6727</v>
      </c>
      <c r="AG337" s="1" t="s">
        <v>6728</v>
      </c>
      <c r="AH337" s="1" t="s">
        <v>279</v>
      </c>
      <c r="AI337" s="1" t="s">
        <v>165</v>
      </c>
      <c r="AJ337" s="1">
        <v>84.8</v>
      </c>
      <c r="AK337" s="1"/>
      <c r="AL337" s="1" t="s">
        <v>6727</v>
      </c>
      <c r="AM337" s="1" t="s">
        <v>6729</v>
      </c>
      <c r="AN337" s="1" t="s">
        <v>383</v>
      </c>
      <c r="AO337" s="1" t="s">
        <v>308</v>
      </c>
      <c r="AP337" s="1">
        <v>56</v>
      </c>
      <c r="AQ337" s="1"/>
      <c r="AR337" s="1" t="s">
        <v>6727</v>
      </c>
      <c r="AS337" s="1" t="s">
        <v>6730</v>
      </c>
      <c r="AT337" s="1" t="s">
        <v>310</v>
      </c>
      <c r="AU337" s="1" t="s">
        <v>436</v>
      </c>
      <c r="AV337" s="1">
        <v>85.84</v>
      </c>
      <c r="AW337" s="1"/>
      <c r="AX337" s="1" t="s">
        <v>361</v>
      </c>
      <c r="AY337" s="1" t="s">
        <v>6731</v>
      </c>
      <c r="AZ337" s="1" t="s">
        <v>852</v>
      </c>
      <c r="BA337" s="1" t="s">
        <v>202</v>
      </c>
      <c r="BB337" s="1">
        <v>73.6</v>
      </c>
      <c r="BC337" s="1">
        <v>8.11</v>
      </c>
      <c r="BD337" s="1"/>
      <c r="BE337" s="1"/>
      <c r="BF337" s="1"/>
      <c r="BG337" s="1"/>
      <c r="BH337" s="1"/>
      <c r="BI337" s="1"/>
      <c r="BJ337" s="1" t="s">
        <v>255</v>
      </c>
      <c r="BK337" s="1"/>
      <c r="BL337" s="1"/>
      <c r="BM337" s="1" t="s">
        <v>6732</v>
      </c>
      <c r="BN337" s="1">
        <v>29</v>
      </c>
      <c r="BO337" s="1"/>
      <c r="BP337" s="1" t="str">
        <f>HYPERLINK("https://nconnect.nicmar.ac.in/storage/profile/ProfilePhoto_P25700331_498125.jpg","Download")</f>
        <v>0</v>
      </c>
      <c r="BQ337" s="3"/>
      <c r="BR337" s="3"/>
    </row>
    <row r="338" spans="1:70">
      <c r="A338" s="1" t="s">
        <v>70</v>
      </c>
      <c r="B338" s="1" t="s">
        <v>441</v>
      </c>
      <c r="C338" s="1" t="s">
        <v>6733</v>
      </c>
      <c r="D338" s="1" t="s">
        <v>6734</v>
      </c>
      <c r="E338" s="1" t="s">
        <v>1272</v>
      </c>
      <c r="F338" s="1" t="s">
        <v>1847</v>
      </c>
      <c r="G338" s="1" t="s">
        <v>6735</v>
      </c>
      <c r="H338" s="1" t="s">
        <v>6736</v>
      </c>
      <c r="I338" s="1" t="s">
        <v>6737</v>
      </c>
      <c r="J338" s="1">
        <v>9168137257</v>
      </c>
      <c r="K338" s="1" t="s">
        <v>79</v>
      </c>
      <c r="L338" s="1" t="s">
        <v>6738</v>
      </c>
      <c r="M338" s="1" t="s">
        <v>81</v>
      </c>
      <c r="N338" s="1" t="s">
        <v>6739</v>
      </c>
      <c r="O338" s="1"/>
      <c r="P338" s="1" t="s">
        <v>497</v>
      </c>
      <c r="Q338" s="1" t="s">
        <v>6740</v>
      </c>
      <c r="R338" s="1" t="s">
        <v>6741</v>
      </c>
      <c r="S338" s="1">
        <v>9890474823</v>
      </c>
      <c r="T338" s="1" t="s">
        <v>820</v>
      </c>
      <c r="U338" s="1" t="s">
        <v>6742</v>
      </c>
      <c r="V338" s="1">
        <v>9158816620</v>
      </c>
      <c r="W338" s="1" t="s">
        <v>1653</v>
      </c>
      <c r="X338" s="1" t="s">
        <v>6743</v>
      </c>
      <c r="Y338" s="1" t="s">
        <v>890</v>
      </c>
      <c r="Z338" s="1" t="s">
        <v>92</v>
      </c>
      <c r="AA338" s="1" t="s">
        <v>6743</v>
      </c>
      <c r="AB338" s="1" t="s">
        <v>890</v>
      </c>
      <c r="AC338" s="1" t="s">
        <v>92</v>
      </c>
      <c r="AD338" s="1">
        <v>7.68</v>
      </c>
      <c r="AE338" s="1" t="s">
        <v>93</v>
      </c>
      <c r="AF338" s="1" t="s">
        <v>3070</v>
      </c>
      <c r="AG338" s="1" t="s">
        <v>6744</v>
      </c>
      <c r="AH338" s="1" t="s">
        <v>281</v>
      </c>
      <c r="AI338" s="1" t="s">
        <v>409</v>
      </c>
      <c r="AJ338" s="1">
        <v>77.2</v>
      </c>
      <c r="AK338" s="1"/>
      <c r="AL338" s="1" t="s">
        <v>6745</v>
      </c>
      <c r="AM338" s="1" t="s">
        <v>6744</v>
      </c>
      <c r="AN338" s="1" t="s">
        <v>590</v>
      </c>
      <c r="AO338" s="1" t="s">
        <v>1169</v>
      </c>
      <c r="AP338" s="1">
        <v>71.67</v>
      </c>
      <c r="AQ338" s="1"/>
      <c r="AR338" s="1"/>
      <c r="AS338" s="1"/>
      <c r="AT338" s="1"/>
      <c r="AU338" s="1"/>
      <c r="AV338" s="1"/>
      <c r="AW338" s="1"/>
      <c r="AX338" s="1" t="s">
        <v>4245</v>
      </c>
      <c r="AY338" s="1" t="s">
        <v>6746</v>
      </c>
      <c r="AZ338" s="1" t="s">
        <v>539</v>
      </c>
      <c r="BA338" s="1" t="s">
        <v>1379</v>
      </c>
      <c r="BB338" s="1">
        <v>82.04</v>
      </c>
      <c r="BC338" s="1">
        <v>8.99</v>
      </c>
      <c r="BD338" s="1"/>
      <c r="BE338" s="1" t="s">
        <v>6026</v>
      </c>
      <c r="BF338" s="1" t="s">
        <v>1379</v>
      </c>
      <c r="BG338" s="1" t="s">
        <v>6747</v>
      </c>
      <c r="BH338" s="1">
        <v>0</v>
      </c>
      <c r="BI338" s="1"/>
      <c r="BJ338" s="1" t="s">
        <v>3733</v>
      </c>
      <c r="BK338" s="1"/>
      <c r="BL338" s="1"/>
      <c r="BM338" s="1" t="s">
        <v>6748</v>
      </c>
      <c r="BN338" s="1">
        <v>34</v>
      </c>
      <c r="BO338" s="1"/>
      <c r="BP338" s="1" t="str">
        <f>HYPERLINK("https://nconnect.nicmar.ac.in/storage/profile/ProfilePhoto_P25700332_582631.jpg","Download")</f>
        <v>0</v>
      </c>
      <c r="BQ338" s="3"/>
      <c r="BR338" s="3"/>
    </row>
    <row r="339" spans="1:70">
      <c r="A339" s="1" t="s">
        <v>70</v>
      </c>
      <c r="B339" s="1" t="s">
        <v>441</v>
      </c>
      <c r="C339" s="1" t="s">
        <v>6749</v>
      </c>
      <c r="D339" s="1" t="s">
        <v>6750</v>
      </c>
      <c r="E339" s="1" t="s">
        <v>4651</v>
      </c>
      <c r="F339" s="1" t="s">
        <v>6751</v>
      </c>
      <c r="G339" s="1" t="s">
        <v>6752</v>
      </c>
      <c r="H339" s="1" t="s">
        <v>6753</v>
      </c>
      <c r="I339" s="1" t="s">
        <v>6754</v>
      </c>
      <c r="J339" s="1">
        <v>9921918190</v>
      </c>
      <c r="K339" s="1" t="s">
        <v>79</v>
      </c>
      <c r="L339" s="1" t="s">
        <v>6755</v>
      </c>
      <c r="M339" s="1" t="s">
        <v>81</v>
      </c>
      <c r="N339" s="1" t="s">
        <v>151</v>
      </c>
      <c r="O339" s="1"/>
      <c r="P339" s="1" t="s">
        <v>450</v>
      </c>
      <c r="Q339" s="1" t="s">
        <v>6756</v>
      </c>
      <c r="R339" s="1" t="s">
        <v>4651</v>
      </c>
      <c r="S339" s="1">
        <v>9960772572</v>
      </c>
      <c r="T339" s="1" t="s">
        <v>2972</v>
      </c>
      <c r="U339" s="1" t="s">
        <v>6757</v>
      </c>
      <c r="V339" s="1">
        <v>9960772572</v>
      </c>
      <c r="W339" s="1" t="s">
        <v>156</v>
      </c>
      <c r="X339" s="1" t="s">
        <v>6758</v>
      </c>
      <c r="Y339" s="1" t="s">
        <v>1122</v>
      </c>
      <c r="Z339" s="1" t="s">
        <v>92</v>
      </c>
      <c r="AA339" s="1" t="s">
        <v>6758</v>
      </c>
      <c r="AB339" s="1" t="s">
        <v>1122</v>
      </c>
      <c r="AC339" s="1" t="s">
        <v>92</v>
      </c>
      <c r="AD339" s="1">
        <v>6.94</v>
      </c>
      <c r="AE339" s="1" t="s">
        <v>93</v>
      </c>
      <c r="AF339" s="1" t="s">
        <v>6759</v>
      </c>
      <c r="AG339" s="1" t="s">
        <v>1942</v>
      </c>
      <c r="AH339" s="1" t="s">
        <v>1190</v>
      </c>
      <c r="AI339" s="1" t="s">
        <v>96</v>
      </c>
      <c r="AJ339" s="1">
        <v>80</v>
      </c>
      <c r="AK339" s="1">
        <v>0</v>
      </c>
      <c r="AL339" s="1"/>
      <c r="AM339" s="1"/>
      <c r="AN339" s="1"/>
      <c r="AO339" s="1"/>
      <c r="AP339" s="1"/>
      <c r="AQ339" s="1"/>
      <c r="AR339" s="1" t="s">
        <v>98</v>
      </c>
      <c r="AS339" s="1" t="s">
        <v>6760</v>
      </c>
      <c r="AT339" s="1" t="s">
        <v>130</v>
      </c>
      <c r="AU339" s="1" t="s">
        <v>101</v>
      </c>
      <c r="AV339" s="1">
        <v>62.18</v>
      </c>
      <c r="AW339" s="1">
        <v>0</v>
      </c>
      <c r="AX339" s="1" t="s">
        <v>361</v>
      </c>
      <c r="AY339" s="1" t="s">
        <v>6761</v>
      </c>
      <c r="AZ339" s="1" t="s">
        <v>1043</v>
      </c>
      <c r="BA339" s="1" t="s">
        <v>539</v>
      </c>
      <c r="BB339" s="1">
        <v>67.05</v>
      </c>
      <c r="BC339" s="1">
        <v>7.62</v>
      </c>
      <c r="BD339" s="1"/>
      <c r="BE339" s="1"/>
      <c r="BF339" s="1"/>
      <c r="BG339" s="1"/>
      <c r="BH339" s="1"/>
      <c r="BI339" s="1"/>
      <c r="BJ339" s="1" t="s">
        <v>1822</v>
      </c>
      <c r="BK339" s="1"/>
      <c r="BL339" s="1"/>
      <c r="BM339" s="1" t="s">
        <v>6762</v>
      </c>
      <c r="BN339" s="1">
        <v>9</v>
      </c>
      <c r="BO339" s="1"/>
      <c r="BP339" s="1" t="str">
        <f>HYPERLINK("https://nconnect.nicmar.ac.in/storage/profile/ProfilePhoto_P25700333_561738.jpg","Download")</f>
        <v>0</v>
      </c>
      <c r="BQ339" s="3"/>
      <c r="BR339" s="3"/>
    </row>
    <row r="340" spans="1:70">
      <c r="A340" s="1" t="s">
        <v>70</v>
      </c>
      <c r="B340" s="1" t="s">
        <v>441</v>
      </c>
      <c r="C340" s="1" t="s">
        <v>6763</v>
      </c>
      <c r="D340" s="1" t="s">
        <v>6764</v>
      </c>
      <c r="E340" s="1" t="s">
        <v>6765</v>
      </c>
      <c r="F340" s="1" t="s">
        <v>6766</v>
      </c>
      <c r="G340" s="1" t="s">
        <v>6767</v>
      </c>
      <c r="H340" s="1" t="s">
        <v>6768</v>
      </c>
      <c r="I340" s="1" t="s">
        <v>6769</v>
      </c>
      <c r="J340" s="1">
        <v>6363819238</v>
      </c>
      <c r="K340" s="1" t="s">
        <v>79</v>
      </c>
      <c r="L340" s="1" t="s">
        <v>4308</v>
      </c>
      <c r="M340" s="1" t="s">
        <v>81</v>
      </c>
      <c r="N340" s="1" t="s">
        <v>3996</v>
      </c>
      <c r="O340" s="1"/>
      <c r="P340" s="1" t="s">
        <v>497</v>
      </c>
      <c r="Q340" s="1" t="s">
        <v>6770</v>
      </c>
      <c r="R340" s="1" t="s">
        <v>6765</v>
      </c>
      <c r="S340" s="1">
        <v>8105460508</v>
      </c>
      <c r="T340" s="1" t="s">
        <v>6771</v>
      </c>
      <c r="U340" s="1" t="s">
        <v>5084</v>
      </c>
      <c r="V340" s="1">
        <v>7624933838</v>
      </c>
      <c r="W340" s="1" t="s">
        <v>6772</v>
      </c>
      <c r="X340" s="1" t="s">
        <v>6773</v>
      </c>
      <c r="Y340" s="1" t="s">
        <v>191</v>
      </c>
      <c r="Z340" s="1" t="s">
        <v>92</v>
      </c>
      <c r="AA340" s="1" t="s">
        <v>6774</v>
      </c>
      <c r="AB340" s="1" t="s">
        <v>6775</v>
      </c>
      <c r="AC340" s="1" t="s">
        <v>1187</v>
      </c>
      <c r="AD340" s="1">
        <v>7.66</v>
      </c>
      <c r="AE340" s="1" t="s">
        <v>93</v>
      </c>
      <c r="AF340" s="1" t="s">
        <v>6776</v>
      </c>
      <c r="AG340" s="1" t="s">
        <v>6777</v>
      </c>
      <c r="AH340" s="1" t="s">
        <v>165</v>
      </c>
      <c r="AI340" s="1" t="s">
        <v>166</v>
      </c>
      <c r="AJ340" s="1">
        <v>88.16</v>
      </c>
      <c r="AK340" s="1"/>
      <c r="AL340" s="1" t="s">
        <v>6778</v>
      </c>
      <c r="AM340" s="1" t="s">
        <v>6779</v>
      </c>
      <c r="AN340" s="1" t="s">
        <v>101</v>
      </c>
      <c r="AO340" s="1" t="s">
        <v>173</v>
      </c>
      <c r="AP340" s="1">
        <v>89.16</v>
      </c>
      <c r="AQ340" s="1"/>
      <c r="AR340" s="1"/>
      <c r="AS340" s="1"/>
      <c r="AT340" s="1"/>
      <c r="AU340" s="1"/>
      <c r="AV340" s="1"/>
      <c r="AW340" s="1"/>
      <c r="AX340" s="1" t="s">
        <v>6780</v>
      </c>
      <c r="AY340" s="1" t="s">
        <v>6781</v>
      </c>
      <c r="AZ340" s="1" t="s">
        <v>1622</v>
      </c>
      <c r="BA340" s="1" t="s">
        <v>202</v>
      </c>
      <c r="BB340" s="1">
        <v>61</v>
      </c>
      <c r="BC340" s="1">
        <v>6.85</v>
      </c>
      <c r="BD340" s="1"/>
      <c r="BE340" s="1"/>
      <c r="BF340" s="1"/>
      <c r="BG340" s="1"/>
      <c r="BH340" s="1"/>
      <c r="BI340" s="1"/>
      <c r="BJ340" s="1" t="s">
        <v>6782</v>
      </c>
      <c r="BK340" s="1" t="s">
        <v>6783</v>
      </c>
      <c r="BL340" s="1" t="s">
        <v>670</v>
      </c>
      <c r="BM340" s="1" t="s">
        <v>6784</v>
      </c>
      <c r="BN340" s="1">
        <v>14</v>
      </c>
      <c r="BO340" s="1"/>
      <c r="BP340" s="1" t="str">
        <f>HYPERLINK("https://nconnect.nicmar.ac.in/storage/profile/ProfilePhoto_P25700334_897625.jpg","Download")</f>
        <v>0</v>
      </c>
      <c r="BQ340" s="3"/>
      <c r="BR340" s="3"/>
    </row>
    <row r="341" spans="1:70">
      <c r="A341" s="1" t="s">
        <v>70</v>
      </c>
      <c r="B341" s="1" t="s">
        <v>441</v>
      </c>
      <c r="C341" s="1" t="s">
        <v>6785</v>
      </c>
      <c r="D341" s="1" t="s">
        <v>5212</v>
      </c>
      <c r="E341" s="1"/>
      <c r="F341" s="1" t="s">
        <v>4632</v>
      </c>
      <c r="G341" s="1" t="s">
        <v>6786</v>
      </c>
      <c r="H341" s="1" t="s">
        <v>6787</v>
      </c>
      <c r="I341" s="1" t="s">
        <v>6788</v>
      </c>
      <c r="J341" s="1">
        <v>9129873073</v>
      </c>
      <c r="K341" s="1" t="s">
        <v>79</v>
      </c>
      <c r="L341" s="1" t="s">
        <v>6789</v>
      </c>
      <c r="M341" s="1" t="s">
        <v>81</v>
      </c>
      <c r="N341" s="1" t="s">
        <v>374</v>
      </c>
      <c r="O341" s="1"/>
      <c r="P341" s="1" t="s">
        <v>497</v>
      </c>
      <c r="Q341" s="1" t="s">
        <v>6790</v>
      </c>
      <c r="R341" s="1" t="s">
        <v>6791</v>
      </c>
      <c r="S341" s="1">
        <v>9473539987</v>
      </c>
      <c r="T341" s="1" t="s">
        <v>216</v>
      </c>
      <c r="U341" s="1" t="s">
        <v>6792</v>
      </c>
      <c r="V341" s="1">
        <v>9450363791</v>
      </c>
      <c r="W341" s="1" t="s">
        <v>273</v>
      </c>
      <c r="X341" s="1" t="s">
        <v>6793</v>
      </c>
      <c r="Y341" s="1" t="s">
        <v>1038</v>
      </c>
      <c r="Z341" s="1" t="s">
        <v>534</v>
      </c>
      <c r="AA341" s="1" t="s">
        <v>6793</v>
      </c>
      <c r="AB341" s="1" t="s">
        <v>1038</v>
      </c>
      <c r="AC341" s="1" t="s">
        <v>534</v>
      </c>
      <c r="AD341" s="1">
        <v>8.9</v>
      </c>
      <c r="AE341" s="1" t="s">
        <v>93</v>
      </c>
      <c r="AF341" s="1" t="s">
        <v>6794</v>
      </c>
      <c r="AG341" s="1" t="s">
        <v>6795</v>
      </c>
      <c r="AH341" s="1" t="s">
        <v>383</v>
      </c>
      <c r="AI341" s="1" t="s">
        <v>166</v>
      </c>
      <c r="AJ341" s="1">
        <v>93.6</v>
      </c>
      <c r="AK341" s="1"/>
      <c r="AL341" s="1" t="s">
        <v>6794</v>
      </c>
      <c r="AM341" s="1" t="s">
        <v>6795</v>
      </c>
      <c r="AN341" s="1" t="s">
        <v>310</v>
      </c>
      <c r="AO341" s="1" t="s">
        <v>173</v>
      </c>
      <c r="AP341" s="1">
        <v>85.2</v>
      </c>
      <c r="AQ341" s="1"/>
      <c r="AR341" s="1"/>
      <c r="AS341" s="1"/>
      <c r="AT341" s="1"/>
      <c r="AU341" s="1"/>
      <c r="AV341" s="1"/>
      <c r="AW341" s="1"/>
      <c r="AX341" s="1" t="s">
        <v>540</v>
      </c>
      <c r="AY341" s="1" t="s">
        <v>6796</v>
      </c>
      <c r="AZ341" s="1" t="s">
        <v>871</v>
      </c>
      <c r="BA341" s="1" t="s">
        <v>1219</v>
      </c>
      <c r="BB341" s="1">
        <v>77.5</v>
      </c>
      <c r="BC341" s="1">
        <v>7.75</v>
      </c>
      <c r="BD341" s="1"/>
      <c r="BE341" s="1"/>
      <c r="BF341" s="1"/>
      <c r="BG341" s="1"/>
      <c r="BH341" s="1"/>
      <c r="BI341" s="1"/>
      <c r="BJ341" s="1" t="s">
        <v>3526</v>
      </c>
      <c r="BK341" s="1"/>
      <c r="BL341" s="1"/>
      <c r="BM341" s="1" t="s">
        <v>6797</v>
      </c>
      <c r="BN341" s="1">
        <v>26</v>
      </c>
      <c r="BO341" s="1" t="s">
        <v>6798</v>
      </c>
      <c r="BP341" s="1" t="str">
        <f>HYPERLINK("https://nconnect.nicmar.ac.in/storage/profile/ProfilePhoto_P25700335_235948.jpg","Download")</f>
        <v>0</v>
      </c>
      <c r="BQ341" s="3"/>
      <c r="BR341" s="3"/>
    </row>
    <row r="342" spans="1:70">
      <c r="A342" s="1" t="s">
        <v>70</v>
      </c>
      <c r="B342" s="1" t="s">
        <v>441</v>
      </c>
      <c r="C342" s="1" t="s">
        <v>6799</v>
      </c>
      <c r="D342" s="1" t="s">
        <v>6800</v>
      </c>
      <c r="E342" s="1" t="s">
        <v>6801</v>
      </c>
      <c r="F342" s="1" t="s">
        <v>6802</v>
      </c>
      <c r="G342" s="1" t="s">
        <v>6803</v>
      </c>
      <c r="H342" s="1" t="s">
        <v>6804</v>
      </c>
      <c r="I342" s="1" t="s">
        <v>6805</v>
      </c>
      <c r="J342" s="1">
        <v>9130001162</v>
      </c>
      <c r="K342" s="1" t="s">
        <v>148</v>
      </c>
      <c r="L342" s="1" t="s">
        <v>6806</v>
      </c>
      <c r="M342" s="1" t="s">
        <v>150</v>
      </c>
      <c r="N342" s="1" t="s">
        <v>605</v>
      </c>
      <c r="O342" s="1"/>
      <c r="P342" s="1" t="s">
        <v>450</v>
      </c>
      <c r="Q342" s="1" t="s">
        <v>6807</v>
      </c>
      <c r="R342" s="1" t="s">
        <v>6808</v>
      </c>
      <c r="S342" s="1">
        <v>8275056631</v>
      </c>
      <c r="T342" s="1" t="s">
        <v>529</v>
      </c>
      <c r="U342" s="1" t="s">
        <v>6809</v>
      </c>
      <c r="V342" s="1">
        <v>8275056631</v>
      </c>
      <c r="W342" s="1" t="s">
        <v>156</v>
      </c>
      <c r="X342" s="1" t="s">
        <v>6810</v>
      </c>
      <c r="Y342" s="1" t="s">
        <v>191</v>
      </c>
      <c r="Z342" s="1" t="s">
        <v>92</v>
      </c>
      <c r="AA342" s="1" t="s">
        <v>6811</v>
      </c>
      <c r="AB342" s="1" t="s">
        <v>5087</v>
      </c>
      <c r="AC342" s="1" t="s">
        <v>92</v>
      </c>
      <c r="AD342" s="1">
        <v>8.27</v>
      </c>
      <c r="AE342" s="1" t="s">
        <v>93</v>
      </c>
      <c r="AF342" s="1" t="s">
        <v>6812</v>
      </c>
      <c r="AG342" s="1" t="s">
        <v>6813</v>
      </c>
      <c r="AH342" s="1" t="s">
        <v>1190</v>
      </c>
      <c r="AI342" s="1" t="s">
        <v>96</v>
      </c>
      <c r="AJ342" s="1">
        <v>75.4</v>
      </c>
      <c r="AK342" s="1"/>
      <c r="AL342" s="1"/>
      <c r="AM342" s="1"/>
      <c r="AN342" s="1"/>
      <c r="AO342" s="1"/>
      <c r="AP342" s="1"/>
      <c r="AQ342" s="1"/>
      <c r="AR342" s="1" t="s">
        <v>98</v>
      </c>
      <c r="AS342" s="1" t="s">
        <v>6814</v>
      </c>
      <c r="AT342" s="1" t="s">
        <v>252</v>
      </c>
      <c r="AU342" s="1" t="s">
        <v>165</v>
      </c>
      <c r="AV342" s="1">
        <v>65.76</v>
      </c>
      <c r="AW342" s="1"/>
      <c r="AX342" s="1" t="s">
        <v>335</v>
      </c>
      <c r="AY342" s="1" t="s">
        <v>6815</v>
      </c>
      <c r="AZ342" s="1" t="s">
        <v>225</v>
      </c>
      <c r="BA342" s="1" t="s">
        <v>412</v>
      </c>
      <c r="BB342" s="1">
        <v>97.07</v>
      </c>
      <c r="BC342" s="1">
        <v>9.26</v>
      </c>
      <c r="BD342" s="1"/>
      <c r="BE342" s="1"/>
      <c r="BF342" s="1"/>
      <c r="BG342" s="1"/>
      <c r="BH342" s="1"/>
      <c r="BI342" s="1"/>
      <c r="BJ342" s="1" t="s">
        <v>6816</v>
      </c>
      <c r="BK342" s="1" t="s">
        <v>6817</v>
      </c>
      <c r="BL342" s="1" t="s">
        <v>741</v>
      </c>
      <c r="BM342" s="1" t="s">
        <v>6818</v>
      </c>
      <c r="BN342" s="1">
        <v>8</v>
      </c>
      <c r="BO342" s="1" t="s">
        <v>6819</v>
      </c>
      <c r="BP342" s="1" t="str">
        <f>HYPERLINK("https://nconnect.nicmar.ac.in/storage/profile/ProfilePhoto_P25700336_569138.jpg","Download")</f>
        <v>0</v>
      </c>
      <c r="BQ342" s="3"/>
      <c r="BR342" s="3"/>
    </row>
    <row r="343" spans="1:70">
      <c r="A343" s="1" t="s">
        <v>70</v>
      </c>
      <c r="B343" s="1" t="s">
        <v>441</v>
      </c>
      <c r="C343" s="1" t="s">
        <v>6820</v>
      </c>
      <c r="D343" s="1" t="s">
        <v>6821</v>
      </c>
      <c r="E343" s="1"/>
      <c r="F343" s="1" t="s">
        <v>4632</v>
      </c>
      <c r="G343" s="1" t="s">
        <v>6822</v>
      </c>
      <c r="H343" s="1" t="s">
        <v>6823</v>
      </c>
      <c r="I343" s="1" t="s">
        <v>6824</v>
      </c>
      <c r="J343" s="1">
        <v>9630093454</v>
      </c>
      <c r="K343" s="1" t="s">
        <v>79</v>
      </c>
      <c r="L343" s="1" t="s">
        <v>1649</v>
      </c>
      <c r="M343" s="1" t="s">
        <v>81</v>
      </c>
      <c r="N343" s="1" t="s">
        <v>6825</v>
      </c>
      <c r="O343" s="1"/>
      <c r="P343" s="1" t="s">
        <v>497</v>
      </c>
      <c r="Q343" s="1" t="s">
        <v>6826</v>
      </c>
      <c r="R343" s="1" t="s">
        <v>6827</v>
      </c>
      <c r="S343" s="1">
        <v>9893418454</v>
      </c>
      <c r="T343" s="1" t="s">
        <v>820</v>
      </c>
      <c r="U343" s="1" t="s">
        <v>6828</v>
      </c>
      <c r="V343" s="1">
        <v>9981199606</v>
      </c>
      <c r="W343" s="1" t="s">
        <v>273</v>
      </c>
      <c r="X343" s="1" t="s">
        <v>6829</v>
      </c>
      <c r="Y343" s="1" t="s">
        <v>5645</v>
      </c>
      <c r="Z343" s="1" t="s">
        <v>3437</v>
      </c>
      <c r="AA343" s="1" t="s">
        <v>6829</v>
      </c>
      <c r="AB343" s="1" t="s">
        <v>5645</v>
      </c>
      <c r="AC343" s="1" t="s">
        <v>3437</v>
      </c>
      <c r="AD343" s="1">
        <v>7.0</v>
      </c>
      <c r="AE343" s="1" t="s">
        <v>93</v>
      </c>
      <c r="AF343" s="1" t="s">
        <v>6830</v>
      </c>
      <c r="AG343" s="1" t="s">
        <v>6831</v>
      </c>
      <c r="AH343" s="1" t="s">
        <v>195</v>
      </c>
      <c r="AI343" s="1" t="s">
        <v>166</v>
      </c>
      <c r="AJ343" s="1">
        <v>79.8</v>
      </c>
      <c r="AK343" s="1"/>
      <c r="AL343" s="1" t="s">
        <v>6832</v>
      </c>
      <c r="AM343" s="1" t="s">
        <v>6833</v>
      </c>
      <c r="AN343" s="1" t="s">
        <v>409</v>
      </c>
      <c r="AO343" s="1" t="s">
        <v>173</v>
      </c>
      <c r="AP343" s="1">
        <v>71</v>
      </c>
      <c r="AQ343" s="1"/>
      <c r="AR343" s="1"/>
      <c r="AS343" s="1"/>
      <c r="AT343" s="1"/>
      <c r="AU343" s="1"/>
      <c r="AV343" s="1"/>
      <c r="AW343" s="1"/>
      <c r="AX343" s="1" t="s">
        <v>2625</v>
      </c>
      <c r="AY343" s="1" t="s">
        <v>6834</v>
      </c>
      <c r="AZ343" s="1" t="s">
        <v>1019</v>
      </c>
      <c r="BA343" s="1" t="s">
        <v>413</v>
      </c>
      <c r="BB343" s="1">
        <v>82.5</v>
      </c>
      <c r="BC343" s="1">
        <v>8.25</v>
      </c>
      <c r="BD343" s="1"/>
      <c r="BE343" s="1"/>
      <c r="BF343" s="1"/>
      <c r="BG343" s="1"/>
      <c r="BH343" s="1"/>
      <c r="BI343" s="1"/>
      <c r="BJ343" s="1" t="s">
        <v>3326</v>
      </c>
      <c r="BK343" s="1"/>
      <c r="BL343" s="1"/>
      <c r="BM343" s="1"/>
      <c r="BN343" s="1"/>
      <c r="BO343" s="1" t="s">
        <v>6835</v>
      </c>
      <c r="BP343" s="1" t="str">
        <f>HYPERLINK("https://nconnect.nicmar.ac.in/storage/profile/ProfilePhoto_P25700337_749123.jpg","Download")</f>
        <v>0</v>
      </c>
      <c r="BQ343" s="3"/>
      <c r="BR343" s="3"/>
    </row>
    <row r="344" spans="1:70">
      <c r="A344" s="1" t="s">
        <v>70</v>
      </c>
      <c r="B344" s="1" t="s">
        <v>441</v>
      </c>
      <c r="C344" s="1" t="s">
        <v>6836</v>
      </c>
      <c r="D344" s="1" t="s">
        <v>999</v>
      </c>
      <c r="E344" s="1"/>
      <c r="F344" s="1" t="s">
        <v>6837</v>
      </c>
      <c r="G344" s="1" t="s">
        <v>6838</v>
      </c>
      <c r="H344" s="1" t="s">
        <v>6839</v>
      </c>
      <c r="I344" s="1" t="s">
        <v>6840</v>
      </c>
      <c r="J344" s="1">
        <v>8793133181</v>
      </c>
      <c r="K344" s="1" t="s">
        <v>79</v>
      </c>
      <c r="L344" s="1" t="s">
        <v>5180</v>
      </c>
      <c r="M344" s="1" t="s">
        <v>81</v>
      </c>
      <c r="N344" s="1" t="s">
        <v>241</v>
      </c>
      <c r="O344" s="1"/>
      <c r="P344" s="1" t="s">
        <v>497</v>
      </c>
      <c r="Q344" s="1" t="s">
        <v>6841</v>
      </c>
      <c r="R344" s="1" t="s">
        <v>6842</v>
      </c>
      <c r="S344" s="1">
        <v>9811196678</v>
      </c>
      <c r="T344" s="1" t="s">
        <v>906</v>
      </c>
      <c r="U344" s="1" t="s">
        <v>6843</v>
      </c>
      <c r="V344" s="1">
        <v>9650523367</v>
      </c>
      <c r="W344" s="1" t="s">
        <v>156</v>
      </c>
      <c r="X344" s="1" t="s">
        <v>6844</v>
      </c>
      <c r="Y344" s="1" t="s">
        <v>6845</v>
      </c>
      <c r="Z344" s="1" t="s">
        <v>1714</v>
      </c>
      <c r="AA344" s="1" t="s">
        <v>6844</v>
      </c>
      <c r="AB344" s="1" t="s">
        <v>6845</v>
      </c>
      <c r="AC344" s="1" t="s">
        <v>1714</v>
      </c>
      <c r="AD344" s="1">
        <v>8.34</v>
      </c>
      <c r="AE344" s="1" t="s">
        <v>93</v>
      </c>
      <c r="AF344" s="1" t="s">
        <v>6846</v>
      </c>
      <c r="AG344" s="1" t="s">
        <v>4866</v>
      </c>
      <c r="AH344" s="1" t="s">
        <v>481</v>
      </c>
      <c r="AI344" s="1" t="s">
        <v>409</v>
      </c>
      <c r="AJ344" s="1">
        <v>94.8</v>
      </c>
      <c r="AK344" s="1"/>
      <c r="AL344" s="1" t="s">
        <v>6846</v>
      </c>
      <c r="AM344" s="1" t="s">
        <v>4866</v>
      </c>
      <c r="AN344" s="1" t="s">
        <v>956</v>
      </c>
      <c r="AO344" s="1" t="s">
        <v>1169</v>
      </c>
      <c r="AP344" s="1">
        <v>90.4</v>
      </c>
      <c r="AQ344" s="1"/>
      <c r="AR344" s="1"/>
      <c r="AS344" s="1"/>
      <c r="AT344" s="1"/>
      <c r="AU344" s="1"/>
      <c r="AV344" s="1"/>
      <c r="AW344" s="1"/>
      <c r="AX344" s="1" t="s">
        <v>6847</v>
      </c>
      <c r="AY344" s="1" t="s">
        <v>6848</v>
      </c>
      <c r="AZ344" s="1" t="s">
        <v>852</v>
      </c>
      <c r="BA344" s="1" t="s">
        <v>829</v>
      </c>
      <c r="BB344" s="1">
        <v>80.1</v>
      </c>
      <c r="BC344" s="1"/>
      <c r="BD344" s="1"/>
      <c r="BE344" s="1"/>
      <c r="BF344" s="1"/>
      <c r="BG344" s="1"/>
      <c r="BH344" s="1"/>
      <c r="BI344" s="1"/>
      <c r="BJ344" s="1" t="s">
        <v>6849</v>
      </c>
      <c r="BK344" s="1"/>
      <c r="BL344" s="1"/>
      <c r="BM344" s="1" t="s">
        <v>6850</v>
      </c>
      <c r="BN344" s="1">
        <v>42</v>
      </c>
      <c r="BO344" s="1" t="s">
        <v>6851</v>
      </c>
      <c r="BP344" s="1" t="str">
        <f>HYPERLINK("https://nconnect.nicmar.ac.in/storage/profile/ProfilePhoto_P25700338_458312.jpg","Download")</f>
        <v>0</v>
      </c>
      <c r="BQ344" s="3"/>
      <c r="BR344" s="3"/>
    </row>
    <row r="345" spans="1:70">
      <c r="A345" s="1" t="s">
        <v>70</v>
      </c>
      <c r="B345" s="1" t="s">
        <v>441</v>
      </c>
      <c r="C345" s="1" t="s">
        <v>6852</v>
      </c>
      <c r="D345" s="1" t="s">
        <v>6853</v>
      </c>
      <c r="E345" s="1" t="s">
        <v>6854</v>
      </c>
      <c r="F345" s="1" t="s">
        <v>6855</v>
      </c>
      <c r="G345" s="1" t="s">
        <v>6856</v>
      </c>
      <c r="H345" s="1" t="s">
        <v>6857</v>
      </c>
      <c r="I345" s="1" t="s">
        <v>6858</v>
      </c>
      <c r="J345" s="1">
        <v>9972468819</v>
      </c>
      <c r="K345" s="1" t="s">
        <v>79</v>
      </c>
      <c r="L345" s="1" t="s">
        <v>4492</v>
      </c>
      <c r="M345" s="1" t="s">
        <v>81</v>
      </c>
      <c r="N345" s="1" t="s">
        <v>6859</v>
      </c>
      <c r="O345" s="1"/>
      <c r="P345" s="1" t="s">
        <v>450</v>
      </c>
      <c r="Q345" s="1" t="s">
        <v>6860</v>
      </c>
      <c r="R345" s="1" t="s">
        <v>6854</v>
      </c>
      <c r="S345" s="1">
        <v>9448692432</v>
      </c>
      <c r="T345" s="1" t="s">
        <v>154</v>
      </c>
      <c r="U345" s="1" t="s">
        <v>6861</v>
      </c>
      <c r="V345" s="1">
        <v>9481108308</v>
      </c>
      <c r="W345" s="1" t="s">
        <v>273</v>
      </c>
      <c r="X345" s="1" t="s">
        <v>6862</v>
      </c>
      <c r="Y345" s="1" t="s">
        <v>6863</v>
      </c>
      <c r="Z345" s="1" t="s">
        <v>1187</v>
      </c>
      <c r="AA345" s="1" t="s">
        <v>6862</v>
      </c>
      <c r="AB345" s="1" t="s">
        <v>6863</v>
      </c>
      <c r="AC345" s="1" t="s">
        <v>1187</v>
      </c>
      <c r="AD345" s="1">
        <v>7.91</v>
      </c>
      <c r="AE345" s="1" t="s">
        <v>93</v>
      </c>
      <c r="AF345" s="1" t="s">
        <v>6864</v>
      </c>
      <c r="AG345" s="1" t="s">
        <v>6486</v>
      </c>
      <c r="AH345" s="1" t="s">
        <v>165</v>
      </c>
      <c r="AI345" s="1" t="s">
        <v>166</v>
      </c>
      <c r="AJ345" s="1">
        <v>73.4</v>
      </c>
      <c r="AK345" s="1"/>
      <c r="AL345" s="1" t="s">
        <v>6865</v>
      </c>
      <c r="AM345" s="1" t="s">
        <v>1193</v>
      </c>
      <c r="AN345" s="1" t="s">
        <v>101</v>
      </c>
      <c r="AO345" s="1" t="s">
        <v>173</v>
      </c>
      <c r="AP345" s="1">
        <v>84.16</v>
      </c>
      <c r="AQ345" s="1"/>
      <c r="AR345" s="1"/>
      <c r="AS345" s="1"/>
      <c r="AT345" s="1"/>
      <c r="AU345" s="1"/>
      <c r="AV345" s="1"/>
      <c r="AW345" s="1"/>
      <c r="AX345" s="1" t="s">
        <v>6866</v>
      </c>
      <c r="AY345" s="1" t="s">
        <v>6866</v>
      </c>
      <c r="AZ345" s="1" t="s">
        <v>363</v>
      </c>
      <c r="BA345" s="1" t="s">
        <v>1067</v>
      </c>
      <c r="BB345" s="1">
        <v>70.5</v>
      </c>
      <c r="BC345" s="1">
        <v>7.8</v>
      </c>
      <c r="BD345" s="1"/>
      <c r="BE345" s="1"/>
      <c r="BF345" s="1"/>
      <c r="BG345" s="1"/>
      <c r="BH345" s="1"/>
      <c r="BI345" s="1"/>
      <c r="BJ345" s="1" t="s">
        <v>567</v>
      </c>
      <c r="BK345" s="1" t="s">
        <v>6867</v>
      </c>
      <c r="BL345" s="1" t="s">
        <v>1048</v>
      </c>
      <c r="BM345" s="1" t="s">
        <v>6868</v>
      </c>
      <c r="BN345" s="1">
        <v>17</v>
      </c>
      <c r="BO345" s="1"/>
      <c r="BP345" s="1" t="str">
        <f>HYPERLINK("https://nconnect.nicmar.ac.in/storage/profile/ProfilePhoto_P25700339_893165.jpg","Download")</f>
        <v>0</v>
      </c>
      <c r="BQ345" s="3"/>
      <c r="BR345" s="3"/>
    </row>
    <row r="346" spans="1:70">
      <c r="A346" s="1" t="s">
        <v>70</v>
      </c>
      <c r="B346" s="1" t="s">
        <v>441</v>
      </c>
      <c r="C346" s="1" t="s">
        <v>6869</v>
      </c>
      <c r="D346" s="1" t="s">
        <v>6870</v>
      </c>
      <c r="E346" s="1" t="s">
        <v>6871</v>
      </c>
      <c r="F346" s="1" t="s">
        <v>2745</v>
      </c>
      <c r="G346" s="1" t="s">
        <v>6872</v>
      </c>
      <c r="H346" s="1" t="s">
        <v>6873</v>
      </c>
      <c r="I346" s="1" t="s">
        <v>6873</v>
      </c>
      <c r="J346" s="1">
        <v>9322231409</v>
      </c>
      <c r="K346" s="1" t="s">
        <v>79</v>
      </c>
      <c r="L346" s="1" t="s">
        <v>6874</v>
      </c>
      <c r="M346" s="1" t="s">
        <v>81</v>
      </c>
      <c r="N346" s="1" t="s">
        <v>6875</v>
      </c>
      <c r="O346" s="1"/>
      <c r="P346" s="1" t="s">
        <v>497</v>
      </c>
      <c r="Q346" s="1" t="s">
        <v>6876</v>
      </c>
      <c r="R346" s="1" t="s">
        <v>6871</v>
      </c>
      <c r="S346" s="1">
        <v>9322231409</v>
      </c>
      <c r="T346" s="1" t="s">
        <v>122</v>
      </c>
      <c r="U346" s="1" t="s">
        <v>2151</v>
      </c>
      <c r="V346" s="1">
        <v>8275149693</v>
      </c>
      <c r="W346" s="1" t="s">
        <v>273</v>
      </c>
      <c r="X346" s="1" t="s">
        <v>6877</v>
      </c>
      <c r="Y346" s="1" t="s">
        <v>246</v>
      </c>
      <c r="Z346" s="1" t="s">
        <v>92</v>
      </c>
      <c r="AA346" s="1" t="s">
        <v>6877</v>
      </c>
      <c r="AB346" s="1" t="s">
        <v>246</v>
      </c>
      <c r="AC346" s="1" t="s">
        <v>92</v>
      </c>
      <c r="AD346" s="1">
        <v>7.49</v>
      </c>
      <c r="AE346" s="1" t="s">
        <v>93</v>
      </c>
      <c r="AF346" s="1" t="s">
        <v>6878</v>
      </c>
      <c r="AG346" s="1" t="s">
        <v>6879</v>
      </c>
      <c r="AH346" s="1" t="s">
        <v>101</v>
      </c>
      <c r="AI346" s="1" t="s">
        <v>308</v>
      </c>
      <c r="AJ346" s="1">
        <v>85</v>
      </c>
      <c r="AK346" s="1"/>
      <c r="AL346" s="1" t="s">
        <v>6880</v>
      </c>
      <c r="AM346" s="1" t="s">
        <v>6881</v>
      </c>
      <c r="AN346" s="1" t="s">
        <v>173</v>
      </c>
      <c r="AO346" s="1" t="s">
        <v>2273</v>
      </c>
      <c r="AP346" s="1">
        <v>92.17</v>
      </c>
      <c r="AQ346" s="1"/>
      <c r="AR346" s="1"/>
      <c r="AS346" s="1"/>
      <c r="AT346" s="1"/>
      <c r="AU346" s="1"/>
      <c r="AV346" s="1"/>
      <c r="AW346" s="1"/>
      <c r="AX346" s="1" t="s">
        <v>361</v>
      </c>
      <c r="AY346" s="1" t="s">
        <v>6882</v>
      </c>
      <c r="AZ346" s="1" t="s">
        <v>828</v>
      </c>
      <c r="BA346" s="1" t="s">
        <v>829</v>
      </c>
      <c r="BB346" s="1">
        <v>61.67</v>
      </c>
      <c r="BC346" s="1">
        <v>6.93</v>
      </c>
      <c r="BD346" s="1"/>
      <c r="BE346" s="1"/>
      <c r="BF346" s="1"/>
      <c r="BG346" s="1"/>
      <c r="BH346" s="1"/>
      <c r="BI346" s="1"/>
      <c r="BJ346" s="1" t="s">
        <v>6883</v>
      </c>
      <c r="BK346" s="1"/>
      <c r="BL346" s="1"/>
      <c r="BM346" s="1" t="s">
        <v>6884</v>
      </c>
      <c r="BN346" s="1">
        <v>12</v>
      </c>
      <c r="BO346" s="1" t="s">
        <v>6885</v>
      </c>
      <c r="BP346" s="1" t="str">
        <f>HYPERLINK("https://nconnect.nicmar.ac.in/storage/profile/ProfilePhoto_P25700340_491823.jpg","Download")</f>
        <v>0</v>
      </c>
      <c r="BQ346" s="3"/>
      <c r="BR346" s="3"/>
    </row>
    <row r="347" spans="1:70">
      <c r="A347" s="1" t="s">
        <v>70</v>
      </c>
      <c r="B347" s="1" t="s">
        <v>441</v>
      </c>
      <c r="C347" s="1" t="s">
        <v>6886</v>
      </c>
      <c r="D347" s="1" t="s">
        <v>2072</v>
      </c>
      <c r="E347" s="1" t="s">
        <v>6887</v>
      </c>
      <c r="F347" s="1" t="s">
        <v>4228</v>
      </c>
      <c r="G347" s="1" t="s">
        <v>6888</v>
      </c>
      <c r="H347" s="1" t="s">
        <v>6889</v>
      </c>
      <c r="I347" s="1" t="s">
        <v>6890</v>
      </c>
      <c r="J347" s="1">
        <v>9657575771</v>
      </c>
      <c r="K347" s="1" t="s">
        <v>79</v>
      </c>
      <c r="L347" s="1" t="s">
        <v>1160</v>
      </c>
      <c r="M347" s="1" t="s">
        <v>81</v>
      </c>
      <c r="N347" s="1" t="s">
        <v>605</v>
      </c>
      <c r="O347" s="1"/>
      <c r="P347" s="1" t="s">
        <v>472</v>
      </c>
      <c r="Q347" s="1" t="s">
        <v>6891</v>
      </c>
      <c r="R347" s="1" t="s">
        <v>4228</v>
      </c>
      <c r="S347" s="1">
        <v>9657577711</v>
      </c>
      <c r="T347" s="1" t="s">
        <v>906</v>
      </c>
      <c r="U347" s="1" t="s">
        <v>6892</v>
      </c>
      <c r="V347" s="1">
        <v>9552544771</v>
      </c>
      <c r="W347" s="1" t="s">
        <v>156</v>
      </c>
      <c r="X347" s="1" t="s">
        <v>6893</v>
      </c>
      <c r="Y347" s="1" t="s">
        <v>1012</v>
      </c>
      <c r="Z347" s="1" t="s">
        <v>92</v>
      </c>
      <c r="AA347" s="1" t="s">
        <v>6893</v>
      </c>
      <c r="AB347" s="1" t="s">
        <v>1012</v>
      </c>
      <c r="AC347" s="1" t="s">
        <v>92</v>
      </c>
      <c r="AD347" s="1">
        <v>7.76</v>
      </c>
      <c r="AE347" s="1" t="s">
        <v>93</v>
      </c>
      <c r="AF347" s="1" t="s">
        <v>6894</v>
      </c>
      <c r="AG347" s="1" t="s">
        <v>6895</v>
      </c>
      <c r="AH347" s="1" t="s">
        <v>101</v>
      </c>
      <c r="AI347" s="1" t="s">
        <v>409</v>
      </c>
      <c r="AJ347" s="1">
        <v>92.2</v>
      </c>
      <c r="AK347" s="1">
        <v>0</v>
      </c>
      <c r="AL347" s="1" t="s">
        <v>6896</v>
      </c>
      <c r="AM347" s="1" t="s">
        <v>6895</v>
      </c>
      <c r="AN347" s="1" t="s">
        <v>460</v>
      </c>
      <c r="AO347" s="1" t="s">
        <v>1169</v>
      </c>
      <c r="AP347" s="1">
        <v>88.5</v>
      </c>
      <c r="AQ347" s="1">
        <v>0</v>
      </c>
      <c r="AR347" s="1"/>
      <c r="AS347" s="1"/>
      <c r="AT347" s="1"/>
      <c r="AU347" s="1"/>
      <c r="AV347" s="1"/>
      <c r="AW347" s="1"/>
      <c r="AX347" s="1" t="s">
        <v>6897</v>
      </c>
      <c r="AY347" s="1" t="s">
        <v>6898</v>
      </c>
      <c r="AZ347" s="1" t="s">
        <v>135</v>
      </c>
      <c r="BA347" s="1" t="s">
        <v>1379</v>
      </c>
      <c r="BB347" s="1">
        <v>84.2</v>
      </c>
      <c r="BC347" s="1"/>
      <c r="BD347" s="1"/>
      <c r="BE347" s="1"/>
      <c r="BF347" s="1"/>
      <c r="BG347" s="1"/>
      <c r="BH347" s="1"/>
      <c r="BI347" s="1"/>
      <c r="BJ347" s="1" t="s">
        <v>830</v>
      </c>
      <c r="BK347" s="1"/>
      <c r="BL347" s="1"/>
      <c r="BM347" s="1" t="s">
        <v>6899</v>
      </c>
      <c r="BN347" s="1">
        <v>9</v>
      </c>
      <c r="BO347" s="1"/>
      <c r="BP347" s="1" t="str">
        <f>HYPERLINK("https://nconnect.nicmar.ac.in/storage/profile/ProfilePhoto_P25700341_527638.jpg","Download")</f>
        <v>0</v>
      </c>
      <c r="BQ347" s="3"/>
      <c r="BR347" s="3"/>
    </row>
    <row r="348" spans="1:70">
      <c r="A348" s="1" t="s">
        <v>70</v>
      </c>
      <c r="B348" s="1" t="s">
        <v>441</v>
      </c>
      <c r="C348" s="1" t="s">
        <v>6900</v>
      </c>
      <c r="D348" s="1" t="s">
        <v>6901</v>
      </c>
      <c r="E348" s="1" t="s">
        <v>6902</v>
      </c>
      <c r="F348" s="1" t="s">
        <v>1156</v>
      </c>
      <c r="G348" s="1" t="s">
        <v>6903</v>
      </c>
      <c r="H348" s="1" t="s">
        <v>6904</v>
      </c>
      <c r="I348" s="1" t="s">
        <v>6905</v>
      </c>
      <c r="J348" s="1">
        <v>9022001835</v>
      </c>
      <c r="K348" s="1" t="s">
        <v>79</v>
      </c>
      <c r="L348" s="1" t="s">
        <v>6906</v>
      </c>
      <c r="M348" s="1" t="s">
        <v>81</v>
      </c>
      <c r="N348" s="1" t="s">
        <v>605</v>
      </c>
      <c r="O348" s="1"/>
      <c r="P348" s="1" t="s">
        <v>497</v>
      </c>
      <c r="Q348" s="1" t="s">
        <v>6907</v>
      </c>
      <c r="R348" s="1" t="s">
        <v>6908</v>
      </c>
      <c r="S348" s="1">
        <v>9049513669</v>
      </c>
      <c r="T348" s="1" t="s">
        <v>154</v>
      </c>
      <c r="U348" s="1" t="s">
        <v>1939</v>
      </c>
      <c r="V348" s="1">
        <v>9049513669</v>
      </c>
      <c r="W348" s="1" t="s">
        <v>531</v>
      </c>
      <c r="X348" s="1" t="s">
        <v>6909</v>
      </c>
      <c r="Y348" s="1" t="s">
        <v>191</v>
      </c>
      <c r="Z348" s="1" t="s">
        <v>92</v>
      </c>
      <c r="AA348" s="1" t="s">
        <v>6910</v>
      </c>
      <c r="AB348" s="1" t="s">
        <v>1012</v>
      </c>
      <c r="AC348" s="1" t="s">
        <v>92</v>
      </c>
      <c r="AD348" s="1">
        <v>7.52</v>
      </c>
      <c r="AE348" s="1" t="s">
        <v>93</v>
      </c>
      <c r="AF348" s="1" t="s">
        <v>6911</v>
      </c>
      <c r="AG348" s="1" t="s">
        <v>6912</v>
      </c>
      <c r="AH348" s="1" t="s">
        <v>162</v>
      </c>
      <c r="AI348" s="1" t="s">
        <v>195</v>
      </c>
      <c r="AJ348" s="1">
        <v>77.8</v>
      </c>
      <c r="AK348" s="1">
        <v>0</v>
      </c>
      <c r="AL348" s="1" t="s">
        <v>6913</v>
      </c>
      <c r="AM348" s="1" t="s">
        <v>6914</v>
      </c>
      <c r="AN348" s="1" t="s">
        <v>433</v>
      </c>
      <c r="AO348" s="1" t="s">
        <v>360</v>
      </c>
      <c r="AP348" s="1">
        <v>73.69</v>
      </c>
      <c r="AQ348" s="1"/>
      <c r="AR348" s="1"/>
      <c r="AS348" s="1"/>
      <c r="AT348" s="1"/>
      <c r="AU348" s="1"/>
      <c r="AV348" s="1"/>
      <c r="AW348" s="1"/>
      <c r="AX348" s="1" t="s">
        <v>6915</v>
      </c>
      <c r="AY348" s="1" t="s">
        <v>6916</v>
      </c>
      <c r="AZ348" s="1" t="s">
        <v>228</v>
      </c>
      <c r="BA348" s="1" t="s">
        <v>1219</v>
      </c>
      <c r="BB348" s="1">
        <v>65</v>
      </c>
      <c r="BC348" s="1">
        <v>7</v>
      </c>
      <c r="BD348" s="1"/>
      <c r="BE348" s="1"/>
      <c r="BF348" s="1"/>
      <c r="BG348" s="1"/>
      <c r="BH348" s="1"/>
      <c r="BI348" s="1"/>
      <c r="BJ348" s="1" t="s">
        <v>364</v>
      </c>
      <c r="BK348" s="1"/>
      <c r="BL348" s="1"/>
      <c r="BM348" s="1" t="s">
        <v>6917</v>
      </c>
      <c r="BN348" s="1">
        <v>9</v>
      </c>
      <c r="BO348" s="1"/>
      <c r="BP348" s="1" t="str">
        <f>HYPERLINK("https://nconnect.nicmar.ac.in/storage/profile/ProfilePhoto_P25700342_917356.jpg","Download")</f>
        <v>0</v>
      </c>
      <c r="BQ348" s="3"/>
      <c r="BR348" s="3"/>
    </row>
    <row r="349" spans="1:70">
      <c r="A349" s="1" t="s">
        <v>70</v>
      </c>
      <c r="B349" s="1" t="s">
        <v>441</v>
      </c>
      <c r="C349" s="1" t="s">
        <v>6918</v>
      </c>
      <c r="D349" s="1" t="s">
        <v>6919</v>
      </c>
      <c r="E349" s="1"/>
      <c r="F349" s="1" t="s">
        <v>3256</v>
      </c>
      <c r="G349" s="1" t="s">
        <v>6920</v>
      </c>
      <c r="H349" s="1" t="s">
        <v>6921</v>
      </c>
      <c r="I349" s="1" t="s">
        <v>6922</v>
      </c>
      <c r="J349" s="1">
        <v>9500644033</v>
      </c>
      <c r="K349" s="1" t="s">
        <v>79</v>
      </c>
      <c r="L349" s="1" t="s">
        <v>6923</v>
      </c>
      <c r="M349" s="1" t="s">
        <v>81</v>
      </c>
      <c r="N349" s="1" t="s">
        <v>2034</v>
      </c>
      <c r="O349" s="1"/>
      <c r="P349" s="1" t="s">
        <v>5905</v>
      </c>
      <c r="Q349" s="1" t="s">
        <v>6924</v>
      </c>
      <c r="R349" s="1" t="s">
        <v>6925</v>
      </c>
      <c r="S349" s="1">
        <v>9842710066</v>
      </c>
      <c r="T349" s="1" t="s">
        <v>820</v>
      </c>
      <c r="U349" s="1" t="s">
        <v>6926</v>
      </c>
      <c r="V349" s="1">
        <v>9965430493</v>
      </c>
      <c r="W349" s="1" t="s">
        <v>89</v>
      </c>
      <c r="X349" s="1" t="s">
        <v>6927</v>
      </c>
      <c r="Y349" s="1" t="s">
        <v>6928</v>
      </c>
      <c r="Z349" s="1" t="s">
        <v>559</v>
      </c>
      <c r="AA349" s="1" t="s">
        <v>6927</v>
      </c>
      <c r="AB349" s="1" t="s">
        <v>6928</v>
      </c>
      <c r="AC349" s="1" t="s">
        <v>559</v>
      </c>
      <c r="AD349" s="1">
        <v>8.44</v>
      </c>
      <c r="AE349" s="1" t="s">
        <v>93</v>
      </c>
      <c r="AF349" s="1" t="s">
        <v>6929</v>
      </c>
      <c r="AG349" s="1" t="s">
        <v>6930</v>
      </c>
      <c r="AH349" s="1" t="s">
        <v>3131</v>
      </c>
      <c r="AI349" s="1" t="s">
        <v>308</v>
      </c>
      <c r="AJ349" s="1">
        <v>90.2</v>
      </c>
      <c r="AK349" s="1"/>
      <c r="AL349" s="1" t="s">
        <v>6931</v>
      </c>
      <c r="AM349" s="1" t="s">
        <v>6930</v>
      </c>
      <c r="AN349" s="1" t="s">
        <v>433</v>
      </c>
      <c r="AO349" s="1" t="s">
        <v>539</v>
      </c>
      <c r="AP349" s="1">
        <v>91.6</v>
      </c>
      <c r="AQ349" s="1"/>
      <c r="AR349" s="1"/>
      <c r="AS349" s="1"/>
      <c r="AT349" s="1"/>
      <c r="AU349" s="1"/>
      <c r="AV349" s="1"/>
      <c r="AW349" s="1"/>
      <c r="AX349" s="1" t="s">
        <v>6932</v>
      </c>
      <c r="AY349" s="1" t="s">
        <v>4126</v>
      </c>
      <c r="AZ349" s="1" t="s">
        <v>542</v>
      </c>
      <c r="BA349" s="1" t="s">
        <v>543</v>
      </c>
      <c r="BB349" s="1">
        <v>73</v>
      </c>
      <c r="BC349" s="1">
        <v>7.3</v>
      </c>
      <c r="BD349" s="1"/>
      <c r="BE349" s="1"/>
      <c r="BF349" s="1"/>
      <c r="BG349" s="1"/>
      <c r="BH349" s="1"/>
      <c r="BI349" s="1"/>
      <c r="BJ349" s="1" t="s">
        <v>364</v>
      </c>
      <c r="BK349" s="1"/>
      <c r="BL349" s="1"/>
      <c r="BM349" s="1" t="s">
        <v>6933</v>
      </c>
      <c r="BN349" s="1">
        <v>22</v>
      </c>
      <c r="BO349" s="1" t="s">
        <v>6934</v>
      </c>
      <c r="BP349" s="1" t="str">
        <f>HYPERLINK("https://nconnect.nicmar.ac.in/storage/profile/ProfilePhoto_P25700343_519836.jpg","Download")</f>
        <v>0</v>
      </c>
      <c r="BQ349" s="3"/>
      <c r="BR349" s="3"/>
    </row>
    <row r="350" spans="1:70">
      <c r="A350" s="1" t="s">
        <v>70</v>
      </c>
      <c r="B350" s="1" t="s">
        <v>441</v>
      </c>
      <c r="C350" s="1" t="s">
        <v>6935</v>
      </c>
      <c r="D350" s="1" t="s">
        <v>6936</v>
      </c>
      <c r="E350" s="1" t="s">
        <v>6937</v>
      </c>
      <c r="F350" s="1" t="s">
        <v>6938</v>
      </c>
      <c r="G350" s="1" t="s">
        <v>6939</v>
      </c>
      <c r="H350" s="1" t="s">
        <v>6940</v>
      </c>
      <c r="I350" s="1" t="s">
        <v>6941</v>
      </c>
      <c r="J350" s="1">
        <v>7218952633</v>
      </c>
      <c r="K350" s="1" t="s">
        <v>79</v>
      </c>
      <c r="L350" s="1" t="s">
        <v>6942</v>
      </c>
      <c r="M350" s="1" t="s">
        <v>81</v>
      </c>
      <c r="N350" s="1" t="s">
        <v>883</v>
      </c>
      <c r="O350" s="1"/>
      <c r="P350" s="1" t="s">
        <v>450</v>
      </c>
      <c r="Q350" s="1" t="s">
        <v>6943</v>
      </c>
      <c r="R350" s="1" t="s">
        <v>6937</v>
      </c>
      <c r="S350" s="1">
        <v>9421567633</v>
      </c>
      <c r="T350" s="1" t="s">
        <v>154</v>
      </c>
      <c r="U350" s="1" t="s">
        <v>6944</v>
      </c>
      <c r="V350" s="1">
        <v>9421567633</v>
      </c>
      <c r="W350" s="1" t="s">
        <v>531</v>
      </c>
      <c r="X350" s="1" t="s">
        <v>6945</v>
      </c>
      <c r="Y350" s="1" t="s">
        <v>304</v>
      </c>
      <c r="Z350" s="1" t="s">
        <v>92</v>
      </c>
      <c r="AA350" s="1" t="s">
        <v>6945</v>
      </c>
      <c r="AB350" s="1" t="s">
        <v>304</v>
      </c>
      <c r="AC350" s="1" t="s">
        <v>92</v>
      </c>
      <c r="AD350" s="1">
        <v>7.25</v>
      </c>
      <c r="AE350" s="1" t="s">
        <v>93</v>
      </c>
      <c r="AF350" s="1" t="s">
        <v>6946</v>
      </c>
      <c r="AG350" s="1" t="s">
        <v>1942</v>
      </c>
      <c r="AH350" s="1" t="s">
        <v>96</v>
      </c>
      <c r="AI350" s="1" t="s">
        <v>161</v>
      </c>
      <c r="AJ350" s="1">
        <v>72.2</v>
      </c>
      <c r="AK350" s="1"/>
      <c r="AL350" s="1"/>
      <c r="AM350" s="1"/>
      <c r="AN350" s="1"/>
      <c r="AO350" s="1"/>
      <c r="AP350" s="1"/>
      <c r="AQ350" s="1"/>
      <c r="AR350" s="1" t="s">
        <v>98</v>
      </c>
      <c r="AS350" s="1" t="s">
        <v>6947</v>
      </c>
      <c r="AT350" s="1" t="s">
        <v>337</v>
      </c>
      <c r="AU350" s="1" t="s">
        <v>1019</v>
      </c>
      <c r="AV350" s="1">
        <v>60</v>
      </c>
      <c r="AW350" s="1"/>
      <c r="AX350" s="1" t="s">
        <v>6948</v>
      </c>
      <c r="AY350" s="1" t="s">
        <v>6949</v>
      </c>
      <c r="AZ350" s="1" t="s">
        <v>363</v>
      </c>
      <c r="BA350" s="1" t="s">
        <v>174</v>
      </c>
      <c r="BB350" s="1">
        <v>71.62</v>
      </c>
      <c r="BC350" s="1">
        <v>7.55</v>
      </c>
      <c r="BD350" s="1"/>
      <c r="BE350" s="1"/>
      <c r="BF350" s="1"/>
      <c r="BG350" s="1"/>
      <c r="BH350" s="1"/>
      <c r="BI350" s="1"/>
      <c r="BJ350" s="1" t="s">
        <v>6950</v>
      </c>
      <c r="BK350" s="1" t="s">
        <v>6951</v>
      </c>
      <c r="BL350" s="1" t="s">
        <v>1335</v>
      </c>
      <c r="BM350" s="1" t="s">
        <v>6952</v>
      </c>
      <c r="BN350" s="1">
        <v>8</v>
      </c>
      <c r="BO350" s="1"/>
      <c r="BP350" s="1" t="str">
        <f>HYPERLINK("https://nconnect.nicmar.ac.in/storage/profile/ProfilePhoto_P25700344_278134.jpg","Download")</f>
        <v>0</v>
      </c>
      <c r="BQ350" s="3"/>
      <c r="BR350" s="3"/>
    </row>
    <row r="351" spans="1:70">
      <c r="A351" s="1" t="s">
        <v>70</v>
      </c>
      <c r="B351" s="1" t="s">
        <v>441</v>
      </c>
      <c r="C351" s="1" t="s">
        <v>6953</v>
      </c>
      <c r="D351" s="1" t="s">
        <v>856</v>
      </c>
      <c r="E351" s="1" t="s">
        <v>1644</v>
      </c>
      <c r="F351" s="1" t="s">
        <v>6954</v>
      </c>
      <c r="G351" s="1" t="s">
        <v>6955</v>
      </c>
      <c r="H351" s="1" t="s">
        <v>6956</v>
      </c>
      <c r="I351" s="1" t="s">
        <v>6957</v>
      </c>
      <c r="J351" s="1">
        <v>7219070684</v>
      </c>
      <c r="K351" s="1" t="s">
        <v>79</v>
      </c>
      <c r="L351" s="1" t="s">
        <v>6958</v>
      </c>
      <c r="M351" s="1" t="s">
        <v>81</v>
      </c>
      <c r="N351" s="1" t="s">
        <v>6599</v>
      </c>
      <c r="O351" s="1"/>
      <c r="P351" s="1" t="s">
        <v>497</v>
      </c>
      <c r="Q351" s="1" t="s">
        <v>6959</v>
      </c>
      <c r="R351" s="1" t="s">
        <v>6960</v>
      </c>
      <c r="S351" s="1">
        <v>9325686281</v>
      </c>
      <c r="T351" s="1" t="s">
        <v>6961</v>
      </c>
      <c r="U351" s="1" t="s">
        <v>6962</v>
      </c>
      <c r="V351" s="1">
        <v>9890037065</v>
      </c>
      <c r="W351" s="1" t="s">
        <v>156</v>
      </c>
      <c r="X351" s="1" t="s">
        <v>6963</v>
      </c>
      <c r="Y351" s="1" t="s">
        <v>191</v>
      </c>
      <c r="Z351" s="1" t="s">
        <v>92</v>
      </c>
      <c r="AA351" s="1" t="s">
        <v>6963</v>
      </c>
      <c r="AB351" s="1" t="s">
        <v>191</v>
      </c>
      <c r="AC351" s="1" t="s">
        <v>92</v>
      </c>
      <c r="AD351" s="1">
        <v>8.37</v>
      </c>
      <c r="AE351" s="1" t="s">
        <v>93</v>
      </c>
      <c r="AF351" s="1" t="s">
        <v>6964</v>
      </c>
      <c r="AG351" s="1" t="s">
        <v>307</v>
      </c>
      <c r="AH351" s="1" t="s">
        <v>281</v>
      </c>
      <c r="AI351" s="1" t="s">
        <v>308</v>
      </c>
      <c r="AJ351" s="1">
        <v>83.8</v>
      </c>
      <c r="AK351" s="1"/>
      <c r="AL351" s="1"/>
      <c r="AM351" s="1"/>
      <c r="AN351" s="1"/>
      <c r="AO351" s="1"/>
      <c r="AP351" s="1"/>
      <c r="AQ351" s="1"/>
      <c r="AR351" s="1" t="s">
        <v>98</v>
      </c>
      <c r="AS351" s="1" t="s">
        <v>6965</v>
      </c>
      <c r="AT351" s="1" t="s">
        <v>433</v>
      </c>
      <c r="AU351" s="1" t="s">
        <v>105</v>
      </c>
      <c r="AV351" s="1">
        <v>83.8</v>
      </c>
      <c r="AW351" s="1"/>
      <c r="AX351" s="1" t="s">
        <v>6966</v>
      </c>
      <c r="AY351" s="1" t="s">
        <v>6966</v>
      </c>
      <c r="AZ351" s="1" t="s">
        <v>1777</v>
      </c>
      <c r="BA351" s="1" t="s">
        <v>829</v>
      </c>
      <c r="BB351" s="1">
        <v>76.1</v>
      </c>
      <c r="BC351" s="1">
        <v>8.36</v>
      </c>
      <c r="BD351" s="1"/>
      <c r="BE351" s="1"/>
      <c r="BF351" s="1"/>
      <c r="BG351" s="1"/>
      <c r="BH351" s="1"/>
      <c r="BI351" s="1"/>
      <c r="BJ351" s="1" t="s">
        <v>6967</v>
      </c>
      <c r="BK351" s="1"/>
      <c r="BL351" s="1"/>
      <c r="BM351" s="1" t="s">
        <v>6968</v>
      </c>
      <c r="BN351" s="1">
        <v>8</v>
      </c>
      <c r="BO351" s="1" t="s">
        <v>6969</v>
      </c>
      <c r="BP351" s="1" t="str">
        <f>HYPERLINK("https://nconnect.nicmar.ac.in/storage/profile/ProfilePhoto_P25700345_856793.jpg","Download")</f>
        <v>0</v>
      </c>
      <c r="BQ351" s="3"/>
      <c r="BR351" s="3"/>
    </row>
    <row r="352" spans="1:70">
      <c r="A352" s="1" t="s">
        <v>70</v>
      </c>
      <c r="B352" s="1" t="s">
        <v>441</v>
      </c>
      <c r="C352" s="1" t="s">
        <v>6970</v>
      </c>
      <c r="D352" s="1" t="s">
        <v>6971</v>
      </c>
      <c r="E352" s="1"/>
      <c r="F352" s="1" t="s">
        <v>6972</v>
      </c>
      <c r="G352" s="1" t="s">
        <v>6973</v>
      </c>
      <c r="H352" s="1" t="s">
        <v>6974</v>
      </c>
      <c r="I352" s="1" t="s">
        <v>6975</v>
      </c>
      <c r="J352" s="1">
        <v>8886472020</v>
      </c>
      <c r="K352" s="1" t="s">
        <v>148</v>
      </c>
      <c r="L352" s="1" t="s">
        <v>6976</v>
      </c>
      <c r="M352" s="1" t="s">
        <v>81</v>
      </c>
      <c r="N352" s="1" t="s">
        <v>6977</v>
      </c>
      <c r="O352" s="1"/>
      <c r="P352" s="1" t="s">
        <v>1007</v>
      </c>
      <c r="Q352" s="1" t="s">
        <v>6978</v>
      </c>
      <c r="R352" s="1" t="s">
        <v>6979</v>
      </c>
      <c r="S352" s="1">
        <v>8886072020</v>
      </c>
      <c r="T352" s="1" t="s">
        <v>120</v>
      </c>
      <c r="U352" s="1" t="s">
        <v>6980</v>
      </c>
      <c r="V352" s="1">
        <v>8886172020</v>
      </c>
      <c r="W352" s="1" t="s">
        <v>632</v>
      </c>
      <c r="X352" s="1" t="s">
        <v>6981</v>
      </c>
      <c r="Y352" s="1" t="s">
        <v>3050</v>
      </c>
      <c r="Z352" s="1" t="s">
        <v>456</v>
      </c>
      <c r="AA352" s="1" t="s">
        <v>6981</v>
      </c>
      <c r="AB352" s="1" t="s">
        <v>3050</v>
      </c>
      <c r="AC352" s="1" t="s">
        <v>456</v>
      </c>
      <c r="AD352" s="1">
        <v>9.41</v>
      </c>
      <c r="AE352" s="1" t="s">
        <v>93</v>
      </c>
      <c r="AF352" s="1" t="s">
        <v>6982</v>
      </c>
      <c r="AG352" s="1" t="s">
        <v>6983</v>
      </c>
      <c r="AH352" s="1" t="s">
        <v>1089</v>
      </c>
      <c r="AI352" s="1" t="s">
        <v>165</v>
      </c>
      <c r="AJ352" s="1">
        <v>95</v>
      </c>
      <c r="AK352" s="1">
        <v>10</v>
      </c>
      <c r="AL352" s="1" t="s">
        <v>6984</v>
      </c>
      <c r="AM352" s="1" t="s">
        <v>6983</v>
      </c>
      <c r="AN352" s="1" t="s">
        <v>1455</v>
      </c>
      <c r="AO352" s="1" t="s">
        <v>308</v>
      </c>
      <c r="AP352" s="1">
        <v>92</v>
      </c>
      <c r="AQ352" s="1"/>
      <c r="AR352" s="1"/>
      <c r="AS352" s="1"/>
      <c r="AT352" s="1"/>
      <c r="AU352" s="1"/>
      <c r="AV352" s="1"/>
      <c r="AW352" s="1"/>
      <c r="AX352" s="1" t="s">
        <v>6985</v>
      </c>
      <c r="AY352" s="1" t="s">
        <v>6986</v>
      </c>
      <c r="AZ352" s="1" t="s">
        <v>310</v>
      </c>
      <c r="BA352" s="1" t="s">
        <v>413</v>
      </c>
      <c r="BB352" s="1">
        <v>83.4</v>
      </c>
      <c r="BC352" s="1">
        <v>8.34</v>
      </c>
      <c r="BD352" s="1"/>
      <c r="BE352" s="1"/>
      <c r="BF352" s="1"/>
      <c r="BG352" s="1"/>
      <c r="BH352" s="1"/>
      <c r="BI352" s="1"/>
      <c r="BJ352" s="1" t="s">
        <v>6987</v>
      </c>
      <c r="BK352" s="1"/>
      <c r="BL352" s="1"/>
      <c r="BM352" s="1" t="s">
        <v>6988</v>
      </c>
      <c r="BN352" s="1">
        <v>33</v>
      </c>
      <c r="BO352" s="1" t="s">
        <v>6989</v>
      </c>
      <c r="BP352" s="1" t="str">
        <f>HYPERLINK("https://nconnect.nicmar.ac.in/storage/profile/ProfilePhoto_P25700346_549627.jpg","Download")</f>
        <v>0</v>
      </c>
      <c r="BQ352" s="3"/>
      <c r="BR352" s="3"/>
    </row>
    <row r="353" spans="1:70">
      <c r="A353" s="1" t="s">
        <v>70</v>
      </c>
      <c r="B353" s="1" t="s">
        <v>441</v>
      </c>
      <c r="C353" s="1" t="s">
        <v>6990</v>
      </c>
      <c r="D353" s="1" t="s">
        <v>6991</v>
      </c>
      <c r="E353" s="1" t="s">
        <v>6992</v>
      </c>
      <c r="F353" s="1" t="s">
        <v>1156</v>
      </c>
      <c r="G353" s="1" t="s">
        <v>6993</v>
      </c>
      <c r="H353" s="1" t="s">
        <v>6994</v>
      </c>
      <c r="I353" s="1" t="s">
        <v>6995</v>
      </c>
      <c r="J353" s="1">
        <v>9325973429</v>
      </c>
      <c r="K353" s="1" t="s">
        <v>79</v>
      </c>
      <c r="L353" s="1" t="s">
        <v>1832</v>
      </c>
      <c r="M353" s="1" t="s">
        <v>81</v>
      </c>
      <c r="N353" s="1" t="s">
        <v>6703</v>
      </c>
      <c r="O353" s="1"/>
      <c r="P353" s="1" t="s">
        <v>497</v>
      </c>
      <c r="Q353" s="1" t="s">
        <v>6996</v>
      </c>
      <c r="R353" s="1" t="s">
        <v>6997</v>
      </c>
      <c r="S353" s="1">
        <v>9423475025</v>
      </c>
      <c r="T353" s="1" t="s">
        <v>120</v>
      </c>
      <c r="U353" s="1" t="s">
        <v>6998</v>
      </c>
      <c r="V353" s="1">
        <v>7276718725</v>
      </c>
      <c r="W353" s="1" t="s">
        <v>156</v>
      </c>
      <c r="X353" s="1" t="s">
        <v>6999</v>
      </c>
      <c r="Y353" s="1" t="s">
        <v>890</v>
      </c>
      <c r="Z353" s="1" t="s">
        <v>92</v>
      </c>
      <c r="AA353" s="1" t="s">
        <v>6999</v>
      </c>
      <c r="AB353" s="1" t="s">
        <v>890</v>
      </c>
      <c r="AC353" s="1" t="s">
        <v>92</v>
      </c>
      <c r="AD353" s="1">
        <v>7.68</v>
      </c>
      <c r="AE353" s="1" t="s">
        <v>93</v>
      </c>
      <c r="AF353" s="1" t="s">
        <v>7000</v>
      </c>
      <c r="AG353" s="1" t="s">
        <v>6710</v>
      </c>
      <c r="AH353" s="1" t="s">
        <v>101</v>
      </c>
      <c r="AI353" s="1" t="s">
        <v>409</v>
      </c>
      <c r="AJ353" s="1">
        <v>68.4</v>
      </c>
      <c r="AK353" s="1"/>
      <c r="AL353" s="1" t="s">
        <v>7001</v>
      </c>
      <c r="AM353" s="1" t="s">
        <v>6710</v>
      </c>
      <c r="AN353" s="1" t="s">
        <v>460</v>
      </c>
      <c r="AO353" s="1" t="s">
        <v>1169</v>
      </c>
      <c r="AP353" s="1">
        <v>73.67</v>
      </c>
      <c r="AQ353" s="1"/>
      <c r="AR353" s="1"/>
      <c r="AS353" s="1"/>
      <c r="AT353" s="1"/>
      <c r="AU353" s="1"/>
      <c r="AV353" s="1"/>
      <c r="AW353" s="1"/>
      <c r="AX353" s="1" t="s">
        <v>361</v>
      </c>
      <c r="AY353" s="1" t="s">
        <v>7002</v>
      </c>
      <c r="AZ353" s="1" t="s">
        <v>852</v>
      </c>
      <c r="BA353" s="1" t="s">
        <v>1379</v>
      </c>
      <c r="BB353" s="1">
        <v>63.5</v>
      </c>
      <c r="BC353" s="1">
        <v>7.1</v>
      </c>
      <c r="BD353" s="1"/>
      <c r="BE353" s="1"/>
      <c r="BF353" s="1"/>
      <c r="BG353" s="1"/>
      <c r="BH353" s="1"/>
      <c r="BI353" s="1"/>
      <c r="BJ353" s="1" t="s">
        <v>7003</v>
      </c>
      <c r="BK353" s="1"/>
      <c r="BL353" s="1"/>
      <c r="BM353" s="1" t="s">
        <v>7004</v>
      </c>
      <c r="BN353" s="1">
        <v>34</v>
      </c>
      <c r="BO353" s="1" t="s">
        <v>7005</v>
      </c>
      <c r="BP353" s="1" t="str">
        <f>HYPERLINK("https://nconnect.nicmar.ac.in/storage/profile/ProfilePhoto_P25700347_834162.jpg","Download")</f>
        <v>0</v>
      </c>
      <c r="BQ353" s="3"/>
      <c r="BR353" s="3"/>
    </row>
    <row r="354" spans="1:70">
      <c r="A354" s="1" t="s">
        <v>70</v>
      </c>
      <c r="B354" s="1" t="s">
        <v>441</v>
      </c>
      <c r="C354" s="1" t="s">
        <v>7006</v>
      </c>
      <c r="D354" s="1" t="s">
        <v>7007</v>
      </c>
      <c r="E354" s="1"/>
      <c r="F354" s="1" t="s">
        <v>7008</v>
      </c>
      <c r="G354" s="1" t="s">
        <v>7009</v>
      </c>
      <c r="H354" s="1" t="s">
        <v>7010</v>
      </c>
      <c r="I354" s="1" t="s">
        <v>7011</v>
      </c>
      <c r="J354" s="1">
        <v>7506045865</v>
      </c>
      <c r="K354" s="1" t="s">
        <v>79</v>
      </c>
      <c r="L354" s="1" t="s">
        <v>7012</v>
      </c>
      <c r="M354" s="1" t="s">
        <v>81</v>
      </c>
      <c r="N354" s="1" t="s">
        <v>3587</v>
      </c>
      <c r="O354" s="1"/>
      <c r="P354" s="1" t="s">
        <v>472</v>
      </c>
      <c r="Q354" s="1" t="s">
        <v>7013</v>
      </c>
      <c r="R354" s="1" t="s">
        <v>4342</v>
      </c>
      <c r="S354" s="1">
        <v>9321776100</v>
      </c>
      <c r="T354" s="1" t="s">
        <v>120</v>
      </c>
      <c r="U354" s="1" t="s">
        <v>7014</v>
      </c>
      <c r="V354" s="1">
        <v>9702169187</v>
      </c>
      <c r="W354" s="1" t="s">
        <v>531</v>
      </c>
      <c r="X354" s="1" t="s">
        <v>7015</v>
      </c>
      <c r="Y354" s="1" t="s">
        <v>1166</v>
      </c>
      <c r="Z354" s="1" t="s">
        <v>92</v>
      </c>
      <c r="AA354" s="1" t="s">
        <v>7015</v>
      </c>
      <c r="AB354" s="1" t="s">
        <v>1166</v>
      </c>
      <c r="AC354" s="1" t="s">
        <v>92</v>
      </c>
      <c r="AD354" s="1">
        <v>6.73</v>
      </c>
      <c r="AE354" s="1" t="s">
        <v>93</v>
      </c>
      <c r="AF354" s="1" t="s">
        <v>1599</v>
      </c>
      <c r="AG354" s="1" t="s">
        <v>777</v>
      </c>
      <c r="AH354" s="1" t="s">
        <v>1191</v>
      </c>
      <c r="AI354" s="1" t="s">
        <v>131</v>
      </c>
      <c r="AJ354" s="1">
        <v>56</v>
      </c>
      <c r="AK354" s="1">
        <v>6.4</v>
      </c>
      <c r="AL354" s="1" t="s">
        <v>7016</v>
      </c>
      <c r="AM354" s="1" t="s">
        <v>7017</v>
      </c>
      <c r="AN354" s="1" t="s">
        <v>162</v>
      </c>
      <c r="AO354" s="1" t="s">
        <v>562</v>
      </c>
      <c r="AP354" s="1">
        <v>49.69</v>
      </c>
      <c r="AQ354" s="1"/>
      <c r="AR354" s="1" t="s">
        <v>434</v>
      </c>
      <c r="AS354" s="1" t="s">
        <v>7018</v>
      </c>
      <c r="AT354" s="1" t="s">
        <v>225</v>
      </c>
      <c r="AU354" s="1" t="s">
        <v>170</v>
      </c>
      <c r="AV354" s="1">
        <v>77.76</v>
      </c>
      <c r="AW354" s="1"/>
      <c r="AX354" s="1" t="s">
        <v>666</v>
      </c>
      <c r="AY354" s="1" t="s">
        <v>7019</v>
      </c>
      <c r="AZ354" s="1" t="s">
        <v>363</v>
      </c>
      <c r="BA354" s="1" t="s">
        <v>915</v>
      </c>
      <c r="BB354" s="1">
        <v>64.35</v>
      </c>
      <c r="BC354" s="1"/>
      <c r="BD354" s="1"/>
      <c r="BE354" s="1"/>
      <c r="BF354" s="1"/>
      <c r="BG354" s="1"/>
      <c r="BH354" s="1"/>
      <c r="BI354" s="1"/>
      <c r="BJ354" s="1" t="s">
        <v>255</v>
      </c>
      <c r="BK354" s="1" t="s">
        <v>7020</v>
      </c>
      <c r="BL354" s="1" t="s">
        <v>1335</v>
      </c>
      <c r="BM354" s="1" t="s">
        <v>7021</v>
      </c>
      <c r="BN354" s="1">
        <v>21</v>
      </c>
      <c r="BO354" s="1"/>
      <c r="BP354" s="1" t="str">
        <f>HYPERLINK("https://nconnect.nicmar.ac.in/storage/profile/ProfilePhoto_P25700348_398162.jpg","Download")</f>
        <v>0</v>
      </c>
      <c r="BQ354" s="3"/>
      <c r="BR354" s="3"/>
    </row>
    <row r="355" spans="1:70">
      <c r="A355" s="1" t="s">
        <v>70</v>
      </c>
      <c r="B355" s="1" t="s">
        <v>441</v>
      </c>
      <c r="C355" s="1" t="s">
        <v>7022</v>
      </c>
      <c r="D355" s="1" t="s">
        <v>7023</v>
      </c>
      <c r="E355" s="1"/>
      <c r="F355" s="1" t="s">
        <v>520</v>
      </c>
      <c r="G355" s="1" t="s">
        <v>7024</v>
      </c>
      <c r="H355" s="1" t="s">
        <v>7025</v>
      </c>
      <c r="I355" s="1" t="s">
        <v>7026</v>
      </c>
      <c r="J355" s="1">
        <v>6388116291</v>
      </c>
      <c r="K355" s="1" t="s">
        <v>79</v>
      </c>
      <c r="L355" s="1" t="s">
        <v>7027</v>
      </c>
      <c r="M355" s="1" t="s">
        <v>81</v>
      </c>
      <c r="N355" s="1" t="s">
        <v>4289</v>
      </c>
      <c r="O355" s="1"/>
      <c r="P355" s="1" t="s">
        <v>472</v>
      </c>
      <c r="Q355" s="1" t="s">
        <v>7028</v>
      </c>
      <c r="R355" s="1" t="s">
        <v>7029</v>
      </c>
      <c r="S355" s="1">
        <v>9793169015</v>
      </c>
      <c r="T355" s="1" t="s">
        <v>325</v>
      </c>
      <c r="U355" s="1" t="s">
        <v>7030</v>
      </c>
      <c r="V355" s="1">
        <v>9793169015</v>
      </c>
      <c r="W355" s="1" t="s">
        <v>156</v>
      </c>
      <c r="X355" s="1" t="s">
        <v>7031</v>
      </c>
      <c r="Y355" s="1" t="s">
        <v>7032</v>
      </c>
      <c r="Z355" s="1" t="s">
        <v>534</v>
      </c>
      <c r="AA355" s="1" t="s">
        <v>7031</v>
      </c>
      <c r="AB355" s="1" t="s">
        <v>7032</v>
      </c>
      <c r="AC355" s="1" t="s">
        <v>534</v>
      </c>
      <c r="AD355" s="1">
        <v>8.17</v>
      </c>
      <c r="AE355" s="1" t="s">
        <v>93</v>
      </c>
      <c r="AF355" s="1" t="s">
        <v>7033</v>
      </c>
      <c r="AG355" s="1" t="s">
        <v>7034</v>
      </c>
      <c r="AH355" s="1" t="s">
        <v>249</v>
      </c>
      <c r="AI355" s="1" t="s">
        <v>1239</v>
      </c>
      <c r="AJ355" s="1">
        <v>87</v>
      </c>
      <c r="AK355" s="1"/>
      <c r="AL355" s="1" t="s">
        <v>7033</v>
      </c>
      <c r="AM355" s="1" t="s">
        <v>7034</v>
      </c>
      <c r="AN355" s="1" t="s">
        <v>130</v>
      </c>
      <c r="AO355" s="1" t="s">
        <v>614</v>
      </c>
      <c r="AP355" s="1">
        <v>90</v>
      </c>
      <c r="AQ355" s="1"/>
      <c r="AR355" s="1"/>
      <c r="AS355" s="1"/>
      <c r="AT355" s="1"/>
      <c r="AU355" s="1"/>
      <c r="AV355" s="1"/>
      <c r="AW355" s="1"/>
      <c r="AX355" s="1" t="s">
        <v>7035</v>
      </c>
      <c r="AY355" s="1" t="s">
        <v>7036</v>
      </c>
      <c r="AZ355" s="1" t="s">
        <v>1374</v>
      </c>
      <c r="BA355" s="1" t="s">
        <v>871</v>
      </c>
      <c r="BB355" s="1">
        <v>81.1</v>
      </c>
      <c r="BC355" s="1">
        <v>8.11</v>
      </c>
      <c r="BD355" s="1"/>
      <c r="BE355" s="1"/>
      <c r="BF355" s="1"/>
      <c r="BG355" s="1"/>
      <c r="BH355" s="1"/>
      <c r="BI355" s="1"/>
      <c r="BJ355" s="1" t="s">
        <v>7037</v>
      </c>
      <c r="BK355" s="1" t="s">
        <v>7038</v>
      </c>
      <c r="BL355" s="1" t="s">
        <v>6646</v>
      </c>
      <c r="BM355" s="1" t="s">
        <v>7039</v>
      </c>
      <c r="BN355" s="1">
        <v>18</v>
      </c>
      <c r="BO355" s="1"/>
      <c r="BP355" s="1" t="str">
        <f>HYPERLINK("https://nconnect.nicmar.ac.in/storage/profile/ProfilePhoto_P25700349_261783.jpg","Download")</f>
        <v>0</v>
      </c>
      <c r="BQ355" s="3"/>
      <c r="BR355" s="3"/>
    </row>
    <row r="356" spans="1:70">
      <c r="A356" s="1" t="s">
        <v>70</v>
      </c>
      <c r="B356" s="1" t="s">
        <v>441</v>
      </c>
      <c r="C356" s="1" t="s">
        <v>7040</v>
      </c>
      <c r="D356" s="1" t="s">
        <v>7041</v>
      </c>
      <c r="E356" s="1"/>
      <c r="F356" s="1" t="s">
        <v>1828</v>
      </c>
      <c r="G356" s="1" t="s">
        <v>7042</v>
      </c>
      <c r="H356" s="1" t="s">
        <v>7043</v>
      </c>
      <c r="I356" s="1" t="s">
        <v>7044</v>
      </c>
      <c r="J356" s="1">
        <v>9207542359</v>
      </c>
      <c r="K356" s="1" t="s">
        <v>79</v>
      </c>
      <c r="L356" s="1" t="s">
        <v>7045</v>
      </c>
      <c r="M356" s="1" t="s">
        <v>81</v>
      </c>
      <c r="N356" s="1" t="s">
        <v>7046</v>
      </c>
      <c r="O356" s="1"/>
      <c r="P356" s="1" t="s">
        <v>497</v>
      </c>
      <c r="Q356" s="1" t="s">
        <v>7047</v>
      </c>
      <c r="R356" s="1" t="s">
        <v>7048</v>
      </c>
      <c r="S356" s="1">
        <v>9745564006</v>
      </c>
      <c r="T356" s="1" t="s">
        <v>7049</v>
      </c>
      <c r="U356" s="1" t="s">
        <v>7050</v>
      </c>
      <c r="V356" s="1">
        <v>8547054710</v>
      </c>
      <c r="W356" s="1" t="s">
        <v>156</v>
      </c>
      <c r="X356" s="1" t="s">
        <v>7051</v>
      </c>
      <c r="Y356" s="1" t="s">
        <v>686</v>
      </c>
      <c r="Z356" s="1" t="s">
        <v>125</v>
      </c>
      <c r="AA356" s="1" t="s">
        <v>7051</v>
      </c>
      <c r="AB356" s="1" t="s">
        <v>686</v>
      </c>
      <c r="AC356" s="1" t="s">
        <v>125</v>
      </c>
      <c r="AD356" s="1">
        <v>9.0</v>
      </c>
      <c r="AE356" s="1" t="s">
        <v>93</v>
      </c>
      <c r="AF356" s="1" t="s">
        <v>7052</v>
      </c>
      <c r="AG356" s="1" t="s">
        <v>7053</v>
      </c>
      <c r="AH356" s="1" t="s">
        <v>161</v>
      </c>
      <c r="AI356" s="1" t="s">
        <v>614</v>
      </c>
      <c r="AJ356" s="1">
        <v>81.7</v>
      </c>
      <c r="AK356" s="1">
        <v>8.6</v>
      </c>
      <c r="AL356" s="1" t="s">
        <v>7052</v>
      </c>
      <c r="AM356" s="1" t="s">
        <v>7053</v>
      </c>
      <c r="AN356" s="1" t="s">
        <v>165</v>
      </c>
      <c r="AO356" s="1" t="s">
        <v>166</v>
      </c>
      <c r="AP356" s="1">
        <v>73</v>
      </c>
      <c r="AQ356" s="1"/>
      <c r="AR356" s="1"/>
      <c r="AS356" s="1"/>
      <c r="AT356" s="1"/>
      <c r="AU356" s="1"/>
      <c r="AV356" s="1"/>
      <c r="AW356" s="1"/>
      <c r="AX356" s="1" t="s">
        <v>132</v>
      </c>
      <c r="AY356" s="1" t="s">
        <v>7054</v>
      </c>
      <c r="AZ356" s="1" t="s">
        <v>1043</v>
      </c>
      <c r="BA356" s="1" t="s">
        <v>284</v>
      </c>
      <c r="BB356" s="1">
        <v>78.3</v>
      </c>
      <c r="BC356" s="1">
        <v>7.83</v>
      </c>
      <c r="BD356" s="1"/>
      <c r="BE356" s="1"/>
      <c r="BF356" s="1"/>
      <c r="BG356" s="1"/>
      <c r="BH356" s="1"/>
      <c r="BI356" s="1"/>
      <c r="BJ356" s="1" t="s">
        <v>7055</v>
      </c>
      <c r="BK356" s="1" t="s">
        <v>7056</v>
      </c>
      <c r="BL356" s="1" t="s">
        <v>514</v>
      </c>
      <c r="BM356" s="1" t="s">
        <v>7057</v>
      </c>
      <c r="BN356" s="1">
        <v>38</v>
      </c>
      <c r="BO356" s="1" t="s">
        <v>7058</v>
      </c>
      <c r="BP356" s="1" t="str">
        <f>HYPERLINK("https://nconnect.nicmar.ac.in/storage/profile/ProfilePhoto_P25700350_594367.jpg","Download")</f>
        <v>0</v>
      </c>
      <c r="BQ356" s="3"/>
      <c r="BR356" s="3"/>
    </row>
    <row r="357" spans="1:70">
      <c r="A357" s="1" t="s">
        <v>70</v>
      </c>
      <c r="B357" s="1" t="s">
        <v>441</v>
      </c>
      <c r="C357" s="1" t="s">
        <v>7059</v>
      </c>
      <c r="D357" s="1" t="s">
        <v>7060</v>
      </c>
      <c r="E357" s="1" t="s">
        <v>2610</v>
      </c>
      <c r="F357" s="1" t="s">
        <v>7061</v>
      </c>
      <c r="G357" s="1" t="s">
        <v>7062</v>
      </c>
      <c r="H357" s="1" t="s">
        <v>7063</v>
      </c>
      <c r="I357" s="1" t="s">
        <v>7064</v>
      </c>
      <c r="J357" s="1">
        <v>9970143717</v>
      </c>
      <c r="K357" s="1" t="s">
        <v>79</v>
      </c>
      <c r="L357" s="1" t="s">
        <v>7065</v>
      </c>
      <c r="M357" s="1" t="s">
        <v>81</v>
      </c>
      <c r="N357" s="1" t="s">
        <v>1448</v>
      </c>
      <c r="O357" s="1"/>
      <c r="P357" s="1" t="s">
        <v>472</v>
      </c>
      <c r="Q357" s="1" t="s">
        <v>7066</v>
      </c>
      <c r="R357" s="1" t="s">
        <v>7067</v>
      </c>
      <c r="S357" s="1">
        <v>9890630727</v>
      </c>
      <c r="T357" s="1" t="s">
        <v>4780</v>
      </c>
      <c r="U357" s="1" t="s">
        <v>7068</v>
      </c>
      <c r="V357" s="1">
        <v>9422349566</v>
      </c>
      <c r="W357" s="1" t="s">
        <v>122</v>
      </c>
      <c r="X357" s="1" t="s">
        <v>7069</v>
      </c>
      <c r="Y357" s="1" t="s">
        <v>1012</v>
      </c>
      <c r="Z357" s="1" t="s">
        <v>92</v>
      </c>
      <c r="AA357" s="1" t="s">
        <v>7069</v>
      </c>
      <c r="AB357" s="1" t="s">
        <v>1012</v>
      </c>
      <c r="AC357" s="1" t="s">
        <v>92</v>
      </c>
      <c r="AD357" s="1">
        <v>8.77</v>
      </c>
      <c r="AE357" s="1" t="s">
        <v>93</v>
      </c>
      <c r="AF357" s="1" t="s">
        <v>7070</v>
      </c>
      <c r="AG357" s="1" t="s">
        <v>7071</v>
      </c>
      <c r="AH357" s="1" t="s">
        <v>101</v>
      </c>
      <c r="AI357" s="1" t="s">
        <v>433</v>
      </c>
      <c r="AJ357" s="1">
        <v>94.8</v>
      </c>
      <c r="AK357" s="1"/>
      <c r="AL357" s="1" t="s">
        <v>3982</v>
      </c>
      <c r="AM357" s="1" t="s">
        <v>7071</v>
      </c>
      <c r="AN357" s="1" t="s">
        <v>460</v>
      </c>
      <c r="AO357" s="1" t="s">
        <v>436</v>
      </c>
      <c r="AP357" s="1">
        <v>86</v>
      </c>
      <c r="AQ357" s="1"/>
      <c r="AR357" s="1"/>
      <c r="AS357" s="1"/>
      <c r="AT357" s="1"/>
      <c r="AU357" s="1"/>
      <c r="AV357" s="1"/>
      <c r="AW357" s="1"/>
      <c r="AX357" s="1" t="s">
        <v>7072</v>
      </c>
      <c r="AY357" s="1" t="s">
        <v>7073</v>
      </c>
      <c r="AZ357" s="1" t="s">
        <v>852</v>
      </c>
      <c r="BA357" s="1" t="s">
        <v>829</v>
      </c>
      <c r="BB357" s="1">
        <v>68.8</v>
      </c>
      <c r="BC357" s="1">
        <v>7.63</v>
      </c>
      <c r="BD357" s="1"/>
      <c r="BE357" s="1"/>
      <c r="BF357" s="1"/>
      <c r="BG357" s="1"/>
      <c r="BH357" s="1"/>
      <c r="BI357" s="1"/>
      <c r="BJ357" s="1" t="s">
        <v>7074</v>
      </c>
      <c r="BK357" s="1"/>
      <c r="BL357" s="1"/>
      <c r="BM357" s="1" t="s">
        <v>7075</v>
      </c>
      <c r="BN357" s="1">
        <v>11</v>
      </c>
      <c r="BO357" s="1" t="s">
        <v>7076</v>
      </c>
      <c r="BP357" s="1" t="str">
        <f>HYPERLINK("https://nconnect.nicmar.ac.in/storage/profile/ProfilePhoto_P25700351_712865.jpg","Download")</f>
        <v>0</v>
      </c>
      <c r="BQ357" s="3"/>
      <c r="BR357" s="3"/>
    </row>
    <row r="358" spans="1:70">
      <c r="A358" s="1" t="s">
        <v>70</v>
      </c>
      <c r="B358" s="1" t="s">
        <v>441</v>
      </c>
      <c r="C358" s="1" t="s">
        <v>7077</v>
      </c>
      <c r="D358" s="1" t="s">
        <v>7078</v>
      </c>
      <c r="E358" s="1" t="s">
        <v>4321</v>
      </c>
      <c r="F358" s="1" t="s">
        <v>7079</v>
      </c>
      <c r="G358" s="1" t="s">
        <v>7080</v>
      </c>
      <c r="H358" s="1" t="s">
        <v>7081</v>
      </c>
      <c r="I358" s="1" t="s">
        <v>7082</v>
      </c>
      <c r="J358" s="1">
        <v>9082793384</v>
      </c>
      <c r="K358" s="1" t="s">
        <v>79</v>
      </c>
      <c r="L358" s="1" t="s">
        <v>7083</v>
      </c>
      <c r="M358" s="1" t="s">
        <v>81</v>
      </c>
      <c r="N358" s="1" t="s">
        <v>1448</v>
      </c>
      <c r="O358" s="1"/>
      <c r="P358" s="1" t="s">
        <v>497</v>
      </c>
      <c r="Q358" s="1" t="s">
        <v>7084</v>
      </c>
      <c r="R358" s="1" t="s">
        <v>7085</v>
      </c>
      <c r="S358" s="1">
        <v>9503114568</v>
      </c>
      <c r="T358" s="1" t="s">
        <v>7086</v>
      </c>
      <c r="U358" s="1" t="s">
        <v>7087</v>
      </c>
      <c r="V358" s="1">
        <v>9420063641</v>
      </c>
      <c r="W358" s="1" t="s">
        <v>156</v>
      </c>
      <c r="X358" s="1" t="s">
        <v>7088</v>
      </c>
      <c r="Y358" s="1" t="s">
        <v>191</v>
      </c>
      <c r="Z358" s="1" t="s">
        <v>92</v>
      </c>
      <c r="AA358" s="1" t="s">
        <v>7089</v>
      </c>
      <c r="AB358" s="1" t="s">
        <v>304</v>
      </c>
      <c r="AC358" s="1" t="s">
        <v>92</v>
      </c>
      <c r="AD358" s="1">
        <v>8.35</v>
      </c>
      <c r="AE358" s="1" t="s">
        <v>93</v>
      </c>
      <c r="AF358" s="1" t="s">
        <v>7090</v>
      </c>
      <c r="AG358" s="1" t="s">
        <v>307</v>
      </c>
      <c r="AH358" s="1" t="s">
        <v>96</v>
      </c>
      <c r="AI358" s="1" t="s">
        <v>131</v>
      </c>
      <c r="AJ358" s="1">
        <v>74.1</v>
      </c>
      <c r="AK358" s="1">
        <v>7.8</v>
      </c>
      <c r="AL358" s="1" t="s">
        <v>7091</v>
      </c>
      <c r="AM358" s="1" t="s">
        <v>7092</v>
      </c>
      <c r="AN358" s="1" t="s">
        <v>1089</v>
      </c>
      <c r="AO358" s="1" t="s">
        <v>508</v>
      </c>
      <c r="AP358" s="1">
        <v>66</v>
      </c>
      <c r="AQ358" s="1"/>
      <c r="AR358" s="1"/>
      <c r="AS358" s="1"/>
      <c r="AT358" s="1"/>
      <c r="AU358" s="1"/>
      <c r="AV358" s="1"/>
      <c r="AW358" s="1"/>
      <c r="AX358" s="1" t="s">
        <v>253</v>
      </c>
      <c r="AY358" s="1" t="s">
        <v>7093</v>
      </c>
      <c r="AZ358" s="1" t="s">
        <v>383</v>
      </c>
      <c r="BA358" s="1" t="s">
        <v>828</v>
      </c>
      <c r="BB358" s="1">
        <v>63.81</v>
      </c>
      <c r="BC358" s="1">
        <v>7.09</v>
      </c>
      <c r="BD358" s="1"/>
      <c r="BE358" s="1"/>
      <c r="BF358" s="1"/>
      <c r="BG358" s="1"/>
      <c r="BH358" s="1"/>
      <c r="BI358" s="1"/>
      <c r="BJ358" s="1" t="s">
        <v>7094</v>
      </c>
      <c r="BK358" s="1" t="s">
        <v>7095</v>
      </c>
      <c r="BL358" s="1" t="s">
        <v>7096</v>
      </c>
      <c r="BM358" s="1" t="s">
        <v>7097</v>
      </c>
      <c r="BN358" s="1">
        <v>13</v>
      </c>
      <c r="BO358" s="1" t="s">
        <v>7098</v>
      </c>
      <c r="BP358" s="1" t="str">
        <f>HYPERLINK("https://nconnect.nicmar.ac.in/storage/profile/ProfilePhoto_P25700352_437125.jpg","Download")</f>
        <v>0</v>
      </c>
      <c r="BQ358" s="3"/>
      <c r="BR358" s="3"/>
    </row>
    <row r="359" spans="1:70">
      <c r="A359" s="1" t="s">
        <v>70</v>
      </c>
      <c r="B359" s="1" t="s">
        <v>441</v>
      </c>
      <c r="C359" s="1" t="s">
        <v>7099</v>
      </c>
      <c r="D359" s="1" t="s">
        <v>316</v>
      </c>
      <c r="E359" s="1" t="s">
        <v>7100</v>
      </c>
      <c r="F359" s="1" t="s">
        <v>7101</v>
      </c>
      <c r="G359" s="1" t="s">
        <v>7102</v>
      </c>
      <c r="H359" s="1" t="s">
        <v>7103</v>
      </c>
      <c r="I359" s="1" t="s">
        <v>7104</v>
      </c>
      <c r="J359" s="1">
        <v>8379045231</v>
      </c>
      <c r="K359" s="1" t="s">
        <v>79</v>
      </c>
      <c r="L359" s="1" t="s">
        <v>7105</v>
      </c>
      <c r="M359" s="1" t="s">
        <v>81</v>
      </c>
      <c r="N359" s="1" t="s">
        <v>605</v>
      </c>
      <c r="O359" s="1"/>
      <c r="P359" s="1" t="s">
        <v>472</v>
      </c>
      <c r="Q359" s="1" t="s">
        <v>7106</v>
      </c>
      <c r="R359" s="1" t="s">
        <v>7107</v>
      </c>
      <c r="S359" s="1">
        <v>9011130331</v>
      </c>
      <c r="T359" s="1" t="s">
        <v>154</v>
      </c>
      <c r="U359" s="1" t="s">
        <v>7108</v>
      </c>
      <c r="V359" s="1">
        <v>7020577158</v>
      </c>
      <c r="W359" s="1" t="s">
        <v>156</v>
      </c>
      <c r="X359" s="1" t="s">
        <v>7109</v>
      </c>
      <c r="Y359" s="1" t="s">
        <v>191</v>
      </c>
      <c r="Z359" s="1" t="s">
        <v>92</v>
      </c>
      <c r="AA359" s="1" t="s">
        <v>7110</v>
      </c>
      <c r="AB359" s="1" t="s">
        <v>246</v>
      </c>
      <c r="AC359" s="1" t="s">
        <v>92</v>
      </c>
      <c r="AD359" s="1">
        <v>8.04</v>
      </c>
      <c r="AE359" s="1" t="s">
        <v>93</v>
      </c>
      <c r="AF359" s="1" t="s">
        <v>7111</v>
      </c>
      <c r="AG359" s="1" t="s">
        <v>4663</v>
      </c>
      <c r="AH359" s="1" t="s">
        <v>562</v>
      </c>
      <c r="AI359" s="1" t="s">
        <v>101</v>
      </c>
      <c r="AJ359" s="1">
        <v>90.6</v>
      </c>
      <c r="AK359" s="1"/>
      <c r="AL359" s="1"/>
      <c r="AM359" s="1"/>
      <c r="AN359" s="1"/>
      <c r="AO359" s="1"/>
      <c r="AP359" s="1"/>
      <c r="AQ359" s="1"/>
      <c r="AR359" s="1" t="s">
        <v>98</v>
      </c>
      <c r="AS359" s="1" t="s">
        <v>7112</v>
      </c>
      <c r="AT359" s="1" t="s">
        <v>1043</v>
      </c>
      <c r="AU359" s="1" t="s">
        <v>436</v>
      </c>
      <c r="AV359" s="1">
        <v>91.53</v>
      </c>
      <c r="AW359" s="1"/>
      <c r="AX359" s="1" t="s">
        <v>1880</v>
      </c>
      <c r="AY359" s="1" t="s">
        <v>7113</v>
      </c>
      <c r="AZ359" s="1" t="s">
        <v>852</v>
      </c>
      <c r="BA359" s="1" t="s">
        <v>202</v>
      </c>
      <c r="BB359" s="1">
        <v>80.12</v>
      </c>
      <c r="BC359" s="1">
        <v>8.76</v>
      </c>
      <c r="BD359" s="1"/>
      <c r="BE359" s="1"/>
      <c r="BF359" s="1"/>
      <c r="BG359" s="1"/>
      <c r="BH359" s="1"/>
      <c r="BI359" s="1"/>
      <c r="BJ359" s="1" t="s">
        <v>7114</v>
      </c>
      <c r="BK359" s="1"/>
      <c r="BL359" s="1"/>
      <c r="BM359" s="1" t="s">
        <v>7115</v>
      </c>
      <c r="BN359" s="1">
        <v>13</v>
      </c>
      <c r="BO359" s="1" t="s">
        <v>7116</v>
      </c>
      <c r="BP359" s="1" t="str">
        <f>HYPERLINK("https://nconnect.nicmar.ac.in/storage/profile/ProfilePhoto_P25700353_496532.jpg","Download")</f>
        <v>0</v>
      </c>
      <c r="BQ359" s="3"/>
      <c r="BR359" s="3"/>
    </row>
    <row r="360" spans="1:70">
      <c r="A360" s="1" t="s">
        <v>70</v>
      </c>
      <c r="B360" s="1" t="s">
        <v>441</v>
      </c>
      <c r="C360" s="1" t="s">
        <v>7117</v>
      </c>
      <c r="D360" s="1" t="s">
        <v>7118</v>
      </c>
      <c r="E360" s="1"/>
      <c r="F360" s="1" t="s">
        <v>6440</v>
      </c>
      <c r="G360" s="1" t="s">
        <v>7119</v>
      </c>
      <c r="H360" s="1" t="s">
        <v>7120</v>
      </c>
      <c r="I360" s="1" t="s">
        <v>7121</v>
      </c>
      <c r="J360" s="1">
        <v>7349789291</v>
      </c>
      <c r="K360" s="1" t="s">
        <v>148</v>
      </c>
      <c r="L360" s="1" t="s">
        <v>7122</v>
      </c>
      <c r="M360" s="1" t="s">
        <v>81</v>
      </c>
      <c r="N360" s="1" t="s">
        <v>7123</v>
      </c>
      <c r="O360" s="1"/>
      <c r="P360" s="1" t="s">
        <v>472</v>
      </c>
      <c r="Q360" s="1" t="s">
        <v>7124</v>
      </c>
      <c r="R360" s="1" t="s">
        <v>7125</v>
      </c>
      <c r="S360" s="1">
        <v>8056009509</v>
      </c>
      <c r="T360" s="1" t="s">
        <v>2972</v>
      </c>
      <c r="U360" s="1" t="s">
        <v>7126</v>
      </c>
      <c r="V360" s="1">
        <v>8217085374</v>
      </c>
      <c r="W360" s="1" t="s">
        <v>156</v>
      </c>
      <c r="X360" s="1" t="s">
        <v>7127</v>
      </c>
      <c r="Y360" s="1" t="s">
        <v>1186</v>
      </c>
      <c r="Z360" s="1" t="s">
        <v>1187</v>
      </c>
      <c r="AA360" s="1" t="s">
        <v>7127</v>
      </c>
      <c r="AB360" s="1" t="s">
        <v>1186</v>
      </c>
      <c r="AC360" s="1" t="s">
        <v>1187</v>
      </c>
      <c r="AD360" s="1">
        <v>8.82</v>
      </c>
      <c r="AE360" s="1" t="s">
        <v>93</v>
      </c>
      <c r="AF360" s="1" t="s">
        <v>7128</v>
      </c>
      <c r="AG360" s="1" t="s">
        <v>1920</v>
      </c>
      <c r="AH360" s="1" t="s">
        <v>614</v>
      </c>
      <c r="AI360" s="1" t="s">
        <v>689</v>
      </c>
      <c r="AJ360" s="1">
        <v>93.28</v>
      </c>
      <c r="AK360" s="1"/>
      <c r="AL360" s="1" t="s">
        <v>3052</v>
      </c>
      <c r="AM360" s="1" t="s">
        <v>3053</v>
      </c>
      <c r="AN360" s="1" t="s">
        <v>481</v>
      </c>
      <c r="AO360" s="1" t="s">
        <v>537</v>
      </c>
      <c r="AP360" s="1">
        <v>94.9</v>
      </c>
      <c r="AQ360" s="1"/>
      <c r="AR360" s="1"/>
      <c r="AS360" s="1"/>
      <c r="AT360" s="1"/>
      <c r="AU360" s="1"/>
      <c r="AV360" s="1"/>
      <c r="AW360" s="1"/>
      <c r="AX360" s="1" t="s">
        <v>1194</v>
      </c>
      <c r="AY360" s="1" t="s">
        <v>7129</v>
      </c>
      <c r="AZ360" s="1" t="s">
        <v>201</v>
      </c>
      <c r="BA360" s="1" t="s">
        <v>174</v>
      </c>
      <c r="BB360" s="1">
        <v>76.5</v>
      </c>
      <c r="BC360" s="1">
        <v>8.55</v>
      </c>
      <c r="BD360" s="1"/>
      <c r="BE360" s="1"/>
      <c r="BF360" s="1"/>
      <c r="BG360" s="1"/>
      <c r="BH360" s="1"/>
      <c r="BI360" s="1"/>
      <c r="BJ360" s="1" t="s">
        <v>7130</v>
      </c>
      <c r="BK360" s="1" t="s">
        <v>7131</v>
      </c>
      <c r="BL360" s="1" t="s">
        <v>1129</v>
      </c>
      <c r="BM360" s="1" t="s">
        <v>7132</v>
      </c>
      <c r="BN360" s="1">
        <v>14</v>
      </c>
      <c r="BO360" s="1"/>
      <c r="BP360" s="1" t="str">
        <f>HYPERLINK("https://nconnect.nicmar.ac.in/storage/profile/ProfilePhoto_P25700354_283475.jpg","Download")</f>
        <v>0</v>
      </c>
      <c r="BQ360" s="3"/>
      <c r="BR360" s="3"/>
    </row>
    <row r="361" spans="1:70">
      <c r="A361" s="1" t="s">
        <v>70</v>
      </c>
      <c r="B361" s="1" t="s">
        <v>441</v>
      </c>
      <c r="C361" s="1" t="s">
        <v>7133</v>
      </c>
      <c r="D361" s="1" t="s">
        <v>7134</v>
      </c>
      <c r="E361" s="1" t="s">
        <v>1000</v>
      </c>
      <c r="F361" s="1" t="s">
        <v>7135</v>
      </c>
      <c r="G361" s="1" t="s">
        <v>7136</v>
      </c>
      <c r="H361" s="1" t="s">
        <v>7137</v>
      </c>
      <c r="I361" s="1" t="s">
        <v>7138</v>
      </c>
      <c r="J361" s="1">
        <v>9022608903</v>
      </c>
      <c r="K361" s="1" t="s">
        <v>79</v>
      </c>
      <c r="L361" s="1" t="s">
        <v>7139</v>
      </c>
      <c r="M361" s="1" t="s">
        <v>81</v>
      </c>
      <c r="N361" s="1" t="s">
        <v>7140</v>
      </c>
      <c r="O361" s="1"/>
      <c r="P361" s="1" t="s">
        <v>497</v>
      </c>
      <c r="Q361" s="1" t="s">
        <v>7141</v>
      </c>
      <c r="R361" s="1" t="s">
        <v>1000</v>
      </c>
      <c r="S361" s="1">
        <v>9518904078</v>
      </c>
      <c r="T361" s="1" t="s">
        <v>7142</v>
      </c>
      <c r="U361" s="1" t="s">
        <v>3019</v>
      </c>
      <c r="V361" s="1">
        <v>8262938572</v>
      </c>
      <c r="W361" s="1" t="s">
        <v>156</v>
      </c>
      <c r="X361" s="1" t="s">
        <v>7143</v>
      </c>
      <c r="Y361" s="1" t="s">
        <v>1963</v>
      </c>
      <c r="Z361" s="1" t="s">
        <v>92</v>
      </c>
      <c r="AA361" s="1" t="s">
        <v>7143</v>
      </c>
      <c r="AB361" s="1" t="s">
        <v>1963</v>
      </c>
      <c r="AC361" s="1" t="s">
        <v>92</v>
      </c>
      <c r="AD361" s="1">
        <v>7.78</v>
      </c>
      <c r="AE361" s="1" t="s">
        <v>93</v>
      </c>
      <c r="AF361" s="1" t="s">
        <v>7144</v>
      </c>
      <c r="AG361" s="1" t="s">
        <v>7145</v>
      </c>
      <c r="AH361" s="1" t="s">
        <v>101</v>
      </c>
      <c r="AI361" s="1" t="s">
        <v>409</v>
      </c>
      <c r="AJ361" s="1">
        <v>69.4</v>
      </c>
      <c r="AK361" s="1"/>
      <c r="AL361" s="1"/>
      <c r="AM361" s="1"/>
      <c r="AN361" s="1"/>
      <c r="AO361" s="1"/>
      <c r="AP361" s="1"/>
      <c r="AQ361" s="1"/>
      <c r="AR361" s="1" t="s">
        <v>434</v>
      </c>
      <c r="AS361" s="1" t="s">
        <v>1965</v>
      </c>
      <c r="AT361" s="1" t="s">
        <v>201</v>
      </c>
      <c r="AU361" s="1" t="s">
        <v>105</v>
      </c>
      <c r="AV361" s="1">
        <v>76.94</v>
      </c>
      <c r="AW361" s="1"/>
      <c r="AX361" s="1" t="s">
        <v>3731</v>
      </c>
      <c r="AY361" s="1" t="s">
        <v>7146</v>
      </c>
      <c r="AZ361" s="1" t="s">
        <v>1800</v>
      </c>
      <c r="BA361" s="1" t="s">
        <v>543</v>
      </c>
      <c r="BB361" s="1">
        <v>70.2</v>
      </c>
      <c r="BC361" s="1">
        <v>7.77</v>
      </c>
      <c r="BD361" s="1"/>
      <c r="BE361" s="1"/>
      <c r="BF361" s="1"/>
      <c r="BG361" s="1"/>
      <c r="BH361" s="1"/>
      <c r="BI361" s="1"/>
      <c r="BJ361" s="1" t="s">
        <v>7147</v>
      </c>
      <c r="BK361" s="1"/>
      <c r="BL361" s="1"/>
      <c r="BM361" s="1" t="s">
        <v>7148</v>
      </c>
      <c r="BN361" s="1">
        <v>14</v>
      </c>
      <c r="BO361" s="1" t="s">
        <v>7149</v>
      </c>
      <c r="BP361" s="1" t="str">
        <f>HYPERLINK("https://nconnect.nicmar.ac.in/storage/profile/ProfilePhoto_P25700355_452968.jpg","Download")</f>
        <v>0</v>
      </c>
      <c r="BQ361" s="3"/>
      <c r="BR361" s="3"/>
    </row>
    <row r="362" spans="1:70">
      <c r="A362" s="1" t="s">
        <v>70</v>
      </c>
      <c r="B362" s="1" t="s">
        <v>441</v>
      </c>
      <c r="C362" s="1" t="s">
        <v>7150</v>
      </c>
      <c r="D362" s="1" t="s">
        <v>6936</v>
      </c>
      <c r="E362" s="1" t="s">
        <v>649</v>
      </c>
      <c r="F362" s="1" t="s">
        <v>6802</v>
      </c>
      <c r="G362" s="1" t="s">
        <v>7151</v>
      </c>
      <c r="H362" s="1" t="s">
        <v>7152</v>
      </c>
      <c r="I362" s="1" t="s">
        <v>7153</v>
      </c>
      <c r="J362" s="1">
        <v>7977989701</v>
      </c>
      <c r="K362" s="1" t="s">
        <v>79</v>
      </c>
      <c r="L362" s="1" t="s">
        <v>4756</v>
      </c>
      <c r="M362" s="1" t="s">
        <v>81</v>
      </c>
      <c r="N362" s="1" t="s">
        <v>605</v>
      </c>
      <c r="O362" s="1"/>
      <c r="P362" s="1"/>
      <c r="Q362" s="1" t="s">
        <v>7154</v>
      </c>
      <c r="R362" s="1" t="s">
        <v>7155</v>
      </c>
      <c r="S362" s="1">
        <v>9322395763</v>
      </c>
      <c r="T362" s="1" t="s">
        <v>7156</v>
      </c>
      <c r="U362" s="1" t="s">
        <v>7157</v>
      </c>
      <c r="V362" s="1">
        <v>9320001998</v>
      </c>
      <c r="W362" s="1" t="s">
        <v>1653</v>
      </c>
      <c r="X362" s="1" t="s">
        <v>7158</v>
      </c>
      <c r="Y362" s="1" t="s">
        <v>1166</v>
      </c>
      <c r="Z362" s="1" t="s">
        <v>92</v>
      </c>
      <c r="AA362" s="1" t="s">
        <v>7158</v>
      </c>
      <c r="AB362" s="1" t="s">
        <v>1166</v>
      </c>
      <c r="AC362" s="1" t="s">
        <v>92</v>
      </c>
      <c r="AD362" s="1">
        <v>8.72</v>
      </c>
      <c r="AE362" s="1" t="s">
        <v>93</v>
      </c>
      <c r="AF362" s="1" t="s">
        <v>7159</v>
      </c>
      <c r="AG362" s="1" t="s">
        <v>777</v>
      </c>
      <c r="AH362" s="1" t="s">
        <v>1088</v>
      </c>
      <c r="AI362" s="1" t="s">
        <v>614</v>
      </c>
      <c r="AJ362" s="1">
        <v>88.6</v>
      </c>
      <c r="AK362" s="1">
        <v>9.6</v>
      </c>
      <c r="AL362" s="1"/>
      <c r="AM362" s="1"/>
      <c r="AN362" s="1"/>
      <c r="AO362" s="1"/>
      <c r="AP362" s="1"/>
      <c r="AQ362" s="1"/>
      <c r="AR362" s="1" t="s">
        <v>98</v>
      </c>
      <c r="AS362" s="1" t="s">
        <v>7160</v>
      </c>
      <c r="AT362" s="1" t="s">
        <v>162</v>
      </c>
      <c r="AU362" s="1" t="s">
        <v>433</v>
      </c>
      <c r="AV362" s="1">
        <v>76.73</v>
      </c>
      <c r="AW362" s="1"/>
      <c r="AX362" s="1" t="s">
        <v>666</v>
      </c>
      <c r="AY362" s="1" t="s">
        <v>7161</v>
      </c>
      <c r="AZ362" s="1" t="s">
        <v>201</v>
      </c>
      <c r="BA362" s="1" t="s">
        <v>105</v>
      </c>
      <c r="BB362" s="1">
        <v>71.55</v>
      </c>
      <c r="BC362" s="1">
        <v>7.99</v>
      </c>
      <c r="BD362" s="1"/>
      <c r="BE362" s="1"/>
      <c r="BF362" s="1"/>
      <c r="BG362" s="1"/>
      <c r="BH362" s="1"/>
      <c r="BI362" s="1"/>
      <c r="BJ362" s="1" t="s">
        <v>7162</v>
      </c>
      <c r="BK362" s="1"/>
      <c r="BL362" s="1"/>
      <c r="BM362" s="1" t="s">
        <v>7163</v>
      </c>
      <c r="BN362" s="1">
        <v>16</v>
      </c>
      <c r="BO362" s="1" t="s">
        <v>7164</v>
      </c>
      <c r="BP362" s="1" t="str">
        <f>HYPERLINK("https://nconnect.nicmar.ac.in/storage/profile/ProfilePhoto_P25700356_431675.jpg","Download")</f>
        <v>0</v>
      </c>
      <c r="BQ362" s="3"/>
      <c r="BR362" s="3"/>
    </row>
    <row r="363" spans="1:70">
      <c r="A363" s="1" t="s">
        <v>70</v>
      </c>
      <c r="B363" s="1" t="s">
        <v>441</v>
      </c>
      <c r="C363" s="1" t="s">
        <v>7165</v>
      </c>
      <c r="D363" s="1" t="s">
        <v>7166</v>
      </c>
      <c r="E363" s="1" t="s">
        <v>7167</v>
      </c>
      <c r="F363" s="1" t="s">
        <v>7168</v>
      </c>
      <c r="G363" s="1" t="s">
        <v>7169</v>
      </c>
      <c r="H363" s="1" t="s">
        <v>7170</v>
      </c>
      <c r="I363" s="1" t="s">
        <v>7171</v>
      </c>
      <c r="J363" s="1">
        <v>9099909063</v>
      </c>
      <c r="K363" s="1" t="s">
        <v>148</v>
      </c>
      <c r="L363" s="1" t="s">
        <v>7172</v>
      </c>
      <c r="M363" s="1" t="s">
        <v>81</v>
      </c>
      <c r="N363" s="1" t="s">
        <v>7173</v>
      </c>
      <c r="O363" s="1"/>
      <c r="P363" s="1" t="s">
        <v>450</v>
      </c>
      <c r="Q363" s="1" t="s">
        <v>7174</v>
      </c>
      <c r="R363" s="1" t="s">
        <v>7175</v>
      </c>
      <c r="S363" s="1">
        <v>9375608183</v>
      </c>
      <c r="T363" s="1" t="s">
        <v>906</v>
      </c>
      <c r="U363" s="1" t="s">
        <v>7176</v>
      </c>
      <c r="V363" s="1">
        <v>9099893523</v>
      </c>
      <c r="W363" s="1" t="s">
        <v>156</v>
      </c>
      <c r="X363" s="1" t="s">
        <v>7177</v>
      </c>
      <c r="Y363" s="1" t="s">
        <v>661</v>
      </c>
      <c r="Z363" s="1" t="s">
        <v>662</v>
      </c>
      <c r="AA363" s="1" t="s">
        <v>7177</v>
      </c>
      <c r="AB363" s="1" t="s">
        <v>661</v>
      </c>
      <c r="AC363" s="1" t="s">
        <v>662</v>
      </c>
      <c r="AD363" s="1">
        <v>8.88</v>
      </c>
      <c r="AE363" s="1" t="s">
        <v>93</v>
      </c>
      <c r="AF363" s="1" t="s">
        <v>7178</v>
      </c>
      <c r="AG363" s="1" t="s">
        <v>2154</v>
      </c>
      <c r="AH363" s="1" t="s">
        <v>281</v>
      </c>
      <c r="AI363" s="1" t="s">
        <v>308</v>
      </c>
      <c r="AJ363" s="1">
        <v>90</v>
      </c>
      <c r="AK363" s="1"/>
      <c r="AL363" s="1" t="s">
        <v>7178</v>
      </c>
      <c r="AM363" s="1" t="s">
        <v>7179</v>
      </c>
      <c r="AN363" s="1" t="s">
        <v>590</v>
      </c>
      <c r="AO363" s="1" t="s">
        <v>539</v>
      </c>
      <c r="AP363" s="1">
        <v>92</v>
      </c>
      <c r="AQ363" s="1"/>
      <c r="AR363" s="1"/>
      <c r="AS363" s="1"/>
      <c r="AT363" s="1"/>
      <c r="AU363" s="1"/>
      <c r="AV363" s="1"/>
      <c r="AW363" s="1"/>
      <c r="AX363" s="1" t="s">
        <v>7180</v>
      </c>
      <c r="AY363" s="1" t="s">
        <v>7181</v>
      </c>
      <c r="AZ363" s="1" t="s">
        <v>135</v>
      </c>
      <c r="BA363" s="1" t="s">
        <v>1379</v>
      </c>
      <c r="BB363" s="1">
        <v>90.9</v>
      </c>
      <c r="BC363" s="1">
        <v>9.59</v>
      </c>
      <c r="BD363" s="1"/>
      <c r="BE363" s="1"/>
      <c r="BF363" s="1"/>
      <c r="BG363" s="1"/>
      <c r="BH363" s="1"/>
      <c r="BI363" s="1"/>
      <c r="BJ363" s="1" t="s">
        <v>7182</v>
      </c>
      <c r="BK363" s="1"/>
      <c r="BL363" s="1"/>
      <c r="BM363" s="1" t="s">
        <v>7183</v>
      </c>
      <c r="BN363" s="1">
        <v>20</v>
      </c>
      <c r="BO363" s="1"/>
      <c r="BP363" s="1" t="str">
        <f>HYPERLINK("https://nconnect.nicmar.ac.in/storage/profile/ProfilePhoto_P25700357_834596.jpg","Download")</f>
        <v>0</v>
      </c>
      <c r="BQ363" s="3"/>
      <c r="BR363" s="3"/>
    </row>
    <row r="364" spans="1:70">
      <c r="A364" s="1" t="s">
        <v>70</v>
      </c>
      <c r="B364" s="1" t="s">
        <v>441</v>
      </c>
      <c r="C364" s="1" t="s">
        <v>7184</v>
      </c>
      <c r="D364" s="1" t="s">
        <v>7185</v>
      </c>
      <c r="E364" s="1" t="s">
        <v>765</v>
      </c>
      <c r="F364" s="1" t="s">
        <v>4176</v>
      </c>
      <c r="G364" s="1" t="s">
        <v>7186</v>
      </c>
      <c r="H364" s="1" t="s">
        <v>7187</v>
      </c>
      <c r="I364" s="1" t="s">
        <v>7188</v>
      </c>
      <c r="J364" s="1">
        <v>9740134298</v>
      </c>
      <c r="K364" s="1" t="s">
        <v>148</v>
      </c>
      <c r="L364" s="1" t="s">
        <v>2821</v>
      </c>
      <c r="M364" s="1" t="s">
        <v>81</v>
      </c>
      <c r="N364" s="1" t="s">
        <v>7189</v>
      </c>
      <c r="O364" s="1"/>
      <c r="P364" s="1" t="s">
        <v>450</v>
      </c>
      <c r="Q364" s="1" t="s">
        <v>7190</v>
      </c>
      <c r="R364" s="1" t="s">
        <v>7191</v>
      </c>
      <c r="S364" s="1">
        <v>9740134298</v>
      </c>
      <c r="T364" s="1" t="s">
        <v>820</v>
      </c>
      <c r="U364" s="1" t="s">
        <v>7192</v>
      </c>
      <c r="V364" s="1">
        <v>9740134298</v>
      </c>
      <c r="W364" s="1" t="s">
        <v>5069</v>
      </c>
      <c r="X364" s="1" t="s">
        <v>7193</v>
      </c>
      <c r="Y364" s="1" t="s">
        <v>3209</v>
      </c>
      <c r="Z364" s="1" t="s">
        <v>125</v>
      </c>
      <c r="AA364" s="1" t="s">
        <v>7193</v>
      </c>
      <c r="AB364" s="1" t="s">
        <v>3209</v>
      </c>
      <c r="AC364" s="1" t="s">
        <v>125</v>
      </c>
      <c r="AD364" s="1">
        <v>8.51</v>
      </c>
      <c r="AE364" s="1" t="s">
        <v>93</v>
      </c>
      <c r="AF364" s="1" t="s">
        <v>7194</v>
      </c>
      <c r="AG364" s="1" t="s">
        <v>758</v>
      </c>
      <c r="AH364" s="1" t="s">
        <v>1239</v>
      </c>
      <c r="AI364" s="1" t="s">
        <v>131</v>
      </c>
      <c r="AJ364" s="1">
        <v>79.8</v>
      </c>
      <c r="AK364" s="1">
        <v>8.4</v>
      </c>
      <c r="AL364" s="1" t="s">
        <v>7194</v>
      </c>
      <c r="AM364" s="1" t="s">
        <v>758</v>
      </c>
      <c r="AN364" s="1" t="s">
        <v>614</v>
      </c>
      <c r="AO364" s="1" t="s">
        <v>562</v>
      </c>
      <c r="AP364" s="1">
        <v>74.4</v>
      </c>
      <c r="AQ364" s="1"/>
      <c r="AR364" s="1"/>
      <c r="AS364" s="1"/>
      <c r="AT364" s="1"/>
      <c r="AU364" s="1"/>
      <c r="AV364" s="1"/>
      <c r="AW364" s="1"/>
      <c r="AX364" s="1" t="s">
        <v>7195</v>
      </c>
      <c r="AY364" s="1" t="s">
        <v>7196</v>
      </c>
      <c r="AZ364" s="1" t="s">
        <v>225</v>
      </c>
      <c r="BA364" s="1" t="s">
        <v>511</v>
      </c>
      <c r="BB364" s="1">
        <v>72.5</v>
      </c>
      <c r="BC364" s="1">
        <v>7.75</v>
      </c>
      <c r="BD364" s="1"/>
      <c r="BE364" s="1"/>
      <c r="BF364" s="1"/>
      <c r="BG364" s="1"/>
      <c r="BH364" s="1"/>
      <c r="BI364" s="1"/>
      <c r="BJ364" s="1" t="s">
        <v>7197</v>
      </c>
      <c r="BK364" s="1" t="s">
        <v>7198</v>
      </c>
      <c r="BL364" s="1" t="s">
        <v>695</v>
      </c>
      <c r="BM364" s="1" t="s">
        <v>7199</v>
      </c>
      <c r="BN364" s="1">
        <v>27</v>
      </c>
      <c r="BO364" s="1" t="s">
        <v>7200</v>
      </c>
      <c r="BP364" s="1" t="str">
        <f>HYPERLINK("https://nconnect.nicmar.ac.in/storage/profile/ProfilePhoto_P25700358_381456.jpg","Download")</f>
        <v>0</v>
      </c>
      <c r="BQ364" s="3"/>
      <c r="BR364" s="3"/>
    </row>
    <row r="365" spans="1:70">
      <c r="A365" s="1" t="s">
        <v>70</v>
      </c>
      <c r="B365" s="1" t="s">
        <v>441</v>
      </c>
      <c r="C365" s="1" t="s">
        <v>7201</v>
      </c>
      <c r="D365" s="1" t="s">
        <v>5077</v>
      </c>
      <c r="E365" s="1"/>
      <c r="F365" s="1" t="s">
        <v>7202</v>
      </c>
      <c r="G365" s="1" t="s">
        <v>7203</v>
      </c>
      <c r="H365" s="1" t="s">
        <v>7204</v>
      </c>
      <c r="I365" s="1" t="s">
        <v>7205</v>
      </c>
      <c r="J365" s="1">
        <v>6281400495</v>
      </c>
      <c r="K365" s="1" t="s">
        <v>79</v>
      </c>
      <c r="L365" s="1" t="s">
        <v>7206</v>
      </c>
      <c r="M365" s="1" t="s">
        <v>81</v>
      </c>
      <c r="N365" s="1" t="s">
        <v>7207</v>
      </c>
      <c r="O365" s="1"/>
      <c r="P365" s="1" t="s">
        <v>497</v>
      </c>
      <c r="Q365" s="1" t="s">
        <v>7208</v>
      </c>
      <c r="R365" s="1" t="s">
        <v>7209</v>
      </c>
      <c r="S365" s="1">
        <v>9391535733</v>
      </c>
      <c r="T365" s="1" t="s">
        <v>7210</v>
      </c>
      <c r="U365" s="1" t="s">
        <v>7211</v>
      </c>
      <c r="V365" s="1">
        <v>9391535733</v>
      </c>
      <c r="W365" s="1" t="s">
        <v>156</v>
      </c>
      <c r="X365" s="1" t="s">
        <v>7212</v>
      </c>
      <c r="Y365" s="1" t="s">
        <v>478</v>
      </c>
      <c r="Z365" s="1" t="s">
        <v>276</v>
      </c>
      <c r="AA365" s="1" t="s">
        <v>7212</v>
      </c>
      <c r="AB365" s="1" t="s">
        <v>478</v>
      </c>
      <c r="AC365" s="1" t="s">
        <v>276</v>
      </c>
      <c r="AD365" s="1">
        <v>8.35</v>
      </c>
      <c r="AE365" s="1" t="s">
        <v>93</v>
      </c>
      <c r="AF365" s="1" t="s">
        <v>7213</v>
      </c>
      <c r="AG365" s="1" t="s">
        <v>2310</v>
      </c>
      <c r="AH365" s="1" t="s">
        <v>101</v>
      </c>
      <c r="AI365" s="1" t="s">
        <v>537</v>
      </c>
      <c r="AJ365" s="1">
        <v>92</v>
      </c>
      <c r="AK365" s="1">
        <v>9.2</v>
      </c>
      <c r="AL365" s="1"/>
      <c r="AM365" s="1"/>
      <c r="AN365" s="1"/>
      <c r="AO365" s="1"/>
      <c r="AP365" s="1"/>
      <c r="AQ365" s="1"/>
      <c r="AR365" s="1" t="s">
        <v>434</v>
      </c>
      <c r="AS365" s="1" t="s">
        <v>7214</v>
      </c>
      <c r="AT365" s="1" t="s">
        <v>433</v>
      </c>
      <c r="AU365" s="1" t="s">
        <v>105</v>
      </c>
      <c r="AV365" s="1">
        <v>80.06</v>
      </c>
      <c r="AW365" s="1"/>
      <c r="AX365" s="1" t="s">
        <v>7215</v>
      </c>
      <c r="AY365" s="1" t="s">
        <v>7216</v>
      </c>
      <c r="AZ365" s="1" t="s">
        <v>1777</v>
      </c>
      <c r="BA365" s="1" t="s">
        <v>594</v>
      </c>
      <c r="BB365" s="1">
        <v>71.3</v>
      </c>
      <c r="BC365" s="1">
        <v>7.88</v>
      </c>
      <c r="BD365" s="1"/>
      <c r="BE365" s="1"/>
      <c r="BF365" s="1"/>
      <c r="BG365" s="1"/>
      <c r="BH365" s="1"/>
      <c r="BI365" s="1"/>
      <c r="BJ365" s="1" t="s">
        <v>7217</v>
      </c>
      <c r="BK365" s="1"/>
      <c r="BL365" s="1"/>
      <c r="BM365" s="1" t="s">
        <v>7218</v>
      </c>
      <c r="BN365" s="1">
        <v>19</v>
      </c>
      <c r="BO365" s="1"/>
      <c r="BP365" s="1" t="str">
        <f>HYPERLINK("https://nconnect.nicmar.ac.in/storage/profile/ProfilePhoto_P25700359_948167.jpg","Download")</f>
        <v>0</v>
      </c>
      <c r="BQ365" s="3"/>
      <c r="BR365" s="3"/>
    </row>
    <row r="366" spans="1:70">
      <c r="A366" s="1" t="s">
        <v>70</v>
      </c>
      <c r="B366" s="1" t="s">
        <v>441</v>
      </c>
      <c r="C366" s="1" t="s">
        <v>7219</v>
      </c>
      <c r="D366" s="1" t="s">
        <v>7220</v>
      </c>
      <c r="E366" s="1" t="s">
        <v>6081</v>
      </c>
      <c r="F366" s="1" t="s">
        <v>7221</v>
      </c>
      <c r="G366" s="1" t="s">
        <v>7222</v>
      </c>
      <c r="H366" s="1" t="s">
        <v>7223</v>
      </c>
      <c r="I366" s="1" t="s">
        <v>7224</v>
      </c>
      <c r="J366" s="1">
        <v>7420891177</v>
      </c>
      <c r="K366" s="1" t="s">
        <v>148</v>
      </c>
      <c r="L366" s="1" t="s">
        <v>7225</v>
      </c>
      <c r="M366" s="1" t="s">
        <v>81</v>
      </c>
      <c r="N366" s="1" t="s">
        <v>751</v>
      </c>
      <c r="O366" s="1"/>
      <c r="P366" s="1" t="s">
        <v>472</v>
      </c>
      <c r="Q366" s="1" t="s">
        <v>7226</v>
      </c>
      <c r="R366" s="1" t="s">
        <v>6081</v>
      </c>
      <c r="S366" s="1">
        <v>9096587095</v>
      </c>
      <c r="T366" s="1" t="s">
        <v>120</v>
      </c>
      <c r="U366" s="1" t="s">
        <v>7227</v>
      </c>
      <c r="V366" s="1">
        <v>8482959549</v>
      </c>
      <c r="W366" s="1" t="s">
        <v>89</v>
      </c>
      <c r="X366" s="1" t="s">
        <v>7228</v>
      </c>
      <c r="Y366" s="1" t="s">
        <v>7229</v>
      </c>
      <c r="Z366" s="1" t="s">
        <v>92</v>
      </c>
      <c r="AA366" s="1" t="s">
        <v>7228</v>
      </c>
      <c r="AB366" s="1" t="s">
        <v>7229</v>
      </c>
      <c r="AC366" s="1" t="s">
        <v>92</v>
      </c>
      <c r="AD366" s="1">
        <v>8.56</v>
      </c>
      <c r="AE366" s="1" t="s">
        <v>93</v>
      </c>
      <c r="AF366" s="1" t="s">
        <v>7230</v>
      </c>
      <c r="AG366" s="1" t="s">
        <v>160</v>
      </c>
      <c r="AH366" s="1" t="s">
        <v>96</v>
      </c>
      <c r="AI366" s="1" t="s">
        <v>97</v>
      </c>
      <c r="AJ366" s="1">
        <v>91.6</v>
      </c>
      <c r="AK366" s="1"/>
      <c r="AL366" s="1" t="s">
        <v>7231</v>
      </c>
      <c r="AM366" s="1" t="s">
        <v>7232</v>
      </c>
      <c r="AN366" s="1" t="s">
        <v>614</v>
      </c>
      <c r="AO366" s="1" t="s">
        <v>689</v>
      </c>
      <c r="AP366" s="1">
        <v>90.7</v>
      </c>
      <c r="AQ366" s="1"/>
      <c r="AR366" s="1"/>
      <c r="AS366" s="1"/>
      <c r="AT366" s="1"/>
      <c r="AU366" s="1"/>
      <c r="AV366" s="1"/>
      <c r="AW366" s="1"/>
      <c r="AX366" s="1" t="s">
        <v>7072</v>
      </c>
      <c r="AY366" s="1" t="s">
        <v>7233</v>
      </c>
      <c r="AZ366" s="1" t="s">
        <v>225</v>
      </c>
      <c r="BA366" s="1" t="s">
        <v>1169</v>
      </c>
      <c r="BB366" s="1">
        <v>78.5</v>
      </c>
      <c r="BC366" s="1">
        <v>8.6</v>
      </c>
      <c r="BD366" s="1"/>
      <c r="BE366" s="1"/>
      <c r="BF366" s="1"/>
      <c r="BG366" s="1"/>
      <c r="BH366" s="1"/>
      <c r="BI366" s="1"/>
      <c r="BJ366" s="1" t="s">
        <v>7234</v>
      </c>
      <c r="BK366" s="1"/>
      <c r="BL366" s="1"/>
      <c r="BM366" s="1" t="s">
        <v>7235</v>
      </c>
      <c r="BN366" s="1">
        <v>16</v>
      </c>
      <c r="BO366" s="1" t="s">
        <v>7236</v>
      </c>
      <c r="BP366" s="1" t="str">
        <f>HYPERLINK("https://nconnect.nicmar.ac.in/storage/profile/ProfilePhoto_P25700360_657192.jpg","Download")</f>
        <v>0</v>
      </c>
      <c r="BQ366" s="3"/>
      <c r="BR366" s="3"/>
    </row>
    <row r="367" spans="1:70">
      <c r="A367" s="1" t="s">
        <v>70</v>
      </c>
      <c r="B367" s="1" t="s">
        <v>441</v>
      </c>
      <c r="C367" s="1" t="s">
        <v>7237</v>
      </c>
      <c r="D367" s="1" t="s">
        <v>7238</v>
      </c>
      <c r="E367" s="1"/>
      <c r="F367" s="1" t="s">
        <v>7239</v>
      </c>
      <c r="G367" s="1" t="s">
        <v>7240</v>
      </c>
      <c r="H367" s="1" t="s">
        <v>7241</v>
      </c>
      <c r="I367" s="1" t="s">
        <v>7242</v>
      </c>
      <c r="J367" s="1">
        <v>6302736242</v>
      </c>
      <c r="K367" s="1" t="s">
        <v>79</v>
      </c>
      <c r="L367" s="1" t="s">
        <v>7243</v>
      </c>
      <c r="M367" s="1" t="s">
        <v>81</v>
      </c>
      <c r="N367" s="1" t="s">
        <v>7244</v>
      </c>
      <c r="O367" s="1"/>
      <c r="P367" s="1" t="s">
        <v>656</v>
      </c>
      <c r="Q367" s="1" t="s">
        <v>7245</v>
      </c>
      <c r="R367" s="1" t="s">
        <v>7246</v>
      </c>
      <c r="S367" s="1">
        <v>9703229871</v>
      </c>
      <c r="T367" s="1" t="s">
        <v>154</v>
      </c>
      <c r="U367" s="1" t="s">
        <v>7247</v>
      </c>
      <c r="V367" s="1">
        <v>9703229871</v>
      </c>
      <c r="W367" s="1" t="s">
        <v>156</v>
      </c>
      <c r="X367" s="1" t="s">
        <v>7248</v>
      </c>
      <c r="Y367" s="1" t="s">
        <v>3541</v>
      </c>
      <c r="Z367" s="1" t="s">
        <v>276</v>
      </c>
      <c r="AA367" s="1" t="s">
        <v>7248</v>
      </c>
      <c r="AB367" s="1" t="s">
        <v>3541</v>
      </c>
      <c r="AC367" s="1" t="s">
        <v>276</v>
      </c>
      <c r="AD367" s="1">
        <v>8.48</v>
      </c>
      <c r="AE367" s="1" t="s">
        <v>93</v>
      </c>
      <c r="AF367" s="1" t="s">
        <v>7249</v>
      </c>
      <c r="AG367" s="1" t="s">
        <v>7250</v>
      </c>
      <c r="AH367" s="1" t="s">
        <v>162</v>
      </c>
      <c r="AI367" s="1" t="s">
        <v>689</v>
      </c>
      <c r="AJ367" s="1">
        <v>95</v>
      </c>
      <c r="AK367" s="1">
        <v>9.5</v>
      </c>
      <c r="AL367" s="1"/>
      <c r="AM367" s="1"/>
      <c r="AN367" s="1"/>
      <c r="AO367" s="1"/>
      <c r="AP367" s="1"/>
      <c r="AQ367" s="1"/>
      <c r="AR367" s="1" t="s">
        <v>7251</v>
      </c>
      <c r="AS367" s="1" t="s">
        <v>7252</v>
      </c>
      <c r="AT367" s="1" t="s">
        <v>165</v>
      </c>
      <c r="AU367" s="1" t="s">
        <v>956</v>
      </c>
      <c r="AV367" s="1">
        <v>89.29</v>
      </c>
      <c r="AW367" s="1"/>
      <c r="AX367" s="1" t="s">
        <v>7253</v>
      </c>
      <c r="AY367" s="1" t="s">
        <v>7254</v>
      </c>
      <c r="AZ367" s="1" t="s">
        <v>170</v>
      </c>
      <c r="BA367" s="1" t="s">
        <v>566</v>
      </c>
      <c r="BB367" s="1">
        <v>71</v>
      </c>
      <c r="BC367" s="1">
        <v>7.54</v>
      </c>
      <c r="BD367" s="1"/>
      <c r="BE367" s="1"/>
      <c r="BF367" s="1"/>
      <c r="BG367" s="1"/>
      <c r="BH367" s="1"/>
      <c r="BI367" s="1"/>
      <c r="BJ367" s="1" t="s">
        <v>7255</v>
      </c>
      <c r="BK367" s="1" t="s">
        <v>7256</v>
      </c>
      <c r="BL367" s="1" t="s">
        <v>1129</v>
      </c>
      <c r="BM367" s="1" t="s">
        <v>7257</v>
      </c>
      <c r="BN367" s="1">
        <v>7</v>
      </c>
      <c r="BO367" s="1" t="s">
        <v>7258</v>
      </c>
      <c r="BP367" s="1" t="str">
        <f>HYPERLINK("https://nconnect.nicmar.ac.in/storage/profile/ProfilePhoto_P25700361_138974.jpg","Download")</f>
        <v>0</v>
      </c>
      <c r="BQ367" s="3"/>
      <c r="BR367" s="3"/>
    </row>
    <row r="368" spans="1:70">
      <c r="A368" s="1" t="s">
        <v>70</v>
      </c>
      <c r="B368" s="1" t="s">
        <v>441</v>
      </c>
      <c r="C368" s="1" t="s">
        <v>7259</v>
      </c>
      <c r="D368" s="1" t="s">
        <v>7260</v>
      </c>
      <c r="E368" s="1"/>
      <c r="F368" s="1" t="s">
        <v>1273</v>
      </c>
      <c r="G368" s="1" t="s">
        <v>7261</v>
      </c>
      <c r="H368" s="1" t="s">
        <v>7262</v>
      </c>
      <c r="I368" s="1" t="s">
        <v>7263</v>
      </c>
      <c r="J368" s="1">
        <v>8270382241</v>
      </c>
      <c r="K368" s="1" t="s">
        <v>79</v>
      </c>
      <c r="L368" s="1" t="s">
        <v>7264</v>
      </c>
      <c r="M368" s="1" t="s">
        <v>81</v>
      </c>
      <c r="N368" s="1" t="s">
        <v>553</v>
      </c>
      <c r="O368" s="1"/>
      <c r="P368" s="1" t="s">
        <v>450</v>
      </c>
      <c r="Q368" s="1" t="s">
        <v>7265</v>
      </c>
      <c r="R368" s="1" t="s">
        <v>7266</v>
      </c>
      <c r="S368" s="1">
        <v>9787149630</v>
      </c>
      <c r="T368" s="1" t="s">
        <v>7267</v>
      </c>
      <c r="U368" s="1" t="s">
        <v>7268</v>
      </c>
      <c r="V368" s="1">
        <v>9751094421</v>
      </c>
      <c r="W368" s="1" t="s">
        <v>7269</v>
      </c>
      <c r="X368" s="1" t="s">
        <v>7270</v>
      </c>
      <c r="Y368" s="1" t="s">
        <v>7271</v>
      </c>
      <c r="Z368" s="1" t="s">
        <v>559</v>
      </c>
      <c r="AA368" s="1" t="s">
        <v>7270</v>
      </c>
      <c r="AB368" s="1" t="s">
        <v>7271</v>
      </c>
      <c r="AC368" s="1" t="s">
        <v>559</v>
      </c>
      <c r="AD368" s="1">
        <v>8.57</v>
      </c>
      <c r="AE368" s="1" t="s">
        <v>93</v>
      </c>
      <c r="AF368" s="1" t="s">
        <v>7272</v>
      </c>
      <c r="AG368" s="1" t="s">
        <v>7273</v>
      </c>
      <c r="AH368" s="1" t="s">
        <v>101</v>
      </c>
      <c r="AI368" s="1" t="s">
        <v>308</v>
      </c>
      <c r="AJ368" s="1">
        <v>84.2</v>
      </c>
      <c r="AK368" s="1"/>
      <c r="AL368" s="1" t="s">
        <v>7272</v>
      </c>
      <c r="AM368" s="1" t="s">
        <v>7274</v>
      </c>
      <c r="AN368" s="1" t="s">
        <v>460</v>
      </c>
      <c r="AO368" s="1" t="s">
        <v>539</v>
      </c>
      <c r="AP368" s="1">
        <v>86</v>
      </c>
      <c r="AQ368" s="1"/>
      <c r="AR368" s="1"/>
      <c r="AS368" s="1"/>
      <c r="AT368" s="1"/>
      <c r="AU368" s="1"/>
      <c r="AV368" s="1"/>
      <c r="AW368" s="1"/>
      <c r="AX368" s="1" t="s">
        <v>7275</v>
      </c>
      <c r="AY368" s="1" t="s">
        <v>7276</v>
      </c>
      <c r="AZ368" s="1" t="s">
        <v>593</v>
      </c>
      <c r="BA368" s="1" t="s">
        <v>829</v>
      </c>
      <c r="BB368" s="1">
        <v>76.96</v>
      </c>
      <c r="BC368" s="1">
        <v>7.69</v>
      </c>
      <c r="BD368" s="1"/>
      <c r="BE368" s="1"/>
      <c r="BF368" s="1"/>
      <c r="BG368" s="1"/>
      <c r="BH368" s="1"/>
      <c r="BI368" s="1"/>
      <c r="BJ368" s="1" t="s">
        <v>7277</v>
      </c>
      <c r="BK368" s="1"/>
      <c r="BL368" s="1"/>
      <c r="BM368" s="1" t="s">
        <v>7278</v>
      </c>
      <c r="BN368" s="1">
        <v>12</v>
      </c>
      <c r="BO368" s="1"/>
      <c r="BP368" s="1" t="str">
        <f>HYPERLINK("https://nconnect.nicmar.ac.in/storage/profile/ProfilePhoto_P25700362_519874.jpg","Download")</f>
        <v>0</v>
      </c>
      <c r="BQ368" s="3"/>
      <c r="BR368" s="3"/>
    </row>
    <row r="369" spans="1:70">
      <c r="A369" s="1" t="s">
        <v>70</v>
      </c>
      <c r="B369" s="1" t="s">
        <v>441</v>
      </c>
      <c r="C369" s="1" t="s">
        <v>7279</v>
      </c>
      <c r="D369" s="1" t="s">
        <v>7280</v>
      </c>
      <c r="E369" s="1"/>
      <c r="F369" s="1" t="s">
        <v>345</v>
      </c>
      <c r="G369" s="1" t="s">
        <v>7281</v>
      </c>
      <c r="H369" s="1" t="s">
        <v>7282</v>
      </c>
      <c r="I369" s="1" t="s">
        <v>7283</v>
      </c>
      <c r="J369" s="1">
        <v>7420962677</v>
      </c>
      <c r="K369" s="1" t="s">
        <v>79</v>
      </c>
      <c r="L369" s="1" t="s">
        <v>7284</v>
      </c>
      <c r="M369" s="1" t="s">
        <v>81</v>
      </c>
      <c r="N369" s="1" t="s">
        <v>1140</v>
      </c>
      <c r="O369" s="1"/>
      <c r="P369" s="1" t="s">
        <v>5905</v>
      </c>
      <c r="Q369" s="1" t="s">
        <v>7285</v>
      </c>
      <c r="R369" s="1" t="s">
        <v>7286</v>
      </c>
      <c r="S369" s="1">
        <v>9422669692</v>
      </c>
      <c r="T369" s="1" t="s">
        <v>2405</v>
      </c>
      <c r="U369" s="1" t="s">
        <v>7287</v>
      </c>
      <c r="V369" s="1">
        <v>9307379451</v>
      </c>
      <c r="W369" s="1" t="s">
        <v>156</v>
      </c>
      <c r="X369" s="1" t="s">
        <v>7288</v>
      </c>
      <c r="Y369" s="1" t="s">
        <v>991</v>
      </c>
      <c r="Z369" s="1" t="s">
        <v>92</v>
      </c>
      <c r="AA369" s="1" t="s">
        <v>7288</v>
      </c>
      <c r="AB369" s="1" t="s">
        <v>991</v>
      </c>
      <c r="AC369" s="1" t="s">
        <v>92</v>
      </c>
      <c r="AD369" s="1">
        <v>8.52</v>
      </c>
      <c r="AE369" s="1" t="s">
        <v>93</v>
      </c>
      <c r="AF369" s="1" t="s">
        <v>7289</v>
      </c>
      <c r="AG369" s="1" t="s">
        <v>7290</v>
      </c>
      <c r="AH369" s="1" t="s">
        <v>97</v>
      </c>
      <c r="AI369" s="1" t="s">
        <v>1089</v>
      </c>
      <c r="AJ369" s="1">
        <v>81</v>
      </c>
      <c r="AK369" s="1"/>
      <c r="AL369" s="1"/>
      <c r="AM369" s="1"/>
      <c r="AN369" s="1"/>
      <c r="AO369" s="1"/>
      <c r="AP369" s="1"/>
      <c r="AQ369" s="1"/>
      <c r="AR369" s="1" t="s">
        <v>98</v>
      </c>
      <c r="AS369" s="1" t="s">
        <v>7291</v>
      </c>
      <c r="AT369" s="1" t="s">
        <v>134</v>
      </c>
      <c r="AU369" s="1" t="s">
        <v>433</v>
      </c>
      <c r="AV369" s="1">
        <v>68.73</v>
      </c>
      <c r="AW369" s="1"/>
      <c r="AX369" s="1" t="s">
        <v>253</v>
      </c>
      <c r="AY369" s="1" t="s">
        <v>7292</v>
      </c>
      <c r="AZ369" s="1" t="s">
        <v>201</v>
      </c>
      <c r="BA369" s="1" t="s">
        <v>619</v>
      </c>
      <c r="BB369" s="1">
        <v>71.88</v>
      </c>
      <c r="BC369" s="1">
        <v>8.19</v>
      </c>
      <c r="BD369" s="1"/>
      <c r="BE369" s="1"/>
      <c r="BF369" s="1"/>
      <c r="BG369" s="1"/>
      <c r="BH369" s="1"/>
      <c r="BI369" s="1"/>
      <c r="BJ369" s="1" t="s">
        <v>7293</v>
      </c>
      <c r="BK369" s="1" t="s">
        <v>7294</v>
      </c>
      <c r="BL369" s="1" t="s">
        <v>138</v>
      </c>
      <c r="BM369" s="1" t="s">
        <v>7295</v>
      </c>
      <c r="BN369" s="1">
        <v>13</v>
      </c>
      <c r="BO369" s="1" t="s">
        <v>7296</v>
      </c>
      <c r="BP369" s="1" t="str">
        <f>HYPERLINK("https://nconnect.nicmar.ac.in/storage/profile/ProfilePhoto_P25700363_761958.jpg","Download")</f>
        <v>0</v>
      </c>
      <c r="BQ369" s="3"/>
      <c r="BR369" s="3"/>
    </row>
    <row r="370" spans="1:70">
      <c r="A370" s="1" t="s">
        <v>70</v>
      </c>
      <c r="B370" s="1" t="s">
        <v>441</v>
      </c>
      <c r="C370" s="1" t="s">
        <v>7297</v>
      </c>
      <c r="D370" s="1" t="s">
        <v>6593</v>
      </c>
      <c r="E370" s="1" t="s">
        <v>2419</v>
      </c>
      <c r="F370" s="1" t="s">
        <v>7298</v>
      </c>
      <c r="G370" s="1" t="s">
        <v>7299</v>
      </c>
      <c r="H370" s="1" t="s">
        <v>7300</v>
      </c>
      <c r="I370" s="1" t="s">
        <v>7301</v>
      </c>
      <c r="J370" s="1">
        <v>9518506049</v>
      </c>
      <c r="K370" s="1" t="s">
        <v>79</v>
      </c>
      <c r="L370" s="1" t="s">
        <v>7302</v>
      </c>
      <c r="M370" s="1" t="s">
        <v>81</v>
      </c>
      <c r="N370" s="1" t="s">
        <v>605</v>
      </c>
      <c r="O370" s="1"/>
      <c r="P370" s="1" t="s">
        <v>472</v>
      </c>
      <c r="Q370" s="1" t="s">
        <v>7303</v>
      </c>
      <c r="R370" s="1" t="s">
        <v>2419</v>
      </c>
      <c r="S370" s="1">
        <v>9822408208</v>
      </c>
      <c r="T370" s="1" t="s">
        <v>906</v>
      </c>
      <c r="U370" s="1" t="s">
        <v>1874</v>
      </c>
      <c r="V370" s="1">
        <v>9168255208</v>
      </c>
      <c r="W370" s="1" t="s">
        <v>156</v>
      </c>
      <c r="X370" s="1" t="s">
        <v>7304</v>
      </c>
      <c r="Y370" s="1" t="s">
        <v>191</v>
      </c>
      <c r="Z370" s="1" t="s">
        <v>92</v>
      </c>
      <c r="AA370" s="1" t="s">
        <v>7304</v>
      </c>
      <c r="AB370" s="1" t="s">
        <v>191</v>
      </c>
      <c r="AC370" s="1" t="s">
        <v>92</v>
      </c>
      <c r="AD370" s="1">
        <v>8.81</v>
      </c>
      <c r="AE370" s="1" t="s">
        <v>93</v>
      </c>
      <c r="AF370" s="1" t="s">
        <v>7305</v>
      </c>
      <c r="AG370" s="1" t="s">
        <v>2348</v>
      </c>
      <c r="AH370" s="1" t="s">
        <v>101</v>
      </c>
      <c r="AI370" s="1" t="s">
        <v>308</v>
      </c>
      <c r="AJ370" s="1">
        <v>86</v>
      </c>
      <c r="AK370" s="1"/>
      <c r="AL370" s="1" t="s">
        <v>7306</v>
      </c>
      <c r="AM370" s="1" t="s">
        <v>2348</v>
      </c>
      <c r="AN370" s="1" t="s">
        <v>460</v>
      </c>
      <c r="AO370" s="1" t="s">
        <v>826</v>
      </c>
      <c r="AP370" s="1">
        <v>91.17</v>
      </c>
      <c r="AQ370" s="1"/>
      <c r="AR370" s="1"/>
      <c r="AS370" s="1"/>
      <c r="AT370" s="1"/>
      <c r="AU370" s="1"/>
      <c r="AV370" s="1"/>
      <c r="AW370" s="1"/>
      <c r="AX370" s="1" t="s">
        <v>361</v>
      </c>
      <c r="AY370" s="1" t="s">
        <v>7307</v>
      </c>
      <c r="AZ370" s="1" t="s">
        <v>852</v>
      </c>
      <c r="BA370" s="1" t="s">
        <v>829</v>
      </c>
      <c r="BB370" s="1">
        <v>73.78</v>
      </c>
      <c r="BC370" s="1">
        <v>8.29</v>
      </c>
      <c r="BD370" s="1"/>
      <c r="BE370" s="1"/>
      <c r="BF370" s="1"/>
      <c r="BG370" s="1"/>
      <c r="BH370" s="1"/>
      <c r="BI370" s="1"/>
      <c r="BJ370" s="1" t="s">
        <v>3733</v>
      </c>
      <c r="BK370" s="1"/>
      <c r="BL370" s="1"/>
      <c r="BM370" s="1" t="s">
        <v>7308</v>
      </c>
      <c r="BN370" s="1">
        <v>12</v>
      </c>
      <c r="BO370" s="1"/>
      <c r="BP370" s="1" t="str">
        <f>HYPERLINK("https://nconnect.nicmar.ac.in/storage/profile/ProfilePhoto_P25700364_541382.jpg","Download")</f>
        <v>0</v>
      </c>
      <c r="BQ370" s="3"/>
      <c r="BR370" s="3"/>
    </row>
    <row r="371" spans="1:70">
      <c r="A371" s="1" t="s">
        <v>70</v>
      </c>
      <c r="B371" s="1" t="s">
        <v>441</v>
      </c>
      <c r="C371" s="1" t="s">
        <v>7309</v>
      </c>
      <c r="D371" s="1" t="s">
        <v>1762</v>
      </c>
      <c r="E371" s="1" t="s">
        <v>4651</v>
      </c>
      <c r="F371" s="1" t="s">
        <v>236</v>
      </c>
      <c r="G371" s="1" t="s">
        <v>7310</v>
      </c>
      <c r="H371" s="1" t="s">
        <v>7311</v>
      </c>
      <c r="I371" s="1" t="s">
        <v>7312</v>
      </c>
      <c r="J371" s="1">
        <v>9607779797</v>
      </c>
      <c r="K371" s="1" t="s">
        <v>79</v>
      </c>
      <c r="L371" s="1" t="s">
        <v>6210</v>
      </c>
      <c r="M371" s="1" t="s">
        <v>81</v>
      </c>
      <c r="N371" s="1" t="s">
        <v>5603</v>
      </c>
      <c r="O371" s="1"/>
      <c r="P371" s="1"/>
      <c r="Q371" s="1" t="s">
        <v>7313</v>
      </c>
      <c r="R371" s="1" t="s">
        <v>7314</v>
      </c>
      <c r="S371" s="1">
        <v>9422039641</v>
      </c>
      <c r="T371" s="1" t="s">
        <v>87</v>
      </c>
      <c r="U371" s="1" t="s">
        <v>7315</v>
      </c>
      <c r="V371" s="1">
        <v>9422029441</v>
      </c>
      <c r="W371" s="1" t="s">
        <v>273</v>
      </c>
      <c r="X371" s="1" t="s">
        <v>7316</v>
      </c>
      <c r="Y371" s="1" t="s">
        <v>5185</v>
      </c>
      <c r="Z371" s="1" t="s">
        <v>92</v>
      </c>
      <c r="AA371" s="1" t="s">
        <v>7316</v>
      </c>
      <c r="AB371" s="1" t="s">
        <v>5185</v>
      </c>
      <c r="AC371" s="1" t="s">
        <v>92</v>
      </c>
      <c r="AD371" s="1">
        <v>8.21</v>
      </c>
      <c r="AE371" s="1" t="s">
        <v>93</v>
      </c>
      <c r="AF371" s="1" t="s">
        <v>7317</v>
      </c>
      <c r="AG371" s="1" t="s">
        <v>7318</v>
      </c>
      <c r="AH371" s="1" t="s">
        <v>7319</v>
      </c>
      <c r="AI371" s="1" t="s">
        <v>166</v>
      </c>
      <c r="AJ371" s="1">
        <v>81</v>
      </c>
      <c r="AK371" s="1"/>
      <c r="AL371" s="1" t="s">
        <v>7320</v>
      </c>
      <c r="AM371" s="1" t="s">
        <v>7321</v>
      </c>
      <c r="AN371" s="1" t="s">
        <v>101</v>
      </c>
      <c r="AO371" s="1" t="s">
        <v>360</v>
      </c>
      <c r="AP371" s="1">
        <v>66.46</v>
      </c>
      <c r="AQ371" s="1"/>
      <c r="AR371" s="1"/>
      <c r="AS371" s="1"/>
      <c r="AT371" s="1"/>
      <c r="AU371" s="1"/>
      <c r="AV371" s="1"/>
      <c r="AW371" s="1"/>
      <c r="AX371" s="1" t="s">
        <v>7322</v>
      </c>
      <c r="AY371" s="1" t="s">
        <v>7323</v>
      </c>
      <c r="AZ371" s="1" t="s">
        <v>173</v>
      </c>
      <c r="BA371" s="1" t="s">
        <v>1292</v>
      </c>
      <c r="BB371" s="1">
        <v>63.7</v>
      </c>
      <c r="BC371" s="1">
        <v>7.12</v>
      </c>
      <c r="BD371" s="1"/>
      <c r="BE371" s="1"/>
      <c r="BF371" s="1"/>
      <c r="BG371" s="1"/>
      <c r="BH371" s="1"/>
      <c r="BI371" s="1"/>
      <c r="BJ371" s="1" t="s">
        <v>7324</v>
      </c>
      <c r="BK371" s="1"/>
      <c r="BL371" s="1"/>
      <c r="BM371" s="1" t="s">
        <v>7325</v>
      </c>
      <c r="BN371" s="1">
        <v>35</v>
      </c>
      <c r="BO371" s="1"/>
      <c r="BP371" s="1" t="str">
        <f>HYPERLINK("https://nconnect.nicmar.ac.in/storage/profile/ProfilePhoto_P25700366_956721.jpg","Download")</f>
        <v>0</v>
      </c>
      <c r="BQ371" s="3"/>
      <c r="BR371" s="3"/>
    </row>
    <row r="372" spans="1:70">
      <c r="A372" s="1" t="s">
        <v>70</v>
      </c>
      <c r="B372" s="1" t="s">
        <v>441</v>
      </c>
      <c r="C372" s="1" t="s">
        <v>7326</v>
      </c>
      <c r="D372" s="1" t="s">
        <v>3658</v>
      </c>
      <c r="E372" s="1" t="s">
        <v>181</v>
      </c>
      <c r="F372" s="1" t="s">
        <v>7327</v>
      </c>
      <c r="G372" s="1" t="s">
        <v>7328</v>
      </c>
      <c r="H372" s="1" t="s">
        <v>7329</v>
      </c>
      <c r="I372" s="1" t="s">
        <v>7330</v>
      </c>
      <c r="J372" s="1">
        <v>7972203913</v>
      </c>
      <c r="K372" s="1" t="s">
        <v>79</v>
      </c>
      <c r="L372" s="1" t="s">
        <v>7331</v>
      </c>
      <c r="M372" s="1" t="s">
        <v>81</v>
      </c>
      <c r="N372" s="1" t="s">
        <v>1140</v>
      </c>
      <c r="O372" s="1"/>
      <c r="P372" s="1" t="s">
        <v>497</v>
      </c>
      <c r="Q372" s="1" t="s">
        <v>7332</v>
      </c>
      <c r="R372" s="1" t="s">
        <v>7333</v>
      </c>
      <c r="S372" s="1">
        <v>9405150730</v>
      </c>
      <c r="T372" s="1" t="s">
        <v>7334</v>
      </c>
      <c r="U372" s="1" t="s">
        <v>7335</v>
      </c>
      <c r="V372" s="1">
        <v>9403290644</v>
      </c>
      <c r="W372" s="1" t="s">
        <v>156</v>
      </c>
      <c r="X372" s="1" t="s">
        <v>7336</v>
      </c>
      <c r="Y372" s="1" t="s">
        <v>191</v>
      </c>
      <c r="Z372" s="1" t="s">
        <v>92</v>
      </c>
      <c r="AA372" s="1" t="s">
        <v>7337</v>
      </c>
      <c r="AB372" s="1" t="s">
        <v>405</v>
      </c>
      <c r="AC372" s="1" t="s">
        <v>92</v>
      </c>
      <c r="AD372" s="1">
        <v>8.2</v>
      </c>
      <c r="AE372" s="1" t="s">
        <v>93</v>
      </c>
      <c r="AF372" s="1" t="s">
        <v>7338</v>
      </c>
      <c r="AG372" s="1" t="s">
        <v>7339</v>
      </c>
      <c r="AH372" s="1" t="s">
        <v>1374</v>
      </c>
      <c r="AI372" s="1" t="s">
        <v>195</v>
      </c>
      <c r="AJ372" s="1">
        <v>79.2</v>
      </c>
      <c r="AK372" s="1">
        <v>8.4</v>
      </c>
      <c r="AL372" s="1" t="s">
        <v>7340</v>
      </c>
      <c r="AM372" s="1" t="s">
        <v>7341</v>
      </c>
      <c r="AN372" s="1" t="s">
        <v>169</v>
      </c>
      <c r="AO372" s="1" t="s">
        <v>310</v>
      </c>
      <c r="AP372" s="1">
        <v>61.23</v>
      </c>
      <c r="AQ372" s="1"/>
      <c r="AR372" s="1"/>
      <c r="AS372" s="1"/>
      <c r="AT372" s="1"/>
      <c r="AU372" s="1"/>
      <c r="AV372" s="1"/>
      <c r="AW372" s="1"/>
      <c r="AX372" s="1" t="s">
        <v>7342</v>
      </c>
      <c r="AY372" s="1" t="s">
        <v>7343</v>
      </c>
      <c r="AZ372" s="1" t="s">
        <v>201</v>
      </c>
      <c r="BA372" s="1" t="s">
        <v>174</v>
      </c>
      <c r="BB372" s="1">
        <v>64.7</v>
      </c>
      <c r="BC372" s="1">
        <v>7.22</v>
      </c>
      <c r="BD372" s="1"/>
      <c r="BE372" s="1"/>
      <c r="BF372" s="1"/>
      <c r="BG372" s="1"/>
      <c r="BH372" s="1"/>
      <c r="BI372" s="1"/>
      <c r="BJ372" s="1" t="s">
        <v>7344</v>
      </c>
      <c r="BK372" s="1"/>
      <c r="BL372" s="1"/>
      <c r="BM372" s="1" t="s">
        <v>7345</v>
      </c>
      <c r="BN372" s="1">
        <v>73</v>
      </c>
      <c r="BO372" s="1"/>
      <c r="BP372" s="1" t="str">
        <f>HYPERLINK("https://nconnect.nicmar.ac.in/storage/profile/ProfilePhoto_P25700368_157439.jpg","Download")</f>
        <v>0</v>
      </c>
      <c r="BQ372" s="3"/>
      <c r="BR372" s="3"/>
    </row>
    <row r="373" spans="1:70">
      <c r="A373" s="1" t="s">
        <v>70</v>
      </c>
      <c r="B373" s="1" t="s">
        <v>441</v>
      </c>
      <c r="C373" s="1" t="s">
        <v>7346</v>
      </c>
      <c r="D373" s="1" t="s">
        <v>5486</v>
      </c>
      <c r="E373" s="1" t="s">
        <v>2242</v>
      </c>
      <c r="F373" s="1" t="s">
        <v>142</v>
      </c>
      <c r="G373" s="1" t="s">
        <v>7347</v>
      </c>
      <c r="H373" s="1" t="s">
        <v>7348</v>
      </c>
      <c r="I373" s="1" t="s">
        <v>7349</v>
      </c>
      <c r="J373" s="1">
        <v>9511248747</v>
      </c>
      <c r="K373" s="1" t="s">
        <v>79</v>
      </c>
      <c r="L373" s="1" t="s">
        <v>5904</v>
      </c>
      <c r="M373" s="1" t="s">
        <v>81</v>
      </c>
      <c r="N373" s="1" t="s">
        <v>2147</v>
      </c>
      <c r="O373" s="1"/>
      <c r="P373" s="1" t="s">
        <v>472</v>
      </c>
      <c r="Q373" s="1" t="s">
        <v>7350</v>
      </c>
      <c r="R373" s="1" t="s">
        <v>2242</v>
      </c>
      <c r="S373" s="1">
        <v>9284050917</v>
      </c>
      <c r="T373" s="1" t="s">
        <v>154</v>
      </c>
      <c r="U373" s="1" t="s">
        <v>2250</v>
      </c>
      <c r="V373" s="1">
        <v>9665580920</v>
      </c>
      <c r="W373" s="1" t="s">
        <v>156</v>
      </c>
      <c r="X373" s="1" t="s">
        <v>7351</v>
      </c>
      <c r="Y373" s="1" t="s">
        <v>191</v>
      </c>
      <c r="Z373" s="1" t="s">
        <v>92</v>
      </c>
      <c r="AA373" s="1" t="s">
        <v>7352</v>
      </c>
      <c r="AB373" s="1" t="s">
        <v>1122</v>
      </c>
      <c r="AC373" s="1" t="s">
        <v>92</v>
      </c>
      <c r="AD373" s="1">
        <v>8.52</v>
      </c>
      <c r="AE373" s="1" t="s">
        <v>93</v>
      </c>
      <c r="AF373" s="1" t="s">
        <v>7353</v>
      </c>
      <c r="AG373" s="1" t="s">
        <v>7354</v>
      </c>
      <c r="AH373" s="1" t="s">
        <v>162</v>
      </c>
      <c r="AI373" s="1" t="s">
        <v>195</v>
      </c>
      <c r="AJ373" s="1">
        <v>89.2</v>
      </c>
      <c r="AK373" s="1"/>
      <c r="AL373" s="1"/>
      <c r="AM373" s="1"/>
      <c r="AN373" s="1"/>
      <c r="AO373" s="1"/>
      <c r="AP373" s="1"/>
      <c r="AQ373" s="1"/>
      <c r="AR373" s="1" t="s">
        <v>434</v>
      </c>
      <c r="AS373" s="1" t="s">
        <v>7355</v>
      </c>
      <c r="AT373" s="1" t="s">
        <v>225</v>
      </c>
      <c r="AU373" s="1" t="s">
        <v>170</v>
      </c>
      <c r="AV373" s="1">
        <v>91.32</v>
      </c>
      <c r="AW373" s="1"/>
      <c r="AX373" s="1" t="s">
        <v>361</v>
      </c>
      <c r="AY373" s="1" t="s">
        <v>2086</v>
      </c>
      <c r="AZ373" s="1" t="s">
        <v>363</v>
      </c>
      <c r="BA373" s="1" t="s">
        <v>174</v>
      </c>
      <c r="BB373" s="1">
        <v>74.36</v>
      </c>
      <c r="BC373" s="1">
        <v>8.28</v>
      </c>
      <c r="BD373" s="1"/>
      <c r="BE373" s="1"/>
      <c r="BF373" s="1"/>
      <c r="BG373" s="1"/>
      <c r="BH373" s="1"/>
      <c r="BI373" s="1"/>
      <c r="BJ373" s="1" t="s">
        <v>7356</v>
      </c>
      <c r="BK373" s="1"/>
      <c r="BL373" s="1"/>
      <c r="BM373" s="1" t="s">
        <v>7357</v>
      </c>
      <c r="BN373" s="1">
        <v>30</v>
      </c>
      <c r="BO373" s="1" t="s">
        <v>7358</v>
      </c>
      <c r="BP373" s="1" t="str">
        <f>HYPERLINK("https://nconnect.nicmar.ac.in/storage/profile/ProfilePhoto_P25700369_745329.jpg","Download")</f>
        <v>0</v>
      </c>
      <c r="BQ373" s="3"/>
      <c r="BR373" s="3"/>
    </row>
    <row r="374" spans="1:70">
      <c r="A374" s="1" t="s">
        <v>70</v>
      </c>
      <c r="B374" s="1" t="s">
        <v>441</v>
      </c>
      <c r="C374" s="1" t="s">
        <v>7359</v>
      </c>
      <c r="D374" s="1" t="s">
        <v>1272</v>
      </c>
      <c r="E374" s="1" t="s">
        <v>2419</v>
      </c>
      <c r="F374" s="1" t="s">
        <v>7360</v>
      </c>
      <c r="G374" s="1" t="s">
        <v>7361</v>
      </c>
      <c r="H374" s="1" t="s">
        <v>7362</v>
      </c>
      <c r="I374" s="1" t="s">
        <v>7363</v>
      </c>
      <c r="J374" s="1">
        <v>9326015827</v>
      </c>
      <c r="K374" s="1" t="s">
        <v>79</v>
      </c>
      <c r="L374" s="1" t="s">
        <v>7364</v>
      </c>
      <c r="M374" s="1" t="s">
        <v>81</v>
      </c>
      <c r="N374" s="1" t="s">
        <v>7365</v>
      </c>
      <c r="O374" s="1"/>
      <c r="P374" s="1" t="s">
        <v>472</v>
      </c>
      <c r="Q374" s="1" t="s">
        <v>7366</v>
      </c>
      <c r="R374" s="1" t="s">
        <v>2419</v>
      </c>
      <c r="S374" s="1">
        <v>9594039951</v>
      </c>
      <c r="T374" s="1" t="s">
        <v>7367</v>
      </c>
      <c r="U374" s="1" t="s">
        <v>7368</v>
      </c>
      <c r="V374" s="1">
        <v>9833379880</v>
      </c>
      <c r="W374" s="1" t="s">
        <v>156</v>
      </c>
      <c r="X374" s="1" t="s">
        <v>7369</v>
      </c>
      <c r="Y374" s="1" t="s">
        <v>2229</v>
      </c>
      <c r="Z374" s="1" t="s">
        <v>92</v>
      </c>
      <c r="AA374" s="1" t="s">
        <v>7370</v>
      </c>
      <c r="AB374" s="1" t="s">
        <v>2229</v>
      </c>
      <c r="AC374" s="1" t="s">
        <v>92</v>
      </c>
      <c r="AD374" s="1">
        <v>7.92</v>
      </c>
      <c r="AE374" s="1" t="s">
        <v>93</v>
      </c>
      <c r="AF374" s="1" t="s">
        <v>7371</v>
      </c>
      <c r="AG374" s="1" t="s">
        <v>160</v>
      </c>
      <c r="AH374" s="1" t="s">
        <v>337</v>
      </c>
      <c r="AI374" s="1" t="s">
        <v>614</v>
      </c>
      <c r="AJ374" s="1">
        <v>63.4</v>
      </c>
      <c r="AK374" s="1"/>
      <c r="AL374" s="1"/>
      <c r="AM374" s="1"/>
      <c r="AN374" s="1"/>
      <c r="AO374" s="1"/>
      <c r="AP374" s="1"/>
      <c r="AQ374" s="1"/>
      <c r="AR374" s="1" t="s">
        <v>434</v>
      </c>
      <c r="AS374" s="1" t="s">
        <v>7372</v>
      </c>
      <c r="AT374" s="1" t="s">
        <v>134</v>
      </c>
      <c r="AU374" s="1" t="s">
        <v>228</v>
      </c>
      <c r="AV374" s="1">
        <v>64.12</v>
      </c>
      <c r="AW374" s="1"/>
      <c r="AX374" s="1" t="s">
        <v>253</v>
      </c>
      <c r="AY374" s="1" t="s">
        <v>5126</v>
      </c>
      <c r="AZ374" s="1" t="s">
        <v>363</v>
      </c>
      <c r="BA374" s="1" t="s">
        <v>7373</v>
      </c>
      <c r="BB374" s="1">
        <v>68.86</v>
      </c>
      <c r="BC374" s="1">
        <v>7.84</v>
      </c>
      <c r="BD374" s="1"/>
      <c r="BE374" s="1"/>
      <c r="BF374" s="1"/>
      <c r="BG374" s="1"/>
      <c r="BH374" s="1"/>
      <c r="BI374" s="1"/>
      <c r="BJ374" s="1" t="s">
        <v>255</v>
      </c>
      <c r="BK374" s="1" t="s">
        <v>7374</v>
      </c>
      <c r="BL374" s="1" t="s">
        <v>2434</v>
      </c>
      <c r="BM374" s="1" t="s">
        <v>7375</v>
      </c>
      <c r="BN374" s="1">
        <v>9</v>
      </c>
      <c r="BO374" s="1"/>
      <c r="BP374" s="1" t="str">
        <f>HYPERLINK("https://nconnect.nicmar.ac.in/storage/profile/ProfilePhoto_P25700370_895437.jpg","Download")</f>
        <v>0</v>
      </c>
      <c r="BQ374" s="3"/>
      <c r="BR374" s="3"/>
    </row>
    <row r="375" spans="1:70">
      <c r="A375" s="1" t="s">
        <v>70</v>
      </c>
      <c r="B375" s="1" t="s">
        <v>441</v>
      </c>
      <c r="C375" s="1" t="s">
        <v>7376</v>
      </c>
      <c r="D375" s="1" t="s">
        <v>3235</v>
      </c>
      <c r="E375" s="1"/>
      <c r="F375" s="1" t="s">
        <v>1970</v>
      </c>
      <c r="G375" s="1" t="s">
        <v>7377</v>
      </c>
      <c r="H375" s="1" t="s">
        <v>7378</v>
      </c>
      <c r="I375" s="1" t="s">
        <v>7379</v>
      </c>
      <c r="J375" s="1">
        <v>9538399704</v>
      </c>
      <c r="K375" s="1" t="s">
        <v>148</v>
      </c>
      <c r="L375" s="1" t="s">
        <v>7380</v>
      </c>
      <c r="M375" s="1" t="s">
        <v>81</v>
      </c>
      <c r="N375" s="1" t="s">
        <v>1180</v>
      </c>
      <c r="O375" s="1"/>
      <c r="P375" s="1" t="s">
        <v>497</v>
      </c>
      <c r="Q375" s="1" t="s">
        <v>7381</v>
      </c>
      <c r="R375" s="1" t="s">
        <v>7382</v>
      </c>
      <c r="S375" s="1">
        <v>9448245386</v>
      </c>
      <c r="T375" s="1" t="s">
        <v>7383</v>
      </c>
      <c r="U375" s="1" t="s">
        <v>7384</v>
      </c>
      <c r="V375" s="1">
        <v>9448293831</v>
      </c>
      <c r="W375" s="1" t="s">
        <v>3321</v>
      </c>
      <c r="X375" s="1" t="s">
        <v>7385</v>
      </c>
      <c r="Y375" s="1" t="s">
        <v>1186</v>
      </c>
      <c r="Z375" s="1" t="s">
        <v>1187</v>
      </c>
      <c r="AA375" s="1" t="s">
        <v>7385</v>
      </c>
      <c r="AB375" s="1" t="s">
        <v>1186</v>
      </c>
      <c r="AC375" s="1" t="s">
        <v>1187</v>
      </c>
      <c r="AD375" s="1">
        <v>8.95</v>
      </c>
      <c r="AE375" s="1" t="s">
        <v>93</v>
      </c>
      <c r="AF375" s="1" t="s">
        <v>7386</v>
      </c>
      <c r="AG375" s="1" t="s">
        <v>7387</v>
      </c>
      <c r="AH375" s="1" t="s">
        <v>129</v>
      </c>
      <c r="AI375" s="1" t="s">
        <v>1239</v>
      </c>
      <c r="AJ375" s="1">
        <v>84.32</v>
      </c>
      <c r="AK375" s="1"/>
      <c r="AL375" s="1" t="s">
        <v>7388</v>
      </c>
      <c r="AM375" s="1" t="s">
        <v>7389</v>
      </c>
      <c r="AN375" s="1" t="s">
        <v>131</v>
      </c>
      <c r="AO375" s="1" t="s">
        <v>614</v>
      </c>
      <c r="AP375" s="1">
        <v>76.66</v>
      </c>
      <c r="AQ375" s="1"/>
      <c r="AR375" s="1"/>
      <c r="AS375" s="1"/>
      <c r="AT375" s="1"/>
      <c r="AU375" s="1"/>
      <c r="AV375" s="1"/>
      <c r="AW375" s="1"/>
      <c r="AX375" s="1" t="s">
        <v>1194</v>
      </c>
      <c r="AY375" s="1" t="s">
        <v>7390</v>
      </c>
      <c r="AZ375" s="1" t="s">
        <v>134</v>
      </c>
      <c r="BA375" s="1" t="s">
        <v>1019</v>
      </c>
      <c r="BB375" s="1">
        <v>74.2</v>
      </c>
      <c r="BC375" s="1">
        <v>8.17</v>
      </c>
      <c r="BD375" s="1" t="s">
        <v>1194</v>
      </c>
      <c r="BE375" s="1" t="s">
        <v>7391</v>
      </c>
      <c r="BF375" s="1" t="s">
        <v>1622</v>
      </c>
      <c r="BG375" s="1" t="s">
        <v>1800</v>
      </c>
      <c r="BH375" s="1">
        <v>81.5</v>
      </c>
      <c r="BI375" s="1">
        <v>8.9</v>
      </c>
      <c r="BJ375" s="1" t="s">
        <v>7392</v>
      </c>
      <c r="BK375" s="1" t="s">
        <v>7393</v>
      </c>
      <c r="BL375" s="1" t="s">
        <v>741</v>
      </c>
      <c r="BM375" s="1" t="s">
        <v>7394</v>
      </c>
      <c r="BN375" s="1">
        <v>20</v>
      </c>
      <c r="BO375" s="1" t="s">
        <v>7395</v>
      </c>
      <c r="BP375" s="1" t="str">
        <f>HYPERLINK("https://nconnect.nicmar.ac.in/storage/profile/ProfilePhoto_P25700371_572389.jpg","Download")</f>
        <v>0</v>
      </c>
      <c r="BQ375" s="3"/>
      <c r="BR375" s="3"/>
    </row>
    <row r="376" spans="1:70">
      <c r="A376" s="1" t="s">
        <v>70</v>
      </c>
      <c r="B376" s="1" t="s">
        <v>441</v>
      </c>
      <c r="C376" s="1" t="s">
        <v>7396</v>
      </c>
      <c r="D376" s="1" t="s">
        <v>7397</v>
      </c>
      <c r="E376" s="1"/>
      <c r="F376" s="1" t="s">
        <v>7398</v>
      </c>
      <c r="G376" s="1" t="s">
        <v>7399</v>
      </c>
      <c r="H376" s="1" t="s">
        <v>7400</v>
      </c>
      <c r="I376" s="1" t="s">
        <v>7401</v>
      </c>
      <c r="J376" s="1">
        <v>8077106036</v>
      </c>
      <c r="K376" s="1" t="s">
        <v>79</v>
      </c>
      <c r="L376" s="1" t="s">
        <v>7402</v>
      </c>
      <c r="M376" s="1" t="s">
        <v>81</v>
      </c>
      <c r="N376" s="1" t="s">
        <v>4289</v>
      </c>
      <c r="O376" s="1"/>
      <c r="P376" s="1" t="s">
        <v>472</v>
      </c>
      <c r="Q376" s="1" t="s">
        <v>7403</v>
      </c>
      <c r="R376" s="1" t="s">
        <v>7404</v>
      </c>
      <c r="S376" s="1">
        <v>7992311874</v>
      </c>
      <c r="T376" s="1" t="s">
        <v>632</v>
      </c>
      <c r="U376" s="1" t="s">
        <v>7405</v>
      </c>
      <c r="V376" s="1">
        <v>8279848766</v>
      </c>
      <c r="W376" s="1" t="s">
        <v>632</v>
      </c>
      <c r="X376" s="1" t="s">
        <v>7406</v>
      </c>
      <c r="Y376" s="1" t="s">
        <v>7407</v>
      </c>
      <c r="Z376" s="1" t="s">
        <v>534</v>
      </c>
      <c r="AA376" s="1" t="s">
        <v>7406</v>
      </c>
      <c r="AB376" s="1" t="s">
        <v>7407</v>
      </c>
      <c r="AC376" s="1" t="s">
        <v>534</v>
      </c>
      <c r="AD376" s="1">
        <v>9.29</v>
      </c>
      <c r="AE376" s="1" t="s">
        <v>93</v>
      </c>
      <c r="AF376" s="1" t="s">
        <v>7408</v>
      </c>
      <c r="AG376" s="1" t="s">
        <v>7409</v>
      </c>
      <c r="AH376" s="1" t="s">
        <v>131</v>
      </c>
      <c r="AI376" s="1" t="s">
        <v>614</v>
      </c>
      <c r="AJ376" s="1">
        <v>95</v>
      </c>
      <c r="AK376" s="1">
        <v>10</v>
      </c>
      <c r="AL376" s="1" t="s">
        <v>7410</v>
      </c>
      <c r="AM376" s="1" t="s">
        <v>307</v>
      </c>
      <c r="AN376" s="1" t="s">
        <v>165</v>
      </c>
      <c r="AO376" s="1" t="s">
        <v>166</v>
      </c>
      <c r="AP376" s="1">
        <v>87.02</v>
      </c>
      <c r="AQ376" s="1"/>
      <c r="AR376" s="1"/>
      <c r="AS376" s="1"/>
      <c r="AT376" s="1"/>
      <c r="AU376" s="1"/>
      <c r="AV376" s="1"/>
      <c r="AW376" s="1"/>
      <c r="AX376" s="1" t="s">
        <v>7411</v>
      </c>
      <c r="AY376" s="1" t="s">
        <v>7411</v>
      </c>
      <c r="AZ376" s="1" t="s">
        <v>169</v>
      </c>
      <c r="BA376" s="1" t="s">
        <v>1378</v>
      </c>
      <c r="BB376" s="1">
        <v>90.09</v>
      </c>
      <c r="BC376" s="1">
        <v>9.09</v>
      </c>
      <c r="BD376" s="1"/>
      <c r="BE376" s="1"/>
      <c r="BF376" s="1"/>
      <c r="BG376" s="1"/>
      <c r="BH376" s="1"/>
      <c r="BI376" s="1"/>
      <c r="BJ376" s="1" t="s">
        <v>7412</v>
      </c>
      <c r="BK376" s="1" t="s">
        <v>7413</v>
      </c>
      <c r="BL376" s="1" t="s">
        <v>741</v>
      </c>
      <c r="BM376" s="1" t="s">
        <v>7414</v>
      </c>
      <c r="BN376" s="1">
        <v>28</v>
      </c>
      <c r="BO376" s="1"/>
      <c r="BP376" s="1" t="str">
        <f>HYPERLINK("https://nconnect.nicmar.ac.in/storage/profile/ProfilePhoto_P25700372_298156.jpg","Download")</f>
        <v>0</v>
      </c>
      <c r="BQ376" s="3"/>
      <c r="BR376" s="3"/>
    </row>
    <row r="377" spans="1:70">
      <c r="A377" s="1" t="s">
        <v>70</v>
      </c>
      <c r="B377" s="1" t="s">
        <v>441</v>
      </c>
      <c r="C377" s="1" t="s">
        <v>7415</v>
      </c>
      <c r="D377" s="1" t="s">
        <v>7416</v>
      </c>
      <c r="E377" s="1" t="s">
        <v>4321</v>
      </c>
      <c r="F377" s="1" t="s">
        <v>7417</v>
      </c>
      <c r="G377" s="1" t="s">
        <v>7418</v>
      </c>
      <c r="H377" s="1" t="s">
        <v>7419</v>
      </c>
      <c r="I377" s="1" t="s">
        <v>7420</v>
      </c>
      <c r="J377" s="1">
        <v>9175903302</v>
      </c>
      <c r="K377" s="1" t="s">
        <v>79</v>
      </c>
      <c r="L377" s="1" t="s">
        <v>7421</v>
      </c>
      <c r="M377" s="1" t="s">
        <v>81</v>
      </c>
      <c r="N377" s="1" t="s">
        <v>1448</v>
      </c>
      <c r="O377" s="1"/>
      <c r="P377" s="1" t="s">
        <v>497</v>
      </c>
      <c r="Q377" s="1" t="s">
        <v>7422</v>
      </c>
      <c r="R377" s="1" t="s">
        <v>7423</v>
      </c>
      <c r="S377" s="1">
        <v>9422003015</v>
      </c>
      <c r="T377" s="1" t="s">
        <v>820</v>
      </c>
      <c r="U377" s="1" t="s">
        <v>7424</v>
      </c>
      <c r="V377" s="1">
        <v>9423566570</v>
      </c>
      <c r="W377" s="1" t="s">
        <v>1529</v>
      </c>
      <c r="X377" s="1" t="s">
        <v>7425</v>
      </c>
      <c r="Y377" s="1" t="s">
        <v>191</v>
      </c>
      <c r="Z377" s="1" t="s">
        <v>92</v>
      </c>
      <c r="AA377" s="1" t="s">
        <v>7425</v>
      </c>
      <c r="AB377" s="1" t="s">
        <v>191</v>
      </c>
      <c r="AC377" s="1" t="s">
        <v>92</v>
      </c>
      <c r="AD377" s="1">
        <v>8.89</v>
      </c>
      <c r="AE377" s="1" t="s">
        <v>93</v>
      </c>
      <c r="AF377" s="1" t="s">
        <v>7426</v>
      </c>
      <c r="AG377" s="1" t="s">
        <v>3324</v>
      </c>
      <c r="AH377" s="1" t="s">
        <v>3813</v>
      </c>
      <c r="AI377" s="1" t="s">
        <v>166</v>
      </c>
      <c r="AJ377" s="1">
        <v>92.33</v>
      </c>
      <c r="AK377" s="1"/>
      <c r="AL377" s="1" t="s">
        <v>7427</v>
      </c>
      <c r="AM377" s="1" t="s">
        <v>7428</v>
      </c>
      <c r="AN377" s="1" t="s">
        <v>101</v>
      </c>
      <c r="AO377" s="1" t="s">
        <v>173</v>
      </c>
      <c r="AP377" s="1">
        <v>77.54</v>
      </c>
      <c r="AQ377" s="1"/>
      <c r="AR377" s="1"/>
      <c r="AS377" s="1"/>
      <c r="AT377" s="1"/>
      <c r="AU377" s="1"/>
      <c r="AV377" s="1"/>
      <c r="AW377" s="1"/>
      <c r="AX377" s="1" t="s">
        <v>361</v>
      </c>
      <c r="AY377" s="1" t="s">
        <v>5057</v>
      </c>
      <c r="AZ377" s="1" t="s">
        <v>173</v>
      </c>
      <c r="BA377" s="1" t="s">
        <v>829</v>
      </c>
      <c r="BB377" s="1">
        <v>65.15</v>
      </c>
      <c r="BC377" s="1">
        <v>7.32</v>
      </c>
      <c r="BD377" s="1"/>
      <c r="BE377" s="1"/>
      <c r="BF377" s="1"/>
      <c r="BG377" s="1"/>
      <c r="BH377" s="1"/>
      <c r="BI377" s="1"/>
      <c r="BJ377" s="1" t="s">
        <v>7429</v>
      </c>
      <c r="BK377" s="1"/>
      <c r="BL377" s="1"/>
      <c r="BM377" s="1" t="s">
        <v>7430</v>
      </c>
      <c r="BN377" s="1">
        <v>25</v>
      </c>
      <c r="BO377" s="1" t="s">
        <v>7431</v>
      </c>
      <c r="BP377" s="1" t="str">
        <f>HYPERLINK("https://nconnect.nicmar.ac.in/storage/profile/ProfilePhoto_P25700373_975146.jpg","Download")</f>
        <v>0</v>
      </c>
      <c r="BQ377" s="3"/>
      <c r="BR377" s="3"/>
    </row>
    <row r="378" spans="1:70">
      <c r="A378" s="1" t="s">
        <v>70</v>
      </c>
      <c r="B378" s="1" t="s">
        <v>441</v>
      </c>
      <c r="C378" s="1" t="s">
        <v>7432</v>
      </c>
      <c r="D378" s="1" t="s">
        <v>7433</v>
      </c>
      <c r="E378" s="1"/>
      <c r="F378" s="1" t="s">
        <v>7434</v>
      </c>
      <c r="G378" s="1" t="s">
        <v>7435</v>
      </c>
      <c r="H378" s="1" t="s">
        <v>7436</v>
      </c>
      <c r="I378" s="1" t="s">
        <v>7437</v>
      </c>
      <c r="J378" s="1">
        <v>9354817468</v>
      </c>
      <c r="K378" s="1" t="s">
        <v>148</v>
      </c>
      <c r="L378" s="1" t="s">
        <v>7302</v>
      </c>
      <c r="M378" s="1" t="s">
        <v>81</v>
      </c>
      <c r="N378" s="1" t="s">
        <v>7438</v>
      </c>
      <c r="O378" s="1"/>
      <c r="P378" s="1" t="s">
        <v>1007</v>
      </c>
      <c r="Q378" s="1" t="s">
        <v>7439</v>
      </c>
      <c r="R378" s="1" t="s">
        <v>7440</v>
      </c>
      <c r="S378" s="1">
        <v>9718078233</v>
      </c>
      <c r="T378" s="1" t="s">
        <v>1595</v>
      </c>
      <c r="U378" s="1" t="s">
        <v>7441</v>
      </c>
      <c r="V378" s="1">
        <v>7982767566</v>
      </c>
      <c r="W378" s="1" t="s">
        <v>531</v>
      </c>
      <c r="X378" s="1" t="s">
        <v>7442</v>
      </c>
      <c r="Y378" s="1" t="s">
        <v>2541</v>
      </c>
      <c r="Z378" s="1" t="s">
        <v>1675</v>
      </c>
      <c r="AA378" s="1" t="s">
        <v>7442</v>
      </c>
      <c r="AB378" s="1" t="s">
        <v>2541</v>
      </c>
      <c r="AC378" s="1" t="s">
        <v>1675</v>
      </c>
      <c r="AD378" s="1">
        <v>9.31</v>
      </c>
      <c r="AE378" s="1" t="s">
        <v>93</v>
      </c>
      <c r="AF378" s="1" t="s">
        <v>1599</v>
      </c>
      <c r="AG378" s="1" t="s">
        <v>307</v>
      </c>
      <c r="AH378" s="1" t="s">
        <v>279</v>
      </c>
      <c r="AI378" s="1" t="s">
        <v>165</v>
      </c>
      <c r="AJ378" s="1">
        <v>95</v>
      </c>
      <c r="AK378" s="1">
        <v>10</v>
      </c>
      <c r="AL378" s="1" t="s">
        <v>1599</v>
      </c>
      <c r="AM378" s="1" t="s">
        <v>307</v>
      </c>
      <c r="AN378" s="1" t="s">
        <v>481</v>
      </c>
      <c r="AO378" s="1" t="s">
        <v>308</v>
      </c>
      <c r="AP378" s="1">
        <v>81.5</v>
      </c>
      <c r="AQ378" s="1"/>
      <c r="AR378" s="1"/>
      <c r="AS378" s="1"/>
      <c r="AT378" s="1"/>
      <c r="AU378" s="1"/>
      <c r="AV378" s="1"/>
      <c r="AW378" s="1"/>
      <c r="AX378" s="1" t="s">
        <v>7443</v>
      </c>
      <c r="AY378" s="1" t="s">
        <v>7444</v>
      </c>
      <c r="AZ378" s="1" t="s">
        <v>201</v>
      </c>
      <c r="BA378" s="1" t="s">
        <v>386</v>
      </c>
      <c r="BB378" s="1">
        <v>70.01</v>
      </c>
      <c r="BC378" s="1">
        <v>7.37</v>
      </c>
      <c r="BD378" s="1"/>
      <c r="BE378" s="1"/>
      <c r="BF378" s="1"/>
      <c r="BG378" s="1"/>
      <c r="BH378" s="1"/>
      <c r="BI378" s="1"/>
      <c r="BJ378" s="1" t="s">
        <v>7445</v>
      </c>
      <c r="BK378" s="1"/>
      <c r="BL378" s="1"/>
      <c r="BM378" s="1" t="s">
        <v>7446</v>
      </c>
      <c r="BN378" s="1">
        <v>50</v>
      </c>
      <c r="BO378" s="1" t="s">
        <v>7447</v>
      </c>
      <c r="BP378" s="1" t="str">
        <f>HYPERLINK("https://nconnect.nicmar.ac.in/storage/profile/ProfilePhoto_P25700374_374629.jpg","Download")</f>
        <v>0</v>
      </c>
      <c r="BQ378" s="3"/>
      <c r="BR378" s="3"/>
    </row>
    <row r="379" spans="1:70">
      <c r="A379" s="1" t="s">
        <v>70</v>
      </c>
      <c r="B379" s="1" t="s">
        <v>441</v>
      </c>
      <c r="C379" s="1" t="s">
        <v>7448</v>
      </c>
      <c r="D379" s="1" t="s">
        <v>1272</v>
      </c>
      <c r="E379" s="1" t="s">
        <v>7449</v>
      </c>
      <c r="F379" s="1" t="s">
        <v>7450</v>
      </c>
      <c r="G379" s="1" t="s">
        <v>7451</v>
      </c>
      <c r="H379" s="1" t="s">
        <v>7452</v>
      </c>
      <c r="I379" s="1" t="s">
        <v>7453</v>
      </c>
      <c r="J379" s="1">
        <v>8380092678</v>
      </c>
      <c r="K379" s="1" t="s">
        <v>79</v>
      </c>
      <c r="L379" s="1" t="s">
        <v>7454</v>
      </c>
      <c r="M379" s="1" t="s">
        <v>81</v>
      </c>
      <c r="N379" s="1" t="s">
        <v>7455</v>
      </c>
      <c r="O379" s="1"/>
      <c r="P379" s="1" t="s">
        <v>450</v>
      </c>
      <c r="Q379" s="1" t="s">
        <v>7456</v>
      </c>
      <c r="R379" s="1" t="s">
        <v>7457</v>
      </c>
      <c r="S379" s="1">
        <v>9422147409</v>
      </c>
      <c r="T379" s="1" t="s">
        <v>820</v>
      </c>
      <c r="U379" s="1" t="s">
        <v>7458</v>
      </c>
      <c r="V379" s="1">
        <v>7030638158</v>
      </c>
      <c r="W379" s="1" t="s">
        <v>89</v>
      </c>
      <c r="X379" s="1" t="s">
        <v>7459</v>
      </c>
      <c r="Y379" s="1" t="s">
        <v>405</v>
      </c>
      <c r="Z379" s="1" t="s">
        <v>92</v>
      </c>
      <c r="AA379" s="1" t="s">
        <v>7459</v>
      </c>
      <c r="AB379" s="1" t="s">
        <v>405</v>
      </c>
      <c r="AC379" s="1" t="s">
        <v>92</v>
      </c>
      <c r="AD379" s="1">
        <v>8.59</v>
      </c>
      <c r="AE379" s="1" t="s">
        <v>93</v>
      </c>
      <c r="AF379" s="1" t="s">
        <v>7460</v>
      </c>
      <c r="AG379" s="1" t="s">
        <v>7461</v>
      </c>
      <c r="AH379" s="1" t="s">
        <v>481</v>
      </c>
      <c r="AI379" s="1" t="s">
        <v>308</v>
      </c>
      <c r="AJ379" s="1">
        <v>87.6</v>
      </c>
      <c r="AK379" s="1"/>
      <c r="AL379" s="1"/>
      <c r="AM379" s="1"/>
      <c r="AN379" s="1"/>
      <c r="AO379" s="1"/>
      <c r="AP379" s="1"/>
      <c r="AQ379" s="1"/>
      <c r="AR379" s="1" t="s">
        <v>98</v>
      </c>
      <c r="AS379" s="1" t="s">
        <v>7462</v>
      </c>
      <c r="AT379" s="1" t="s">
        <v>310</v>
      </c>
      <c r="AU379" s="1" t="s">
        <v>105</v>
      </c>
      <c r="AV379" s="1">
        <v>91.7</v>
      </c>
      <c r="AW379" s="1"/>
      <c r="AX379" s="1" t="s">
        <v>4784</v>
      </c>
      <c r="AY379" s="1" t="s">
        <v>7463</v>
      </c>
      <c r="AZ379" s="1" t="s">
        <v>1864</v>
      </c>
      <c r="BA379" s="1" t="s">
        <v>543</v>
      </c>
      <c r="BB379" s="1">
        <v>81.8</v>
      </c>
      <c r="BC379" s="1">
        <v>8.18</v>
      </c>
      <c r="BD379" s="1"/>
      <c r="BE379" s="1"/>
      <c r="BF379" s="1"/>
      <c r="BG379" s="1"/>
      <c r="BH379" s="1"/>
      <c r="BI379" s="1"/>
      <c r="BJ379" s="1" t="s">
        <v>7464</v>
      </c>
      <c r="BK379" s="1" t="s">
        <v>7465</v>
      </c>
      <c r="BL379" s="1" t="s">
        <v>7466</v>
      </c>
      <c r="BM379" s="1" t="s">
        <v>7467</v>
      </c>
      <c r="BN379" s="1">
        <v>27</v>
      </c>
      <c r="BO379" s="1"/>
      <c r="BP379" s="1" t="str">
        <f>HYPERLINK("https://nconnect.nicmar.ac.in/storage/profile/ProfilePhoto_P25700375_963157.jpg","Download")</f>
        <v>0</v>
      </c>
      <c r="BQ379" s="3"/>
      <c r="BR379" s="3"/>
    </row>
    <row r="380" spans="1:70">
      <c r="A380" s="1" t="s">
        <v>70</v>
      </c>
      <c r="B380" s="1" t="s">
        <v>441</v>
      </c>
      <c r="C380" s="1" t="s">
        <v>7468</v>
      </c>
      <c r="D380" s="1" t="s">
        <v>1156</v>
      </c>
      <c r="E380" s="1" t="s">
        <v>7469</v>
      </c>
      <c r="F380" s="1" t="s">
        <v>2242</v>
      </c>
      <c r="G380" s="1" t="s">
        <v>7470</v>
      </c>
      <c r="H380" s="1" t="s">
        <v>7471</v>
      </c>
      <c r="I380" s="1" t="s">
        <v>7472</v>
      </c>
      <c r="J380" s="1">
        <v>7666525337</v>
      </c>
      <c r="K380" s="1" t="s">
        <v>148</v>
      </c>
      <c r="L380" s="1" t="s">
        <v>7473</v>
      </c>
      <c r="M380" s="1" t="s">
        <v>81</v>
      </c>
      <c r="N380" s="1" t="s">
        <v>605</v>
      </c>
      <c r="O380" s="1"/>
      <c r="P380" s="1" t="s">
        <v>497</v>
      </c>
      <c r="Q380" s="1" t="s">
        <v>7474</v>
      </c>
      <c r="R380" s="1" t="s">
        <v>7475</v>
      </c>
      <c r="S380" s="1">
        <v>8788168137</v>
      </c>
      <c r="T380" s="1" t="s">
        <v>1472</v>
      </c>
      <c r="U380" s="1" t="s">
        <v>7476</v>
      </c>
      <c r="V380" s="1">
        <v>8788614401</v>
      </c>
      <c r="W380" s="1" t="s">
        <v>273</v>
      </c>
      <c r="X380" s="1" t="s">
        <v>7477</v>
      </c>
      <c r="Y380" s="1" t="s">
        <v>304</v>
      </c>
      <c r="Z380" s="1" t="s">
        <v>92</v>
      </c>
      <c r="AA380" s="1" t="s">
        <v>7477</v>
      </c>
      <c r="AB380" s="1" t="s">
        <v>304</v>
      </c>
      <c r="AC380" s="1" t="s">
        <v>92</v>
      </c>
      <c r="AD380" s="1">
        <v>9.26</v>
      </c>
      <c r="AE380" s="1" t="s">
        <v>93</v>
      </c>
      <c r="AF380" s="1" t="s">
        <v>7478</v>
      </c>
      <c r="AG380" s="1" t="s">
        <v>160</v>
      </c>
      <c r="AH380" s="1" t="s">
        <v>165</v>
      </c>
      <c r="AI380" s="1" t="s">
        <v>281</v>
      </c>
      <c r="AJ380" s="1">
        <v>80.8</v>
      </c>
      <c r="AK380" s="1"/>
      <c r="AL380" s="1"/>
      <c r="AM380" s="1"/>
      <c r="AN380" s="1"/>
      <c r="AO380" s="1"/>
      <c r="AP380" s="1"/>
      <c r="AQ380" s="1"/>
      <c r="AR380" s="1" t="s">
        <v>98</v>
      </c>
      <c r="AS380" s="1" t="s">
        <v>7479</v>
      </c>
      <c r="AT380" s="1" t="s">
        <v>1043</v>
      </c>
      <c r="AU380" s="1" t="s">
        <v>436</v>
      </c>
      <c r="AV380" s="1">
        <v>93.84</v>
      </c>
      <c r="AW380" s="1"/>
      <c r="AX380" s="1" t="s">
        <v>361</v>
      </c>
      <c r="AY380" s="1" t="s">
        <v>3073</v>
      </c>
      <c r="AZ380" s="1" t="s">
        <v>593</v>
      </c>
      <c r="BA380" s="1" t="s">
        <v>1292</v>
      </c>
      <c r="BB380" s="1">
        <v>85.4</v>
      </c>
      <c r="BC380" s="1">
        <v>9.2</v>
      </c>
      <c r="BD380" s="1"/>
      <c r="BE380" s="1"/>
      <c r="BF380" s="1"/>
      <c r="BG380" s="1"/>
      <c r="BH380" s="1"/>
      <c r="BI380" s="1"/>
      <c r="BJ380" s="1" t="s">
        <v>7480</v>
      </c>
      <c r="BK380" s="1"/>
      <c r="BL380" s="1"/>
      <c r="BM380" s="1" t="s">
        <v>7481</v>
      </c>
      <c r="BN380" s="1">
        <v>12</v>
      </c>
      <c r="BO380" s="1"/>
      <c r="BP380" s="1" t="str">
        <f>HYPERLINK("https://nconnect.nicmar.ac.in/storage/profile/ProfilePhoto_P25700376_736185.jpg","Download")</f>
        <v>0</v>
      </c>
      <c r="BQ380" s="3"/>
      <c r="BR380" s="3"/>
    </row>
    <row r="381" spans="1:70">
      <c r="A381" s="1" t="s">
        <v>70</v>
      </c>
      <c r="B381" s="1" t="s">
        <v>441</v>
      </c>
      <c r="C381" s="1" t="s">
        <v>7482</v>
      </c>
      <c r="D381" s="1" t="s">
        <v>3511</v>
      </c>
      <c r="E381" s="1" t="s">
        <v>6992</v>
      </c>
      <c r="F381" s="1" t="s">
        <v>7483</v>
      </c>
      <c r="G381" s="1" t="s">
        <v>7484</v>
      </c>
      <c r="H381" s="1" t="s">
        <v>7485</v>
      </c>
      <c r="I381" s="1" t="s">
        <v>7486</v>
      </c>
      <c r="J381" s="1">
        <v>7744972198</v>
      </c>
      <c r="K381" s="1" t="s">
        <v>79</v>
      </c>
      <c r="L381" s="1" t="s">
        <v>7487</v>
      </c>
      <c r="M381" s="1" t="s">
        <v>81</v>
      </c>
      <c r="N381" s="1" t="s">
        <v>7140</v>
      </c>
      <c r="O381" s="1"/>
      <c r="P381" s="1" t="s">
        <v>472</v>
      </c>
      <c r="Q381" s="1" t="s">
        <v>7488</v>
      </c>
      <c r="R381" s="1" t="s">
        <v>6992</v>
      </c>
      <c r="S381" s="1">
        <v>9011625074</v>
      </c>
      <c r="T381" s="1" t="s">
        <v>122</v>
      </c>
      <c r="U381" s="1" t="s">
        <v>2210</v>
      </c>
      <c r="V381" s="1">
        <v>7218626391</v>
      </c>
      <c r="W381" s="1" t="s">
        <v>156</v>
      </c>
      <c r="X381" s="1" t="s">
        <v>7489</v>
      </c>
      <c r="Y381" s="1" t="s">
        <v>1963</v>
      </c>
      <c r="Z381" s="1" t="s">
        <v>92</v>
      </c>
      <c r="AA381" s="1" t="s">
        <v>7490</v>
      </c>
      <c r="AB381" s="1" t="s">
        <v>1963</v>
      </c>
      <c r="AC381" s="1" t="s">
        <v>92</v>
      </c>
      <c r="AD381" s="1">
        <v>9.39</v>
      </c>
      <c r="AE381" s="1" t="s">
        <v>93</v>
      </c>
      <c r="AF381" s="1" t="s">
        <v>7491</v>
      </c>
      <c r="AG381" s="1" t="s">
        <v>7145</v>
      </c>
      <c r="AH381" s="1" t="s">
        <v>101</v>
      </c>
      <c r="AI381" s="1" t="s">
        <v>409</v>
      </c>
      <c r="AJ381" s="1">
        <v>93.2</v>
      </c>
      <c r="AK381" s="1"/>
      <c r="AL381" s="1"/>
      <c r="AM381" s="1"/>
      <c r="AN381" s="1"/>
      <c r="AO381" s="1"/>
      <c r="AP381" s="1"/>
      <c r="AQ381" s="1"/>
      <c r="AR381" s="1" t="s">
        <v>7492</v>
      </c>
      <c r="AS381" s="1" t="s">
        <v>7493</v>
      </c>
      <c r="AT381" s="1" t="s">
        <v>201</v>
      </c>
      <c r="AU381" s="1" t="s">
        <v>1378</v>
      </c>
      <c r="AV381" s="1">
        <v>88.53</v>
      </c>
      <c r="AW381" s="1"/>
      <c r="AX381" s="1" t="s">
        <v>3731</v>
      </c>
      <c r="AY381" s="1" t="s">
        <v>7146</v>
      </c>
      <c r="AZ381" s="1" t="s">
        <v>1864</v>
      </c>
      <c r="BA381" s="1" t="s">
        <v>543</v>
      </c>
      <c r="BB381" s="1">
        <v>79.1</v>
      </c>
      <c r="BC381" s="1">
        <v>8.66</v>
      </c>
      <c r="BD381" s="1"/>
      <c r="BE381" s="1"/>
      <c r="BF381" s="1"/>
      <c r="BG381" s="1"/>
      <c r="BH381" s="1"/>
      <c r="BI381" s="1"/>
      <c r="BJ381" s="1" t="s">
        <v>7494</v>
      </c>
      <c r="BK381" s="1"/>
      <c r="BL381" s="1"/>
      <c r="BM381" s="1" t="s">
        <v>7495</v>
      </c>
      <c r="BN381" s="1">
        <v>8</v>
      </c>
      <c r="BO381" s="1" t="s">
        <v>7496</v>
      </c>
      <c r="BP381" s="1" t="str">
        <f>HYPERLINK("https://nconnect.nicmar.ac.in/storage/profile/ProfilePhoto_P25700378_896243.jpg","Download")</f>
        <v>0</v>
      </c>
      <c r="BQ381" s="3"/>
      <c r="BR381" s="3"/>
    </row>
    <row r="382" spans="1:70">
      <c r="A382" s="1" t="s">
        <v>70</v>
      </c>
      <c r="B382" s="1" t="s">
        <v>441</v>
      </c>
      <c r="C382" s="1" t="s">
        <v>7497</v>
      </c>
      <c r="D382" s="1" t="s">
        <v>6241</v>
      </c>
      <c r="E382" s="1" t="s">
        <v>7498</v>
      </c>
      <c r="F382" s="1" t="s">
        <v>7499</v>
      </c>
      <c r="G382" s="1" t="s">
        <v>7500</v>
      </c>
      <c r="H382" s="1" t="s">
        <v>7501</v>
      </c>
      <c r="I382" s="1" t="s">
        <v>7502</v>
      </c>
      <c r="J382" s="1">
        <v>7743877477</v>
      </c>
      <c r="K382" s="1" t="s">
        <v>79</v>
      </c>
      <c r="L382" s="1" t="s">
        <v>7503</v>
      </c>
      <c r="M382" s="1" t="s">
        <v>81</v>
      </c>
      <c r="N382" s="1" t="s">
        <v>2424</v>
      </c>
      <c r="O382" s="1"/>
      <c r="P382" s="1" t="s">
        <v>472</v>
      </c>
      <c r="Q382" s="1" t="s">
        <v>7504</v>
      </c>
      <c r="R382" s="1" t="s">
        <v>7498</v>
      </c>
      <c r="S382" s="1">
        <v>9422651797</v>
      </c>
      <c r="T382" s="1" t="s">
        <v>820</v>
      </c>
      <c r="U382" s="1" t="s">
        <v>2210</v>
      </c>
      <c r="V382" s="1">
        <v>7350519677</v>
      </c>
      <c r="W382" s="1" t="s">
        <v>273</v>
      </c>
      <c r="X382" s="1" t="s">
        <v>7505</v>
      </c>
      <c r="Y382" s="1" t="s">
        <v>158</v>
      </c>
      <c r="Z382" s="1" t="s">
        <v>92</v>
      </c>
      <c r="AA382" s="1" t="s">
        <v>7505</v>
      </c>
      <c r="AB382" s="1" t="s">
        <v>158</v>
      </c>
      <c r="AC382" s="1" t="s">
        <v>92</v>
      </c>
      <c r="AD382" s="1">
        <v>7.51</v>
      </c>
      <c r="AE382" s="1" t="s">
        <v>93</v>
      </c>
      <c r="AF382" s="1" t="s">
        <v>7506</v>
      </c>
      <c r="AG382" s="1" t="s">
        <v>160</v>
      </c>
      <c r="AH382" s="1" t="s">
        <v>96</v>
      </c>
      <c r="AI382" s="1" t="s">
        <v>131</v>
      </c>
      <c r="AJ382" s="1">
        <v>79.4</v>
      </c>
      <c r="AK382" s="1"/>
      <c r="AL382" s="1" t="s">
        <v>7507</v>
      </c>
      <c r="AM382" s="1" t="s">
        <v>160</v>
      </c>
      <c r="AN382" s="1" t="s">
        <v>162</v>
      </c>
      <c r="AO382" s="1" t="s">
        <v>562</v>
      </c>
      <c r="AP382" s="1">
        <v>54.77</v>
      </c>
      <c r="AQ382" s="1"/>
      <c r="AR382" s="1" t="s">
        <v>7508</v>
      </c>
      <c r="AS382" s="1" t="s">
        <v>356</v>
      </c>
      <c r="AT382" s="1" t="s">
        <v>383</v>
      </c>
      <c r="AU382" s="1" t="s">
        <v>433</v>
      </c>
      <c r="AV382" s="1">
        <v>83.45</v>
      </c>
      <c r="AW382" s="1"/>
      <c r="AX382" s="1" t="s">
        <v>361</v>
      </c>
      <c r="AY382" s="1" t="s">
        <v>7509</v>
      </c>
      <c r="AZ382" s="1" t="s">
        <v>310</v>
      </c>
      <c r="BA382" s="1" t="s">
        <v>105</v>
      </c>
      <c r="BB382" s="1">
        <v>80.63</v>
      </c>
      <c r="BC382" s="1">
        <v>9.06</v>
      </c>
      <c r="BD382" s="1"/>
      <c r="BE382" s="1"/>
      <c r="BF382" s="1"/>
      <c r="BG382" s="1"/>
      <c r="BH382" s="1"/>
      <c r="BI382" s="1"/>
      <c r="BJ382" s="1" t="s">
        <v>7510</v>
      </c>
      <c r="BK382" s="1"/>
      <c r="BL382" s="1"/>
      <c r="BM382" s="1" t="s">
        <v>7511</v>
      </c>
      <c r="BN382" s="1">
        <v>69</v>
      </c>
      <c r="BO382" s="1"/>
      <c r="BP382" s="1" t="str">
        <f>HYPERLINK("https://nconnect.nicmar.ac.in/storage/profile/ProfilePhoto_P25700379_143659.jpg","Download")</f>
        <v>0</v>
      </c>
      <c r="BQ382" s="3"/>
      <c r="BR382" s="3"/>
    </row>
    <row r="383" spans="1:70">
      <c r="A383" s="1" t="s">
        <v>70</v>
      </c>
      <c r="B383" s="1" t="s">
        <v>441</v>
      </c>
      <c r="C383" s="1" t="s">
        <v>7512</v>
      </c>
      <c r="D383" s="1" t="s">
        <v>7513</v>
      </c>
      <c r="E383" s="1"/>
      <c r="F383" s="1" t="s">
        <v>7514</v>
      </c>
      <c r="G383" s="1" t="s">
        <v>7515</v>
      </c>
      <c r="H383" s="1" t="s">
        <v>7516</v>
      </c>
      <c r="I383" s="1" t="s">
        <v>7517</v>
      </c>
      <c r="J383" s="1">
        <v>9809408093</v>
      </c>
      <c r="K383" s="1" t="s">
        <v>148</v>
      </c>
      <c r="L383" s="1" t="s">
        <v>7518</v>
      </c>
      <c r="M383" s="1" t="s">
        <v>81</v>
      </c>
      <c r="N383" s="1" t="s">
        <v>5198</v>
      </c>
      <c r="O383" s="1"/>
      <c r="P383" s="1" t="s">
        <v>450</v>
      </c>
      <c r="Q383" s="1" t="s">
        <v>7519</v>
      </c>
      <c r="R383" s="1" t="s">
        <v>7520</v>
      </c>
      <c r="S383" s="1">
        <v>9349607906</v>
      </c>
      <c r="T383" s="1" t="s">
        <v>820</v>
      </c>
      <c r="U383" s="1" t="s">
        <v>7521</v>
      </c>
      <c r="V383" s="1">
        <v>8075241580</v>
      </c>
      <c r="W383" s="1" t="s">
        <v>273</v>
      </c>
      <c r="X383" s="1" t="s">
        <v>7522</v>
      </c>
      <c r="Y383" s="1" t="s">
        <v>1285</v>
      </c>
      <c r="Z383" s="1" t="s">
        <v>125</v>
      </c>
      <c r="AA383" s="1" t="s">
        <v>7522</v>
      </c>
      <c r="AB383" s="1" t="s">
        <v>1285</v>
      </c>
      <c r="AC383" s="1" t="s">
        <v>125</v>
      </c>
      <c r="AD383" s="1">
        <v>8.84</v>
      </c>
      <c r="AE383" s="1" t="s">
        <v>93</v>
      </c>
      <c r="AF383" s="1" t="s">
        <v>7523</v>
      </c>
      <c r="AG383" s="1" t="s">
        <v>7524</v>
      </c>
      <c r="AH383" s="1" t="s">
        <v>165</v>
      </c>
      <c r="AI383" s="1" t="s">
        <v>166</v>
      </c>
      <c r="AJ383" s="1">
        <v>95</v>
      </c>
      <c r="AK383" s="1"/>
      <c r="AL383" s="1" t="s">
        <v>7523</v>
      </c>
      <c r="AM383" s="1" t="s">
        <v>1264</v>
      </c>
      <c r="AN383" s="1" t="s">
        <v>433</v>
      </c>
      <c r="AO383" s="1" t="s">
        <v>173</v>
      </c>
      <c r="AP383" s="1">
        <v>94.5</v>
      </c>
      <c r="AQ383" s="1"/>
      <c r="AR383" s="1"/>
      <c r="AS383" s="1"/>
      <c r="AT383" s="1"/>
      <c r="AU383" s="1"/>
      <c r="AV383" s="1"/>
      <c r="AW383" s="1"/>
      <c r="AX383" s="1" t="s">
        <v>132</v>
      </c>
      <c r="AY383" s="1" t="s">
        <v>7525</v>
      </c>
      <c r="AZ383" s="1" t="s">
        <v>1019</v>
      </c>
      <c r="BA383" s="1" t="s">
        <v>1067</v>
      </c>
      <c r="BB383" s="1">
        <v>86.9</v>
      </c>
      <c r="BC383" s="1">
        <v>8.69</v>
      </c>
      <c r="BD383" s="1"/>
      <c r="BE383" s="1"/>
      <c r="BF383" s="1"/>
      <c r="BG383" s="1"/>
      <c r="BH383" s="1"/>
      <c r="BI383" s="1"/>
      <c r="BJ383" s="1" t="s">
        <v>7526</v>
      </c>
      <c r="BK383" s="1" t="s">
        <v>7527</v>
      </c>
      <c r="BL383" s="1" t="s">
        <v>873</v>
      </c>
      <c r="BM383" s="1" t="s">
        <v>7528</v>
      </c>
      <c r="BN383" s="1">
        <v>9</v>
      </c>
      <c r="BO383" s="1" t="s">
        <v>7529</v>
      </c>
      <c r="BP383" s="1" t="str">
        <f>HYPERLINK("https://nconnect.nicmar.ac.in/storage/profile/ProfilePhoto_P25700380_857362.jpg","Download")</f>
        <v>0</v>
      </c>
      <c r="BQ383" s="3"/>
      <c r="BR383" s="3"/>
    </row>
    <row r="384" spans="1:70">
      <c r="A384" s="1" t="s">
        <v>70</v>
      </c>
      <c r="B384" s="1" t="s">
        <v>441</v>
      </c>
      <c r="C384" s="1" t="s">
        <v>7530</v>
      </c>
      <c r="D384" s="1" t="s">
        <v>7531</v>
      </c>
      <c r="E384" s="1" t="s">
        <v>7532</v>
      </c>
      <c r="F384" s="1" t="s">
        <v>7533</v>
      </c>
      <c r="G384" s="1" t="s">
        <v>7534</v>
      </c>
      <c r="H384" s="1" t="s">
        <v>7535</v>
      </c>
      <c r="I384" s="1" t="s">
        <v>7536</v>
      </c>
      <c r="J384" s="1">
        <v>8459420348</v>
      </c>
      <c r="K384" s="1" t="s">
        <v>79</v>
      </c>
      <c r="L384" s="1" t="s">
        <v>7537</v>
      </c>
      <c r="M384" s="1" t="s">
        <v>81</v>
      </c>
      <c r="N384" s="1" t="s">
        <v>7538</v>
      </c>
      <c r="O384" s="1"/>
      <c r="P384" s="1" t="s">
        <v>472</v>
      </c>
      <c r="Q384" s="1" t="s">
        <v>7539</v>
      </c>
      <c r="R384" s="1" t="s">
        <v>7532</v>
      </c>
      <c r="S384" s="1">
        <v>9423193558</v>
      </c>
      <c r="T384" s="1" t="s">
        <v>377</v>
      </c>
      <c r="U384" s="1" t="s">
        <v>3019</v>
      </c>
      <c r="V384" s="1">
        <v>9423980598</v>
      </c>
      <c r="W384" s="1" t="s">
        <v>89</v>
      </c>
      <c r="X384" s="1" t="s">
        <v>7540</v>
      </c>
      <c r="Y384" s="1" t="s">
        <v>5663</v>
      </c>
      <c r="Z384" s="1" t="s">
        <v>92</v>
      </c>
      <c r="AA384" s="1" t="s">
        <v>7540</v>
      </c>
      <c r="AB384" s="1" t="s">
        <v>5663</v>
      </c>
      <c r="AC384" s="1" t="s">
        <v>92</v>
      </c>
      <c r="AD384" s="1">
        <v>9.52</v>
      </c>
      <c r="AE384" s="1" t="s">
        <v>93</v>
      </c>
      <c r="AF384" s="1" t="s">
        <v>7541</v>
      </c>
      <c r="AG384" s="1" t="s">
        <v>7542</v>
      </c>
      <c r="AH384" s="1" t="s">
        <v>162</v>
      </c>
      <c r="AI384" s="1" t="s">
        <v>308</v>
      </c>
      <c r="AJ384" s="1">
        <v>94.6</v>
      </c>
      <c r="AK384" s="1"/>
      <c r="AL384" s="1" t="s">
        <v>7543</v>
      </c>
      <c r="AM384" s="1" t="s">
        <v>7544</v>
      </c>
      <c r="AN384" s="1" t="s">
        <v>201</v>
      </c>
      <c r="AO384" s="1" t="s">
        <v>436</v>
      </c>
      <c r="AP384" s="1">
        <v>91.17</v>
      </c>
      <c r="AQ384" s="1"/>
      <c r="AR384" s="1"/>
      <c r="AS384" s="1"/>
      <c r="AT384" s="1"/>
      <c r="AU384" s="1"/>
      <c r="AV384" s="1"/>
      <c r="AW384" s="1"/>
      <c r="AX384" s="1" t="s">
        <v>7545</v>
      </c>
      <c r="AY384" s="1" t="s">
        <v>7546</v>
      </c>
      <c r="AZ384" s="1" t="s">
        <v>539</v>
      </c>
      <c r="BA384" s="1" t="s">
        <v>1379</v>
      </c>
      <c r="BB384" s="1">
        <v>89.2</v>
      </c>
      <c r="BC384" s="1">
        <v>9.67</v>
      </c>
      <c r="BD384" s="1"/>
      <c r="BE384" s="1"/>
      <c r="BF384" s="1"/>
      <c r="BG384" s="1"/>
      <c r="BH384" s="1"/>
      <c r="BI384" s="1"/>
      <c r="BJ384" s="1" t="s">
        <v>7547</v>
      </c>
      <c r="BK384" s="1"/>
      <c r="BL384" s="1"/>
      <c r="BM384" s="1" t="s">
        <v>7548</v>
      </c>
      <c r="BN384" s="1">
        <v>34</v>
      </c>
      <c r="BO384" s="1"/>
      <c r="BP384" s="1" t="str">
        <f>HYPERLINK("https://nconnect.nicmar.ac.in/storage/profile/ProfilePhoto_P25700381_413569.jpg","Download")</f>
        <v>0</v>
      </c>
      <c r="BQ384" s="3"/>
      <c r="BR384" s="3"/>
    </row>
    <row r="385" spans="1:70">
      <c r="A385" s="1" t="s">
        <v>70</v>
      </c>
      <c r="B385" s="1" t="s">
        <v>441</v>
      </c>
      <c r="C385" s="1" t="s">
        <v>7549</v>
      </c>
      <c r="D385" s="1" t="s">
        <v>7550</v>
      </c>
      <c r="E385" s="1" t="s">
        <v>7551</v>
      </c>
      <c r="F385" s="1" t="s">
        <v>4053</v>
      </c>
      <c r="G385" s="1" t="s">
        <v>7552</v>
      </c>
      <c r="H385" s="1" t="s">
        <v>7553</v>
      </c>
      <c r="I385" s="1" t="s">
        <v>7554</v>
      </c>
      <c r="J385" s="1">
        <v>9989995766</v>
      </c>
      <c r="K385" s="1" t="s">
        <v>79</v>
      </c>
      <c r="L385" s="1" t="s">
        <v>7555</v>
      </c>
      <c r="M385" s="1" t="s">
        <v>81</v>
      </c>
      <c r="N385" s="1" t="s">
        <v>267</v>
      </c>
      <c r="O385" s="1"/>
      <c r="P385" s="1" t="s">
        <v>450</v>
      </c>
      <c r="Q385" s="1" t="s">
        <v>7556</v>
      </c>
      <c r="R385" s="1" t="s">
        <v>7557</v>
      </c>
      <c r="S385" s="1">
        <v>9989995766</v>
      </c>
      <c r="T385" s="1" t="s">
        <v>820</v>
      </c>
      <c r="U385" s="1" t="s">
        <v>7558</v>
      </c>
      <c r="V385" s="1">
        <v>9989995766</v>
      </c>
      <c r="W385" s="1" t="s">
        <v>89</v>
      </c>
      <c r="X385" s="1" t="s">
        <v>7559</v>
      </c>
      <c r="Y385" s="1" t="s">
        <v>1432</v>
      </c>
      <c r="Z385" s="1" t="s">
        <v>276</v>
      </c>
      <c r="AA385" s="1" t="s">
        <v>7559</v>
      </c>
      <c r="AB385" s="1" t="s">
        <v>1432</v>
      </c>
      <c r="AC385" s="1" t="s">
        <v>276</v>
      </c>
      <c r="AD385" s="1">
        <v>7.69</v>
      </c>
      <c r="AE385" s="1" t="s">
        <v>93</v>
      </c>
      <c r="AF385" s="1" t="s">
        <v>7560</v>
      </c>
      <c r="AG385" s="1" t="s">
        <v>7561</v>
      </c>
      <c r="AH385" s="1" t="s">
        <v>162</v>
      </c>
      <c r="AI385" s="1" t="s">
        <v>195</v>
      </c>
      <c r="AJ385" s="1">
        <v>88</v>
      </c>
      <c r="AK385" s="1"/>
      <c r="AL385" s="1"/>
      <c r="AM385" s="1"/>
      <c r="AN385" s="1"/>
      <c r="AO385" s="1"/>
      <c r="AP385" s="1"/>
      <c r="AQ385" s="1"/>
      <c r="AR385" s="1" t="s">
        <v>434</v>
      </c>
      <c r="AS385" s="1" t="s">
        <v>7562</v>
      </c>
      <c r="AT385" s="1" t="s">
        <v>165</v>
      </c>
      <c r="AU385" s="1" t="s">
        <v>1861</v>
      </c>
      <c r="AV385" s="1">
        <v>68.43</v>
      </c>
      <c r="AW385" s="1"/>
      <c r="AX385" s="1" t="s">
        <v>7563</v>
      </c>
      <c r="AY385" s="1" t="s">
        <v>7564</v>
      </c>
      <c r="AZ385" s="1" t="s">
        <v>284</v>
      </c>
      <c r="BA385" s="1" t="s">
        <v>594</v>
      </c>
      <c r="BB385" s="1">
        <v>77.52</v>
      </c>
      <c r="BC385" s="1">
        <v>8.16</v>
      </c>
      <c r="BD385" s="1"/>
      <c r="BE385" s="1"/>
      <c r="BF385" s="1"/>
      <c r="BG385" s="1"/>
      <c r="BH385" s="1"/>
      <c r="BI385" s="1"/>
      <c r="BJ385" s="1" t="s">
        <v>7565</v>
      </c>
      <c r="BK385" s="1"/>
      <c r="BL385" s="1"/>
      <c r="BM385" s="1" t="s">
        <v>7566</v>
      </c>
      <c r="BN385" s="1">
        <v>39</v>
      </c>
      <c r="BO385" s="1"/>
      <c r="BP385" s="1" t="str">
        <f>HYPERLINK("https://nconnect.nicmar.ac.in/storage/profile/ProfilePhoto_P25700382_413295.jpg","Download")</f>
        <v>0</v>
      </c>
      <c r="BQ385" s="3"/>
      <c r="BR385" s="3"/>
    </row>
    <row r="386" spans="1:70">
      <c r="A386" s="1" t="s">
        <v>70</v>
      </c>
      <c r="B386" s="1" t="s">
        <v>441</v>
      </c>
      <c r="C386" s="1" t="s">
        <v>7567</v>
      </c>
      <c r="D386" s="1" t="s">
        <v>1970</v>
      </c>
      <c r="E386" s="1"/>
      <c r="F386" s="1" t="s">
        <v>7568</v>
      </c>
      <c r="G386" s="1" t="s">
        <v>7569</v>
      </c>
      <c r="H386" s="1" t="s">
        <v>7570</v>
      </c>
      <c r="I386" s="1" t="s">
        <v>7571</v>
      </c>
      <c r="J386" s="1">
        <v>6309627275</v>
      </c>
      <c r="K386" s="1" t="s">
        <v>79</v>
      </c>
      <c r="L386" s="1" t="s">
        <v>7572</v>
      </c>
      <c r="M386" s="1" t="s">
        <v>81</v>
      </c>
      <c r="N386" s="1" t="s">
        <v>7573</v>
      </c>
      <c r="O386" s="1"/>
      <c r="P386" s="1" t="s">
        <v>497</v>
      </c>
      <c r="Q386" s="1" t="s">
        <v>7574</v>
      </c>
      <c r="R386" s="1" t="s">
        <v>7575</v>
      </c>
      <c r="S386" s="1">
        <v>9490418388</v>
      </c>
      <c r="T386" s="1" t="s">
        <v>7576</v>
      </c>
      <c r="U386" s="1" t="s">
        <v>7577</v>
      </c>
      <c r="V386" s="1">
        <v>9000371190</v>
      </c>
      <c r="W386" s="1" t="s">
        <v>273</v>
      </c>
      <c r="X386" s="1" t="s">
        <v>7578</v>
      </c>
      <c r="Y386" s="1" t="s">
        <v>3482</v>
      </c>
      <c r="Z386" s="1" t="s">
        <v>276</v>
      </c>
      <c r="AA386" s="1" t="s">
        <v>7579</v>
      </c>
      <c r="AB386" s="1" t="s">
        <v>1898</v>
      </c>
      <c r="AC386" s="1" t="s">
        <v>276</v>
      </c>
      <c r="AD386" s="1">
        <v>7.53</v>
      </c>
      <c r="AE386" s="1" t="s">
        <v>93</v>
      </c>
      <c r="AF386" s="1" t="s">
        <v>7580</v>
      </c>
      <c r="AG386" s="1" t="s">
        <v>7581</v>
      </c>
      <c r="AH386" s="1" t="s">
        <v>165</v>
      </c>
      <c r="AI386" s="1" t="s">
        <v>481</v>
      </c>
      <c r="AJ386" s="1">
        <v>63</v>
      </c>
      <c r="AK386" s="1">
        <v>6.3</v>
      </c>
      <c r="AL386" s="1" t="s">
        <v>7582</v>
      </c>
      <c r="AM386" s="1" t="s">
        <v>2312</v>
      </c>
      <c r="AN386" s="1" t="s">
        <v>433</v>
      </c>
      <c r="AO386" s="1" t="s">
        <v>460</v>
      </c>
      <c r="AP386" s="1">
        <v>79.4</v>
      </c>
      <c r="AQ386" s="1">
        <v>7.94</v>
      </c>
      <c r="AR386" s="1"/>
      <c r="AS386" s="1"/>
      <c r="AT386" s="1"/>
      <c r="AU386" s="1"/>
      <c r="AV386" s="1"/>
      <c r="AW386" s="1"/>
      <c r="AX386" s="1" t="s">
        <v>7583</v>
      </c>
      <c r="AY386" s="1" t="s">
        <v>7584</v>
      </c>
      <c r="AZ386" s="1" t="s">
        <v>228</v>
      </c>
      <c r="BA386" s="1" t="s">
        <v>202</v>
      </c>
      <c r="BB386" s="1">
        <v>73.2</v>
      </c>
      <c r="BC386" s="1">
        <v>7.32</v>
      </c>
      <c r="BD386" s="1"/>
      <c r="BE386" s="1"/>
      <c r="BF386" s="1"/>
      <c r="BG386" s="1"/>
      <c r="BH386" s="1"/>
      <c r="BI386" s="1"/>
      <c r="BJ386" s="1" t="s">
        <v>7585</v>
      </c>
      <c r="BK386" s="1"/>
      <c r="BL386" s="1"/>
      <c r="BM386" s="1" t="s">
        <v>7586</v>
      </c>
      <c r="BN386" s="1">
        <v>69</v>
      </c>
      <c r="BO386" s="1"/>
      <c r="BP386" s="1" t="str">
        <f>HYPERLINK("https://nconnect.nicmar.ac.in/storage/profile/ProfilePhoto_P25700383_831254.jpg","Download")</f>
        <v>0</v>
      </c>
      <c r="BQ386" s="3"/>
      <c r="BR386" s="3"/>
    </row>
    <row r="387" spans="1:70">
      <c r="A387" s="1" t="s">
        <v>70</v>
      </c>
      <c r="B387" s="1" t="s">
        <v>441</v>
      </c>
      <c r="C387" s="1" t="s">
        <v>7587</v>
      </c>
      <c r="D387" s="1" t="s">
        <v>7588</v>
      </c>
      <c r="E387" s="1" t="s">
        <v>2071</v>
      </c>
      <c r="F387" s="1" t="s">
        <v>7589</v>
      </c>
      <c r="G387" s="1" t="s">
        <v>7590</v>
      </c>
      <c r="H387" s="1" t="s">
        <v>7591</v>
      </c>
      <c r="I387" s="1" t="s">
        <v>7592</v>
      </c>
      <c r="J387" s="1">
        <v>9373944569</v>
      </c>
      <c r="K387" s="1" t="s">
        <v>148</v>
      </c>
      <c r="L387" s="1" t="s">
        <v>7593</v>
      </c>
      <c r="M387" s="1" t="s">
        <v>81</v>
      </c>
      <c r="N387" s="1" t="s">
        <v>605</v>
      </c>
      <c r="O387" s="1"/>
      <c r="P387" s="1" t="s">
        <v>450</v>
      </c>
      <c r="Q387" s="1" t="s">
        <v>7594</v>
      </c>
      <c r="R387" s="1" t="s">
        <v>2071</v>
      </c>
      <c r="S387" s="1">
        <v>8888493967</v>
      </c>
      <c r="T387" s="1" t="s">
        <v>2344</v>
      </c>
      <c r="U387" s="1" t="s">
        <v>7595</v>
      </c>
      <c r="V387" s="1">
        <v>9921942123</v>
      </c>
      <c r="W387" s="1" t="s">
        <v>156</v>
      </c>
      <c r="X387" s="1" t="s">
        <v>7596</v>
      </c>
      <c r="Y387" s="1" t="s">
        <v>328</v>
      </c>
      <c r="Z387" s="1" t="s">
        <v>92</v>
      </c>
      <c r="AA387" s="1" t="s">
        <v>7596</v>
      </c>
      <c r="AB387" s="1" t="s">
        <v>328</v>
      </c>
      <c r="AC387" s="1" t="s">
        <v>92</v>
      </c>
      <c r="AD387" s="1">
        <v>8.8</v>
      </c>
      <c r="AE387" s="1" t="s">
        <v>93</v>
      </c>
      <c r="AF387" s="1" t="s">
        <v>3522</v>
      </c>
      <c r="AG387" s="1" t="s">
        <v>3677</v>
      </c>
      <c r="AH387" s="1" t="s">
        <v>165</v>
      </c>
      <c r="AI387" s="1" t="s">
        <v>101</v>
      </c>
      <c r="AJ387" s="1">
        <v>89.4</v>
      </c>
      <c r="AK387" s="1"/>
      <c r="AL387" s="1" t="s">
        <v>7597</v>
      </c>
      <c r="AM387" s="1" t="s">
        <v>3677</v>
      </c>
      <c r="AN387" s="1" t="s">
        <v>310</v>
      </c>
      <c r="AO387" s="1" t="s">
        <v>173</v>
      </c>
      <c r="AP387" s="1">
        <v>79.23</v>
      </c>
      <c r="AQ387" s="1"/>
      <c r="AR387" s="1"/>
      <c r="AS387" s="1"/>
      <c r="AT387" s="1"/>
      <c r="AU387" s="1"/>
      <c r="AV387" s="1"/>
      <c r="AW387" s="1"/>
      <c r="AX387" s="1" t="s">
        <v>335</v>
      </c>
      <c r="AY387" s="1" t="s">
        <v>7598</v>
      </c>
      <c r="AZ387" s="1" t="s">
        <v>871</v>
      </c>
      <c r="BA387" s="1" t="s">
        <v>202</v>
      </c>
      <c r="BB387" s="1">
        <v>71.8</v>
      </c>
      <c r="BC387" s="1">
        <v>7.93</v>
      </c>
      <c r="BD387" s="1"/>
      <c r="BE387" s="1"/>
      <c r="BF387" s="1"/>
      <c r="BG387" s="1"/>
      <c r="BH387" s="1"/>
      <c r="BI387" s="1"/>
      <c r="BJ387" s="1" t="s">
        <v>7599</v>
      </c>
      <c r="BK387" s="1"/>
      <c r="BL387" s="1"/>
      <c r="BM387" s="1" t="s">
        <v>7600</v>
      </c>
      <c r="BN387" s="1">
        <v>7</v>
      </c>
      <c r="BO387" s="1" t="s">
        <v>7601</v>
      </c>
      <c r="BP387" s="1" t="str">
        <f>HYPERLINK("https://nconnect.nicmar.ac.in/storage/profile/ProfilePhoto_P25700384_318246.jpg","Download")</f>
        <v>0</v>
      </c>
      <c r="BQ387" s="3"/>
      <c r="BR387" s="3"/>
    </row>
    <row r="388" spans="1:70">
      <c r="A388" s="1" t="s">
        <v>70</v>
      </c>
      <c r="B388" s="1" t="s">
        <v>441</v>
      </c>
      <c r="C388" s="1" t="s">
        <v>7602</v>
      </c>
      <c r="D388" s="1" t="s">
        <v>2071</v>
      </c>
      <c r="E388" s="1"/>
      <c r="F388" s="1" t="s">
        <v>7603</v>
      </c>
      <c r="G388" s="1" t="s">
        <v>7604</v>
      </c>
      <c r="H388" s="1" t="s">
        <v>7605</v>
      </c>
      <c r="I388" s="1" t="s">
        <v>7606</v>
      </c>
      <c r="J388" s="1">
        <v>8431133606</v>
      </c>
      <c r="K388" s="1" t="s">
        <v>79</v>
      </c>
      <c r="L388" s="1" t="s">
        <v>5677</v>
      </c>
      <c r="M388" s="1" t="s">
        <v>81</v>
      </c>
      <c r="N388" s="1" t="s">
        <v>3996</v>
      </c>
      <c r="O388" s="1"/>
      <c r="P388" s="1" t="s">
        <v>497</v>
      </c>
      <c r="Q388" s="1" t="s">
        <v>7607</v>
      </c>
      <c r="R388" s="1" t="s">
        <v>7608</v>
      </c>
      <c r="S388" s="1">
        <v>9972444704</v>
      </c>
      <c r="T388" s="1" t="s">
        <v>7609</v>
      </c>
      <c r="U388" s="1" t="s">
        <v>7610</v>
      </c>
      <c r="V388" s="1">
        <v>9741390770</v>
      </c>
      <c r="W388" s="1" t="s">
        <v>273</v>
      </c>
      <c r="X388" s="1" t="s">
        <v>7611</v>
      </c>
      <c r="Y388" s="1" t="s">
        <v>1327</v>
      </c>
      <c r="Z388" s="1" t="s">
        <v>1187</v>
      </c>
      <c r="AA388" s="1" t="s">
        <v>7611</v>
      </c>
      <c r="AB388" s="1" t="s">
        <v>1327</v>
      </c>
      <c r="AC388" s="1" t="s">
        <v>1187</v>
      </c>
      <c r="AD388" s="1">
        <v>8.82</v>
      </c>
      <c r="AE388" s="1" t="s">
        <v>93</v>
      </c>
      <c r="AF388" s="1" t="s">
        <v>7612</v>
      </c>
      <c r="AG388" s="1" t="s">
        <v>1920</v>
      </c>
      <c r="AH388" s="1" t="s">
        <v>165</v>
      </c>
      <c r="AI388" s="1" t="s">
        <v>481</v>
      </c>
      <c r="AJ388" s="1">
        <v>86.72</v>
      </c>
      <c r="AK388" s="1"/>
      <c r="AL388" s="1" t="s">
        <v>7613</v>
      </c>
      <c r="AM388" s="1" t="s">
        <v>1193</v>
      </c>
      <c r="AN388" s="1" t="s">
        <v>433</v>
      </c>
      <c r="AO388" s="1" t="s">
        <v>590</v>
      </c>
      <c r="AP388" s="1">
        <v>79.33</v>
      </c>
      <c r="AQ388" s="1"/>
      <c r="AR388" s="1"/>
      <c r="AS388" s="1"/>
      <c r="AT388" s="1"/>
      <c r="AU388" s="1"/>
      <c r="AV388" s="1"/>
      <c r="AW388" s="1"/>
      <c r="AX388" s="1" t="s">
        <v>1194</v>
      </c>
      <c r="AY388" s="1" t="s">
        <v>7614</v>
      </c>
      <c r="AZ388" s="1" t="s">
        <v>228</v>
      </c>
      <c r="BA388" s="1" t="s">
        <v>202</v>
      </c>
      <c r="BB388" s="1">
        <v>75.5</v>
      </c>
      <c r="BC388" s="1">
        <v>8.3</v>
      </c>
      <c r="BD388" s="1"/>
      <c r="BE388" s="1"/>
      <c r="BF388" s="1"/>
      <c r="BG388" s="1"/>
      <c r="BH388" s="1"/>
      <c r="BI388" s="1"/>
      <c r="BJ388" s="1" t="s">
        <v>7615</v>
      </c>
      <c r="BK388" s="1" t="s">
        <v>7616</v>
      </c>
      <c r="BL388" s="1" t="s">
        <v>670</v>
      </c>
      <c r="BM388" s="1" t="s">
        <v>7617</v>
      </c>
      <c r="BN388" s="1">
        <v>11</v>
      </c>
      <c r="BO388" s="1" t="s">
        <v>7618</v>
      </c>
      <c r="BP388" s="1" t="str">
        <f>HYPERLINK("https://nconnect.nicmar.ac.in/storage/profile/ProfilePhoto_P25700385_936548.jpg","Download")</f>
        <v>0</v>
      </c>
      <c r="BQ388" s="3"/>
      <c r="BR388" s="3"/>
    </row>
    <row r="389" spans="1:70">
      <c r="A389" s="1" t="s">
        <v>70</v>
      </c>
      <c r="B389" s="1" t="s">
        <v>441</v>
      </c>
      <c r="C389" s="1" t="s">
        <v>7619</v>
      </c>
      <c r="D389" s="1" t="s">
        <v>7620</v>
      </c>
      <c r="E389" s="1"/>
      <c r="F389" s="1" t="s">
        <v>1298</v>
      </c>
      <c r="G389" s="1" t="s">
        <v>7621</v>
      </c>
      <c r="H389" s="1" t="s">
        <v>7622</v>
      </c>
      <c r="I389" s="1" t="s">
        <v>7623</v>
      </c>
      <c r="J389" s="1">
        <v>7017412065</v>
      </c>
      <c r="K389" s="1" t="s">
        <v>79</v>
      </c>
      <c r="L389" s="1" t="s">
        <v>7624</v>
      </c>
      <c r="M389" s="1" t="s">
        <v>81</v>
      </c>
      <c r="N389" s="1" t="s">
        <v>4289</v>
      </c>
      <c r="O389" s="1"/>
      <c r="P389" s="1" t="s">
        <v>472</v>
      </c>
      <c r="Q389" s="1" t="s">
        <v>7625</v>
      </c>
      <c r="R389" s="1" t="s">
        <v>7626</v>
      </c>
      <c r="S389" s="1">
        <v>9955912826</v>
      </c>
      <c r="T389" s="1" t="s">
        <v>154</v>
      </c>
      <c r="U389" s="1" t="s">
        <v>301</v>
      </c>
      <c r="V389" s="1">
        <v>8271961319</v>
      </c>
      <c r="W389" s="1" t="s">
        <v>156</v>
      </c>
      <c r="X389" s="1" t="s">
        <v>7627</v>
      </c>
      <c r="Y389" s="1" t="s">
        <v>91</v>
      </c>
      <c r="Z389" s="1" t="s">
        <v>636</v>
      </c>
      <c r="AA389" s="1" t="s">
        <v>7627</v>
      </c>
      <c r="AB389" s="1" t="s">
        <v>91</v>
      </c>
      <c r="AC389" s="1" t="s">
        <v>636</v>
      </c>
      <c r="AD389" s="1">
        <v>8.22</v>
      </c>
      <c r="AE389" s="1" t="s">
        <v>93</v>
      </c>
      <c r="AF389" s="1" t="s">
        <v>7628</v>
      </c>
      <c r="AG389" s="1" t="s">
        <v>7629</v>
      </c>
      <c r="AH389" s="1" t="s">
        <v>3439</v>
      </c>
      <c r="AI389" s="1" t="s">
        <v>130</v>
      </c>
      <c r="AJ389" s="1">
        <v>81.6</v>
      </c>
      <c r="AK389" s="1">
        <v>8.6</v>
      </c>
      <c r="AL389" s="1" t="s">
        <v>7630</v>
      </c>
      <c r="AM389" s="1" t="s">
        <v>7631</v>
      </c>
      <c r="AN389" s="1" t="s">
        <v>1088</v>
      </c>
      <c r="AO389" s="1" t="s">
        <v>1374</v>
      </c>
      <c r="AP389" s="1">
        <v>64</v>
      </c>
      <c r="AQ389" s="1"/>
      <c r="AR389" s="1"/>
      <c r="AS389" s="1"/>
      <c r="AT389" s="1"/>
      <c r="AU389" s="1"/>
      <c r="AV389" s="1"/>
      <c r="AW389" s="1"/>
      <c r="AX389" s="1" t="s">
        <v>7632</v>
      </c>
      <c r="AY389" s="1" t="s">
        <v>7633</v>
      </c>
      <c r="AZ389" s="1" t="s">
        <v>134</v>
      </c>
      <c r="BA389" s="1" t="s">
        <v>173</v>
      </c>
      <c r="BB389" s="1">
        <v>61.8</v>
      </c>
      <c r="BC389" s="1">
        <v>6.18</v>
      </c>
      <c r="BD389" s="1"/>
      <c r="BE389" s="1"/>
      <c r="BF389" s="1"/>
      <c r="BG389" s="1"/>
      <c r="BH389" s="1"/>
      <c r="BI389" s="1"/>
      <c r="BJ389" s="1" t="s">
        <v>567</v>
      </c>
      <c r="BK389" s="1" t="s">
        <v>7634</v>
      </c>
      <c r="BL389" s="1" t="s">
        <v>7635</v>
      </c>
      <c r="BM389" s="1" t="s">
        <v>7636</v>
      </c>
      <c r="BN389" s="1">
        <v>23</v>
      </c>
      <c r="BO389" s="1"/>
      <c r="BP389" s="1" t="str">
        <f>HYPERLINK("https://nconnect.nicmar.ac.in/storage/profile/ProfilePhoto_P25700386_189623.jpg","Download")</f>
        <v>0</v>
      </c>
      <c r="BQ389" s="3"/>
      <c r="BR389" s="3"/>
    </row>
    <row r="390" spans="1:70">
      <c r="A390" s="1" t="s">
        <v>70</v>
      </c>
      <c r="B390" s="1" t="s">
        <v>441</v>
      </c>
      <c r="C390" s="1" t="s">
        <v>7637</v>
      </c>
      <c r="D390" s="1" t="s">
        <v>417</v>
      </c>
      <c r="E390" s="1" t="s">
        <v>2071</v>
      </c>
      <c r="F390" s="1" t="s">
        <v>7638</v>
      </c>
      <c r="G390" s="1" t="s">
        <v>7639</v>
      </c>
      <c r="H390" s="1" t="s">
        <v>7640</v>
      </c>
      <c r="I390" s="1" t="s">
        <v>7641</v>
      </c>
      <c r="J390" s="1">
        <v>9767413833</v>
      </c>
      <c r="K390" s="1" t="s">
        <v>148</v>
      </c>
      <c r="L390" s="1" t="s">
        <v>7642</v>
      </c>
      <c r="M390" s="1" t="s">
        <v>81</v>
      </c>
      <c r="N390" s="1" t="s">
        <v>605</v>
      </c>
      <c r="O390" s="1"/>
      <c r="P390" s="1" t="s">
        <v>497</v>
      </c>
      <c r="Q390" s="1" t="s">
        <v>7643</v>
      </c>
      <c r="R390" s="1" t="s">
        <v>7644</v>
      </c>
      <c r="S390" s="1">
        <v>9922615090</v>
      </c>
      <c r="T390" s="1" t="s">
        <v>4780</v>
      </c>
      <c r="U390" s="1" t="s">
        <v>7645</v>
      </c>
      <c r="V390" s="1">
        <v>9922263755</v>
      </c>
      <c r="W390" s="1" t="s">
        <v>89</v>
      </c>
      <c r="X390" s="1" t="s">
        <v>7646</v>
      </c>
      <c r="Y390" s="1" t="s">
        <v>5185</v>
      </c>
      <c r="Z390" s="1" t="s">
        <v>92</v>
      </c>
      <c r="AA390" s="1" t="s">
        <v>7646</v>
      </c>
      <c r="AB390" s="1" t="s">
        <v>5185</v>
      </c>
      <c r="AC390" s="1" t="s">
        <v>92</v>
      </c>
      <c r="AD390" s="1">
        <v>8.74</v>
      </c>
      <c r="AE390" s="1" t="s">
        <v>93</v>
      </c>
      <c r="AF390" s="1" t="s">
        <v>7647</v>
      </c>
      <c r="AG390" s="1" t="s">
        <v>7648</v>
      </c>
      <c r="AH390" s="1" t="s">
        <v>614</v>
      </c>
      <c r="AI390" s="1" t="s">
        <v>165</v>
      </c>
      <c r="AJ390" s="1">
        <v>79.6</v>
      </c>
      <c r="AK390" s="1"/>
      <c r="AL390" s="1" t="s">
        <v>7649</v>
      </c>
      <c r="AM390" s="1" t="s">
        <v>7650</v>
      </c>
      <c r="AN390" s="1" t="s">
        <v>166</v>
      </c>
      <c r="AO390" s="1" t="s">
        <v>308</v>
      </c>
      <c r="AP390" s="1">
        <v>66.15</v>
      </c>
      <c r="AQ390" s="1"/>
      <c r="AR390" s="1"/>
      <c r="AS390" s="1"/>
      <c r="AT390" s="1"/>
      <c r="AU390" s="1"/>
      <c r="AV390" s="1"/>
      <c r="AW390" s="1"/>
      <c r="AX390" s="1" t="s">
        <v>361</v>
      </c>
      <c r="AY390" s="1" t="s">
        <v>7651</v>
      </c>
      <c r="AZ390" s="1" t="s">
        <v>201</v>
      </c>
      <c r="BA390" s="1" t="s">
        <v>174</v>
      </c>
      <c r="BB390" s="1">
        <v>73.5</v>
      </c>
      <c r="BC390" s="1">
        <v>7.88</v>
      </c>
      <c r="BD390" s="1"/>
      <c r="BE390" s="1"/>
      <c r="BF390" s="1"/>
      <c r="BG390" s="1"/>
      <c r="BH390" s="1"/>
      <c r="BI390" s="1"/>
      <c r="BJ390" s="1" t="s">
        <v>7652</v>
      </c>
      <c r="BK390" s="1" t="s">
        <v>7653</v>
      </c>
      <c r="BL390" s="1" t="s">
        <v>4165</v>
      </c>
      <c r="BM390" s="1" t="s">
        <v>7654</v>
      </c>
      <c r="BN390" s="1">
        <v>13</v>
      </c>
      <c r="BO390" s="1"/>
      <c r="BP390" s="1" t="str">
        <f>HYPERLINK("https://nconnect.nicmar.ac.in/storage/profile/ProfilePhoto_P25700387_318952.jpg","Download")</f>
        <v>0</v>
      </c>
      <c r="BQ390" s="3"/>
      <c r="BR390" s="3"/>
    </row>
    <row r="391" spans="1:70">
      <c r="A391" s="1" t="s">
        <v>70</v>
      </c>
      <c r="B391" s="1" t="s">
        <v>441</v>
      </c>
      <c r="C391" s="1" t="s">
        <v>7655</v>
      </c>
      <c r="D391" s="1" t="s">
        <v>7656</v>
      </c>
      <c r="E391" s="1"/>
      <c r="F391" s="1" t="s">
        <v>1339</v>
      </c>
      <c r="G391" s="1" t="s">
        <v>7657</v>
      </c>
      <c r="H391" s="1" t="s">
        <v>7658</v>
      </c>
      <c r="I391" s="1" t="s">
        <v>7659</v>
      </c>
      <c r="J391" s="1">
        <v>6282413343</v>
      </c>
      <c r="K391" s="1" t="s">
        <v>79</v>
      </c>
      <c r="L391" s="1" t="s">
        <v>7660</v>
      </c>
      <c r="M391" s="1" t="s">
        <v>81</v>
      </c>
      <c r="N391" s="1" t="s">
        <v>7661</v>
      </c>
      <c r="O391" s="1" t="s">
        <v>1279</v>
      </c>
      <c r="P391" s="1" t="s">
        <v>117</v>
      </c>
      <c r="Q391" s="1" t="s">
        <v>7662</v>
      </c>
      <c r="R391" s="1" t="s">
        <v>7663</v>
      </c>
      <c r="S391" s="1">
        <v>9497884301</v>
      </c>
      <c r="T391" s="1" t="s">
        <v>7664</v>
      </c>
      <c r="U391" s="1" t="s">
        <v>7665</v>
      </c>
      <c r="V391" s="1">
        <v>8547634302</v>
      </c>
      <c r="W391" s="1" t="s">
        <v>7664</v>
      </c>
      <c r="X391" s="1" t="s">
        <v>7666</v>
      </c>
      <c r="Y391" s="1" t="s">
        <v>7667</v>
      </c>
      <c r="Z391" s="1" t="s">
        <v>125</v>
      </c>
      <c r="AA391" s="1" t="s">
        <v>7666</v>
      </c>
      <c r="AB391" s="1" t="s">
        <v>7667</v>
      </c>
      <c r="AC391" s="1" t="s">
        <v>125</v>
      </c>
      <c r="AD391" s="1">
        <v>9.15</v>
      </c>
      <c r="AE391" s="1" t="s">
        <v>93</v>
      </c>
      <c r="AF391" s="1" t="s">
        <v>7668</v>
      </c>
      <c r="AG391" s="1" t="s">
        <v>307</v>
      </c>
      <c r="AH391" s="1" t="s">
        <v>614</v>
      </c>
      <c r="AI391" s="1" t="s">
        <v>166</v>
      </c>
      <c r="AJ391" s="1">
        <v>85</v>
      </c>
      <c r="AK391" s="1"/>
      <c r="AL391" s="1" t="s">
        <v>7668</v>
      </c>
      <c r="AM391" s="1" t="s">
        <v>307</v>
      </c>
      <c r="AN391" s="1" t="s">
        <v>308</v>
      </c>
      <c r="AO391" s="1" t="s">
        <v>173</v>
      </c>
      <c r="AP391" s="1">
        <v>83.2</v>
      </c>
      <c r="AQ391" s="1"/>
      <c r="AR391" s="1"/>
      <c r="AS391" s="1"/>
      <c r="AT391" s="1"/>
      <c r="AU391" s="1"/>
      <c r="AV391" s="1"/>
      <c r="AW391" s="1"/>
      <c r="AX391" s="1" t="s">
        <v>132</v>
      </c>
      <c r="AY391" s="1" t="s">
        <v>7669</v>
      </c>
      <c r="AZ391" s="1" t="s">
        <v>170</v>
      </c>
      <c r="BA391" s="1" t="s">
        <v>202</v>
      </c>
      <c r="BB391" s="1">
        <v>82.2</v>
      </c>
      <c r="BC391" s="1">
        <v>8.22</v>
      </c>
      <c r="BD391" s="1"/>
      <c r="BE391" s="1"/>
      <c r="BF391" s="1"/>
      <c r="BG391" s="1"/>
      <c r="BH391" s="1"/>
      <c r="BI391" s="1"/>
      <c r="BJ391" s="1" t="s">
        <v>7670</v>
      </c>
      <c r="BK391" s="1"/>
      <c r="BL391" s="1"/>
      <c r="BM391" s="1" t="s">
        <v>7671</v>
      </c>
      <c r="BN391" s="1">
        <v>10</v>
      </c>
      <c r="BO391" s="1" t="s">
        <v>7672</v>
      </c>
      <c r="BP391" s="1" t="str">
        <f>HYPERLINK("https://nconnect.nicmar.ac.in/storage/profile/ProfilePhoto_P25700388_863591.jpg","Download")</f>
        <v>0</v>
      </c>
      <c r="BQ391" s="3"/>
      <c r="BR391" s="3"/>
    </row>
    <row r="392" spans="1:70">
      <c r="A392" s="1" t="s">
        <v>70</v>
      </c>
      <c r="B392" s="1" t="s">
        <v>441</v>
      </c>
      <c r="C392" s="1" t="s">
        <v>7673</v>
      </c>
      <c r="D392" s="1" t="s">
        <v>2838</v>
      </c>
      <c r="E392" s="1" t="s">
        <v>7674</v>
      </c>
      <c r="F392" s="1" t="s">
        <v>7675</v>
      </c>
      <c r="G392" s="1" t="s">
        <v>7676</v>
      </c>
      <c r="H392" s="1" t="s">
        <v>7677</v>
      </c>
      <c r="I392" s="1" t="s">
        <v>7678</v>
      </c>
      <c r="J392" s="1">
        <v>7507067672</v>
      </c>
      <c r="K392" s="1" t="s">
        <v>79</v>
      </c>
      <c r="L392" s="1" t="s">
        <v>7679</v>
      </c>
      <c r="M392" s="1" t="s">
        <v>81</v>
      </c>
      <c r="N392" s="1" t="s">
        <v>2381</v>
      </c>
      <c r="O392" s="1"/>
      <c r="P392" s="1" t="s">
        <v>472</v>
      </c>
      <c r="Q392" s="1" t="s">
        <v>7680</v>
      </c>
      <c r="R392" s="1" t="s">
        <v>4970</v>
      </c>
      <c r="S392" s="1">
        <v>9422852015</v>
      </c>
      <c r="T392" s="1" t="s">
        <v>271</v>
      </c>
      <c r="U392" s="1" t="s">
        <v>2250</v>
      </c>
      <c r="V392" s="1">
        <v>9975145373</v>
      </c>
      <c r="W392" s="1" t="s">
        <v>156</v>
      </c>
      <c r="X392" s="1" t="s">
        <v>7681</v>
      </c>
      <c r="Y392" s="1" t="s">
        <v>7682</v>
      </c>
      <c r="Z392" s="1" t="s">
        <v>92</v>
      </c>
      <c r="AA392" s="1" t="s">
        <v>7681</v>
      </c>
      <c r="AB392" s="1" t="s">
        <v>7682</v>
      </c>
      <c r="AC392" s="1" t="s">
        <v>92</v>
      </c>
      <c r="AD392" s="1">
        <v>8.56</v>
      </c>
      <c r="AE392" s="1" t="s">
        <v>93</v>
      </c>
      <c r="AF392" s="1" t="s">
        <v>7683</v>
      </c>
      <c r="AG392" s="1" t="s">
        <v>160</v>
      </c>
      <c r="AH392" s="1" t="s">
        <v>128</v>
      </c>
      <c r="AI392" s="1" t="s">
        <v>1435</v>
      </c>
      <c r="AJ392" s="1">
        <v>75.64</v>
      </c>
      <c r="AK392" s="1">
        <v>7.96</v>
      </c>
      <c r="AL392" s="1"/>
      <c r="AM392" s="1"/>
      <c r="AN392" s="1"/>
      <c r="AO392" s="1"/>
      <c r="AP392" s="1"/>
      <c r="AQ392" s="1"/>
      <c r="AR392" s="1" t="s">
        <v>98</v>
      </c>
      <c r="AS392" s="1" t="s">
        <v>7684</v>
      </c>
      <c r="AT392" s="1" t="s">
        <v>785</v>
      </c>
      <c r="AU392" s="1" t="s">
        <v>162</v>
      </c>
      <c r="AV392" s="1">
        <v>79.88</v>
      </c>
      <c r="AW392" s="1">
        <v>8.4</v>
      </c>
      <c r="AX392" s="1" t="s">
        <v>7685</v>
      </c>
      <c r="AY392" s="1" t="s">
        <v>7686</v>
      </c>
      <c r="AZ392" s="1" t="s">
        <v>134</v>
      </c>
      <c r="BA392" s="1" t="s">
        <v>310</v>
      </c>
      <c r="BB392" s="1">
        <v>67.9</v>
      </c>
      <c r="BC392" s="1">
        <v>7.54</v>
      </c>
      <c r="BD392" s="1"/>
      <c r="BE392" s="1"/>
      <c r="BF392" s="1"/>
      <c r="BG392" s="1"/>
      <c r="BH392" s="1"/>
      <c r="BI392" s="1"/>
      <c r="BJ392" s="1" t="s">
        <v>7687</v>
      </c>
      <c r="BK392" s="1" t="s">
        <v>7688</v>
      </c>
      <c r="BL392" s="1" t="s">
        <v>7689</v>
      </c>
      <c r="BM392" s="1" t="s">
        <v>7690</v>
      </c>
      <c r="BN392" s="1">
        <v>41</v>
      </c>
      <c r="BO392" s="1" t="s">
        <v>7691</v>
      </c>
      <c r="BP392" s="1" t="str">
        <f>HYPERLINK("https://nconnect.nicmar.ac.in/storage/profile/ProfilePhoto_P25700389_893247.jpg","Download")</f>
        <v>0</v>
      </c>
      <c r="BQ392" s="3"/>
      <c r="BR392" s="3"/>
    </row>
    <row r="393" spans="1:70">
      <c r="A393" s="1" t="s">
        <v>70</v>
      </c>
      <c r="B393" s="1" t="s">
        <v>441</v>
      </c>
      <c r="C393" s="1" t="s">
        <v>7692</v>
      </c>
      <c r="D393" s="1" t="s">
        <v>7693</v>
      </c>
      <c r="E393" s="1" t="s">
        <v>234</v>
      </c>
      <c r="F393" s="1" t="s">
        <v>7694</v>
      </c>
      <c r="G393" s="1" t="s">
        <v>7695</v>
      </c>
      <c r="H393" s="1" t="s">
        <v>7696</v>
      </c>
      <c r="I393" s="1" t="s">
        <v>7697</v>
      </c>
      <c r="J393" s="1">
        <v>8669341501</v>
      </c>
      <c r="K393" s="1" t="s">
        <v>79</v>
      </c>
      <c r="L393" s="1" t="s">
        <v>7698</v>
      </c>
      <c r="M393" s="1" t="s">
        <v>81</v>
      </c>
      <c r="N393" s="1" t="s">
        <v>3587</v>
      </c>
      <c r="O393" s="1"/>
      <c r="P393" s="1" t="s">
        <v>497</v>
      </c>
      <c r="Q393" s="1" t="s">
        <v>7699</v>
      </c>
      <c r="R393" s="1" t="s">
        <v>7700</v>
      </c>
      <c r="S393" s="1">
        <v>9096064250</v>
      </c>
      <c r="T393" s="1" t="s">
        <v>7701</v>
      </c>
      <c r="U393" s="1" t="s">
        <v>7702</v>
      </c>
      <c r="V393" s="1">
        <v>9970125918</v>
      </c>
      <c r="W393" s="1" t="s">
        <v>156</v>
      </c>
      <c r="X393" s="1" t="s">
        <v>7703</v>
      </c>
      <c r="Y393" s="1" t="s">
        <v>191</v>
      </c>
      <c r="Z393" s="1" t="s">
        <v>92</v>
      </c>
      <c r="AA393" s="1" t="s">
        <v>7704</v>
      </c>
      <c r="AB393" s="1" t="s">
        <v>379</v>
      </c>
      <c r="AC393" s="1" t="s">
        <v>92</v>
      </c>
      <c r="AD393" s="1" t="s">
        <v>93</v>
      </c>
      <c r="AE393" s="1" t="s">
        <v>93</v>
      </c>
      <c r="AF393" s="1" t="s">
        <v>7705</v>
      </c>
      <c r="AG393" s="1" t="s">
        <v>7706</v>
      </c>
      <c r="AH393" s="1" t="s">
        <v>481</v>
      </c>
      <c r="AI393" s="1" t="s">
        <v>308</v>
      </c>
      <c r="AJ393" s="1">
        <v>68.4</v>
      </c>
      <c r="AK393" s="1">
        <v>7.2</v>
      </c>
      <c r="AL393" s="1" t="s">
        <v>7707</v>
      </c>
      <c r="AM393" s="1" t="s">
        <v>7706</v>
      </c>
      <c r="AN393" s="1" t="s">
        <v>412</v>
      </c>
      <c r="AO393" s="1" t="s">
        <v>436</v>
      </c>
      <c r="AP393" s="1">
        <v>71.5</v>
      </c>
      <c r="AQ393" s="1"/>
      <c r="AR393" s="1"/>
      <c r="AS393" s="1"/>
      <c r="AT393" s="1"/>
      <c r="AU393" s="1"/>
      <c r="AV393" s="1"/>
      <c r="AW393" s="1"/>
      <c r="AX393" s="1" t="s">
        <v>361</v>
      </c>
      <c r="AY393" s="1" t="s">
        <v>7708</v>
      </c>
      <c r="AZ393" s="1" t="s">
        <v>4727</v>
      </c>
      <c r="BA393" s="1" t="s">
        <v>543</v>
      </c>
      <c r="BB393" s="1">
        <v>68.3</v>
      </c>
      <c r="BC393" s="1">
        <v>7.19</v>
      </c>
      <c r="BD393" s="1"/>
      <c r="BE393" s="1"/>
      <c r="BF393" s="1"/>
      <c r="BG393" s="1"/>
      <c r="BH393" s="1"/>
      <c r="BI393" s="1"/>
      <c r="BJ393" s="1" t="s">
        <v>364</v>
      </c>
      <c r="BK393" s="1"/>
      <c r="BL393" s="1"/>
      <c r="BM393" s="1" t="s">
        <v>7709</v>
      </c>
      <c r="BN393" s="1">
        <v>25</v>
      </c>
      <c r="BO393" s="1"/>
      <c r="BP393" s="1" t="str">
        <f>HYPERLINK("https://nconnect.nicmar.ac.in/storage/profile/ProfilePhoto_P25700390_748536.jpg","Download")</f>
        <v>0</v>
      </c>
      <c r="BQ393" s="3"/>
      <c r="BR393" s="3"/>
    </row>
    <row r="394" spans="1:70">
      <c r="A394" s="1" t="s">
        <v>70</v>
      </c>
      <c r="B394" s="1" t="s">
        <v>441</v>
      </c>
      <c r="C394" s="1" t="s">
        <v>7710</v>
      </c>
      <c r="D394" s="1" t="s">
        <v>7711</v>
      </c>
      <c r="E394" s="1" t="s">
        <v>1828</v>
      </c>
      <c r="F394" s="1" t="s">
        <v>7712</v>
      </c>
      <c r="G394" s="1" t="s">
        <v>7713</v>
      </c>
      <c r="H394" s="1" t="s">
        <v>7714</v>
      </c>
      <c r="I394" s="1" t="s">
        <v>7715</v>
      </c>
      <c r="J394" s="1">
        <v>9082006296</v>
      </c>
      <c r="K394" s="1" t="s">
        <v>79</v>
      </c>
      <c r="L394" s="1" t="s">
        <v>2076</v>
      </c>
      <c r="M394" s="1" t="s">
        <v>81</v>
      </c>
      <c r="N394" s="1" t="s">
        <v>7716</v>
      </c>
      <c r="O394" s="1"/>
      <c r="P394" s="1" t="s">
        <v>497</v>
      </c>
      <c r="Q394" s="1" t="s">
        <v>7717</v>
      </c>
      <c r="R394" s="1" t="s">
        <v>7718</v>
      </c>
      <c r="S394" s="1">
        <v>9833560917</v>
      </c>
      <c r="T394" s="1" t="s">
        <v>683</v>
      </c>
      <c r="U394" s="1" t="s">
        <v>7719</v>
      </c>
      <c r="V394" s="1">
        <v>9833635302</v>
      </c>
      <c r="W394" s="1" t="s">
        <v>156</v>
      </c>
      <c r="X394" s="1" t="s">
        <v>7720</v>
      </c>
      <c r="Y394" s="1" t="s">
        <v>1166</v>
      </c>
      <c r="Z394" s="1" t="s">
        <v>92</v>
      </c>
      <c r="AA394" s="1" t="s">
        <v>7720</v>
      </c>
      <c r="AB394" s="1" t="s">
        <v>1166</v>
      </c>
      <c r="AC394" s="1" t="s">
        <v>92</v>
      </c>
      <c r="AD394" s="1">
        <v>7.71</v>
      </c>
      <c r="AE394" s="1" t="s">
        <v>93</v>
      </c>
      <c r="AF394" s="1" t="s">
        <v>7721</v>
      </c>
      <c r="AG394" s="1" t="s">
        <v>7722</v>
      </c>
      <c r="AH394" s="1" t="s">
        <v>279</v>
      </c>
      <c r="AI394" s="1" t="s">
        <v>165</v>
      </c>
      <c r="AJ394" s="1">
        <v>89.3</v>
      </c>
      <c r="AK394" s="1">
        <v>9.4</v>
      </c>
      <c r="AL394" s="1" t="s">
        <v>7723</v>
      </c>
      <c r="AM394" s="1" t="s">
        <v>7722</v>
      </c>
      <c r="AN394" s="1" t="s">
        <v>481</v>
      </c>
      <c r="AO394" s="1" t="s">
        <v>308</v>
      </c>
      <c r="AP394" s="1">
        <v>67.2</v>
      </c>
      <c r="AQ394" s="1">
        <v>7.4</v>
      </c>
      <c r="AR394" s="1"/>
      <c r="AS394" s="1"/>
      <c r="AT394" s="1"/>
      <c r="AU394" s="1"/>
      <c r="AV394" s="1"/>
      <c r="AW394" s="1"/>
      <c r="AX394" s="1" t="s">
        <v>253</v>
      </c>
      <c r="AY394" s="1" t="s">
        <v>7724</v>
      </c>
      <c r="AZ394" s="1" t="s">
        <v>433</v>
      </c>
      <c r="BA394" s="1" t="s">
        <v>7725</v>
      </c>
      <c r="BB394" s="1">
        <v>68.68</v>
      </c>
      <c r="BC394" s="1">
        <v>7.78</v>
      </c>
      <c r="BD394" s="1"/>
      <c r="BE394" s="1"/>
      <c r="BF394" s="1"/>
      <c r="BG394" s="1"/>
      <c r="BH394" s="1"/>
      <c r="BI394" s="1"/>
      <c r="BJ394" s="1" t="s">
        <v>7726</v>
      </c>
      <c r="BK394" s="1"/>
      <c r="BL394" s="1"/>
      <c r="BM394" s="1" t="s">
        <v>7727</v>
      </c>
      <c r="BN394" s="1">
        <v>93</v>
      </c>
      <c r="BO394" s="1" t="s">
        <v>830</v>
      </c>
      <c r="BP394" s="1" t="str">
        <f>HYPERLINK("https://nconnect.nicmar.ac.in/storage/profile/ProfilePhoto_P25700391_259437.jpg","Download")</f>
        <v>0</v>
      </c>
      <c r="BQ394" s="3"/>
      <c r="BR394" s="3"/>
    </row>
    <row r="395" spans="1:70">
      <c r="A395" s="1" t="s">
        <v>70</v>
      </c>
      <c r="B395" s="1" t="s">
        <v>441</v>
      </c>
      <c r="C395" s="1" t="s">
        <v>7728</v>
      </c>
      <c r="D395" s="1" t="s">
        <v>7729</v>
      </c>
      <c r="E395" s="1"/>
      <c r="F395" s="1" t="s">
        <v>1938</v>
      </c>
      <c r="G395" s="1" t="s">
        <v>7730</v>
      </c>
      <c r="H395" s="1" t="s">
        <v>7731</v>
      </c>
      <c r="I395" s="1" t="s">
        <v>7732</v>
      </c>
      <c r="J395" s="1">
        <v>9538442621</v>
      </c>
      <c r="K395" s="1" t="s">
        <v>148</v>
      </c>
      <c r="L395" s="1" t="s">
        <v>3708</v>
      </c>
      <c r="M395" s="1" t="s">
        <v>81</v>
      </c>
      <c r="N395" s="1" t="s">
        <v>7733</v>
      </c>
      <c r="O395" s="1" t="s">
        <v>7734</v>
      </c>
      <c r="P395" s="1" t="s">
        <v>84</v>
      </c>
      <c r="Q395" s="1" t="s">
        <v>7735</v>
      </c>
      <c r="R395" s="1" t="s">
        <v>7736</v>
      </c>
      <c r="S395" s="1">
        <v>9611984367</v>
      </c>
      <c r="T395" s="1" t="s">
        <v>7737</v>
      </c>
      <c r="U395" s="1" t="s">
        <v>7738</v>
      </c>
      <c r="V395" s="1">
        <v>9620857969</v>
      </c>
      <c r="W395" s="1" t="s">
        <v>89</v>
      </c>
      <c r="X395" s="1" t="s">
        <v>7739</v>
      </c>
      <c r="Y395" s="1" t="s">
        <v>3151</v>
      </c>
      <c r="Z395" s="1" t="s">
        <v>1187</v>
      </c>
      <c r="AA395" s="1" t="s">
        <v>7739</v>
      </c>
      <c r="AB395" s="1" t="s">
        <v>3151</v>
      </c>
      <c r="AC395" s="1" t="s">
        <v>1187</v>
      </c>
      <c r="AD395" s="1">
        <v>8.87</v>
      </c>
      <c r="AE395" s="1" t="s">
        <v>93</v>
      </c>
      <c r="AF395" s="1" t="s">
        <v>7740</v>
      </c>
      <c r="AG395" s="1" t="s">
        <v>1920</v>
      </c>
      <c r="AH395" s="1" t="s">
        <v>562</v>
      </c>
      <c r="AI395" s="1" t="s">
        <v>481</v>
      </c>
      <c r="AJ395" s="1">
        <v>95.68</v>
      </c>
      <c r="AK395" s="1"/>
      <c r="AL395" s="1" t="s">
        <v>7741</v>
      </c>
      <c r="AM395" s="1" t="s">
        <v>4027</v>
      </c>
      <c r="AN395" s="1" t="s">
        <v>198</v>
      </c>
      <c r="AO395" s="1" t="s">
        <v>590</v>
      </c>
      <c r="AP395" s="1">
        <v>79.66</v>
      </c>
      <c r="AQ395" s="1"/>
      <c r="AR395" s="1"/>
      <c r="AS395" s="1"/>
      <c r="AT395" s="1"/>
      <c r="AU395" s="1"/>
      <c r="AV395" s="1"/>
      <c r="AW395" s="1"/>
      <c r="AX395" s="1" t="s">
        <v>7742</v>
      </c>
      <c r="AY395" s="1" t="s">
        <v>1194</v>
      </c>
      <c r="AZ395" s="1" t="s">
        <v>228</v>
      </c>
      <c r="BA395" s="1" t="s">
        <v>594</v>
      </c>
      <c r="BB395" s="1">
        <v>66.9</v>
      </c>
      <c r="BC395" s="1">
        <v>7.44</v>
      </c>
      <c r="BD395" s="1"/>
      <c r="BE395" s="1"/>
      <c r="BF395" s="1"/>
      <c r="BG395" s="1"/>
      <c r="BH395" s="1"/>
      <c r="BI395" s="1"/>
      <c r="BJ395" s="1" t="s">
        <v>7743</v>
      </c>
      <c r="BK395" s="1"/>
      <c r="BL395" s="1"/>
      <c r="BM395" s="1" t="s">
        <v>7744</v>
      </c>
      <c r="BN395" s="1">
        <v>24</v>
      </c>
      <c r="BO395" s="1" t="s">
        <v>7745</v>
      </c>
      <c r="BP395" s="1" t="str">
        <f>HYPERLINK("https://nconnect.nicmar.ac.in/storage/profile/ProfilePhoto_P25700392_517643.jpg","Download")</f>
        <v>0</v>
      </c>
      <c r="BQ395" s="3"/>
      <c r="BR395" s="3"/>
    </row>
    <row r="396" spans="1:70">
      <c r="A396" s="1" t="s">
        <v>70</v>
      </c>
      <c r="B396" s="1" t="s">
        <v>441</v>
      </c>
      <c r="C396" s="1" t="s">
        <v>7746</v>
      </c>
      <c r="D396" s="1" t="s">
        <v>7747</v>
      </c>
      <c r="E396" s="1"/>
      <c r="F396" s="1" t="s">
        <v>7748</v>
      </c>
      <c r="G396" s="1" t="s">
        <v>7749</v>
      </c>
      <c r="H396" s="1" t="s">
        <v>7750</v>
      </c>
      <c r="I396" s="1" t="s">
        <v>7751</v>
      </c>
      <c r="J396" s="1">
        <v>9110471281</v>
      </c>
      <c r="K396" s="1" t="s">
        <v>79</v>
      </c>
      <c r="L396" s="1" t="s">
        <v>7752</v>
      </c>
      <c r="M396" s="1" t="s">
        <v>81</v>
      </c>
      <c r="N396" s="1" t="s">
        <v>7753</v>
      </c>
      <c r="O396" s="1"/>
      <c r="P396" s="1" t="s">
        <v>450</v>
      </c>
      <c r="Q396" s="1" t="s">
        <v>7754</v>
      </c>
      <c r="R396" s="1" t="s">
        <v>7755</v>
      </c>
      <c r="S396" s="1">
        <v>7019330358</v>
      </c>
      <c r="T396" s="1" t="s">
        <v>7756</v>
      </c>
      <c r="U396" s="1" t="s">
        <v>7757</v>
      </c>
      <c r="V396" s="1">
        <v>9113098618</v>
      </c>
      <c r="W396" s="1" t="s">
        <v>156</v>
      </c>
      <c r="X396" s="1" t="s">
        <v>7758</v>
      </c>
      <c r="Y396" s="1" t="s">
        <v>1186</v>
      </c>
      <c r="Z396" s="1" t="s">
        <v>1187</v>
      </c>
      <c r="AA396" s="1" t="s">
        <v>7758</v>
      </c>
      <c r="AB396" s="1" t="s">
        <v>1186</v>
      </c>
      <c r="AC396" s="1" t="s">
        <v>1187</v>
      </c>
      <c r="AD396" s="1">
        <v>8.42</v>
      </c>
      <c r="AE396" s="1" t="s">
        <v>93</v>
      </c>
      <c r="AF396" s="1" t="s">
        <v>7759</v>
      </c>
      <c r="AG396" s="1" t="s">
        <v>307</v>
      </c>
      <c r="AH396" s="1" t="s">
        <v>1239</v>
      </c>
      <c r="AI396" s="1" t="s">
        <v>97</v>
      </c>
      <c r="AJ396" s="1">
        <v>72.2</v>
      </c>
      <c r="AK396" s="1">
        <v>7.6</v>
      </c>
      <c r="AL396" s="1"/>
      <c r="AM396" s="1"/>
      <c r="AN396" s="1"/>
      <c r="AO396" s="1"/>
      <c r="AP396" s="1"/>
      <c r="AQ396" s="1"/>
      <c r="AR396" s="1" t="s">
        <v>7760</v>
      </c>
      <c r="AS396" s="1" t="s">
        <v>7761</v>
      </c>
      <c r="AT396" s="1" t="s">
        <v>165</v>
      </c>
      <c r="AU396" s="1" t="s">
        <v>1622</v>
      </c>
      <c r="AV396" s="1">
        <v>83.74</v>
      </c>
      <c r="AW396" s="1"/>
      <c r="AX396" s="1" t="s">
        <v>7762</v>
      </c>
      <c r="AY396" s="1" t="s">
        <v>7763</v>
      </c>
      <c r="AZ396" s="1" t="s">
        <v>363</v>
      </c>
      <c r="BA396" s="1" t="s">
        <v>5282</v>
      </c>
      <c r="BB396" s="1">
        <v>69.2</v>
      </c>
      <c r="BC396" s="1">
        <v>7.67</v>
      </c>
      <c r="BD396" s="1"/>
      <c r="BE396" s="1"/>
      <c r="BF396" s="1"/>
      <c r="BG396" s="1"/>
      <c r="BH396" s="1"/>
      <c r="BI396" s="1"/>
      <c r="BJ396" s="1" t="s">
        <v>7764</v>
      </c>
      <c r="BK396" s="1" t="s">
        <v>7765</v>
      </c>
      <c r="BL396" s="1" t="s">
        <v>2295</v>
      </c>
      <c r="BM396" s="1" t="s">
        <v>7766</v>
      </c>
      <c r="BN396" s="1">
        <v>22</v>
      </c>
      <c r="BO396" s="1"/>
      <c r="BP396" s="1" t="str">
        <f>HYPERLINK("https://nconnect.nicmar.ac.in/storage/profile/ProfilePhoto_P25700393_435691.jpg","Download")</f>
        <v>0</v>
      </c>
      <c r="BQ396" s="3"/>
      <c r="BR396" s="3"/>
    </row>
    <row r="397" spans="1:70">
      <c r="A397" s="1" t="s">
        <v>70</v>
      </c>
      <c r="B397" s="1" t="s">
        <v>441</v>
      </c>
      <c r="C397" s="1" t="s">
        <v>7767</v>
      </c>
      <c r="D397" s="1" t="s">
        <v>3684</v>
      </c>
      <c r="E397" s="1"/>
      <c r="F397" s="1" t="s">
        <v>3684</v>
      </c>
      <c r="G397" s="1" t="s">
        <v>7768</v>
      </c>
      <c r="H397" s="1" t="s">
        <v>7769</v>
      </c>
      <c r="I397" s="1" t="s">
        <v>7770</v>
      </c>
      <c r="J397" s="1">
        <v>9588774772</v>
      </c>
      <c r="K397" s="1" t="s">
        <v>79</v>
      </c>
      <c r="L397" s="1" t="s">
        <v>7771</v>
      </c>
      <c r="M397" s="1" t="s">
        <v>81</v>
      </c>
      <c r="N397" s="1" t="s">
        <v>7772</v>
      </c>
      <c r="O397" s="1"/>
      <c r="P397" s="1" t="s">
        <v>472</v>
      </c>
      <c r="Q397" s="1" t="s">
        <v>7773</v>
      </c>
      <c r="R397" s="1" t="s">
        <v>7774</v>
      </c>
      <c r="S397" s="1">
        <v>9416719637</v>
      </c>
      <c r="T397" s="1" t="s">
        <v>122</v>
      </c>
      <c r="U397" s="1" t="s">
        <v>7775</v>
      </c>
      <c r="V397" s="1">
        <v>9416703927</v>
      </c>
      <c r="W397" s="1" t="s">
        <v>122</v>
      </c>
      <c r="X397" s="1" t="s">
        <v>7776</v>
      </c>
      <c r="Y397" s="1" t="s">
        <v>7777</v>
      </c>
      <c r="Z397" s="1" t="s">
        <v>1675</v>
      </c>
      <c r="AA397" s="1" t="s">
        <v>7776</v>
      </c>
      <c r="AB397" s="1" t="s">
        <v>7777</v>
      </c>
      <c r="AC397" s="1" t="s">
        <v>1675</v>
      </c>
      <c r="AD397" s="1">
        <v>9.1</v>
      </c>
      <c r="AE397" s="1" t="s">
        <v>93</v>
      </c>
      <c r="AF397" s="1" t="s">
        <v>7778</v>
      </c>
      <c r="AG397" s="1" t="s">
        <v>2543</v>
      </c>
      <c r="AH397" s="1" t="s">
        <v>689</v>
      </c>
      <c r="AI397" s="1" t="s">
        <v>166</v>
      </c>
      <c r="AJ397" s="1">
        <v>62.8</v>
      </c>
      <c r="AK397" s="1"/>
      <c r="AL397" s="1" t="s">
        <v>7779</v>
      </c>
      <c r="AM397" s="1" t="s">
        <v>7780</v>
      </c>
      <c r="AN397" s="1" t="s">
        <v>537</v>
      </c>
      <c r="AO397" s="1" t="s">
        <v>173</v>
      </c>
      <c r="AP397" s="1">
        <v>87.8</v>
      </c>
      <c r="AQ397" s="1">
        <v>8.2</v>
      </c>
      <c r="AR397" s="1"/>
      <c r="AS397" s="1"/>
      <c r="AT397" s="1"/>
      <c r="AU397" s="1"/>
      <c r="AV397" s="1"/>
      <c r="AW397" s="1"/>
      <c r="AX397" s="1" t="s">
        <v>7781</v>
      </c>
      <c r="AY397" s="1" t="s">
        <v>7781</v>
      </c>
      <c r="AZ397" s="1" t="s">
        <v>1622</v>
      </c>
      <c r="BA397" s="1" t="s">
        <v>1067</v>
      </c>
      <c r="BB397" s="1">
        <v>74.2</v>
      </c>
      <c r="BC397" s="1">
        <v>7.42</v>
      </c>
      <c r="BD397" s="1"/>
      <c r="BE397" s="1"/>
      <c r="BF397" s="1"/>
      <c r="BG397" s="1"/>
      <c r="BH397" s="1"/>
      <c r="BI397" s="1"/>
      <c r="BJ397" s="1" t="s">
        <v>7782</v>
      </c>
      <c r="BK397" s="1"/>
      <c r="BL397" s="1"/>
      <c r="BM397" s="1" t="s">
        <v>7783</v>
      </c>
      <c r="BN397" s="1">
        <v>28</v>
      </c>
      <c r="BO397" s="1"/>
      <c r="BP397" s="1" t="str">
        <f>HYPERLINK("https://nconnect.nicmar.ac.in/storage/profile/ProfilePhoto_P25700394_167349.jpg","Download")</f>
        <v>0</v>
      </c>
      <c r="BQ397" s="3"/>
      <c r="BR397" s="3"/>
    </row>
    <row r="398" spans="1:70">
      <c r="A398" s="1" t="s">
        <v>70</v>
      </c>
      <c r="B398" s="1" t="s">
        <v>441</v>
      </c>
      <c r="C398" s="1" t="s">
        <v>7784</v>
      </c>
      <c r="D398" s="1" t="s">
        <v>7785</v>
      </c>
      <c r="E398" s="1" t="s">
        <v>368</v>
      </c>
      <c r="F398" s="1" t="s">
        <v>3331</v>
      </c>
      <c r="G398" s="1" t="s">
        <v>7786</v>
      </c>
      <c r="H398" s="1" t="s">
        <v>7787</v>
      </c>
      <c r="I398" s="1" t="s">
        <v>7788</v>
      </c>
      <c r="J398" s="1">
        <v>7506570941</v>
      </c>
      <c r="K398" s="1" t="s">
        <v>79</v>
      </c>
      <c r="L398" s="1" t="s">
        <v>7789</v>
      </c>
      <c r="M398" s="1" t="s">
        <v>81</v>
      </c>
      <c r="N398" s="1" t="s">
        <v>751</v>
      </c>
      <c r="O398" s="1"/>
      <c r="P398" s="1" t="s">
        <v>472</v>
      </c>
      <c r="Q398" s="1" t="s">
        <v>7790</v>
      </c>
      <c r="R398" s="1" t="s">
        <v>7791</v>
      </c>
      <c r="S398" s="1">
        <v>9930577125</v>
      </c>
      <c r="T398" s="1" t="s">
        <v>820</v>
      </c>
      <c r="U398" s="1" t="s">
        <v>7792</v>
      </c>
      <c r="V398" s="1">
        <v>8291997908</v>
      </c>
      <c r="W398" s="1" t="s">
        <v>156</v>
      </c>
      <c r="X398" s="1" t="s">
        <v>7793</v>
      </c>
      <c r="Y398" s="1" t="s">
        <v>2229</v>
      </c>
      <c r="Z398" s="1" t="s">
        <v>92</v>
      </c>
      <c r="AA398" s="1" t="s">
        <v>7793</v>
      </c>
      <c r="AB398" s="1" t="s">
        <v>2229</v>
      </c>
      <c r="AC398" s="1" t="s">
        <v>92</v>
      </c>
      <c r="AD398" s="1">
        <v>7.67</v>
      </c>
      <c r="AE398" s="1" t="s">
        <v>93</v>
      </c>
      <c r="AF398" s="1" t="s">
        <v>7794</v>
      </c>
      <c r="AG398" s="1" t="s">
        <v>7795</v>
      </c>
      <c r="AH398" s="1" t="s">
        <v>161</v>
      </c>
      <c r="AI398" s="1" t="s">
        <v>1089</v>
      </c>
      <c r="AJ398" s="1">
        <v>60</v>
      </c>
      <c r="AK398" s="1"/>
      <c r="AL398" s="1"/>
      <c r="AM398" s="1"/>
      <c r="AN398" s="1"/>
      <c r="AO398" s="1"/>
      <c r="AP398" s="1"/>
      <c r="AQ398" s="1"/>
      <c r="AR398" s="1" t="s">
        <v>98</v>
      </c>
      <c r="AS398" s="1" t="s">
        <v>2235</v>
      </c>
      <c r="AT398" s="1" t="s">
        <v>134</v>
      </c>
      <c r="AU398" s="1" t="s">
        <v>170</v>
      </c>
      <c r="AV398" s="1">
        <v>80.06</v>
      </c>
      <c r="AW398" s="1"/>
      <c r="AX398" s="1" t="s">
        <v>666</v>
      </c>
      <c r="AY398" s="1" t="s">
        <v>7796</v>
      </c>
      <c r="AZ398" s="1" t="s">
        <v>363</v>
      </c>
      <c r="BA398" s="1" t="s">
        <v>935</v>
      </c>
      <c r="BB398" s="1">
        <v>69.54</v>
      </c>
      <c r="BC398" s="1">
        <v>7.32</v>
      </c>
      <c r="BD398" s="1"/>
      <c r="BE398" s="1"/>
      <c r="BF398" s="1"/>
      <c r="BG398" s="1"/>
      <c r="BH398" s="1"/>
      <c r="BI398" s="1"/>
      <c r="BJ398" s="1" t="s">
        <v>3733</v>
      </c>
      <c r="BK398" s="1" t="s">
        <v>7797</v>
      </c>
      <c r="BL398" s="1" t="s">
        <v>1129</v>
      </c>
      <c r="BM398" s="1" t="s">
        <v>7798</v>
      </c>
      <c r="BN398" s="1">
        <v>8</v>
      </c>
      <c r="BO398" s="1"/>
      <c r="BP398" s="1" t="str">
        <f>HYPERLINK("https://nconnect.nicmar.ac.in/storage/profile/ProfilePhoto_P25700395_597218.jpg","Download")</f>
        <v>0</v>
      </c>
      <c r="BQ398" s="3"/>
      <c r="BR398" s="3"/>
    </row>
    <row r="399" spans="1:70">
      <c r="A399" s="1" t="s">
        <v>70</v>
      </c>
      <c r="B399" s="1" t="s">
        <v>441</v>
      </c>
      <c r="C399" s="1" t="s">
        <v>7799</v>
      </c>
      <c r="D399" s="1" t="s">
        <v>7800</v>
      </c>
      <c r="E399" s="1" t="s">
        <v>4321</v>
      </c>
      <c r="F399" s="1" t="s">
        <v>7801</v>
      </c>
      <c r="G399" s="1" t="s">
        <v>7802</v>
      </c>
      <c r="H399" s="1" t="s">
        <v>7803</v>
      </c>
      <c r="I399" s="1" t="s">
        <v>7804</v>
      </c>
      <c r="J399" s="1">
        <v>7666829049</v>
      </c>
      <c r="K399" s="1" t="s">
        <v>79</v>
      </c>
      <c r="L399" s="1" t="s">
        <v>7805</v>
      </c>
      <c r="M399" s="1" t="s">
        <v>81</v>
      </c>
      <c r="N399" s="1" t="s">
        <v>7806</v>
      </c>
      <c r="O399" s="1"/>
      <c r="P399" s="1" t="s">
        <v>472</v>
      </c>
      <c r="Q399" s="1" t="s">
        <v>7807</v>
      </c>
      <c r="R399" s="1" t="s">
        <v>7808</v>
      </c>
      <c r="S399" s="1">
        <v>9370789041</v>
      </c>
      <c r="T399" s="1" t="s">
        <v>7809</v>
      </c>
      <c r="U399" s="1" t="s">
        <v>7810</v>
      </c>
      <c r="V399" s="1">
        <v>9130823409</v>
      </c>
      <c r="W399" s="1" t="s">
        <v>156</v>
      </c>
      <c r="X399" s="1" t="s">
        <v>7811</v>
      </c>
      <c r="Y399" s="1" t="s">
        <v>5663</v>
      </c>
      <c r="Z399" s="1" t="s">
        <v>92</v>
      </c>
      <c r="AA399" s="1" t="s">
        <v>7811</v>
      </c>
      <c r="AB399" s="1" t="s">
        <v>5663</v>
      </c>
      <c r="AC399" s="1" t="s">
        <v>92</v>
      </c>
      <c r="AD399" s="1">
        <v>7.84</v>
      </c>
      <c r="AE399" s="1" t="s">
        <v>93</v>
      </c>
      <c r="AF399" s="1" t="s">
        <v>7812</v>
      </c>
      <c r="AG399" s="1" t="s">
        <v>777</v>
      </c>
      <c r="AH399" s="1" t="s">
        <v>166</v>
      </c>
      <c r="AI399" s="1" t="s">
        <v>308</v>
      </c>
      <c r="AJ399" s="1">
        <v>70.8</v>
      </c>
      <c r="AK399" s="1">
        <v>7.45</v>
      </c>
      <c r="AL399" s="1"/>
      <c r="AM399" s="1"/>
      <c r="AN399" s="1"/>
      <c r="AO399" s="1"/>
      <c r="AP399" s="1"/>
      <c r="AQ399" s="1"/>
      <c r="AR399" s="1" t="s">
        <v>98</v>
      </c>
      <c r="AS399" s="1" t="s">
        <v>7813</v>
      </c>
      <c r="AT399" s="1" t="s">
        <v>310</v>
      </c>
      <c r="AU399" s="1" t="s">
        <v>1378</v>
      </c>
      <c r="AV399" s="1">
        <v>85.11</v>
      </c>
      <c r="AW399" s="1"/>
      <c r="AX399" s="1" t="s">
        <v>7814</v>
      </c>
      <c r="AY399" s="1" t="s">
        <v>7815</v>
      </c>
      <c r="AZ399" s="1" t="s">
        <v>105</v>
      </c>
      <c r="BA399" s="1" t="s">
        <v>543</v>
      </c>
      <c r="BB399" s="1">
        <v>73.8</v>
      </c>
      <c r="BC399" s="1">
        <v>7.77</v>
      </c>
      <c r="BD399" s="1"/>
      <c r="BE399" s="1"/>
      <c r="BF399" s="1"/>
      <c r="BG399" s="1"/>
      <c r="BH399" s="1"/>
      <c r="BI399" s="1"/>
      <c r="BJ399" s="1" t="s">
        <v>567</v>
      </c>
      <c r="BK399" s="1"/>
      <c r="BL399" s="1"/>
      <c r="BM399" s="1" t="s">
        <v>7816</v>
      </c>
      <c r="BN399" s="1">
        <v>34</v>
      </c>
      <c r="BO399" s="1" t="s">
        <v>7817</v>
      </c>
      <c r="BP399" s="1" t="str">
        <f>HYPERLINK("https://nconnect.nicmar.ac.in/storage/profile/ProfilePhoto_P25700396_127438.jpg","Download")</f>
        <v>0</v>
      </c>
      <c r="BQ399" s="3"/>
      <c r="BR399" s="3"/>
    </row>
    <row r="400" spans="1:70">
      <c r="A400" s="1" t="s">
        <v>70</v>
      </c>
      <c r="B400" s="1" t="s">
        <v>441</v>
      </c>
      <c r="C400" s="1" t="s">
        <v>7818</v>
      </c>
      <c r="D400" s="1" t="s">
        <v>5470</v>
      </c>
      <c r="E400" s="1" t="s">
        <v>745</v>
      </c>
      <c r="F400" s="1" t="s">
        <v>7819</v>
      </c>
      <c r="G400" s="1" t="s">
        <v>7820</v>
      </c>
      <c r="H400" s="1" t="s">
        <v>7821</v>
      </c>
      <c r="I400" s="1" t="s">
        <v>7822</v>
      </c>
      <c r="J400" s="1">
        <v>8530265005</v>
      </c>
      <c r="K400" s="1" t="s">
        <v>79</v>
      </c>
      <c r="L400" s="1" t="s">
        <v>7823</v>
      </c>
      <c r="M400" s="1" t="s">
        <v>81</v>
      </c>
      <c r="N400" s="1" t="s">
        <v>7824</v>
      </c>
      <c r="O400" s="1"/>
      <c r="P400" s="1" t="s">
        <v>450</v>
      </c>
      <c r="Q400" s="1" t="s">
        <v>7825</v>
      </c>
      <c r="R400" s="1" t="s">
        <v>7826</v>
      </c>
      <c r="S400" s="1">
        <v>9689052282</v>
      </c>
      <c r="T400" s="1" t="s">
        <v>7827</v>
      </c>
      <c r="U400" s="1" t="s">
        <v>7828</v>
      </c>
      <c r="V400" s="1">
        <v>8080699685</v>
      </c>
      <c r="W400" s="1" t="s">
        <v>156</v>
      </c>
      <c r="X400" s="1" t="s">
        <v>7829</v>
      </c>
      <c r="Y400" s="1" t="s">
        <v>191</v>
      </c>
      <c r="Z400" s="1" t="s">
        <v>92</v>
      </c>
      <c r="AA400" s="1" t="s">
        <v>7830</v>
      </c>
      <c r="AB400" s="1" t="s">
        <v>1166</v>
      </c>
      <c r="AC400" s="1" t="s">
        <v>92</v>
      </c>
      <c r="AD400" s="1">
        <v>8.2</v>
      </c>
      <c r="AE400" s="1" t="s">
        <v>93</v>
      </c>
      <c r="AF400" s="1" t="s">
        <v>7831</v>
      </c>
      <c r="AG400" s="1" t="s">
        <v>7832</v>
      </c>
      <c r="AH400" s="1" t="s">
        <v>162</v>
      </c>
      <c r="AI400" s="1" t="s">
        <v>165</v>
      </c>
      <c r="AJ400" s="1">
        <v>64.2</v>
      </c>
      <c r="AK400" s="1"/>
      <c r="AL400" s="1"/>
      <c r="AM400" s="1"/>
      <c r="AN400" s="1"/>
      <c r="AO400" s="1"/>
      <c r="AP400" s="1"/>
      <c r="AQ400" s="1"/>
      <c r="AR400" s="1" t="s">
        <v>98</v>
      </c>
      <c r="AS400" s="1" t="s">
        <v>7833</v>
      </c>
      <c r="AT400" s="1" t="s">
        <v>225</v>
      </c>
      <c r="AU400" s="1" t="s">
        <v>170</v>
      </c>
      <c r="AV400" s="1">
        <v>80.68</v>
      </c>
      <c r="AW400" s="1"/>
      <c r="AX400" s="1" t="s">
        <v>361</v>
      </c>
      <c r="AY400" s="1" t="s">
        <v>7834</v>
      </c>
      <c r="AZ400" s="1" t="s">
        <v>363</v>
      </c>
      <c r="BA400" s="1" t="s">
        <v>174</v>
      </c>
      <c r="BB400" s="1">
        <v>74.48</v>
      </c>
      <c r="BC400" s="1">
        <v>8.29</v>
      </c>
      <c r="BD400" s="1"/>
      <c r="BE400" s="1"/>
      <c r="BF400" s="1"/>
      <c r="BG400" s="1"/>
      <c r="BH400" s="1"/>
      <c r="BI400" s="1"/>
      <c r="BJ400" s="1" t="s">
        <v>7835</v>
      </c>
      <c r="BK400" s="1" t="s">
        <v>7836</v>
      </c>
      <c r="BL400" s="1" t="s">
        <v>1129</v>
      </c>
      <c r="BM400" s="1" t="s">
        <v>7837</v>
      </c>
      <c r="BN400" s="1">
        <v>15</v>
      </c>
      <c r="BO400" s="1" t="s">
        <v>7838</v>
      </c>
      <c r="BP400" s="1" t="str">
        <f>HYPERLINK("https://nconnect.nicmar.ac.in/storage/profile/ProfilePhoto_P25700397_947536.jpg","Download")</f>
        <v>0</v>
      </c>
      <c r="BQ400" s="3"/>
      <c r="BR400" s="3"/>
    </row>
    <row r="401" spans="1:70">
      <c r="A401" s="1" t="s">
        <v>70</v>
      </c>
      <c r="B401" s="1" t="s">
        <v>441</v>
      </c>
      <c r="C401" s="1" t="s">
        <v>7839</v>
      </c>
      <c r="D401" s="1" t="s">
        <v>7840</v>
      </c>
      <c r="E401" s="1" t="s">
        <v>659</v>
      </c>
      <c r="F401" s="1" t="s">
        <v>745</v>
      </c>
      <c r="G401" s="1" t="s">
        <v>7841</v>
      </c>
      <c r="H401" s="1" t="s">
        <v>7842</v>
      </c>
      <c r="I401" s="1" t="s">
        <v>7843</v>
      </c>
      <c r="J401" s="1">
        <v>9307500543</v>
      </c>
      <c r="K401" s="1" t="s">
        <v>148</v>
      </c>
      <c r="L401" s="1" t="s">
        <v>7844</v>
      </c>
      <c r="M401" s="1" t="s">
        <v>81</v>
      </c>
      <c r="N401" s="1" t="s">
        <v>883</v>
      </c>
      <c r="O401" s="1"/>
      <c r="P401" s="1" t="s">
        <v>450</v>
      </c>
      <c r="Q401" s="1" t="s">
        <v>7845</v>
      </c>
      <c r="R401" s="1" t="s">
        <v>745</v>
      </c>
      <c r="S401" s="1">
        <v>9423266066</v>
      </c>
      <c r="T401" s="1" t="s">
        <v>820</v>
      </c>
      <c r="U401" s="1" t="s">
        <v>7846</v>
      </c>
      <c r="V401" s="1">
        <v>9403492325</v>
      </c>
      <c r="W401" s="1" t="s">
        <v>156</v>
      </c>
      <c r="X401" s="1" t="s">
        <v>7847</v>
      </c>
      <c r="Y401" s="1" t="s">
        <v>191</v>
      </c>
      <c r="Z401" s="1" t="s">
        <v>92</v>
      </c>
      <c r="AA401" s="1" t="s">
        <v>7848</v>
      </c>
      <c r="AB401" s="1" t="s">
        <v>5087</v>
      </c>
      <c r="AC401" s="1" t="s">
        <v>92</v>
      </c>
      <c r="AD401" s="1">
        <v>8.85</v>
      </c>
      <c r="AE401" s="1" t="s">
        <v>93</v>
      </c>
      <c r="AF401" s="1" t="s">
        <v>7849</v>
      </c>
      <c r="AG401" s="1" t="s">
        <v>616</v>
      </c>
      <c r="AH401" s="1" t="s">
        <v>101</v>
      </c>
      <c r="AI401" s="1" t="s">
        <v>433</v>
      </c>
      <c r="AJ401" s="1">
        <v>86.8</v>
      </c>
      <c r="AK401" s="1"/>
      <c r="AL401" s="1"/>
      <c r="AM401" s="1"/>
      <c r="AN401" s="1"/>
      <c r="AO401" s="1"/>
      <c r="AP401" s="1"/>
      <c r="AQ401" s="1"/>
      <c r="AR401" s="1" t="s">
        <v>98</v>
      </c>
      <c r="AS401" s="1" t="s">
        <v>7850</v>
      </c>
      <c r="AT401" s="1" t="s">
        <v>201</v>
      </c>
      <c r="AU401" s="1" t="s">
        <v>105</v>
      </c>
      <c r="AV401" s="1">
        <v>88.2</v>
      </c>
      <c r="AW401" s="1"/>
      <c r="AX401" s="1" t="s">
        <v>361</v>
      </c>
      <c r="AY401" s="1" t="s">
        <v>7113</v>
      </c>
      <c r="AZ401" s="1" t="s">
        <v>1864</v>
      </c>
      <c r="BA401" s="1" t="s">
        <v>829</v>
      </c>
      <c r="BB401" s="1">
        <v>79.16</v>
      </c>
      <c r="BC401" s="1">
        <v>8.68</v>
      </c>
      <c r="BD401" s="1"/>
      <c r="BE401" s="1"/>
      <c r="BF401" s="1"/>
      <c r="BG401" s="1"/>
      <c r="BH401" s="1"/>
      <c r="BI401" s="1"/>
      <c r="BJ401" s="1" t="s">
        <v>7234</v>
      </c>
      <c r="BK401" s="1"/>
      <c r="BL401" s="1"/>
      <c r="BM401" s="1" t="s">
        <v>7851</v>
      </c>
      <c r="BN401" s="1">
        <v>13</v>
      </c>
      <c r="BO401" s="1"/>
      <c r="BP401" s="1" t="str">
        <f>HYPERLINK("https://nconnect.nicmar.ac.in/storage/profile/ProfilePhoto_P25700398_439256.jpg","Download")</f>
        <v>0</v>
      </c>
      <c r="BQ401" s="3"/>
      <c r="BR401" s="3"/>
    </row>
    <row r="402" spans="1:70">
      <c r="A402" s="1" t="s">
        <v>70</v>
      </c>
      <c r="B402" s="1" t="s">
        <v>441</v>
      </c>
      <c r="C402" s="1" t="s">
        <v>7852</v>
      </c>
      <c r="D402" s="1" t="s">
        <v>490</v>
      </c>
      <c r="E402" s="1" t="s">
        <v>7853</v>
      </c>
      <c r="F402" s="1" t="s">
        <v>7854</v>
      </c>
      <c r="G402" s="1" t="s">
        <v>7855</v>
      </c>
      <c r="H402" s="1" t="s">
        <v>7856</v>
      </c>
      <c r="I402" s="1" t="s">
        <v>7857</v>
      </c>
      <c r="J402" s="1">
        <v>7899767043</v>
      </c>
      <c r="K402" s="1" t="s">
        <v>79</v>
      </c>
      <c r="L402" s="1" t="s">
        <v>7858</v>
      </c>
      <c r="M402" s="1" t="s">
        <v>81</v>
      </c>
      <c r="N402" s="1" t="s">
        <v>7859</v>
      </c>
      <c r="O402" s="1"/>
      <c r="P402" s="1" t="s">
        <v>450</v>
      </c>
      <c r="Q402" s="1" t="s">
        <v>7860</v>
      </c>
      <c r="R402" s="1" t="s">
        <v>7861</v>
      </c>
      <c r="S402" s="1">
        <v>9945817044</v>
      </c>
      <c r="T402" s="1" t="s">
        <v>7862</v>
      </c>
      <c r="U402" s="1" t="s">
        <v>7863</v>
      </c>
      <c r="V402" s="1">
        <v>9008951479</v>
      </c>
      <c r="W402" s="1" t="s">
        <v>273</v>
      </c>
      <c r="X402" s="1" t="s">
        <v>7864</v>
      </c>
      <c r="Y402" s="1" t="s">
        <v>1918</v>
      </c>
      <c r="Z402" s="1" t="s">
        <v>1187</v>
      </c>
      <c r="AA402" s="1" t="s">
        <v>7864</v>
      </c>
      <c r="AB402" s="1" t="s">
        <v>1918</v>
      </c>
      <c r="AC402" s="1" t="s">
        <v>1187</v>
      </c>
      <c r="AD402" s="1">
        <v>8.49</v>
      </c>
      <c r="AE402" s="1" t="s">
        <v>93</v>
      </c>
      <c r="AF402" s="1" t="s">
        <v>7865</v>
      </c>
      <c r="AG402" s="1" t="s">
        <v>1920</v>
      </c>
      <c r="AH402" s="1" t="s">
        <v>101</v>
      </c>
      <c r="AI402" s="1" t="s">
        <v>537</v>
      </c>
      <c r="AJ402" s="1">
        <v>78.4</v>
      </c>
      <c r="AK402" s="1"/>
      <c r="AL402" s="1"/>
      <c r="AM402" s="1"/>
      <c r="AN402" s="1"/>
      <c r="AO402" s="1"/>
      <c r="AP402" s="1"/>
      <c r="AQ402" s="1"/>
      <c r="AR402" s="1" t="s">
        <v>434</v>
      </c>
      <c r="AS402" s="1" t="s">
        <v>7866</v>
      </c>
      <c r="AT402" s="1" t="s">
        <v>433</v>
      </c>
      <c r="AU402" s="1" t="s">
        <v>511</v>
      </c>
      <c r="AV402" s="1">
        <v>78.43</v>
      </c>
      <c r="AW402" s="1"/>
      <c r="AX402" s="1" t="s">
        <v>1194</v>
      </c>
      <c r="AY402" s="1" t="s">
        <v>7867</v>
      </c>
      <c r="AZ402" s="1" t="s">
        <v>2775</v>
      </c>
      <c r="BA402" s="1" t="s">
        <v>543</v>
      </c>
      <c r="BB402" s="1">
        <v>80.6</v>
      </c>
      <c r="BC402" s="1">
        <v>8.06</v>
      </c>
      <c r="BD402" s="1"/>
      <c r="BE402" s="1"/>
      <c r="BF402" s="1"/>
      <c r="BG402" s="1"/>
      <c r="BH402" s="1"/>
      <c r="BI402" s="1"/>
      <c r="BJ402" s="1" t="s">
        <v>7868</v>
      </c>
      <c r="BK402" s="1"/>
      <c r="BL402" s="1"/>
      <c r="BM402" s="1" t="s">
        <v>7869</v>
      </c>
      <c r="BN402" s="1">
        <v>15</v>
      </c>
      <c r="BO402" s="1" t="s">
        <v>7870</v>
      </c>
      <c r="BP402" s="1" t="str">
        <f>HYPERLINK("https://nconnect.nicmar.ac.in/storage/profile/ProfilePhoto_P25700399_623841.jpg","Download")</f>
        <v>0</v>
      </c>
      <c r="BQ402" s="3"/>
      <c r="BR402" s="3"/>
    </row>
    <row r="403" spans="1:70">
      <c r="A403" s="1" t="s">
        <v>70</v>
      </c>
      <c r="B403" s="1" t="s">
        <v>441</v>
      </c>
      <c r="C403" s="1" t="s">
        <v>7871</v>
      </c>
      <c r="D403" s="1" t="s">
        <v>7872</v>
      </c>
      <c r="E403" s="1" t="s">
        <v>7873</v>
      </c>
      <c r="F403" s="1" t="s">
        <v>4970</v>
      </c>
      <c r="G403" s="1" t="s">
        <v>7874</v>
      </c>
      <c r="H403" s="1" t="s">
        <v>7875</v>
      </c>
      <c r="I403" s="1" t="s">
        <v>7876</v>
      </c>
      <c r="J403" s="1">
        <v>8698165098</v>
      </c>
      <c r="K403" s="1" t="s">
        <v>79</v>
      </c>
      <c r="L403" s="1" t="s">
        <v>7877</v>
      </c>
      <c r="M403" s="1" t="s">
        <v>81</v>
      </c>
      <c r="N403" s="1" t="s">
        <v>7455</v>
      </c>
      <c r="O403" s="1"/>
      <c r="P403" s="1" t="s">
        <v>450</v>
      </c>
      <c r="Q403" s="1" t="s">
        <v>7878</v>
      </c>
      <c r="R403" s="1" t="s">
        <v>4970</v>
      </c>
      <c r="S403" s="1">
        <v>9922671642</v>
      </c>
      <c r="T403" s="1" t="s">
        <v>4659</v>
      </c>
      <c r="U403" s="1" t="s">
        <v>7879</v>
      </c>
      <c r="V403" s="1">
        <v>8669566807</v>
      </c>
      <c r="W403" s="1" t="s">
        <v>273</v>
      </c>
      <c r="X403" s="1" t="s">
        <v>7880</v>
      </c>
      <c r="Y403" s="1" t="s">
        <v>1963</v>
      </c>
      <c r="Z403" s="1" t="s">
        <v>92</v>
      </c>
      <c r="AA403" s="1" t="s">
        <v>7880</v>
      </c>
      <c r="AB403" s="1" t="s">
        <v>1963</v>
      </c>
      <c r="AC403" s="1" t="s">
        <v>92</v>
      </c>
      <c r="AD403" s="1">
        <v>7.93</v>
      </c>
      <c r="AE403" s="1" t="s">
        <v>93</v>
      </c>
      <c r="AF403" s="1" t="s">
        <v>7881</v>
      </c>
      <c r="AG403" s="1" t="s">
        <v>160</v>
      </c>
      <c r="AH403" s="1" t="s">
        <v>162</v>
      </c>
      <c r="AI403" s="1" t="s">
        <v>409</v>
      </c>
      <c r="AJ403" s="1">
        <v>68.2</v>
      </c>
      <c r="AK403" s="1"/>
      <c r="AL403" s="1"/>
      <c r="AM403" s="1"/>
      <c r="AN403" s="1"/>
      <c r="AO403" s="1"/>
      <c r="AP403" s="1"/>
      <c r="AQ403" s="1"/>
      <c r="AR403" s="1" t="s">
        <v>434</v>
      </c>
      <c r="AS403" s="1" t="s">
        <v>7882</v>
      </c>
      <c r="AT403" s="1" t="s">
        <v>201</v>
      </c>
      <c r="AU403" s="1" t="s">
        <v>105</v>
      </c>
      <c r="AV403" s="1">
        <v>84.7</v>
      </c>
      <c r="AW403" s="1"/>
      <c r="AX403" s="1" t="s">
        <v>7883</v>
      </c>
      <c r="AY403" s="1" t="s">
        <v>7884</v>
      </c>
      <c r="AZ403" s="1" t="s">
        <v>1864</v>
      </c>
      <c r="BA403" s="1" t="s">
        <v>829</v>
      </c>
      <c r="BB403" s="1">
        <v>64.2</v>
      </c>
      <c r="BC403" s="1">
        <v>7.17</v>
      </c>
      <c r="BD403" s="1"/>
      <c r="BE403" s="1"/>
      <c r="BF403" s="1"/>
      <c r="BG403" s="1"/>
      <c r="BH403" s="1"/>
      <c r="BI403" s="1"/>
      <c r="BJ403" s="1" t="s">
        <v>7234</v>
      </c>
      <c r="BK403" s="1"/>
      <c r="BL403" s="1"/>
      <c r="BM403" s="1" t="s">
        <v>7885</v>
      </c>
      <c r="BN403" s="1">
        <v>12</v>
      </c>
      <c r="BO403" s="1"/>
      <c r="BP403" s="1" t="str">
        <f>HYPERLINK("https://nconnect.nicmar.ac.in/storage/profile/ProfilePhoto_P25700400_638452.jpg","Download")</f>
        <v>0</v>
      </c>
      <c r="BQ403" s="3"/>
      <c r="BR403" s="3"/>
    </row>
    <row r="404" spans="1:70">
      <c r="A404" s="1" t="s">
        <v>70</v>
      </c>
      <c r="B404" s="1" t="s">
        <v>441</v>
      </c>
      <c r="C404" s="1" t="s">
        <v>7886</v>
      </c>
      <c r="D404" s="1" t="s">
        <v>7887</v>
      </c>
      <c r="E404" s="1" t="s">
        <v>3061</v>
      </c>
      <c r="F404" s="1" t="s">
        <v>1156</v>
      </c>
      <c r="G404" s="1" t="s">
        <v>7888</v>
      </c>
      <c r="H404" s="1" t="s">
        <v>7889</v>
      </c>
      <c r="I404" s="1" t="s">
        <v>7890</v>
      </c>
      <c r="J404" s="1">
        <v>8484048841</v>
      </c>
      <c r="K404" s="1" t="s">
        <v>79</v>
      </c>
      <c r="L404" s="1" t="s">
        <v>7891</v>
      </c>
      <c r="M404" s="1" t="s">
        <v>81</v>
      </c>
      <c r="N404" s="1" t="s">
        <v>7892</v>
      </c>
      <c r="O404" s="1"/>
      <c r="P404" s="1" t="s">
        <v>450</v>
      </c>
      <c r="Q404" s="1" t="s">
        <v>7893</v>
      </c>
      <c r="R404" s="1" t="s">
        <v>3061</v>
      </c>
      <c r="S404" s="1">
        <v>9689268062</v>
      </c>
      <c r="T404" s="1" t="s">
        <v>7894</v>
      </c>
      <c r="U404" s="1" t="s">
        <v>7895</v>
      </c>
      <c r="V404" s="1">
        <v>7030575878</v>
      </c>
      <c r="W404" s="1" t="s">
        <v>7894</v>
      </c>
      <c r="X404" s="1" t="s">
        <v>7896</v>
      </c>
      <c r="Y404" s="1" t="s">
        <v>7897</v>
      </c>
      <c r="Z404" s="1" t="s">
        <v>92</v>
      </c>
      <c r="AA404" s="1" t="s">
        <v>7898</v>
      </c>
      <c r="AB404" s="1" t="s">
        <v>7897</v>
      </c>
      <c r="AC404" s="1" t="s">
        <v>92</v>
      </c>
      <c r="AD404" s="1">
        <v>7.87</v>
      </c>
      <c r="AE404" s="1" t="s">
        <v>93</v>
      </c>
      <c r="AF404" s="1" t="s">
        <v>7899</v>
      </c>
      <c r="AG404" s="1" t="s">
        <v>160</v>
      </c>
      <c r="AH404" s="1" t="s">
        <v>162</v>
      </c>
      <c r="AI404" s="1" t="s">
        <v>383</v>
      </c>
      <c r="AJ404" s="1">
        <v>92.4</v>
      </c>
      <c r="AK404" s="1"/>
      <c r="AL404" s="1" t="s">
        <v>7900</v>
      </c>
      <c r="AM404" s="1" t="s">
        <v>7354</v>
      </c>
      <c r="AN404" s="1" t="s">
        <v>1043</v>
      </c>
      <c r="AO404" s="1" t="s">
        <v>310</v>
      </c>
      <c r="AP404" s="1">
        <v>71.08</v>
      </c>
      <c r="AQ404" s="1"/>
      <c r="AR404" s="1"/>
      <c r="AS404" s="1"/>
      <c r="AT404" s="1"/>
      <c r="AU404" s="1"/>
      <c r="AV404" s="1"/>
      <c r="AW404" s="1"/>
      <c r="AX404" s="1" t="s">
        <v>361</v>
      </c>
      <c r="AY404" s="1" t="s">
        <v>7901</v>
      </c>
      <c r="AZ404" s="1" t="s">
        <v>201</v>
      </c>
      <c r="BA404" s="1" t="s">
        <v>174</v>
      </c>
      <c r="BB404" s="1">
        <v>71.2</v>
      </c>
      <c r="BC404" s="1">
        <v>7.87</v>
      </c>
      <c r="BD404" s="1"/>
      <c r="BE404" s="1"/>
      <c r="BF404" s="1"/>
      <c r="BG404" s="1"/>
      <c r="BH404" s="1"/>
      <c r="BI404" s="1"/>
      <c r="BJ404" s="1" t="s">
        <v>2547</v>
      </c>
      <c r="BK404" s="1" t="s">
        <v>7902</v>
      </c>
      <c r="BL404" s="1" t="s">
        <v>7903</v>
      </c>
      <c r="BM404" s="1" t="s">
        <v>7904</v>
      </c>
      <c r="BN404" s="1">
        <v>43</v>
      </c>
      <c r="BO404" s="1" t="s">
        <v>7905</v>
      </c>
      <c r="BP404" s="1" t="str">
        <f>HYPERLINK("https://nconnect.nicmar.ac.in/storage/profile/ProfilePhoto_P25700401_764591.jpg","Download")</f>
        <v>0</v>
      </c>
      <c r="BQ404" s="3"/>
      <c r="BR404" s="3"/>
    </row>
    <row r="405" spans="1:70">
      <c r="A405" s="1" t="s">
        <v>70</v>
      </c>
      <c r="B405" s="1" t="s">
        <v>441</v>
      </c>
      <c r="C405" s="1" t="s">
        <v>7906</v>
      </c>
      <c r="D405" s="1" t="s">
        <v>4711</v>
      </c>
      <c r="E405" s="1"/>
      <c r="F405" s="1" t="s">
        <v>520</v>
      </c>
      <c r="G405" s="1" t="s">
        <v>7907</v>
      </c>
      <c r="H405" s="1" t="s">
        <v>7908</v>
      </c>
      <c r="I405" s="1" t="s">
        <v>7909</v>
      </c>
      <c r="J405" s="1">
        <v>7302951885</v>
      </c>
      <c r="K405" s="1" t="s">
        <v>79</v>
      </c>
      <c r="L405" s="1" t="s">
        <v>7910</v>
      </c>
      <c r="M405" s="1" t="s">
        <v>81</v>
      </c>
      <c r="N405" s="1" t="s">
        <v>82</v>
      </c>
      <c r="O405" s="1"/>
      <c r="P405" s="1" t="s">
        <v>1007</v>
      </c>
      <c r="Q405" s="1" t="s">
        <v>7911</v>
      </c>
      <c r="R405" s="1" t="s">
        <v>7912</v>
      </c>
      <c r="S405" s="1">
        <v>9634332185</v>
      </c>
      <c r="T405" s="1" t="s">
        <v>529</v>
      </c>
      <c r="U405" s="1" t="s">
        <v>7913</v>
      </c>
      <c r="V405" s="1">
        <v>8266970780</v>
      </c>
      <c r="W405" s="1" t="s">
        <v>156</v>
      </c>
      <c r="X405" s="1" t="s">
        <v>7914</v>
      </c>
      <c r="Y405" s="1" t="s">
        <v>7915</v>
      </c>
      <c r="Z405" s="1" t="s">
        <v>7916</v>
      </c>
      <c r="AA405" s="1" t="s">
        <v>7914</v>
      </c>
      <c r="AB405" s="1" t="s">
        <v>7915</v>
      </c>
      <c r="AC405" s="1" t="s">
        <v>7916</v>
      </c>
      <c r="AD405" s="1">
        <v>8.38</v>
      </c>
      <c r="AE405" s="1" t="s">
        <v>93</v>
      </c>
      <c r="AF405" s="1" t="s">
        <v>7917</v>
      </c>
      <c r="AG405" s="1" t="s">
        <v>7918</v>
      </c>
      <c r="AH405" s="1" t="s">
        <v>689</v>
      </c>
      <c r="AI405" s="1" t="s">
        <v>166</v>
      </c>
      <c r="AJ405" s="1">
        <v>77</v>
      </c>
      <c r="AK405" s="1"/>
      <c r="AL405" s="1" t="s">
        <v>7917</v>
      </c>
      <c r="AM405" s="1" t="s">
        <v>7918</v>
      </c>
      <c r="AN405" s="1" t="s">
        <v>537</v>
      </c>
      <c r="AO405" s="1" t="s">
        <v>173</v>
      </c>
      <c r="AP405" s="1">
        <v>77</v>
      </c>
      <c r="AQ405" s="1"/>
      <c r="AR405" s="1"/>
      <c r="AS405" s="1"/>
      <c r="AT405" s="1"/>
      <c r="AU405" s="1"/>
      <c r="AV405" s="1"/>
      <c r="AW405" s="1"/>
      <c r="AX405" s="1" t="s">
        <v>7919</v>
      </c>
      <c r="AY405" s="1" t="s">
        <v>7920</v>
      </c>
      <c r="AZ405" s="1" t="s">
        <v>871</v>
      </c>
      <c r="BA405" s="1" t="s">
        <v>1067</v>
      </c>
      <c r="BB405" s="1">
        <v>73.47</v>
      </c>
      <c r="BC405" s="1"/>
      <c r="BD405" s="1"/>
      <c r="BE405" s="1"/>
      <c r="BF405" s="1"/>
      <c r="BG405" s="1"/>
      <c r="BH405" s="1"/>
      <c r="BI405" s="1"/>
      <c r="BJ405" s="1" t="s">
        <v>7921</v>
      </c>
      <c r="BK405" s="1"/>
      <c r="BL405" s="1"/>
      <c r="BM405" s="1" t="s">
        <v>7922</v>
      </c>
      <c r="BN405" s="1">
        <v>17</v>
      </c>
      <c r="BO405" s="1" t="s">
        <v>7923</v>
      </c>
      <c r="BP405" s="1" t="str">
        <f>HYPERLINK("https://nconnect.nicmar.ac.in/storage/profile/ProfilePhoto_P25700402_718253.jpg","Download")</f>
        <v>0</v>
      </c>
      <c r="BQ405" s="3"/>
      <c r="BR405" s="3"/>
    </row>
    <row r="406" spans="1:70">
      <c r="A406" s="1" t="s">
        <v>70</v>
      </c>
      <c r="B406" s="1" t="s">
        <v>441</v>
      </c>
      <c r="C406" s="1" t="s">
        <v>7924</v>
      </c>
      <c r="D406" s="1" t="s">
        <v>7280</v>
      </c>
      <c r="E406" s="1"/>
      <c r="F406" s="1" t="s">
        <v>7925</v>
      </c>
      <c r="G406" s="1" t="s">
        <v>7926</v>
      </c>
      <c r="H406" s="1" t="s">
        <v>7927</v>
      </c>
      <c r="I406" s="1" t="s">
        <v>7928</v>
      </c>
      <c r="J406" s="1">
        <v>8085725222</v>
      </c>
      <c r="K406" s="1" t="s">
        <v>79</v>
      </c>
      <c r="L406" s="1" t="s">
        <v>7929</v>
      </c>
      <c r="M406" s="1" t="s">
        <v>81</v>
      </c>
      <c r="N406" s="1" t="s">
        <v>7930</v>
      </c>
      <c r="O406" s="1"/>
      <c r="P406" s="1" t="s">
        <v>450</v>
      </c>
      <c r="Q406" s="1" t="s">
        <v>7931</v>
      </c>
      <c r="R406" s="1" t="s">
        <v>7932</v>
      </c>
      <c r="S406" s="1">
        <v>9826289522</v>
      </c>
      <c r="T406" s="1" t="s">
        <v>820</v>
      </c>
      <c r="U406" s="1" t="s">
        <v>7933</v>
      </c>
      <c r="V406" s="1">
        <v>9826557992</v>
      </c>
      <c r="W406" s="1" t="s">
        <v>156</v>
      </c>
      <c r="X406" s="1" t="s">
        <v>7934</v>
      </c>
      <c r="Y406" s="1" t="s">
        <v>7935</v>
      </c>
      <c r="Z406" s="1" t="s">
        <v>3437</v>
      </c>
      <c r="AA406" s="1" t="s">
        <v>7934</v>
      </c>
      <c r="AB406" s="1" t="s">
        <v>7935</v>
      </c>
      <c r="AC406" s="1" t="s">
        <v>3437</v>
      </c>
      <c r="AD406" s="1">
        <v>8.59</v>
      </c>
      <c r="AE406" s="1" t="s">
        <v>93</v>
      </c>
      <c r="AF406" s="1" t="s">
        <v>7936</v>
      </c>
      <c r="AG406" s="1" t="s">
        <v>7937</v>
      </c>
      <c r="AH406" s="1" t="s">
        <v>481</v>
      </c>
      <c r="AI406" s="1" t="s">
        <v>308</v>
      </c>
      <c r="AJ406" s="1">
        <v>82.4</v>
      </c>
      <c r="AK406" s="1">
        <v>8.67</v>
      </c>
      <c r="AL406" s="1" t="s">
        <v>7936</v>
      </c>
      <c r="AM406" s="1" t="s">
        <v>7937</v>
      </c>
      <c r="AN406" s="1" t="s">
        <v>956</v>
      </c>
      <c r="AO406" s="1" t="s">
        <v>539</v>
      </c>
      <c r="AP406" s="1">
        <v>91.2</v>
      </c>
      <c r="AQ406" s="1">
        <v>9.6</v>
      </c>
      <c r="AR406" s="1"/>
      <c r="AS406" s="1"/>
      <c r="AT406" s="1"/>
      <c r="AU406" s="1"/>
      <c r="AV406" s="1"/>
      <c r="AW406" s="1"/>
      <c r="AX406" s="1" t="s">
        <v>7938</v>
      </c>
      <c r="AY406" s="1" t="s">
        <v>7939</v>
      </c>
      <c r="AZ406" s="1" t="s">
        <v>852</v>
      </c>
      <c r="BA406" s="1" t="s">
        <v>829</v>
      </c>
      <c r="BB406" s="1">
        <v>82.36</v>
      </c>
      <c r="BC406" s="1">
        <v>8.67</v>
      </c>
      <c r="BD406" s="1"/>
      <c r="BE406" s="1"/>
      <c r="BF406" s="1"/>
      <c r="BG406" s="1"/>
      <c r="BH406" s="1"/>
      <c r="BI406" s="1"/>
      <c r="BJ406" s="1" t="s">
        <v>7940</v>
      </c>
      <c r="BK406" s="1"/>
      <c r="BL406" s="1"/>
      <c r="BM406" s="1" t="s">
        <v>7941</v>
      </c>
      <c r="BN406" s="1">
        <v>15</v>
      </c>
      <c r="BO406" s="1" t="s">
        <v>7942</v>
      </c>
      <c r="BP406" s="1" t="str">
        <f>HYPERLINK("https://nconnect.nicmar.ac.in/storage/profile/ProfilePhoto_P25700403_273965.jpg","Download")</f>
        <v>0</v>
      </c>
      <c r="BQ406" s="3"/>
      <c r="BR406" s="3"/>
    </row>
    <row r="407" spans="1:70">
      <c r="A407" s="1" t="s">
        <v>70</v>
      </c>
      <c r="B407" s="1" t="s">
        <v>441</v>
      </c>
      <c r="C407" s="1" t="s">
        <v>7943</v>
      </c>
      <c r="D407" s="1" t="s">
        <v>7944</v>
      </c>
      <c r="E407" s="1" t="s">
        <v>2071</v>
      </c>
      <c r="F407" s="1" t="s">
        <v>7945</v>
      </c>
      <c r="G407" s="1" t="s">
        <v>7946</v>
      </c>
      <c r="H407" s="1" t="s">
        <v>7947</v>
      </c>
      <c r="I407" s="1" t="s">
        <v>7948</v>
      </c>
      <c r="J407" s="1">
        <v>9823574514</v>
      </c>
      <c r="K407" s="1" t="s">
        <v>79</v>
      </c>
      <c r="L407" s="1" t="s">
        <v>7949</v>
      </c>
      <c r="M407" s="1" t="s">
        <v>81</v>
      </c>
      <c r="N407" s="1" t="s">
        <v>605</v>
      </c>
      <c r="O407" s="1"/>
      <c r="P407" s="1" t="s">
        <v>1007</v>
      </c>
      <c r="Q407" s="1" t="s">
        <v>7950</v>
      </c>
      <c r="R407" s="1" t="s">
        <v>7951</v>
      </c>
      <c r="S407" s="1">
        <v>9823594114</v>
      </c>
      <c r="T407" s="1" t="s">
        <v>2101</v>
      </c>
      <c r="U407" s="1" t="s">
        <v>7952</v>
      </c>
      <c r="V407" s="1">
        <v>9022477348</v>
      </c>
      <c r="W407" s="1" t="s">
        <v>89</v>
      </c>
      <c r="X407" s="1" t="s">
        <v>7953</v>
      </c>
      <c r="Y407" s="1" t="s">
        <v>91</v>
      </c>
      <c r="Z407" s="1" t="s">
        <v>92</v>
      </c>
      <c r="AA407" s="1" t="s">
        <v>7953</v>
      </c>
      <c r="AB407" s="1" t="s">
        <v>91</v>
      </c>
      <c r="AC407" s="1" t="s">
        <v>92</v>
      </c>
      <c r="AD407" s="1">
        <v>7.69</v>
      </c>
      <c r="AE407" s="1" t="s">
        <v>93</v>
      </c>
      <c r="AF407" s="1" t="s">
        <v>954</v>
      </c>
      <c r="AG407" s="1" t="s">
        <v>7954</v>
      </c>
      <c r="AH407" s="1" t="s">
        <v>7319</v>
      </c>
      <c r="AI407" s="1" t="s">
        <v>101</v>
      </c>
      <c r="AJ407" s="1">
        <v>69.83</v>
      </c>
      <c r="AK407" s="1"/>
      <c r="AL407" s="1" t="s">
        <v>7955</v>
      </c>
      <c r="AM407" s="1" t="s">
        <v>160</v>
      </c>
      <c r="AN407" s="1" t="s">
        <v>101</v>
      </c>
      <c r="AO407" s="1" t="s">
        <v>460</v>
      </c>
      <c r="AP407" s="1">
        <v>62.31</v>
      </c>
      <c r="AQ407" s="1"/>
      <c r="AR407" s="1"/>
      <c r="AS407" s="1"/>
      <c r="AT407" s="1"/>
      <c r="AU407" s="1"/>
      <c r="AV407" s="1"/>
      <c r="AW407" s="1"/>
      <c r="AX407" s="1" t="s">
        <v>102</v>
      </c>
      <c r="AY407" s="1" t="s">
        <v>7956</v>
      </c>
      <c r="AZ407" s="1" t="s">
        <v>363</v>
      </c>
      <c r="BA407" s="1" t="s">
        <v>1067</v>
      </c>
      <c r="BB407" s="1">
        <v>64.5</v>
      </c>
      <c r="BC407" s="1">
        <v>6.95</v>
      </c>
      <c r="BD407" s="1"/>
      <c r="BE407" s="1"/>
      <c r="BF407" s="1"/>
      <c r="BG407" s="1"/>
      <c r="BH407" s="1"/>
      <c r="BI407" s="1"/>
      <c r="BJ407" s="1" t="s">
        <v>567</v>
      </c>
      <c r="BK407" s="1"/>
      <c r="BL407" s="1"/>
      <c r="BM407" s="1" t="s">
        <v>7957</v>
      </c>
      <c r="BN407" s="1">
        <v>21</v>
      </c>
      <c r="BO407" s="1" t="s">
        <v>830</v>
      </c>
      <c r="BP407" s="1" t="str">
        <f>HYPERLINK("https://nconnect.nicmar.ac.in/storage/profile/ProfilePhoto_P25700404_821954.jpg","Download")</f>
        <v>0</v>
      </c>
      <c r="BQ407" s="3"/>
      <c r="BR407" s="3"/>
    </row>
    <row r="408" spans="1:70">
      <c r="A408" s="1" t="s">
        <v>70</v>
      </c>
      <c r="B408" s="1" t="s">
        <v>441</v>
      </c>
      <c r="C408" s="1" t="s">
        <v>7958</v>
      </c>
      <c r="D408" s="1" t="s">
        <v>7959</v>
      </c>
      <c r="E408" s="1"/>
      <c r="F408" s="1" t="s">
        <v>7960</v>
      </c>
      <c r="G408" s="1" t="s">
        <v>7961</v>
      </c>
      <c r="H408" s="1" t="s">
        <v>7962</v>
      </c>
      <c r="I408" s="1" t="s">
        <v>7963</v>
      </c>
      <c r="J408" s="1">
        <v>8891658174</v>
      </c>
      <c r="K408" s="1" t="s">
        <v>148</v>
      </c>
      <c r="L408" s="1" t="s">
        <v>7964</v>
      </c>
      <c r="M408" s="1" t="s">
        <v>81</v>
      </c>
      <c r="N408" s="1" t="s">
        <v>7046</v>
      </c>
      <c r="O408" s="1"/>
      <c r="P408" s="1" t="s">
        <v>450</v>
      </c>
      <c r="Q408" s="1" t="s">
        <v>7965</v>
      </c>
      <c r="R408" s="1" t="s">
        <v>7966</v>
      </c>
      <c r="S408" s="1">
        <v>9567129624</v>
      </c>
      <c r="T408" s="1" t="s">
        <v>7967</v>
      </c>
      <c r="U408" s="1" t="s">
        <v>7968</v>
      </c>
      <c r="V408" s="1">
        <v>9446748024</v>
      </c>
      <c r="W408" s="1" t="s">
        <v>531</v>
      </c>
      <c r="X408" s="1" t="s">
        <v>7969</v>
      </c>
      <c r="Y408" s="1" t="s">
        <v>686</v>
      </c>
      <c r="Z408" s="1" t="s">
        <v>125</v>
      </c>
      <c r="AA408" s="1" t="s">
        <v>7969</v>
      </c>
      <c r="AB408" s="1" t="s">
        <v>686</v>
      </c>
      <c r="AC408" s="1" t="s">
        <v>125</v>
      </c>
      <c r="AD408" s="1">
        <v>8.05</v>
      </c>
      <c r="AE408" s="1" t="s">
        <v>93</v>
      </c>
      <c r="AF408" s="1" t="s">
        <v>7970</v>
      </c>
      <c r="AG408" s="1" t="s">
        <v>7971</v>
      </c>
      <c r="AH408" s="1" t="s">
        <v>101</v>
      </c>
      <c r="AI408" s="1" t="s">
        <v>308</v>
      </c>
      <c r="AJ408" s="1">
        <v>81.8</v>
      </c>
      <c r="AK408" s="1"/>
      <c r="AL408" s="1" t="s">
        <v>7972</v>
      </c>
      <c r="AM408" s="1" t="s">
        <v>5974</v>
      </c>
      <c r="AN408" s="1" t="s">
        <v>433</v>
      </c>
      <c r="AO408" s="1" t="s">
        <v>539</v>
      </c>
      <c r="AP408" s="1">
        <v>86.41</v>
      </c>
      <c r="AQ408" s="1"/>
      <c r="AR408" s="1"/>
      <c r="AS408" s="1"/>
      <c r="AT408" s="1"/>
      <c r="AU408" s="1"/>
      <c r="AV408" s="1"/>
      <c r="AW408" s="1"/>
      <c r="AX408" s="1" t="s">
        <v>132</v>
      </c>
      <c r="AY408" s="1" t="s">
        <v>7973</v>
      </c>
      <c r="AZ408" s="1" t="s">
        <v>2273</v>
      </c>
      <c r="BA408" s="1" t="s">
        <v>594</v>
      </c>
      <c r="BB408" s="1">
        <v>71.7</v>
      </c>
      <c r="BC408" s="1">
        <v>7.17</v>
      </c>
      <c r="BD408" s="1"/>
      <c r="BE408" s="1"/>
      <c r="BF408" s="1"/>
      <c r="BG408" s="1"/>
      <c r="BH408" s="1"/>
      <c r="BI408" s="1"/>
      <c r="BJ408" s="1" t="s">
        <v>7974</v>
      </c>
      <c r="BK408" s="1"/>
      <c r="BL408" s="1"/>
      <c r="BM408" s="1" t="s">
        <v>7975</v>
      </c>
      <c r="BN408" s="1">
        <v>8</v>
      </c>
      <c r="BO408" s="1"/>
      <c r="BP408" s="1" t="str">
        <f>HYPERLINK("https://nconnect.nicmar.ac.in/storage/profile/ProfilePhoto_P25700405_326714.jpg","Download")</f>
        <v>0</v>
      </c>
      <c r="BQ408" s="3"/>
      <c r="BR408" s="3"/>
    </row>
    <row r="409" spans="1:70">
      <c r="A409" s="1" t="s">
        <v>70</v>
      </c>
      <c r="B409" s="1" t="s">
        <v>441</v>
      </c>
      <c r="C409" s="1" t="s">
        <v>7976</v>
      </c>
      <c r="D409" s="1" t="s">
        <v>7977</v>
      </c>
      <c r="E409" s="1"/>
      <c r="F409" s="1" t="s">
        <v>7978</v>
      </c>
      <c r="G409" s="1" t="s">
        <v>7979</v>
      </c>
      <c r="H409" s="1" t="s">
        <v>7980</v>
      </c>
      <c r="I409" s="1" t="s">
        <v>7981</v>
      </c>
      <c r="J409" s="1">
        <v>7024932567</v>
      </c>
      <c r="K409" s="1" t="s">
        <v>79</v>
      </c>
      <c r="L409" s="1" t="s">
        <v>7982</v>
      </c>
      <c r="M409" s="1" t="s">
        <v>81</v>
      </c>
      <c r="N409" s="1" t="s">
        <v>6387</v>
      </c>
      <c r="O409" s="1"/>
      <c r="P409" s="1" t="s">
        <v>450</v>
      </c>
      <c r="Q409" s="1" t="s">
        <v>7983</v>
      </c>
      <c r="R409" s="1" t="s">
        <v>7984</v>
      </c>
      <c r="S409" s="1">
        <v>9993191567</v>
      </c>
      <c r="T409" s="1" t="s">
        <v>154</v>
      </c>
      <c r="U409" s="1" t="s">
        <v>7985</v>
      </c>
      <c r="V409" s="1">
        <v>6263883748</v>
      </c>
      <c r="W409" s="1" t="s">
        <v>156</v>
      </c>
      <c r="X409" s="1" t="s">
        <v>7986</v>
      </c>
      <c r="Y409" s="1" t="s">
        <v>7987</v>
      </c>
      <c r="Z409" s="1" t="s">
        <v>3437</v>
      </c>
      <c r="AA409" s="1" t="s">
        <v>7988</v>
      </c>
      <c r="AB409" s="1" t="s">
        <v>7987</v>
      </c>
      <c r="AC409" s="1" t="s">
        <v>3437</v>
      </c>
      <c r="AD409" s="1">
        <v>8.1</v>
      </c>
      <c r="AE409" s="1" t="s">
        <v>93</v>
      </c>
      <c r="AF409" s="1" t="s">
        <v>7989</v>
      </c>
      <c r="AG409" s="1" t="s">
        <v>7990</v>
      </c>
      <c r="AH409" s="1" t="s">
        <v>779</v>
      </c>
      <c r="AI409" s="1" t="s">
        <v>131</v>
      </c>
      <c r="AJ409" s="1">
        <v>81.7</v>
      </c>
      <c r="AK409" s="1">
        <v>8.6</v>
      </c>
      <c r="AL409" s="1" t="s">
        <v>7991</v>
      </c>
      <c r="AM409" s="1" t="s">
        <v>7992</v>
      </c>
      <c r="AN409" s="1" t="s">
        <v>1089</v>
      </c>
      <c r="AO409" s="1" t="s">
        <v>195</v>
      </c>
      <c r="AP409" s="1">
        <v>82</v>
      </c>
      <c r="AQ409" s="1"/>
      <c r="AR409" s="1"/>
      <c r="AS409" s="1"/>
      <c r="AT409" s="1"/>
      <c r="AU409" s="1"/>
      <c r="AV409" s="1"/>
      <c r="AW409" s="1"/>
      <c r="AX409" s="1" t="s">
        <v>410</v>
      </c>
      <c r="AY409" s="1" t="s">
        <v>7993</v>
      </c>
      <c r="AZ409" s="1" t="s">
        <v>225</v>
      </c>
      <c r="BA409" s="1" t="s">
        <v>826</v>
      </c>
      <c r="BB409" s="1">
        <v>62.2</v>
      </c>
      <c r="BC409" s="1">
        <v>6.97</v>
      </c>
      <c r="BD409" s="1"/>
      <c r="BE409" s="1"/>
      <c r="BF409" s="1"/>
      <c r="BG409" s="1"/>
      <c r="BH409" s="1"/>
      <c r="BI409" s="1"/>
      <c r="BJ409" s="1" t="s">
        <v>7994</v>
      </c>
      <c r="BK409" s="1" t="s">
        <v>7995</v>
      </c>
      <c r="BL409" s="1" t="s">
        <v>7996</v>
      </c>
      <c r="BM409" s="1" t="s">
        <v>7997</v>
      </c>
      <c r="BN409" s="1">
        <v>8</v>
      </c>
      <c r="BO409" s="1" t="s">
        <v>7998</v>
      </c>
      <c r="BP409" s="1" t="str">
        <f>HYPERLINK("https://nconnect.nicmar.ac.in/storage/profile/ProfilePhoto_P25700406_627149.jpg","Download")</f>
        <v>0</v>
      </c>
      <c r="BQ409" s="3"/>
      <c r="BR409" s="3"/>
    </row>
    <row r="410" spans="1:70">
      <c r="A410" s="1" t="s">
        <v>70</v>
      </c>
      <c r="B410" s="1" t="s">
        <v>441</v>
      </c>
      <c r="C410" s="1" t="s">
        <v>7999</v>
      </c>
      <c r="D410" s="1" t="s">
        <v>8000</v>
      </c>
      <c r="E410" s="1" t="s">
        <v>8001</v>
      </c>
      <c r="F410" s="1" t="s">
        <v>111</v>
      </c>
      <c r="G410" s="1" t="s">
        <v>8002</v>
      </c>
      <c r="H410" s="1" t="s">
        <v>8003</v>
      </c>
      <c r="I410" s="1" t="s">
        <v>8004</v>
      </c>
      <c r="J410" s="1">
        <v>7904240080</v>
      </c>
      <c r="K410" s="1" t="s">
        <v>79</v>
      </c>
      <c r="L410" s="1" t="s">
        <v>8005</v>
      </c>
      <c r="M410" s="1" t="s">
        <v>81</v>
      </c>
      <c r="N410" s="1" t="s">
        <v>8006</v>
      </c>
      <c r="O410" s="1"/>
      <c r="P410" s="1" t="s">
        <v>656</v>
      </c>
      <c r="Q410" s="1" t="s">
        <v>8007</v>
      </c>
      <c r="R410" s="1" t="s">
        <v>8008</v>
      </c>
      <c r="S410" s="1">
        <v>9486953457</v>
      </c>
      <c r="T410" s="1" t="s">
        <v>8009</v>
      </c>
      <c r="U410" s="1" t="s">
        <v>8010</v>
      </c>
      <c r="V410" s="1">
        <v>9486971574</v>
      </c>
      <c r="W410" s="1" t="s">
        <v>122</v>
      </c>
      <c r="X410" s="1" t="s">
        <v>8011</v>
      </c>
      <c r="Y410" s="1" t="s">
        <v>1839</v>
      </c>
      <c r="Z410" s="1" t="s">
        <v>559</v>
      </c>
      <c r="AA410" s="1" t="s">
        <v>8011</v>
      </c>
      <c r="AB410" s="1" t="s">
        <v>1839</v>
      </c>
      <c r="AC410" s="1" t="s">
        <v>559</v>
      </c>
      <c r="AD410" s="1" t="s">
        <v>93</v>
      </c>
      <c r="AE410" s="1" t="s">
        <v>93</v>
      </c>
      <c r="AF410" s="1" t="s">
        <v>8012</v>
      </c>
      <c r="AG410" s="1" t="s">
        <v>8013</v>
      </c>
      <c r="AH410" s="1" t="s">
        <v>689</v>
      </c>
      <c r="AI410" s="1" t="s">
        <v>281</v>
      </c>
      <c r="AJ410" s="1">
        <v>81</v>
      </c>
      <c r="AK410" s="1"/>
      <c r="AL410" s="1" t="s">
        <v>8012</v>
      </c>
      <c r="AM410" s="1" t="s">
        <v>8013</v>
      </c>
      <c r="AN410" s="1" t="s">
        <v>537</v>
      </c>
      <c r="AO410" s="1" t="s">
        <v>590</v>
      </c>
      <c r="AP410" s="1">
        <v>82.6</v>
      </c>
      <c r="AQ410" s="1"/>
      <c r="AR410" s="1"/>
      <c r="AS410" s="1"/>
      <c r="AT410" s="1"/>
      <c r="AU410" s="1"/>
      <c r="AV410" s="1"/>
      <c r="AW410" s="1"/>
      <c r="AX410" s="1" t="s">
        <v>8014</v>
      </c>
      <c r="AY410" s="1" t="s">
        <v>8015</v>
      </c>
      <c r="AZ410" s="1" t="s">
        <v>956</v>
      </c>
      <c r="BA410" s="1" t="s">
        <v>1292</v>
      </c>
      <c r="BB410" s="1">
        <v>81.6</v>
      </c>
      <c r="BC410" s="1">
        <v>8.16</v>
      </c>
      <c r="BD410" s="1"/>
      <c r="BE410" s="1"/>
      <c r="BF410" s="1"/>
      <c r="BG410" s="1"/>
      <c r="BH410" s="1"/>
      <c r="BI410" s="1"/>
      <c r="BJ410" s="1" t="s">
        <v>8016</v>
      </c>
      <c r="BK410" s="1"/>
      <c r="BL410" s="1"/>
      <c r="BM410" s="1" t="s">
        <v>8017</v>
      </c>
      <c r="BN410" s="1">
        <v>38</v>
      </c>
      <c r="BO410" s="1" t="s">
        <v>8018</v>
      </c>
      <c r="BP410" s="1" t="str">
        <f>HYPERLINK("https://nconnect.nicmar.ac.in/storage/profile/ProfilePhoto_P25700408_658397.jpg","Download")</f>
        <v>0</v>
      </c>
      <c r="BQ410" s="3"/>
      <c r="BR410" s="3"/>
    </row>
    <row r="411" spans="1:70">
      <c r="A411" s="1" t="s">
        <v>70</v>
      </c>
      <c r="B411" s="1" t="s">
        <v>441</v>
      </c>
      <c r="C411" s="1" t="s">
        <v>8019</v>
      </c>
      <c r="D411" s="1" t="s">
        <v>8020</v>
      </c>
      <c r="E411" s="1" t="s">
        <v>8021</v>
      </c>
      <c r="F411" s="1" t="s">
        <v>1156</v>
      </c>
      <c r="G411" s="1" t="s">
        <v>8022</v>
      </c>
      <c r="H411" s="1" t="s">
        <v>8023</v>
      </c>
      <c r="I411" s="1" t="s">
        <v>8024</v>
      </c>
      <c r="J411" s="1">
        <v>9324590042</v>
      </c>
      <c r="K411" s="1" t="s">
        <v>79</v>
      </c>
      <c r="L411" s="1" t="s">
        <v>6789</v>
      </c>
      <c r="M411" s="1" t="s">
        <v>81</v>
      </c>
      <c r="N411" s="1" t="s">
        <v>3587</v>
      </c>
      <c r="O411" s="1"/>
      <c r="P411" s="1" t="s">
        <v>497</v>
      </c>
      <c r="Q411" s="1" t="s">
        <v>8025</v>
      </c>
      <c r="R411" s="1" t="s">
        <v>8026</v>
      </c>
      <c r="S411" s="1">
        <v>8928000737</v>
      </c>
      <c r="T411" s="1" t="s">
        <v>87</v>
      </c>
      <c r="U411" s="1" t="s">
        <v>8027</v>
      </c>
      <c r="V411" s="1">
        <v>7666007593</v>
      </c>
      <c r="W411" s="1" t="s">
        <v>156</v>
      </c>
      <c r="X411" s="1" t="s">
        <v>8028</v>
      </c>
      <c r="Y411" s="1" t="s">
        <v>991</v>
      </c>
      <c r="Z411" s="1" t="s">
        <v>92</v>
      </c>
      <c r="AA411" s="1" t="s">
        <v>8028</v>
      </c>
      <c r="AB411" s="1" t="s">
        <v>991</v>
      </c>
      <c r="AC411" s="1" t="s">
        <v>92</v>
      </c>
      <c r="AD411" s="1">
        <v>8.64</v>
      </c>
      <c r="AE411" s="1" t="s">
        <v>93</v>
      </c>
      <c r="AF411" s="1" t="s">
        <v>8029</v>
      </c>
      <c r="AG411" s="1" t="s">
        <v>8030</v>
      </c>
      <c r="AH411" s="1" t="s">
        <v>101</v>
      </c>
      <c r="AI411" s="1" t="s">
        <v>409</v>
      </c>
      <c r="AJ411" s="1">
        <v>76.4</v>
      </c>
      <c r="AK411" s="1"/>
      <c r="AL411" s="1"/>
      <c r="AM411" s="1"/>
      <c r="AN411" s="1"/>
      <c r="AO411" s="1"/>
      <c r="AP411" s="1"/>
      <c r="AQ411" s="1"/>
      <c r="AR411" s="1" t="s">
        <v>434</v>
      </c>
      <c r="AS411" s="1" t="s">
        <v>8031</v>
      </c>
      <c r="AT411" s="1" t="s">
        <v>310</v>
      </c>
      <c r="AU411" s="1" t="s">
        <v>105</v>
      </c>
      <c r="AV411" s="1">
        <v>83.57</v>
      </c>
      <c r="AW411" s="1"/>
      <c r="AX411" s="1" t="s">
        <v>253</v>
      </c>
      <c r="AY411" s="1" t="s">
        <v>8032</v>
      </c>
      <c r="AZ411" s="1" t="s">
        <v>1864</v>
      </c>
      <c r="BA411" s="1" t="s">
        <v>829</v>
      </c>
      <c r="BB411" s="1">
        <v>68.33</v>
      </c>
      <c r="BC411" s="1">
        <v>7.63</v>
      </c>
      <c r="BD411" s="1"/>
      <c r="BE411" s="1"/>
      <c r="BF411" s="1"/>
      <c r="BG411" s="1"/>
      <c r="BH411" s="1"/>
      <c r="BI411" s="1"/>
      <c r="BJ411" s="1" t="s">
        <v>8033</v>
      </c>
      <c r="BK411" s="1"/>
      <c r="BL411" s="1"/>
      <c r="BM411" s="1" t="s">
        <v>8034</v>
      </c>
      <c r="BN411" s="1">
        <v>42</v>
      </c>
      <c r="BO411" s="1"/>
      <c r="BP411" s="1" t="str">
        <f>HYPERLINK("https://nconnect.nicmar.ac.in/storage/profile/ProfilePhoto_P25700409_123987.jpg","Download")</f>
        <v>0</v>
      </c>
      <c r="BQ411" s="3"/>
      <c r="BR411" s="3"/>
    </row>
    <row r="412" spans="1:70">
      <c r="A412" s="1" t="s">
        <v>70</v>
      </c>
      <c r="B412" s="1" t="s">
        <v>441</v>
      </c>
      <c r="C412" s="1" t="s">
        <v>8035</v>
      </c>
      <c r="D412" s="1" t="s">
        <v>8036</v>
      </c>
      <c r="E412" s="1"/>
      <c r="F412" s="1" t="s">
        <v>8037</v>
      </c>
      <c r="G412" s="1" t="s">
        <v>8038</v>
      </c>
      <c r="H412" s="1" t="s">
        <v>8039</v>
      </c>
      <c r="I412" s="1" t="s">
        <v>8040</v>
      </c>
      <c r="J412" s="1">
        <v>7306098393</v>
      </c>
      <c r="K412" s="1" t="s">
        <v>79</v>
      </c>
      <c r="L412" s="1" t="s">
        <v>373</v>
      </c>
      <c r="M412" s="1" t="s">
        <v>81</v>
      </c>
      <c r="N412" s="1" t="s">
        <v>116</v>
      </c>
      <c r="O412" s="1"/>
      <c r="P412" s="1" t="s">
        <v>450</v>
      </c>
      <c r="Q412" s="1" t="s">
        <v>8041</v>
      </c>
      <c r="R412" s="1" t="s">
        <v>8042</v>
      </c>
      <c r="S412" s="1">
        <v>8129707777</v>
      </c>
      <c r="T412" s="1" t="s">
        <v>820</v>
      </c>
      <c r="U412" s="1" t="s">
        <v>8043</v>
      </c>
      <c r="V412" s="1">
        <v>8129433773</v>
      </c>
      <c r="W412" s="1" t="s">
        <v>529</v>
      </c>
      <c r="X412" s="1" t="s">
        <v>8044</v>
      </c>
      <c r="Y412" s="1" t="s">
        <v>686</v>
      </c>
      <c r="Z412" s="1" t="s">
        <v>125</v>
      </c>
      <c r="AA412" s="1" t="s">
        <v>8044</v>
      </c>
      <c r="AB412" s="1" t="s">
        <v>686</v>
      </c>
      <c r="AC412" s="1" t="s">
        <v>125</v>
      </c>
      <c r="AD412" s="1">
        <v>9.23</v>
      </c>
      <c r="AE412" s="1" t="s">
        <v>93</v>
      </c>
      <c r="AF412" s="1" t="s">
        <v>8045</v>
      </c>
      <c r="AG412" s="1" t="s">
        <v>8046</v>
      </c>
      <c r="AH412" s="1" t="s">
        <v>162</v>
      </c>
      <c r="AI412" s="1" t="s">
        <v>165</v>
      </c>
      <c r="AJ412" s="1">
        <v>95</v>
      </c>
      <c r="AK412" s="1">
        <v>10</v>
      </c>
      <c r="AL412" s="1" t="s">
        <v>8047</v>
      </c>
      <c r="AM412" s="1" t="s">
        <v>8048</v>
      </c>
      <c r="AN412" s="1" t="s">
        <v>165</v>
      </c>
      <c r="AO412" s="1" t="s">
        <v>409</v>
      </c>
      <c r="AP412" s="1">
        <v>98.41</v>
      </c>
      <c r="AQ412" s="1"/>
      <c r="AR412" s="1"/>
      <c r="AS412" s="1"/>
      <c r="AT412" s="1"/>
      <c r="AU412" s="1"/>
      <c r="AV412" s="1"/>
      <c r="AW412" s="1"/>
      <c r="AX412" s="1" t="s">
        <v>132</v>
      </c>
      <c r="AY412" s="1" t="s">
        <v>1621</v>
      </c>
      <c r="AZ412" s="1" t="s">
        <v>201</v>
      </c>
      <c r="BA412" s="1" t="s">
        <v>386</v>
      </c>
      <c r="BB412" s="1">
        <v>89</v>
      </c>
      <c r="BC412" s="1">
        <v>8.9</v>
      </c>
      <c r="BD412" s="1"/>
      <c r="BE412" s="1"/>
      <c r="BF412" s="1"/>
      <c r="BG412" s="1"/>
      <c r="BH412" s="1"/>
      <c r="BI412" s="1"/>
      <c r="BJ412" s="1" t="s">
        <v>364</v>
      </c>
      <c r="BK412" s="1" t="s">
        <v>8049</v>
      </c>
      <c r="BL412" s="1" t="s">
        <v>1048</v>
      </c>
      <c r="BM412" s="1" t="s">
        <v>8050</v>
      </c>
      <c r="BN412" s="1">
        <v>9</v>
      </c>
      <c r="BO412" s="1"/>
      <c r="BP412" s="1" t="str">
        <f>HYPERLINK("https://nconnect.nicmar.ac.in/storage/profile/ProfilePhoto_P25700410_465312.jpg","Download")</f>
        <v>0</v>
      </c>
      <c r="BQ412" s="3"/>
      <c r="BR412" s="3"/>
    </row>
    <row r="413" spans="1:70">
      <c r="A413" s="1" t="s">
        <v>70</v>
      </c>
      <c r="B413" s="1" t="s">
        <v>441</v>
      </c>
      <c r="C413" s="1" t="s">
        <v>8051</v>
      </c>
      <c r="D413" s="1" t="s">
        <v>8052</v>
      </c>
      <c r="E413" s="1"/>
      <c r="F413" s="1" t="s">
        <v>8053</v>
      </c>
      <c r="G413" s="1" t="s">
        <v>8054</v>
      </c>
      <c r="H413" s="1" t="s">
        <v>8055</v>
      </c>
      <c r="I413" s="1" t="s">
        <v>8056</v>
      </c>
      <c r="J413" s="1">
        <v>7620468815</v>
      </c>
      <c r="K413" s="1" t="s">
        <v>148</v>
      </c>
      <c r="L413" s="1" t="s">
        <v>8057</v>
      </c>
      <c r="M413" s="1" t="s">
        <v>81</v>
      </c>
      <c r="N413" s="1" t="s">
        <v>8058</v>
      </c>
      <c r="O413" s="1"/>
      <c r="P413" s="1" t="s">
        <v>450</v>
      </c>
      <c r="Q413" s="1" t="s">
        <v>8059</v>
      </c>
      <c r="R413" s="1" t="s">
        <v>8060</v>
      </c>
      <c r="S413" s="1">
        <v>7083909199</v>
      </c>
      <c r="T413" s="1" t="s">
        <v>8061</v>
      </c>
      <c r="U413" s="1" t="s">
        <v>8062</v>
      </c>
      <c r="V413" s="1">
        <v>9987646993</v>
      </c>
      <c r="W413" s="1" t="s">
        <v>156</v>
      </c>
      <c r="X413" s="1" t="s">
        <v>8063</v>
      </c>
      <c r="Y413" s="1" t="s">
        <v>191</v>
      </c>
      <c r="Z413" s="1" t="s">
        <v>92</v>
      </c>
      <c r="AA413" s="1" t="s">
        <v>8063</v>
      </c>
      <c r="AB413" s="1" t="s">
        <v>191</v>
      </c>
      <c r="AC413" s="1" t="s">
        <v>92</v>
      </c>
      <c r="AD413" s="1">
        <v>9.34</v>
      </c>
      <c r="AE413" s="1" t="s">
        <v>93</v>
      </c>
      <c r="AF413" s="1" t="s">
        <v>8064</v>
      </c>
      <c r="AG413" s="1" t="s">
        <v>758</v>
      </c>
      <c r="AH413" s="1" t="s">
        <v>1088</v>
      </c>
      <c r="AI413" s="1" t="s">
        <v>614</v>
      </c>
      <c r="AJ413" s="1">
        <v>93.1</v>
      </c>
      <c r="AK413" s="1">
        <v>9.8</v>
      </c>
      <c r="AL413" s="1" t="s">
        <v>8065</v>
      </c>
      <c r="AM413" s="1" t="s">
        <v>307</v>
      </c>
      <c r="AN413" s="1" t="s">
        <v>689</v>
      </c>
      <c r="AO413" s="1" t="s">
        <v>166</v>
      </c>
      <c r="AP413" s="1">
        <v>84.4</v>
      </c>
      <c r="AQ413" s="1"/>
      <c r="AR413" s="1"/>
      <c r="AS413" s="1"/>
      <c r="AT413" s="1"/>
      <c r="AU413" s="1"/>
      <c r="AV413" s="1"/>
      <c r="AW413" s="1"/>
      <c r="AX413" s="1" t="s">
        <v>361</v>
      </c>
      <c r="AY413" s="1" t="s">
        <v>8066</v>
      </c>
      <c r="AZ413" s="1" t="s">
        <v>1043</v>
      </c>
      <c r="BA413" s="1" t="s">
        <v>619</v>
      </c>
      <c r="BB413" s="1">
        <v>83.42</v>
      </c>
      <c r="BC413" s="1">
        <v>9.48</v>
      </c>
      <c r="BD413" s="1"/>
      <c r="BE413" s="1"/>
      <c r="BF413" s="1"/>
      <c r="BG413" s="1"/>
      <c r="BH413" s="1"/>
      <c r="BI413" s="1"/>
      <c r="BJ413" s="1" t="s">
        <v>8067</v>
      </c>
      <c r="BK413" s="1" t="s">
        <v>8068</v>
      </c>
      <c r="BL413" s="1" t="s">
        <v>340</v>
      </c>
      <c r="BM413" s="1" t="s">
        <v>8069</v>
      </c>
      <c r="BN413" s="1">
        <v>29</v>
      </c>
      <c r="BO413" s="1" t="s">
        <v>8070</v>
      </c>
      <c r="BP413" s="1" t="str">
        <f>HYPERLINK("https://nconnect.nicmar.ac.in/storage/profile/ProfilePhoto_P25700411_579146.jpg","Download")</f>
        <v>0</v>
      </c>
      <c r="BQ413" s="3"/>
      <c r="BR413" s="3"/>
    </row>
    <row r="414" spans="1:70">
      <c r="A414" s="1" t="s">
        <v>70</v>
      </c>
      <c r="B414" s="1" t="s">
        <v>441</v>
      </c>
      <c r="C414" s="1" t="s">
        <v>8071</v>
      </c>
      <c r="D414" s="1" t="s">
        <v>2070</v>
      </c>
      <c r="E414" s="1"/>
      <c r="F414" s="1" t="s">
        <v>8072</v>
      </c>
      <c r="G414" s="1" t="s">
        <v>8073</v>
      </c>
      <c r="H414" s="1" t="s">
        <v>8074</v>
      </c>
      <c r="I414" s="1" t="s">
        <v>8075</v>
      </c>
      <c r="J414" s="1">
        <v>6360667579</v>
      </c>
      <c r="K414" s="1" t="s">
        <v>79</v>
      </c>
      <c r="L414" s="1" t="s">
        <v>8076</v>
      </c>
      <c r="M414" s="1" t="s">
        <v>81</v>
      </c>
      <c r="N414" s="1" t="s">
        <v>8077</v>
      </c>
      <c r="O414" s="1"/>
      <c r="P414" s="1" t="s">
        <v>472</v>
      </c>
      <c r="Q414" s="1" t="s">
        <v>8078</v>
      </c>
      <c r="R414" s="1" t="s">
        <v>8079</v>
      </c>
      <c r="S414" s="1">
        <v>9620030680</v>
      </c>
      <c r="T414" s="1" t="s">
        <v>820</v>
      </c>
      <c r="U414" s="1" t="s">
        <v>8080</v>
      </c>
      <c r="V414" s="1">
        <v>8497016301</v>
      </c>
      <c r="W414" s="1" t="s">
        <v>89</v>
      </c>
      <c r="X414" s="1" t="s">
        <v>8081</v>
      </c>
      <c r="Y414" s="1" t="s">
        <v>4620</v>
      </c>
      <c r="Z414" s="1" t="s">
        <v>1187</v>
      </c>
      <c r="AA414" s="1" t="s">
        <v>8081</v>
      </c>
      <c r="AB414" s="1" t="s">
        <v>4620</v>
      </c>
      <c r="AC414" s="1" t="s">
        <v>1187</v>
      </c>
      <c r="AD414" s="1">
        <v>8.98</v>
      </c>
      <c r="AE414" s="1" t="s">
        <v>93</v>
      </c>
      <c r="AF414" s="1" t="s">
        <v>8082</v>
      </c>
      <c r="AG414" s="1" t="s">
        <v>8083</v>
      </c>
      <c r="AH414" s="1" t="s">
        <v>96</v>
      </c>
      <c r="AI414" s="1" t="s">
        <v>131</v>
      </c>
      <c r="AJ414" s="1">
        <v>80.16</v>
      </c>
      <c r="AK414" s="1">
        <v>0</v>
      </c>
      <c r="AL414" s="1" t="s">
        <v>8084</v>
      </c>
      <c r="AM414" s="1" t="s">
        <v>8085</v>
      </c>
      <c r="AN414" s="1" t="s">
        <v>162</v>
      </c>
      <c r="AO414" s="1" t="s">
        <v>562</v>
      </c>
      <c r="AP414" s="1">
        <v>84.66</v>
      </c>
      <c r="AQ414" s="1">
        <v>0</v>
      </c>
      <c r="AR414" s="1"/>
      <c r="AS414" s="1"/>
      <c r="AT414" s="1"/>
      <c r="AU414" s="1"/>
      <c r="AV414" s="1"/>
      <c r="AW414" s="1"/>
      <c r="AX414" s="1" t="s">
        <v>1194</v>
      </c>
      <c r="AY414" s="1" t="s">
        <v>8086</v>
      </c>
      <c r="AZ414" s="1" t="s">
        <v>225</v>
      </c>
      <c r="BA414" s="1" t="s">
        <v>436</v>
      </c>
      <c r="BB414" s="1">
        <v>72.3</v>
      </c>
      <c r="BC414" s="1">
        <v>7.98</v>
      </c>
      <c r="BD414" s="1"/>
      <c r="BE414" s="1"/>
      <c r="BF414" s="1"/>
      <c r="BG414" s="1"/>
      <c r="BH414" s="1"/>
      <c r="BI414" s="1"/>
      <c r="BJ414" s="1" t="s">
        <v>8087</v>
      </c>
      <c r="BK414" s="1" t="s">
        <v>8088</v>
      </c>
      <c r="BL414" s="1" t="s">
        <v>4165</v>
      </c>
      <c r="BM414" s="1" t="s">
        <v>8089</v>
      </c>
      <c r="BN414" s="1">
        <v>8</v>
      </c>
      <c r="BO414" s="1"/>
      <c r="BP414" s="1" t="str">
        <f>HYPERLINK("https://nconnect.nicmar.ac.in/storage/profile/ProfilePhoto_P25700412_865394.jpg","Download")</f>
        <v>0</v>
      </c>
      <c r="BQ414" s="3"/>
      <c r="BR414" s="3"/>
    </row>
    <row r="415" spans="1:70">
      <c r="A415" s="1" t="s">
        <v>70</v>
      </c>
      <c r="B415" s="1" t="s">
        <v>441</v>
      </c>
      <c r="C415" s="1" t="s">
        <v>8090</v>
      </c>
      <c r="D415" s="1" t="s">
        <v>7134</v>
      </c>
      <c r="E415" s="1" t="s">
        <v>8091</v>
      </c>
      <c r="F415" s="1" t="s">
        <v>8092</v>
      </c>
      <c r="G415" s="1" t="s">
        <v>8093</v>
      </c>
      <c r="H415" s="1" t="s">
        <v>8094</v>
      </c>
      <c r="I415" s="1" t="s">
        <v>8095</v>
      </c>
      <c r="J415" s="1">
        <v>9324100050</v>
      </c>
      <c r="K415" s="1" t="s">
        <v>79</v>
      </c>
      <c r="L415" s="1" t="s">
        <v>8096</v>
      </c>
      <c r="M415" s="1" t="s">
        <v>81</v>
      </c>
      <c r="N415" s="1" t="s">
        <v>1140</v>
      </c>
      <c r="O415" s="1"/>
      <c r="P415" s="1" t="s">
        <v>472</v>
      </c>
      <c r="Q415" s="1" t="s">
        <v>8097</v>
      </c>
      <c r="R415" s="1" t="s">
        <v>8098</v>
      </c>
      <c r="S415" s="1">
        <v>8080406777</v>
      </c>
      <c r="T415" s="1" t="s">
        <v>820</v>
      </c>
      <c r="U415" s="1" t="s">
        <v>8099</v>
      </c>
      <c r="V415" s="1">
        <v>9594289981</v>
      </c>
      <c r="W415" s="1" t="s">
        <v>156</v>
      </c>
      <c r="X415" s="1" t="s">
        <v>8100</v>
      </c>
      <c r="Y415" s="1" t="s">
        <v>991</v>
      </c>
      <c r="Z415" s="1" t="s">
        <v>92</v>
      </c>
      <c r="AA415" s="1" t="s">
        <v>8100</v>
      </c>
      <c r="AB415" s="1" t="s">
        <v>991</v>
      </c>
      <c r="AC415" s="1" t="s">
        <v>92</v>
      </c>
      <c r="AD415" s="1">
        <v>8.02</v>
      </c>
      <c r="AE415" s="1" t="s">
        <v>93</v>
      </c>
      <c r="AF415" s="1" t="s">
        <v>8101</v>
      </c>
      <c r="AG415" s="1" t="s">
        <v>4335</v>
      </c>
      <c r="AH415" s="1" t="s">
        <v>101</v>
      </c>
      <c r="AI415" s="1" t="s">
        <v>308</v>
      </c>
      <c r="AJ415" s="1">
        <v>70.6</v>
      </c>
      <c r="AK415" s="1"/>
      <c r="AL415" s="1"/>
      <c r="AM415" s="1"/>
      <c r="AN415" s="1"/>
      <c r="AO415" s="1"/>
      <c r="AP415" s="1"/>
      <c r="AQ415" s="1"/>
      <c r="AR415" s="1" t="s">
        <v>434</v>
      </c>
      <c r="AS415" s="1" t="s">
        <v>1860</v>
      </c>
      <c r="AT415" s="1" t="s">
        <v>310</v>
      </c>
      <c r="AU415" s="1" t="s">
        <v>1378</v>
      </c>
      <c r="AV415" s="1">
        <v>70.58</v>
      </c>
      <c r="AW415" s="1">
        <v>0</v>
      </c>
      <c r="AX415" s="1" t="s">
        <v>666</v>
      </c>
      <c r="AY415" s="1" t="s">
        <v>4047</v>
      </c>
      <c r="AZ415" s="1" t="s">
        <v>1864</v>
      </c>
      <c r="BA415" s="1" t="s">
        <v>829</v>
      </c>
      <c r="BB415" s="1">
        <v>62.14</v>
      </c>
      <c r="BC415" s="1">
        <v>6.98</v>
      </c>
      <c r="BD415" s="1"/>
      <c r="BE415" s="1"/>
      <c r="BF415" s="1"/>
      <c r="BG415" s="1"/>
      <c r="BH415" s="1"/>
      <c r="BI415" s="1"/>
      <c r="BJ415" s="1" t="s">
        <v>8102</v>
      </c>
      <c r="BK415" s="1"/>
      <c r="BL415" s="1"/>
      <c r="BM415" s="1" t="s">
        <v>8103</v>
      </c>
      <c r="BN415" s="1">
        <v>13</v>
      </c>
      <c r="BO415" s="1"/>
      <c r="BP415" s="1" t="str">
        <f>HYPERLINK("https://nconnect.nicmar.ac.in/storage/profile/ProfilePhoto_P25700413_347268.jpg","Download")</f>
        <v>0</v>
      </c>
      <c r="BQ415" s="3"/>
      <c r="BR415" s="3"/>
    </row>
    <row r="416" spans="1:70">
      <c r="A416" s="1" t="s">
        <v>70</v>
      </c>
      <c r="B416" s="1" t="s">
        <v>441</v>
      </c>
      <c r="C416" s="1" t="s">
        <v>8104</v>
      </c>
      <c r="D416" s="1" t="s">
        <v>8105</v>
      </c>
      <c r="E416" s="1"/>
      <c r="F416" s="1" t="s">
        <v>4806</v>
      </c>
      <c r="G416" s="1" t="s">
        <v>8106</v>
      </c>
      <c r="H416" s="1" t="s">
        <v>8107</v>
      </c>
      <c r="I416" s="1" t="s">
        <v>8108</v>
      </c>
      <c r="J416" s="1">
        <v>7338337037</v>
      </c>
      <c r="K416" s="1" t="s">
        <v>79</v>
      </c>
      <c r="L416" s="1" t="s">
        <v>8109</v>
      </c>
      <c r="M416" s="1" t="s">
        <v>81</v>
      </c>
      <c r="N416" s="1" t="s">
        <v>8110</v>
      </c>
      <c r="O416" s="1"/>
      <c r="P416" s="1" t="s">
        <v>497</v>
      </c>
      <c r="Q416" s="1" t="s">
        <v>8111</v>
      </c>
      <c r="R416" s="1" t="s">
        <v>8112</v>
      </c>
      <c r="S416" s="1">
        <v>9740148104</v>
      </c>
      <c r="T416" s="1" t="s">
        <v>906</v>
      </c>
      <c r="U416" s="1" t="s">
        <v>8113</v>
      </c>
      <c r="V416" s="1">
        <v>9008749887</v>
      </c>
      <c r="W416" s="1" t="s">
        <v>89</v>
      </c>
      <c r="X416" s="1" t="s">
        <v>8114</v>
      </c>
      <c r="Y416" s="1" t="s">
        <v>3151</v>
      </c>
      <c r="Z416" s="1" t="s">
        <v>1187</v>
      </c>
      <c r="AA416" s="1" t="s">
        <v>8114</v>
      </c>
      <c r="AB416" s="1" t="s">
        <v>3151</v>
      </c>
      <c r="AC416" s="1" t="s">
        <v>1187</v>
      </c>
      <c r="AD416" s="1">
        <v>8.82</v>
      </c>
      <c r="AE416" s="1" t="s">
        <v>93</v>
      </c>
      <c r="AF416" s="1" t="s">
        <v>8115</v>
      </c>
      <c r="AG416" s="1" t="s">
        <v>1920</v>
      </c>
      <c r="AH416" s="1" t="s">
        <v>1088</v>
      </c>
      <c r="AI416" s="1" t="s">
        <v>279</v>
      </c>
      <c r="AJ416" s="1">
        <v>92.96</v>
      </c>
      <c r="AK416" s="1"/>
      <c r="AL416" s="1" t="s">
        <v>8116</v>
      </c>
      <c r="AM416" s="1" t="s">
        <v>8117</v>
      </c>
      <c r="AN416" s="1" t="s">
        <v>562</v>
      </c>
      <c r="AO416" s="1" t="s">
        <v>166</v>
      </c>
      <c r="AP416" s="1">
        <v>76.33</v>
      </c>
      <c r="AQ416" s="1"/>
      <c r="AR416" s="1"/>
      <c r="AS416" s="1"/>
      <c r="AT416" s="1"/>
      <c r="AU416" s="1"/>
      <c r="AV416" s="1"/>
      <c r="AW416" s="1"/>
      <c r="AX416" s="1" t="s">
        <v>8118</v>
      </c>
      <c r="AY416" s="1" t="s">
        <v>8119</v>
      </c>
      <c r="AZ416" s="1" t="s">
        <v>101</v>
      </c>
      <c r="BA416" s="1" t="s">
        <v>229</v>
      </c>
      <c r="BB416" s="1">
        <v>73.3</v>
      </c>
      <c r="BC416" s="1">
        <v>8.08</v>
      </c>
      <c r="BD416" s="1"/>
      <c r="BE416" s="1"/>
      <c r="BF416" s="1"/>
      <c r="BG416" s="1"/>
      <c r="BH416" s="1"/>
      <c r="BI416" s="1"/>
      <c r="BJ416" s="1" t="s">
        <v>8120</v>
      </c>
      <c r="BK416" s="1" t="s">
        <v>8121</v>
      </c>
      <c r="BL416" s="1" t="s">
        <v>1048</v>
      </c>
      <c r="BM416" s="1" t="s">
        <v>8122</v>
      </c>
      <c r="BN416" s="1">
        <v>78</v>
      </c>
      <c r="BO416" s="1" t="s">
        <v>8123</v>
      </c>
      <c r="BP416" s="1" t="str">
        <f>HYPERLINK("https://nconnect.nicmar.ac.in/storage/profile/ProfilePhoto_P25700414_835714.jpg","Download")</f>
        <v>0</v>
      </c>
      <c r="BQ416" s="3"/>
      <c r="BR416" s="3"/>
    </row>
    <row r="417" spans="1:70">
      <c r="A417" s="1" t="s">
        <v>70</v>
      </c>
      <c r="B417" s="1" t="s">
        <v>441</v>
      </c>
      <c r="C417" s="1" t="s">
        <v>8124</v>
      </c>
      <c r="D417" s="1" t="s">
        <v>1382</v>
      </c>
      <c r="E417" s="1" t="s">
        <v>8125</v>
      </c>
      <c r="F417" s="1" t="s">
        <v>8126</v>
      </c>
      <c r="G417" s="1" t="s">
        <v>8127</v>
      </c>
      <c r="H417" s="1" t="s">
        <v>8128</v>
      </c>
      <c r="I417" s="1" t="s">
        <v>8129</v>
      </c>
      <c r="J417" s="1">
        <v>7620170426</v>
      </c>
      <c r="K417" s="1" t="s">
        <v>148</v>
      </c>
      <c r="L417" s="1" t="s">
        <v>8130</v>
      </c>
      <c r="M417" s="1" t="s">
        <v>81</v>
      </c>
      <c r="N417" s="1" t="s">
        <v>3587</v>
      </c>
      <c r="O417" s="1"/>
      <c r="P417" s="1" t="s">
        <v>497</v>
      </c>
      <c r="Q417" s="1" t="s">
        <v>8131</v>
      </c>
      <c r="R417" s="1" t="s">
        <v>8125</v>
      </c>
      <c r="S417" s="1">
        <v>8999722459</v>
      </c>
      <c r="T417" s="1" t="s">
        <v>8132</v>
      </c>
      <c r="U417" s="1" t="s">
        <v>6212</v>
      </c>
      <c r="V417" s="1">
        <v>8788934800</v>
      </c>
      <c r="W417" s="1" t="s">
        <v>273</v>
      </c>
      <c r="X417" s="1" t="s">
        <v>8133</v>
      </c>
      <c r="Y417" s="1" t="s">
        <v>1857</v>
      </c>
      <c r="Z417" s="1" t="s">
        <v>92</v>
      </c>
      <c r="AA417" s="1" t="s">
        <v>8133</v>
      </c>
      <c r="AB417" s="1" t="s">
        <v>1857</v>
      </c>
      <c r="AC417" s="1" t="s">
        <v>92</v>
      </c>
      <c r="AD417" s="1">
        <v>8.64</v>
      </c>
      <c r="AE417" s="1" t="s">
        <v>93</v>
      </c>
      <c r="AF417" s="1" t="s">
        <v>8134</v>
      </c>
      <c r="AG417" s="1" t="s">
        <v>4983</v>
      </c>
      <c r="AH417" s="1" t="s">
        <v>165</v>
      </c>
      <c r="AI417" s="1" t="s">
        <v>166</v>
      </c>
      <c r="AJ417" s="1">
        <v>76</v>
      </c>
      <c r="AK417" s="1">
        <v>8</v>
      </c>
      <c r="AL417" s="1" t="s">
        <v>8135</v>
      </c>
      <c r="AM417" s="1" t="s">
        <v>4983</v>
      </c>
      <c r="AN417" s="1" t="s">
        <v>433</v>
      </c>
      <c r="AO417" s="1" t="s">
        <v>412</v>
      </c>
      <c r="AP417" s="1">
        <v>60.77</v>
      </c>
      <c r="AQ417" s="1">
        <v>6.39</v>
      </c>
      <c r="AR417" s="1" t="s">
        <v>434</v>
      </c>
      <c r="AS417" s="1" t="s">
        <v>8136</v>
      </c>
      <c r="AT417" s="1" t="s">
        <v>228</v>
      </c>
      <c r="AU417" s="1" t="s">
        <v>1378</v>
      </c>
      <c r="AV417" s="1">
        <v>86.84</v>
      </c>
      <c r="AW417" s="1">
        <v>9.14</v>
      </c>
      <c r="AX417" s="1" t="s">
        <v>5498</v>
      </c>
      <c r="AY417" s="1" t="s">
        <v>8137</v>
      </c>
      <c r="AZ417" s="1" t="s">
        <v>1864</v>
      </c>
      <c r="BA417" s="1" t="s">
        <v>1379</v>
      </c>
      <c r="BB417" s="1">
        <v>71.43</v>
      </c>
      <c r="BC417" s="1">
        <v>8.08</v>
      </c>
      <c r="BD417" s="1"/>
      <c r="BE417" s="1"/>
      <c r="BF417" s="1"/>
      <c r="BG417" s="1"/>
      <c r="BH417" s="1"/>
      <c r="BI417" s="1"/>
      <c r="BJ417" s="1" t="s">
        <v>8138</v>
      </c>
      <c r="BK417" s="1"/>
      <c r="BL417" s="1"/>
      <c r="BM417" s="1" t="s">
        <v>8139</v>
      </c>
      <c r="BN417" s="1">
        <v>11</v>
      </c>
      <c r="BO417" s="1" t="s">
        <v>8140</v>
      </c>
      <c r="BP417" s="1" t="str">
        <f>HYPERLINK("https://nconnect.nicmar.ac.in/storage/profile/ProfilePhoto_P25700415_861234.jpg","Download")</f>
        <v>0</v>
      </c>
      <c r="BQ417" s="3"/>
      <c r="BR417" s="3"/>
    </row>
    <row r="418" spans="1:70">
      <c r="A418" s="1" t="s">
        <v>70</v>
      </c>
      <c r="B418" s="1" t="s">
        <v>441</v>
      </c>
      <c r="C418" s="1" t="s">
        <v>8141</v>
      </c>
      <c r="D418" s="1" t="s">
        <v>8142</v>
      </c>
      <c r="E418" s="1" t="s">
        <v>8143</v>
      </c>
      <c r="F418" s="1" t="s">
        <v>2876</v>
      </c>
      <c r="G418" s="1" t="s">
        <v>8144</v>
      </c>
      <c r="H418" s="1" t="s">
        <v>8145</v>
      </c>
      <c r="I418" s="1" t="s">
        <v>8146</v>
      </c>
      <c r="J418" s="1">
        <v>9825848642</v>
      </c>
      <c r="K418" s="1" t="s">
        <v>79</v>
      </c>
      <c r="L418" s="1" t="s">
        <v>8147</v>
      </c>
      <c r="M418" s="1" t="s">
        <v>81</v>
      </c>
      <c r="N418" s="1" t="s">
        <v>6353</v>
      </c>
      <c r="O418" s="1"/>
      <c r="P418" s="1" t="s">
        <v>450</v>
      </c>
      <c r="Q418" s="1" t="s">
        <v>8148</v>
      </c>
      <c r="R418" s="1" t="s">
        <v>8149</v>
      </c>
      <c r="S418" s="1">
        <v>9825848641</v>
      </c>
      <c r="T418" s="1" t="s">
        <v>820</v>
      </c>
      <c r="U418" s="1" t="s">
        <v>8150</v>
      </c>
      <c r="V418" s="1">
        <v>8758839151</v>
      </c>
      <c r="W418" s="1" t="s">
        <v>531</v>
      </c>
      <c r="X418" s="1" t="s">
        <v>8151</v>
      </c>
      <c r="Y418" s="1" t="s">
        <v>8152</v>
      </c>
      <c r="Z418" s="1" t="s">
        <v>662</v>
      </c>
      <c r="AA418" s="1" t="s">
        <v>8151</v>
      </c>
      <c r="AB418" s="1" t="s">
        <v>8152</v>
      </c>
      <c r="AC418" s="1" t="s">
        <v>662</v>
      </c>
      <c r="AD418" s="1">
        <v>8.6</v>
      </c>
      <c r="AE418" s="1" t="s">
        <v>93</v>
      </c>
      <c r="AF418" s="1" t="s">
        <v>8153</v>
      </c>
      <c r="AG418" s="1" t="s">
        <v>8154</v>
      </c>
      <c r="AH418" s="1" t="s">
        <v>281</v>
      </c>
      <c r="AI418" s="1" t="s">
        <v>409</v>
      </c>
      <c r="AJ418" s="1">
        <v>78</v>
      </c>
      <c r="AK418" s="1">
        <v>0</v>
      </c>
      <c r="AL418" s="1" t="s">
        <v>8153</v>
      </c>
      <c r="AM418" s="1" t="s">
        <v>8154</v>
      </c>
      <c r="AN418" s="1" t="s">
        <v>412</v>
      </c>
      <c r="AO418" s="1" t="s">
        <v>826</v>
      </c>
      <c r="AP418" s="1">
        <v>74.5</v>
      </c>
      <c r="AQ418" s="1">
        <v>0</v>
      </c>
      <c r="AR418" s="1"/>
      <c r="AS418" s="1"/>
      <c r="AT418" s="1"/>
      <c r="AU418" s="1"/>
      <c r="AV418" s="1"/>
      <c r="AW418" s="1"/>
      <c r="AX418" s="1" t="s">
        <v>8155</v>
      </c>
      <c r="AY418" s="1" t="s">
        <v>8156</v>
      </c>
      <c r="AZ418" s="1" t="s">
        <v>593</v>
      </c>
      <c r="BA418" s="1" t="s">
        <v>543</v>
      </c>
      <c r="BB418" s="1">
        <v>70.4</v>
      </c>
      <c r="BC418" s="1">
        <v>7.54</v>
      </c>
      <c r="BD418" s="1"/>
      <c r="BE418" s="1"/>
      <c r="BF418" s="1"/>
      <c r="BG418" s="1"/>
      <c r="BH418" s="1"/>
      <c r="BI418" s="1"/>
      <c r="BJ418" s="1" t="s">
        <v>8157</v>
      </c>
      <c r="BK418" s="1"/>
      <c r="BL418" s="1"/>
      <c r="BM418" s="1" t="s">
        <v>8158</v>
      </c>
      <c r="BN418" s="1">
        <v>30</v>
      </c>
      <c r="BO418" s="1" t="s">
        <v>8159</v>
      </c>
      <c r="BP418" s="1" t="str">
        <f>HYPERLINK("https://nconnect.nicmar.ac.in/storage/profile/ProfilePhoto_P25700416_291456.jpg","Download")</f>
        <v>0</v>
      </c>
      <c r="BQ418" s="3"/>
      <c r="BR418" s="3"/>
    </row>
    <row r="419" spans="1:70">
      <c r="A419" s="1" t="s">
        <v>70</v>
      </c>
      <c r="B419" s="1" t="s">
        <v>441</v>
      </c>
      <c r="C419" s="1" t="s">
        <v>8160</v>
      </c>
      <c r="D419" s="1" t="s">
        <v>5543</v>
      </c>
      <c r="E419" s="1"/>
      <c r="F419" s="1" t="s">
        <v>8161</v>
      </c>
      <c r="G419" s="1" t="s">
        <v>8162</v>
      </c>
      <c r="H419" s="1" t="s">
        <v>8163</v>
      </c>
      <c r="I419" s="1" t="s">
        <v>8164</v>
      </c>
      <c r="J419" s="1">
        <v>9785037991</v>
      </c>
      <c r="K419" s="1" t="s">
        <v>79</v>
      </c>
      <c r="L419" s="1" t="s">
        <v>8165</v>
      </c>
      <c r="M419" s="1" t="s">
        <v>150</v>
      </c>
      <c r="N419" s="1" t="s">
        <v>4289</v>
      </c>
      <c r="O419" s="1"/>
      <c r="P419" s="1" t="s">
        <v>1007</v>
      </c>
      <c r="Q419" s="1" t="s">
        <v>8166</v>
      </c>
      <c r="R419" s="1" t="s">
        <v>8167</v>
      </c>
      <c r="S419" s="1">
        <v>7737471080</v>
      </c>
      <c r="T419" s="1" t="s">
        <v>1472</v>
      </c>
      <c r="U419" s="1" t="s">
        <v>8168</v>
      </c>
      <c r="V419" s="1">
        <v>9694125868</v>
      </c>
      <c r="W419" s="1" t="s">
        <v>273</v>
      </c>
      <c r="X419" s="1" t="s">
        <v>8169</v>
      </c>
      <c r="Y419" s="1" t="s">
        <v>8170</v>
      </c>
      <c r="Z419" s="1" t="s">
        <v>2126</v>
      </c>
      <c r="AA419" s="1" t="s">
        <v>8169</v>
      </c>
      <c r="AB419" s="1" t="s">
        <v>8170</v>
      </c>
      <c r="AC419" s="1" t="s">
        <v>2126</v>
      </c>
      <c r="AD419" s="1">
        <v>9.0</v>
      </c>
      <c r="AE419" s="1" t="s">
        <v>93</v>
      </c>
      <c r="AF419" s="1" t="s">
        <v>8171</v>
      </c>
      <c r="AG419" s="1" t="s">
        <v>8172</v>
      </c>
      <c r="AH419" s="1" t="s">
        <v>3789</v>
      </c>
      <c r="AI419" s="1" t="s">
        <v>1435</v>
      </c>
      <c r="AJ419" s="1">
        <v>85.5</v>
      </c>
      <c r="AK419" s="1">
        <v>9</v>
      </c>
      <c r="AL419" s="1" t="s">
        <v>8171</v>
      </c>
      <c r="AM419" s="1" t="s">
        <v>8172</v>
      </c>
      <c r="AN419" s="1" t="s">
        <v>1191</v>
      </c>
      <c r="AO419" s="1" t="s">
        <v>97</v>
      </c>
      <c r="AP419" s="1">
        <v>81</v>
      </c>
      <c r="AQ419" s="1"/>
      <c r="AR419" s="1"/>
      <c r="AS419" s="1"/>
      <c r="AT419" s="1"/>
      <c r="AU419" s="1"/>
      <c r="AV419" s="1"/>
      <c r="AW419" s="1"/>
      <c r="AX419" s="1" t="s">
        <v>8173</v>
      </c>
      <c r="AY419" s="1" t="s">
        <v>8174</v>
      </c>
      <c r="AZ419" s="1" t="s">
        <v>337</v>
      </c>
      <c r="BA419" s="1" t="s">
        <v>310</v>
      </c>
      <c r="BB419" s="1">
        <v>77.78</v>
      </c>
      <c r="BC419" s="1">
        <v>8.74</v>
      </c>
      <c r="BD419" s="1" t="s">
        <v>8175</v>
      </c>
      <c r="BE419" s="1" t="s">
        <v>8175</v>
      </c>
      <c r="BF419" s="1" t="s">
        <v>105</v>
      </c>
      <c r="BG419" s="1" t="s">
        <v>1067</v>
      </c>
      <c r="BH419" s="1">
        <v>85</v>
      </c>
      <c r="BI419" s="1">
        <v>8.5</v>
      </c>
      <c r="BJ419" s="1" t="s">
        <v>8176</v>
      </c>
      <c r="BK419" s="1"/>
      <c r="BL419" s="1"/>
      <c r="BM419" s="1" t="s">
        <v>8177</v>
      </c>
      <c r="BN419" s="1">
        <v>8</v>
      </c>
      <c r="BO419" s="1" t="s">
        <v>8178</v>
      </c>
      <c r="BP419" s="1" t="str">
        <f>HYPERLINK("https://nconnect.nicmar.ac.in/storage/profile/ProfilePhoto_P25700417_451862.jpg","Download")</f>
        <v>0</v>
      </c>
      <c r="BQ419" s="3"/>
      <c r="BR419" s="3"/>
    </row>
    <row r="420" spans="1:70">
      <c r="A420" s="1" t="s">
        <v>70</v>
      </c>
      <c r="B420" s="1" t="s">
        <v>441</v>
      </c>
      <c r="C420" s="1" t="s">
        <v>8179</v>
      </c>
      <c r="D420" s="1" t="s">
        <v>8180</v>
      </c>
      <c r="E420" s="1"/>
      <c r="F420" s="1" t="s">
        <v>8181</v>
      </c>
      <c r="G420" s="1" t="s">
        <v>8182</v>
      </c>
      <c r="H420" s="1" t="s">
        <v>8183</v>
      </c>
      <c r="I420" s="1" t="s">
        <v>8184</v>
      </c>
      <c r="J420" s="1">
        <v>9384198048</v>
      </c>
      <c r="K420" s="1" t="s">
        <v>79</v>
      </c>
      <c r="L420" s="1" t="s">
        <v>8185</v>
      </c>
      <c r="M420" s="1" t="s">
        <v>81</v>
      </c>
      <c r="N420" s="1" t="s">
        <v>241</v>
      </c>
      <c r="O420" s="1"/>
      <c r="P420" s="1" t="s">
        <v>450</v>
      </c>
      <c r="Q420" s="1" t="s">
        <v>8186</v>
      </c>
      <c r="R420" s="1" t="s">
        <v>8187</v>
      </c>
      <c r="S420" s="1">
        <v>9425789216</v>
      </c>
      <c r="T420" s="1" t="s">
        <v>3414</v>
      </c>
      <c r="U420" s="1" t="s">
        <v>8188</v>
      </c>
      <c r="V420" s="1">
        <v>9425120617</v>
      </c>
      <c r="W420" s="1" t="s">
        <v>531</v>
      </c>
      <c r="X420" s="1" t="s">
        <v>8189</v>
      </c>
      <c r="Y420" s="1" t="s">
        <v>7935</v>
      </c>
      <c r="Z420" s="1" t="s">
        <v>3437</v>
      </c>
      <c r="AA420" s="1" t="s">
        <v>8189</v>
      </c>
      <c r="AB420" s="1" t="s">
        <v>7935</v>
      </c>
      <c r="AC420" s="1" t="s">
        <v>3437</v>
      </c>
      <c r="AD420" s="1">
        <v>9.02</v>
      </c>
      <c r="AE420" s="1" t="s">
        <v>93</v>
      </c>
      <c r="AF420" s="1" t="s">
        <v>8190</v>
      </c>
      <c r="AG420" s="1" t="s">
        <v>8191</v>
      </c>
      <c r="AH420" s="1" t="s">
        <v>3439</v>
      </c>
      <c r="AI420" s="1" t="s">
        <v>1239</v>
      </c>
      <c r="AJ420" s="1">
        <v>72.2</v>
      </c>
      <c r="AK420" s="1">
        <v>7.6</v>
      </c>
      <c r="AL420" s="1" t="s">
        <v>8192</v>
      </c>
      <c r="AM420" s="1" t="s">
        <v>8193</v>
      </c>
      <c r="AN420" s="1" t="s">
        <v>97</v>
      </c>
      <c r="AO420" s="1" t="s">
        <v>614</v>
      </c>
      <c r="AP420" s="1">
        <v>68</v>
      </c>
      <c r="AQ420" s="1"/>
      <c r="AR420" s="1"/>
      <c r="AS420" s="1"/>
      <c r="AT420" s="1"/>
      <c r="AU420" s="1"/>
      <c r="AV420" s="1"/>
      <c r="AW420" s="1"/>
      <c r="AX420" s="1" t="s">
        <v>4503</v>
      </c>
      <c r="AY420" s="1" t="s">
        <v>8194</v>
      </c>
      <c r="AZ420" s="1" t="s">
        <v>1374</v>
      </c>
      <c r="BA420" s="1" t="s">
        <v>460</v>
      </c>
      <c r="BB420" s="1">
        <v>72.8</v>
      </c>
      <c r="BC420" s="1">
        <v>7.28</v>
      </c>
      <c r="BD420" s="1"/>
      <c r="BE420" s="1"/>
      <c r="BF420" s="1"/>
      <c r="BG420" s="1"/>
      <c r="BH420" s="1"/>
      <c r="BI420" s="1"/>
      <c r="BJ420" s="1" t="s">
        <v>8195</v>
      </c>
      <c r="BK420" s="1" t="s">
        <v>8196</v>
      </c>
      <c r="BL420" s="1" t="s">
        <v>569</v>
      </c>
      <c r="BM420" s="1" t="s">
        <v>8197</v>
      </c>
      <c r="BN420" s="1">
        <v>15</v>
      </c>
      <c r="BO420" s="1" t="s">
        <v>8198</v>
      </c>
      <c r="BP420" s="1" t="str">
        <f>HYPERLINK("https://nconnect.nicmar.ac.in/storage/profile/ProfilePhoto_P25700418_528617.jpg","Download")</f>
        <v>0</v>
      </c>
      <c r="BQ420" s="3"/>
      <c r="BR420" s="3"/>
    </row>
    <row r="421" spans="1:70">
      <c r="A421" s="1" t="s">
        <v>70</v>
      </c>
      <c r="B421" s="1" t="s">
        <v>441</v>
      </c>
      <c r="C421" s="1" t="s">
        <v>8199</v>
      </c>
      <c r="D421" s="1" t="s">
        <v>314</v>
      </c>
      <c r="E421" s="1" t="s">
        <v>1442</v>
      </c>
      <c r="F421" s="1" t="s">
        <v>236</v>
      </c>
      <c r="G421" s="1" t="s">
        <v>8200</v>
      </c>
      <c r="H421" s="1" t="s">
        <v>8201</v>
      </c>
      <c r="I421" s="1" t="s">
        <v>8202</v>
      </c>
      <c r="J421" s="1">
        <v>9309983597</v>
      </c>
      <c r="K421" s="1" t="s">
        <v>79</v>
      </c>
      <c r="L421" s="1" t="s">
        <v>8203</v>
      </c>
      <c r="M421" s="1" t="s">
        <v>81</v>
      </c>
      <c r="N421" s="1" t="s">
        <v>751</v>
      </c>
      <c r="O421" s="1" t="s">
        <v>8204</v>
      </c>
      <c r="P421" s="1" t="s">
        <v>497</v>
      </c>
      <c r="Q421" s="1" t="s">
        <v>8205</v>
      </c>
      <c r="R421" s="1" t="s">
        <v>8206</v>
      </c>
      <c r="S421" s="1">
        <v>9421480654</v>
      </c>
      <c r="T421" s="1" t="s">
        <v>8207</v>
      </c>
      <c r="U421" s="1" t="s">
        <v>8208</v>
      </c>
      <c r="V421" s="1">
        <v>7796339869</v>
      </c>
      <c r="W421" s="1" t="s">
        <v>156</v>
      </c>
      <c r="X421" s="1" t="s">
        <v>8209</v>
      </c>
      <c r="Y421" s="1" t="s">
        <v>7897</v>
      </c>
      <c r="Z421" s="1" t="s">
        <v>92</v>
      </c>
      <c r="AA421" s="1" t="s">
        <v>8209</v>
      </c>
      <c r="AB421" s="1" t="s">
        <v>7897</v>
      </c>
      <c r="AC421" s="1" t="s">
        <v>92</v>
      </c>
      <c r="AD421" s="1">
        <v>9.25</v>
      </c>
      <c r="AE421" s="1" t="s">
        <v>93</v>
      </c>
      <c r="AF421" s="1" t="s">
        <v>8210</v>
      </c>
      <c r="AG421" s="1" t="s">
        <v>8211</v>
      </c>
      <c r="AH421" s="1" t="s">
        <v>1088</v>
      </c>
      <c r="AI421" s="1" t="s">
        <v>1089</v>
      </c>
      <c r="AJ421" s="1">
        <v>83</v>
      </c>
      <c r="AK421" s="1"/>
      <c r="AL421" s="1" t="s">
        <v>8212</v>
      </c>
      <c r="AM421" s="1" t="s">
        <v>8211</v>
      </c>
      <c r="AN421" s="1" t="s">
        <v>689</v>
      </c>
      <c r="AO421" s="1" t="s">
        <v>1455</v>
      </c>
      <c r="AP421" s="1">
        <v>72.92</v>
      </c>
      <c r="AQ421" s="1"/>
      <c r="AR421" s="1"/>
      <c r="AS421" s="1"/>
      <c r="AT421" s="1"/>
      <c r="AU421" s="1"/>
      <c r="AV421" s="1"/>
      <c r="AW421" s="1"/>
      <c r="AX421" s="1" t="s">
        <v>8213</v>
      </c>
      <c r="AY421" s="1" t="s">
        <v>8214</v>
      </c>
      <c r="AZ421" s="1" t="s">
        <v>101</v>
      </c>
      <c r="BA421" s="1" t="s">
        <v>105</v>
      </c>
      <c r="BB421" s="1">
        <v>90.46</v>
      </c>
      <c r="BC421" s="1">
        <v>9.49</v>
      </c>
      <c r="BD421" s="1"/>
      <c r="BE421" s="1"/>
      <c r="BF421" s="1"/>
      <c r="BG421" s="1"/>
      <c r="BH421" s="1"/>
      <c r="BI421" s="1"/>
      <c r="BJ421" s="1" t="s">
        <v>8215</v>
      </c>
      <c r="BK421" s="1" t="s">
        <v>8216</v>
      </c>
      <c r="BL421" s="1" t="s">
        <v>340</v>
      </c>
      <c r="BM421" s="1" t="s">
        <v>8217</v>
      </c>
      <c r="BN421" s="1">
        <v>13</v>
      </c>
      <c r="BO421" s="1" t="s">
        <v>8218</v>
      </c>
      <c r="BP421" s="1" t="str">
        <f>HYPERLINK("https://nconnect.nicmar.ac.in/storage/profile/ProfilePhoto_P25700419_475938.jpg","Download")</f>
        <v>0</v>
      </c>
      <c r="BQ421" s="3"/>
      <c r="BR421" s="3"/>
    </row>
    <row r="422" spans="1:70">
      <c r="A422" s="1" t="s">
        <v>70</v>
      </c>
      <c r="B422" s="1" t="s">
        <v>441</v>
      </c>
      <c r="C422" s="1" t="s">
        <v>8219</v>
      </c>
      <c r="D422" s="1" t="s">
        <v>8220</v>
      </c>
      <c r="E422" s="1"/>
      <c r="F422" s="1" t="s">
        <v>1828</v>
      </c>
      <c r="G422" s="1" t="s">
        <v>8221</v>
      </c>
      <c r="H422" s="1" t="s">
        <v>8222</v>
      </c>
      <c r="I422" s="1" t="s">
        <v>8223</v>
      </c>
      <c r="J422" s="1">
        <v>7975346656</v>
      </c>
      <c r="K422" s="1" t="s">
        <v>148</v>
      </c>
      <c r="L422" s="1" t="s">
        <v>8224</v>
      </c>
      <c r="M422" s="1" t="s">
        <v>81</v>
      </c>
      <c r="N422" s="1" t="s">
        <v>8225</v>
      </c>
      <c r="O422" s="1"/>
      <c r="P422" s="1" t="s">
        <v>472</v>
      </c>
      <c r="Q422" s="1" t="s">
        <v>8226</v>
      </c>
      <c r="R422" s="1" t="s">
        <v>8227</v>
      </c>
      <c r="S422" s="1">
        <v>9845428751</v>
      </c>
      <c r="T422" s="1" t="s">
        <v>4899</v>
      </c>
      <c r="U422" s="1" t="s">
        <v>8228</v>
      </c>
      <c r="V422" s="1">
        <v>8095132865</v>
      </c>
      <c r="W422" s="1" t="s">
        <v>273</v>
      </c>
      <c r="X422" s="1" t="s">
        <v>8229</v>
      </c>
      <c r="Y422" s="1" t="s">
        <v>3151</v>
      </c>
      <c r="Z422" s="1" t="s">
        <v>1187</v>
      </c>
      <c r="AA422" s="1" t="s">
        <v>8229</v>
      </c>
      <c r="AB422" s="1" t="s">
        <v>3151</v>
      </c>
      <c r="AC422" s="1" t="s">
        <v>1187</v>
      </c>
      <c r="AD422" s="1">
        <v>8.85</v>
      </c>
      <c r="AE422" s="1" t="s">
        <v>93</v>
      </c>
      <c r="AF422" s="1" t="s">
        <v>8230</v>
      </c>
      <c r="AG422" s="1" t="s">
        <v>8231</v>
      </c>
      <c r="AH422" s="1" t="s">
        <v>161</v>
      </c>
      <c r="AI422" s="1" t="s">
        <v>614</v>
      </c>
      <c r="AJ422" s="1">
        <v>84.5</v>
      </c>
      <c r="AK422" s="1">
        <v>0</v>
      </c>
      <c r="AL422" s="1" t="s">
        <v>8232</v>
      </c>
      <c r="AM422" s="1" t="s">
        <v>8233</v>
      </c>
      <c r="AN422" s="1" t="s">
        <v>165</v>
      </c>
      <c r="AO422" s="1" t="s">
        <v>166</v>
      </c>
      <c r="AP422" s="1">
        <v>69.83</v>
      </c>
      <c r="AQ422" s="1">
        <v>0</v>
      </c>
      <c r="AR422" s="1"/>
      <c r="AS422" s="1"/>
      <c r="AT422" s="1"/>
      <c r="AU422" s="1"/>
      <c r="AV422" s="1"/>
      <c r="AW422" s="1"/>
      <c r="AX422" s="1" t="s">
        <v>1194</v>
      </c>
      <c r="AY422" s="1" t="s">
        <v>8234</v>
      </c>
      <c r="AZ422" s="1" t="s">
        <v>101</v>
      </c>
      <c r="BA422" s="1" t="s">
        <v>7373</v>
      </c>
      <c r="BB422" s="1">
        <v>71.7</v>
      </c>
      <c r="BC422" s="1">
        <v>7.92</v>
      </c>
      <c r="BD422" s="1"/>
      <c r="BE422" s="1"/>
      <c r="BF422" s="1"/>
      <c r="BG422" s="1"/>
      <c r="BH422" s="1"/>
      <c r="BI422" s="1"/>
      <c r="BJ422" s="1" t="s">
        <v>8235</v>
      </c>
      <c r="BK422" s="1" t="s">
        <v>8236</v>
      </c>
      <c r="BL422" s="1" t="s">
        <v>1048</v>
      </c>
      <c r="BM422" s="1" t="s">
        <v>8237</v>
      </c>
      <c r="BN422" s="1">
        <v>23</v>
      </c>
      <c r="BO422" s="1"/>
      <c r="BP422" s="1" t="str">
        <f>HYPERLINK("https://nconnect.nicmar.ac.in/storage/profile/ProfilePhoto_P25700420_287643.jpg","Download")</f>
        <v>0</v>
      </c>
      <c r="BQ422" s="3"/>
      <c r="BR422" s="3"/>
    </row>
    <row r="423" spans="1:70">
      <c r="A423" s="1" t="s">
        <v>70</v>
      </c>
      <c r="B423" s="1" t="s">
        <v>441</v>
      </c>
      <c r="C423" s="1" t="s">
        <v>8238</v>
      </c>
      <c r="D423" s="1" t="s">
        <v>1272</v>
      </c>
      <c r="E423" s="1" t="s">
        <v>1828</v>
      </c>
      <c r="F423" s="1" t="s">
        <v>8239</v>
      </c>
      <c r="G423" s="1" t="s">
        <v>8240</v>
      </c>
      <c r="H423" s="1" t="s">
        <v>8241</v>
      </c>
      <c r="I423" s="1" t="s">
        <v>8242</v>
      </c>
      <c r="J423" s="1">
        <v>8792287682</v>
      </c>
      <c r="K423" s="1" t="s">
        <v>79</v>
      </c>
      <c r="L423" s="1" t="s">
        <v>8243</v>
      </c>
      <c r="M423" s="1" t="s">
        <v>81</v>
      </c>
      <c r="N423" s="1" t="s">
        <v>8244</v>
      </c>
      <c r="O423" s="1"/>
      <c r="P423" s="1" t="s">
        <v>472</v>
      </c>
      <c r="Q423" s="1" t="s">
        <v>8245</v>
      </c>
      <c r="R423" s="1" t="s">
        <v>8246</v>
      </c>
      <c r="S423" s="1">
        <v>8007326759</v>
      </c>
      <c r="T423" s="1" t="s">
        <v>529</v>
      </c>
      <c r="U423" s="1" t="s">
        <v>8247</v>
      </c>
      <c r="V423" s="1">
        <v>9035436462</v>
      </c>
      <c r="W423" s="1" t="s">
        <v>531</v>
      </c>
      <c r="X423" s="1" t="s">
        <v>8248</v>
      </c>
      <c r="Y423" s="1" t="s">
        <v>8249</v>
      </c>
      <c r="Z423" s="1" t="s">
        <v>1187</v>
      </c>
      <c r="AA423" s="1" t="s">
        <v>8248</v>
      </c>
      <c r="AB423" s="1" t="s">
        <v>8249</v>
      </c>
      <c r="AC423" s="1" t="s">
        <v>1187</v>
      </c>
      <c r="AD423" s="1">
        <v>8.72</v>
      </c>
      <c r="AE423" s="1" t="s">
        <v>93</v>
      </c>
      <c r="AF423" s="1" t="s">
        <v>8250</v>
      </c>
      <c r="AG423" s="1" t="s">
        <v>1920</v>
      </c>
      <c r="AH423" s="1" t="s">
        <v>279</v>
      </c>
      <c r="AI423" s="1" t="s">
        <v>562</v>
      </c>
      <c r="AJ423" s="1">
        <v>94.88</v>
      </c>
      <c r="AK423" s="1"/>
      <c r="AL423" s="1" t="s">
        <v>8251</v>
      </c>
      <c r="AM423" s="1" t="s">
        <v>1920</v>
      </c>
      <c r="AN423" s="1" t="s">
        <v>281</v>
      </c>
      <c r="AO423" s="1" t="s">
        <v>537</v>
      </c>
      <c r="AP423" s="1">
        <v>90.88</v>
      </c>
      <c r="AQ423" s="1"/>
      <c r="AR423" s="1"/>
      <c r="AS423" s="1"/>
      <c r="AT423" s="1"/>
      <c r="AU423" s="1"/>
      <c r="AV423" s="1"/>
      <c r="AW423" s="1"/>
      <c r="AX423" s="1" t="s">
        <v>8252</v>
      </c>
      <c r="AY423" s="1" t="s">
        <v>8253</v>
      </c>
      <c r="AZ423" s="1" t="s">
        <v>433</v>
      </c>
      <c r="BA423" s="1" t="s">
        <v>935</v>
      </c>
      <c r="BB423" s="1">
        <v>83.3</v>
      </c>
      <c r="BC423" s="1">
        <v>8.33</v>
      </c>
      <c r="BD423" s="1"/>
      <c r="BE423" s="1"/>
      <c r="BF423" s="1"/>
      <c r="BG423" s="1"/>
      <c r="BH423" s="1"/>
      <c r="BI423" s="1"/>
      <c r="BJ423" s="1" t="s">
        <v>8254</v>
      </c>
      <c r="BK423" s="1" t="s">
        <v>8255</v>
      </c>
      <c r="BL423" s="1" t="s">
        <v>762</v>
      </c>
      <c r="BM423" s="1" t="s">
        <v>8256</v>
      </c>
      <c r="BN423" s="1">
        <v>34</v>
      </c>
      <c r="BO423" s="1"/>
      <c r="BP423" s="1" t="str">
        <f>HYPERLINK("https://nconnect.nicmar.ac.in/storage/profile/ProfilePhoto_P25700421_961834.jpg","Download")</f>
        <v>0</v>
      </c>
      <c r="BQ423" s="3"/>
      <c r="BR423" s="3"/>
    </row>
    <row r="424" spans="1:70">
      <c r="A424" s="1" t="s">
        <v>70</v>
      </c>
      <c r="B424" s="1" t="s">
        <v>441</v>
      </c>
      <c r="C424" s="1" t="s">
        <v>8257</v>
      </c>
      <c r="D424" s="1" t="s">
        <v>8258</v>
      </c>
      <c r="E424" s="1"/>
      <c r="F424" s="1" t="s">
        <v>940</v>
      </c>
      <c r="G424" s="1" t="s">
        <v>8259</v>
      </c>
      <c r="H424" s="1" t="s">
        <v>8260</v>
      </c>
      <c r="I424" s="1" t="s">
        <v>8261</v>
      </c>
      <c r="J424" s="1">
        <v>6232156909</v>
      </c>
      <c r="K424" s="1" t="s">
        <v>79</v>
      </c>
      <c r="L424" s="1" t="s">
        <v>8262</v>
      </c>
      <c r="M424" s="1" t="s">
        <v>81</v>
      </c>
      <c r="N424" s="1" t="s">
        <v>8263</v>
      </c>
      <c r="O424" s="1"/>
      <c r="P424" s="1" t="s">
        <v>497</v>
      </c>
      <c r="Q424" s="1" t="s">
        <v>8264</v>
      </c>
      <c r="R424" s="1" t="s">
        <v>8265</v>
      </c>
      <c r="S424" s="1">
        <v>9425430025</v>
      </c>
      <c r="T424" s="1" t="s">
        <v>820</v>
      </c>
      <c r="U424" s="1" t="s">
        <v>8266</v>
      </c>
      <c r="V424" s="1">
        <v>9425430025</v>
      </c>
      <c r="W424" s="1" t="s">
        <v>6564</v>
      </c>
      <c r="X424" s="1" t="s">
        <v>8267</v>
      </c>
      <c r="Y424" s="1" t="s">
        <v>7935</v>
      </c>
      <c r="Z424" s="1" t="s">
        <v>3437</v>
      </c>
      <c r="AA424" s="1" t="s">
        <v>8267</v>
      </c>
      <c r="AB424" s="1" t="s">
        <v>7935</v>
      </c>
      <c r="AC424" s="1" t="s">
        <v>3437</v>
      </c>
      <c r="AD424" s="1">
        <v>7.82</v>
      </c>
      <c r="AE424" s="1" t="s">
        <v>93</v>
      </c>
      <c r="AF424" s="1" t="s">
        <v>8268</v>
      </c>
      <c r="AG424" s="1" t="s">
        <v>307</v>
      </c>
      <c r="AH424" s="1" t="s">
        <v>195</v>
      </c>
      <c r="AI424" s="1" t="s">
        <v>166</v>
      </c>
      <c r="AJ424" s="1">
        <v>81</v>
      </c>
      <c r="AK424" s="1">
        <v>8.52</v>
      </c>
      <c r="AL424" s="1" t="s">
        <v>8269</v>
      </c>
      <c r="AM424" s="1" t="s">
        <v>307</v>
      </c>
      <c r="AN424" s="1" t="s">
        <v>409</v>
      </c>
      <c r="AO424" s="1" t="s">
        <v>412</v>
      </c>
      <c r="AP424" s="1">
        <v>65.2</v>
      </c>
      <c r="AQ424" s="1">
        <v>6.86</v>
      </c>
      <c r="AR424" s="1"/>
      <c r="AS424" s="1"/>
      <c r="AT424" s="1"/>
      <c r="AU424" s="1"/>
      <c r="AV424" s="1"/>
      <c r="AW424" s="1"/>
      <c r="AX424" s="1" t="s">
        <v>3790</v>
      </c>
      <c r="AY424" s="1" t="s">
        <v>8270</v>
      </c>
      <c r="AZ424" s="1" t="s">
        <v>956</v>
      </c>
      <c r="BA424" s="1" t="s">
        <v>202</v>
      </c>
      <c r="BB424" s="1">
        <v>80.3</v>
      </c>
      <c r="BC424" s="1">
        <v>8.03</v>
      </c>
      <c r="BD424" s="1"/>
      <c r="BE424" s="1"/>
      <c r="BF424" s="1"/>
      <c r="BG424" s="1"/>
      <c r="BH424" s="1"/>
      <c r="BI424" s="1"/>
      <c r="BJ424" s="1" t="s">
        <v>8271</v>
      </c>
      <c r="BK424" s="1"/>
      <c r="BL424" s="1"/>
      <c r="BM424" s="1" t="s">
        <v>8272</v>
      </c>
      <c r="BN424" s="1">
        <v>31</v>
      </c>
      <c r="BO424" s="1"/>
      <c r="BP424" s="1" t="str">
        <f>HYPERLINK("https://nconnect.nicmar.ac.in/storage/profile/ProfilePhoto_P25700422_634185.jpg","Download")</f>
        <v>0</v>
      </c>
      <c r="BQ424" s="3"/>
      <c r="BR424" s="3"/>
    </row>
    <row r="425" spans="1:70">
      <c r="A425" s="1" t="s">
        <v>70</v>
      </c>
      <c r="B425" s="1" t="s">
        <v>441</v>
      </c>
      <c r="C425" s="1" t="s">
        <v>8273</v>
      </c>
      <c r="D425" s="1" t="s">
        <v>3511</v>
      </c>
      <c r="E425" s="1"/>
      <c r="F425" s="1" t="s">
        <v>520</v>
      </c>
      <c r="G425" s="1" t="s">
        <v>8274</v>
      </c>
      <c r="H425" s="1" t="s">
        <v>8275</v>
      </c>
      <c r="I425" s="1" t="s">
        <v>8276</v>
      </c>
      <c r="J425" s="1">
        <v>6206576334</v>
      </c>
      <c r="K425" s="1" t="s">
        <v>79</v>
      </c>
      <c r="L425" s="1" t="s">
        <v>8277</v>
      </c>
      <c r="M425" s="1" t="s">
        <v>81</v>
      </c>
      <c r="N425" s="1" t="s">
        <v>8278</v>
      </c>
      <c r="O425" s="1"/>
      <c r="P425" s="1" t="s">
        <v>497</v>
      </c>
      <c r="Q425" s="1" t="s">
        <v>8279</v>
      </c>
      <c r="R425" s="1" t="s">
        <v>8280</v>
      </c>
      <c r="S425" s="1">
        <v>8757741621</v>
      </c>
      <c r="T425" s="1" t="s">
        <v>632</v>
      </c>
      <c r="U425" s="1" t="s">
        <v>8281</v>
      </c>
      <c r="V425" s="1">
        <v>7017133725</v>
      </c>
      <c r="W425" s="1" t="s">
        <v>531</v>
      </c>
      <c r="X425" s="1" t="s">
        <v>8282</v>
      </c>
      <c r="Y425" s="1" t="s">
        <v>635</v>
      </c>
      <c r="Z425" s="1" t="s">
        <v>636</v>
      </c>
      <c r="AA425" s="1" t="s">
        <v>8283</v>
      </c>
      <c r="AB425" s="1" t="s">
        <v>8284</v>
      </c>
      <c r="AC425" s="1" t="s">
        <v>2977</v>
      </c>
      <c r="AD425" s="1" t="s">
        <v>93</v>
      </c>
      <c r="AE425" s="1" t="s">
        <v>93</v>
      </c>
      <c r="AF425" s="1" t="s">
        <v>8285</v>
      </c>
      <c r="AG425" s="1" t="s">
        <v>8286</v>
      </c>
      <c r="AH425" s="1" t="s">
        <v>689</v>
      </c>
      <c r="AI425" s="1" t="s">
        <v>166</v>
      </c>
      <c r="AJ425" s="1">
        <v>76.2</v>
      </c>
      <c r="AK425" s="1">
        <v>7.62</v>
      </c>
      <c r="AL425" s="1" t="s">
        <v>8285</v>
      </c>
      <c r="AM425" s="1" t="s">
        <v>8287</v>
      </c>
      <c r="AN425" s="1" t="s">
        <v>537</v>
      </c>
      <c r="AO425" s="1" t="s">
        <v>871</v>
      </c>
      <c r="AP425" s="1">
        <v>73.16</v>
      </c>
      <c r="AQ425" s="1">
        <v>7.31</v>
      </c>
      <c r="AR425" s="1"/>
      <c r="AS425" s="1"/>
      <c r="AT425" s="1"/>
      <c r="AU425" s="1"/>
      <c r="AV425" s="1"/>
      <c r="AW425" s="1"/>
      <c r="AX425" s="1" t="s">
        <v>5110</v>
      </c>
      <c r="AY425" s="1" t="s">
        <v>5111</v>
      </c>
      <c r="AZ425" s="1" t="s">
        <v>412</v>
      </c>
      <c r="BA425" s="1" t="s">
        <v>1067</v>
      </c>
      <c r="BB425" s="1">
        <v>69.3</v>
      </c>
      <c r="BC425" s="1">
        <v>6.93</v>
      </c>
      <c r="BD425" s="1"/>
      <c r="BE425" s="1"/>
      <c r="BF425" s="1"/>
      <c r="BG425" s="1"/>
      <c r="BH425" s="1"/>
      <c r="BI425" s="1"/>
      <c r="BJ425" s="1" t="s">
        <v>8288</v>
      </c>
      <c r="BK425" s="1"/>
      <c r="BL425" s="1"/>
      <c r="BM425" s="1" t="s">
        <v>8289</v>
      </c>
      <c r="BN425" s="1">
        <v>17</v>
      </c>
      <c r="BO425" s="1"/>
      <c r="BP425" s="1" t="str">
        <f>HYPERLINK("https://nconnect.nicmar.ac.in/storage/profile/ProfilePhoto_P25700424_432817.jpg","Download")</f>
        <v>0</v>
      </c>
      <c r="BQ425" s="3"/>
      <c r="BR425" s="3"/>
    </row>
    <row r="426" spans="1:70">
      <c r="A426" s="1" t="s">
        <v>70</v>
      </c>
      <c r="B426" s="1" t="s">
        <v>441</v>
      </c>
      <c r="C426" s="1" t="s">
        <v>8290</v>
      </c>
      <c r="D426" s="1" t="s">
        <v>1095</v>
      </c>
      <c r="E426" s="1" t="s">
        <v>2071</v>
      </c>
      <c r="F426" s="1" t="s">
        <v>2914</v>
      </c>
      <c r="G426" s="1" t="s">
        <v>8291</v>
      </c>
      <c r="H426" s="1" t="s">
        <v>8292</v>
      </c>
      <c r="I426" s="1" t="s">
        <v>8293</v>
      </c>
      <c r="J426" s="1">
        <v>7058986096</v>
      </c>
      <c r="K426" s="1" t="s">
        <v>79</v>
      </c>
      <c r="L426" s="1" t="s">
        <v>8294</v>
      </c>
      <c r="M426" s="1" t="s">
        <v>81</v>
      </c>
      <c r="N426" s="1" t="s">
        <v>751</v>
      </c>
      <c r="O426" s="1"/>
      <c r="P426" s="1"/>
      <c r="Q426" s="1" t="s">
        <v>8295</v>
      </c>
      <c r="R426" s="1" t="s">
        <v>8296</v>
      </c>
      <c r="S426" s="1">
        <v>9405440044</v>
      </c>
      <c r="T426" s="1" t="s">
        <v>906</v>
      </c>
      <c r="U426" s="1" t="s">
        <v>8297</v>
      </c>
      <c r="V426" s="1">
        <v>7058986096</v>
      </c>
      <c r="W426" s="1" t="s">
        <v>8298</v>
      </c>
      <c r="X426" s="1" t="s">
        <v>8299</v>
      </c>
      <c r="Y426" s="1" t="s">
        <v>1012</v>
      </c>
      <c r="Z426" s="1" t="s">
        <v>92</v>
      </c>
      <c r="AA426" s="1" t="s">
        <v>8300</v>
      </c>
      <c r="AB426" s="1" t="s">
        <v>429</v>
      </c>
      <c r="AC426" s="1" t="s">
        <v>92</v>
      </c>
      <c r="AD426" s="1">
        <v>8.59</v>
      </c>
      <c r="AE426" s="1" t="s">
        <v>93</v>
      </c>
      <c r="AF426" s="1" t="s">
        <v>8301</v>
      </c>
      <c r="AG426" s="1" t="s">
        <v>160</v>
      </c>
      <c r="AH426" s="1" t="s">
        <v>165</v>
      </c>
      <c r="AI426" s="1" t="s">
        <v>281</v>
      </c>
      <c r="AJ426" s="1">
        <v>89.2</v>
      </c>
      <c r="AK426" s="1">
        <v>0</v>
      </c>
      <c r="AL426" s="1" t="s">
        <v>8302</v>
      </c>
      <c r="AM426" s="1" t="s">
        <v>160</v>
      </c>
      <c r="AN426" s="1" t="s">
        <v>433</v>
      </c>
      <c r="AO426" s="1" t="s">
        <v>360</v>
      </c>
      <c r="AP426" s="1">
        <v>66.31</v>
      </c>
      <c r="AQ426" s="1">
        <v>0</v>
      </c>
      <c r="AR426" s="1"/>
      <c r="AS426" s="1"/>
      <c r="AT426" s="1"/>
      <c r="AU426" s="1"/>
      <c r="AV426" s="1"/>
      <c r="AW426" s="1"/>
      <c r="AX426" s="1" t="s">
        <v>8303</v>
      </c>
      <c r="AY426" s="1" t="s">
        <v>8304</v>
      </c>
      <c r="AZ426" s="1" t="s">
        <v>1019</v>
      </c>
      <c r="BA426" s="1" t="s">
        <v>202</v>
      </c>
      <c r="BB426" s="1">
        <v>64.4</v>
      </c>
      <c r="BC426" s="1">
        <v>6.94</v>
      </c>
      <c r="BD426" s="1"/>
      <c r="BE426" s="1"/>
      <c r="BF426" s="1"/>
      <c r="BG426" s="1"/>
      <c r="BH426" s="1"/>
      <c r="BI426" s="1"/>
      <c r="BJ426" s="1" t="s">
        <v>8305</v>
      </c>
      <c r="BK426" s="1"/>
      <c r="BL426" s="1"/>
      <c r="BM426" s="1" t="s">
        <v>8306</v>
      </c>
      <c r="BN426" s="1">
        <v>9</v>
      </c>
      <c r="BO426" s="1"/>
      <c r="BP426" s="1" t="str">
        <f>HYPERLINK("https://nconnect.nicmar.ac.in/storage/profile/ProfilePhoto_P25700425_379841.jpg","Download")</f>
        <v>0</v>
      </c>
      <c r="BQ426" s="3"/>
      <c r="BR426" s="3"/>
    </row>
    <row r="427" spans="1:70">
      <c r="A427" s="1" t="s">
        <v>70</v>
      </c>
      <c r="B427" s="1" t="s">
        <v>441</v>
      </c>
      <c r="C427" s="1" t="s">
        <v>8307</v>
      </c>
      <c r="D427" s="1" t="s">
        <v>8308</v>
      </c>
      <c r="E427" s="1" t="s">
        <v>8309</v>
      </c>
      <c r="F427" s="1" t="s">
        <v>8310</v>
      </c>
      <c r="G427" s="1" t="s">
        <v>8311</v>
      </c>
      <c r="H427" s="1" t="s">
        <v>8312</v>
      </c>
      <c r="I427" s="1" t="s">
        <v>8313</v>
      </c>
      <c r="J427" s="1">
        <v>7840994016</v>
      </c>
      <c r="K427" s="1" t="s">
        <v>148</v>
      </c>
      <c r="L427" s="1" t="s">
        <v>8314</v>
      </c>
      <c r="M427" s="1" t="s">
        <v>81</v>
      </c>
      <c r="N427" s="1" t="s">
        <v>751</v>
      </c>
      <c r="O427" s="1"/>
      <c r="P427" s="1" t="s">
        <v>497</v>
      </c>
      <c r="Q427" s="1" t="s">
        <v>8315</v>
      </c>
      <c r="R427" s="1" t="s">
        <v>8309</v>
      </c>
      <c r="S427" s="1">
        <v>9518593832</v>
      </c>
      <c r="T427" s="1" t="s">
        <v>122</v>
      </c>
      <c r="U427" s="1" t="s">
        <v>6089</v>
      </c>
      <c r="V427" s="1">
        <v>7972685693</v>
      </c>
      <c r="W427" s="1" t="s">
        <v>8316</v>
      </c>
      <c r="X427" s="1" t="s">
        <v>8317</v>
      </c>
      <c r="Y427" s="1" t="s">
        <v>3557</v>
      </c>
      <c r="Z427" s="1" t="s">
        <v>92</v>
      </c>
      <c r="AA427" s="1" t="s">
        <v>8317</v>
      </c>
      <c r="AB427" s="1" t="s">
        <v>3557</v>
      </c>
      <c r="AC427" s="1" t="s">
        <v>92</v>
      </c>
      <c r="AD427" s="1">
        <v>7.94</v>
      </c>
      <c r="AE427" s="1" t="s">
        <v>93</v>
      </c>
      <c r="AF427" s="1" t="s">
        <v>8318</v>
      </c>
      <c r="AG427" s="1" t="s">
        <v>160</v>
      </c>
      <c r="AH427" s="1" t="s">
        <v>101</v>
      </c>
      <c r="AI427" s="1" t="s">
        <v>409</v>
      </c>
      <c r="AJ427" s="1">
        <v>77.2</v>
      </c>
      <c r="AK427" s="1">
        <v>0</v>
      </c>
      <c r="AL427" s="1" t="s">
        <v>8319</v>
      </c>
      <c r="AM427" s="1" t="s">
        <v>160</v>
      </c>
      <c r="AN427" s="1" t="s">
        <v>460</v>
      </c>
      <c r="AO427" s="1" t="s">
        <v>1169</v>
      </c>
      <c r="AP427" s="1">
        <v>93.17</v>
      </c>
      <c r="AQ427" s="1">
        <v>0</v>
      </c>
      <c r="AR427" s="1"/>
      <c r="AS427" s="1"/>
      <c r="AT427" s="1"/>
      <c r="AU427" s="1"/>
      <c r="AV427" s="1"/>
      <c r="AW427" s="1"/>
      <c r="AX427" s="1" t="s">
        <v>540</v>
      </c>
      <c r="AY427" s="1" t="s">
        <v>8320</v>
      </c>
      <c r="AZ427" s="1" t="s">
        <v>436</v>
      </c>
      <c r="BA427" s="1" t="s">
        <v>1379</v>
      </c>
      <c r="BB427" s="1">
        <v>77.3</v>
      </c>
      <c r="BC427" s="1">
        <v>7.73</v>
      </c>
      <c r="BD427" s="1"/>
      <c r="BE427" s="1"/>
      <c r="BF427" s="1"/>
      <c r="BG427" s="1"/>
      <c r="BH427" s="1"/>
      <c r="BI427" s="1"/>
      <c r="BJ427" s="1" t="s">
        <v>8321</v>
      </c>
      <c r="BK427" s="1"/>
      <c r="BL427" s="1"/>
      <c r="BM427" s="1" t="s">
        <v>8322</v>
      </c>
      <c r="BN427" s="1">
        <v>17</v>
      </c>
      <c r="BO427" s="1"/>
      <c r="BP427" s="1" t="str">
        <f>HYPERLINK("https://nconnect.nicmar.ac.in/storage/profile/ProfilePhoto_P25700426_957814.jpg","Download")</f>
        <v>0</v>
      </c>
      <c r="BQ427" s="3"/>
      <c r="BR427" s="3"/>
    </row>
    <row r="428" spans="1:70">
      <c r="A428" s="1" t="s">
        <v>70</v>
      </c>
      <c r="B428" s="1" t="s">
        <v>441</v>
      </c>
      <c r="C428" s="1" t="s">
        <v>8323</v>
      </c>
      <c r="D428" s="1" t="s">
        <v>8324</v>
      </c>
      <c r="E428" s="1" t="s">
        <v>8325</v>
      </c>
      <c r="F428" s="1" t="s">
        <v>8326</v>
      </c>
      <c r="G428" s="1" t="s">
        <v>8327</v>
      </c>
      <c r="H428" s="1" t="s">
        <v>8328</v>
      </c>
      <c r="I428" s="1" t="s">
        <v>8329</v>
      </c>
      <c r="J428" s="1">
        <v>8332899933</v>
      </c>
      <c r="K428" s="1" t="s">
        <v>79</v>
      </c>
      <c r="L428" s="1" t="s">
        <v>8330</v>
      </c>
      <c r="M428" s="1" t="s">
        <v>81</v>
      </c>
      <c r="N428" s="1" t="s">
        <v>8331</v>
      </c>
      <c r="O428" s="1"/>
      <c r="P428" s="1" t="s">
        <v>450</v>
      </c>
      <c r="Q428" s="1" t="s">
        <v>8332</v>
      </c>
      <c r="R428" s="1" t="s">
        <v>8333</v>
      </c>
      <c r="S428" s="1">
        <v>9849766553</v>
      </c>
      <c r="T428" s="1" t="s">
        <v>754</v>
      </c>
      <c r="U428" s="1" t="s">
        <v>8334</v>
      </c>
      <c r="V428" s="1">
        <v>9440491271</v>
      </c>
      <c r="W428" s="1" t="s">
        <v>273</v>
      </c>
      <c r="X428" s="1" t="s">
        <v>8335</v>
      </c>
      <c r="Y428" s="1" t="s">
        <v>8336</v>
      </c>
      <c r="Z428" s="1" t="s">
        <v>456</v>
      </c>
      <c r="AA428" s="1" t="s">
        <v>8335</v>
      </c>
      <c r="AB428" s="1" t="s">
        <v>8336</v>
      </c>
      <c r="AC428" s="1" t="s">
        <v>456</v>
      </c>
      <c r="AD428" s="1">
        <v>8.03</v>
      </c>
      <c r="AE428" s="1" t="s">
        <v>93</v>
      </c>
      <c r="AF428" s="1" t="s">
        <v>8337</v>
      </c>
      <c r="AG428" s="1" t="s">
        <v>8338</v>
      </c>
      <c r="AH428" s="1" t="s">
        <v>165</v>
      </c>
      <c r="AI428" s="1" t="s">
        <v>281</v>
      </c>
      <c r="AJ428" s="1">
        <v>78.85</v>
      </c>
      <c r="AK428" s="1">
        <v>8.3</v>
      </c>
      <c r="AL428" s="1" t="s">
        <v>1578</v>
      </c>
      <c r="AM428" s="1" t="s">
        <v>8339</v>
      </c>
      <c r="AN428" s="1" t="s">
        <v>433</v>
      </c>
      <c r="AO428" s="1" t="s">
        <v>590</v>
      </c>
      <c r="AP428" s="1">
        <v>79.2</v>
      </c>
      <c r="AQ428" s="1"/>
      <c r="AR428" s="1"/>
      <c r="AS428" s="1"/>
      <c r="AT428" s="1"/>
      <c r="AU428" s="1"/>
      <c r="AV428" s="1"/>
      <c r="AW428" s="1"/>
      <c r="AX428" s="1" t="s">
        <v>1798</v>
      </c>
      <c r="AY428" s="1" t="s">
        <v>8340</v>
      </c>
      <c r="AZ428" s="1" t="s">
        <v>1019</v>
      </c>
      <c r="BA428" s="1" t="s">
        <v>413</v>
      </c>
      <c r="BB428" s="1">
        <v>63.1</v>
      </c>
      <c r="BC428" s="1">
        <v>6.81</v>
      </c>
      <c r="BD428" s="1"/>
      <c r="BE428" s="1"/>
      <c r="BF428" s="1"/>
      <c r="BG428" s="1"/>
      <c r="BH428" s="1"/>
      <c r="BI428" s="1"/>
      <c r="BJ428" s="1" t="s">
        <v>8341</v>
      </c>
      <c r="BK428" s="1"/>
      <c r="BL428" s="1"/>
      <c r="BM428" s="1" t="s">
        <v>8342</v>
      </c>
      <c r="BN428" s="1">
        <v>8</v>
      </c>
      <c r="BO428" s="1"/>
      <c r="BP428" s="1" t="str">
        <f>HYPERLINK("https://nconnect.nicmar.ac.in/storage/profile/ProfilePhoto_P25700427_561483.jpg","Download")</f>
        <v>0</v>
      </c>
      <c r="BQ428" s="3"/>
      <c r="BR428" s="3"/>
    </row>
    <row r="429" spans="1:70">
      <c r="A429" s="1" t="s">
        <v>70</v>
      </c>
      <c r="B429" s="1" t="s">
        <v>441</v>
      </c>
      <c r="C429" s="1" t="s">
        <v>8343</v>
      </c>
      <c r="D429" s="1" t="s">
        <v>8344</v>
      </c>
      <c r="E429" s="1" t="s">
        <v>6012</v>
      </c>
      <c r="F429" s="1" t="s">
        <v>8345</v>
      </c>
      <c r="G429" s="1" t="s">
        <v>8346</v>
      </c>
      <c r="H429" s="1" t="s">
        <v>8347</v>
      </c>
      <c r="I429" s="1" t="s">
        <v>8348</v>
      </c>
      <c r="J429" s="1">
        <v>9923155346</v>
      </c>
      <c r="K429" s="1" t="s">
        <v>79</v>
      </c>
      <c r="L429" s="1" t="s">
        <v>8349</v>
      </c>
      <c r="M429" s="1" t="s">
        <v>81</v>
      </c>
      <c r="N429" s="1" t="s">
        <v>605</v>
      </c>
      <c r="O429" s="1"/>
      <c r="P429" s="1" t="s">
        <v>472</v>
      </c>
      <c r="Q429" s="1" t="s">
        <v>8350</v>
      </c>
      <c r="R429" s="1" t="s">
        <v>8351</v>
      </c>
      <c r="S429" s="1">
        <v>9420566475</v>
      </c>
      <c r="T429" s="1" t="s">
        <v>820</v>
      </c>
      <c r="U429" s="1" t="s">
        <v>8352</v>
      </c>
      <c r="V429" s="1">
        <v>9405936731</v>
      </c>
      <c r="W429" s="1" t="s">
        <v>273</v>
      </c>
      <c r="X429" s="1" t="s">
        <v>8353</v>
      </c>
      <c r="Y429" s="1" t="s">
        <v>405</v>
      </c>
      <c r="Z429" s="1" t="s">
        <v>92</v>
      </c>
      <c r="AA429" s="1" t="s">
        <v>8353</v>
      </c>
      <c r="AB429" s="1" t="s">
        <v>405</v>
      </c>
      <c r="AC429" s="1" t="s">
        <v>92</v>
      </c>
      <c r="AD429" s="1">
        <v>8.52</v>
      </c>
      <c r="AE429" s="1" t="s">
        <v>93</v>
      </c>
      <c r="AF429" s="1" t="s">
        <v>8354</v>
      </c>
      <c r="AG429" s="1" t="s">
        <v>8355</v>
      </c>
      <c r="AH429" s="1" t="s">
        <v>195</v>
      </c>
      <c r="AI429" s="1" t="s">
        <v>281</v>
      </c>
      <c r="AJ429" s="1">
        <v>87.6</v>
      </c>
      <c r="AK429" s="1"/>
      <c r="AL429" s="1" t="s">
        <v>8356</v>
      </c>
      <c r="AM429" s="1" t="s">
        <v>8355</v>
      </c>
      <c r="AN429" s="1" t="s">
        <v>198</v>
      </c>
      <c r="AO429" s="1" t="s">
        <v>360</v>
      </c>
      <c r="AP429" s="1">
        <v>64.62</v>
      </c>
      <c r="AQ429" s="1"/>
      <c r="AR429" s="1"/>
      <c r="AS429" s="1"/>
      <c r="AT429" s="1"/>
      <c r="AU429" s="1"/>
      <c r="AV429" s="1"/>
      <c r="AW429" s="1"/>
      <c r="AX429" s="1" t="s">
        <v>410</v>
      </c>
      <c r="AY429" s="1" t="s">
        <v>8357</v>
      </c>
      <c r="AZ429" s="1" t="s">
        <v>363</v>
      </c>
      <c r="BA429" s="1" t="s">
        <v>413</v>
      </c>
      <c r="BB429" s="1">
        <v>64.6</v>
      </c>
      <c r="BC429" s="1">
        <v>7.21</v>
      </c>
      <c r="BD429" s="1"/>
      <c r="BE429" s="1"/>
      <c r="BF429" s="1"/>
      <c r="BG429" s="1"/>
      <c r="BH429" s="1"/>
      <c r="BI429" s="1"/>
      <c r="BJ429" s="1" t="s">
        <v>8358</v>
      </c>
      <c r="BK429" s="1" t="s">
        <v>8359</v>
      </c>
      <c r="BL429" s="1" t="s">
        <v>1048</v>
      </c>
      <c r="BM429" s="1" t="s">
        <v>8360</v>
      </c>
      <c r="BN429" s="1">
        <v>21</v>
      </c>
      <c r="BO429" s="1" t="s">
        <v>8361</v>
      </c>
      <c r="BP429" s="1" t="str">
        <f>HYPERLINK("https://nconnect.nicmar.ac.in/storage/profile/ProfilePhoto_P25700428_648923.jpg","Download")</f>
        <v>0</v>
      </c>
      <c r="BQ429" s="3"/>
      <c r="BR429" s="3"/>
    </row>
    <row r="430" spans="1:70">
      <c r="A430" s="1" t="s">
        <v>70</v>
      </c>
      <c r="B430" s="1" t="s">
        <v>441</v>
      </c>
      <c r="C430" s="1" t="s">
        <v>8362</v>
      </c>
      <c r="D430" s="1" t="s">
        <v>8363</v>
      </c>
      <c r="E430" s="1" t="s">
        <v>8364</v>
      </c>
      <c r="F430" s="1" t="s">
        <v>8365</v>
      </c>
      <c r="G430" s="1" t="s">
        <v>8366</v>
      </c>
      <c r="H430" s="1" t="s">
        <v>8367</v>
      </c>
      <c r="I430" s="1" t="s">
        <v>8368</v>
      </c>
      <c r="J430" s="1">
        <v>9370401293</v>
      </c>
      <c r="K430" s="1" t="s">
        <v>79</v>
      </c>
      <c r="L430" s="1" t="s">
        <v>8369</v>
      </c>
      <c r="M430" s="1" t="s">
        <v>81</v>
      </c>
      <c r="N430" s="1" t="s">
        <v>1140</v>
      </c>
      <c r="O430" s="1"/>
      <c r="P430" s="1" t="s">
        <v>497</v>
      </c>
      <c r="Q430" s="1" t="s">
        <v>8370</v>
      </c>
      <c r="R430" s="1" t="s">
        <v>8371</v>
      </c>
      <c r="S430" s="1">
        <v>8275219980</v>
      </c>
      <c r="T430" s="1" t="s">
        <v>122</v>
      </c>
      <c r="U430" s="1" t="s">
        <v>8372</v>
      </c>
      <c r="V430" s="1">
        <v>8275219980</v>
      </c>
      <c r="W430" s="1" t="s">
        <v>156</v>
      </c>
      <c r="X430" s="1" t="s">
        <v>8373</v>
      </c>
      <c r="Y430" s="1" t="s">
        <v>328</v>
      </c>
      <c r="Z430" s="1" t="s">
        <v>92</v>
      </c>
      <c r="AA430" s="1" t="s">
        <v>8373</v>
      </c>
      <c r="AB430" s="1" t="s">
        <v>328</v>
      </c>
      <c r="AC430" s="1" t="s">
        <v>92</v>
      </c>
      <c r="AD430" s="1">
        <v>9.05</v>
      </c>
      <c r="AE430" s="1" t="s">
        <v>93</v>
      </c>
      <c r="AF430" s="1" t="s">
        <v>8374</v>
      </c>
      <c r="AG430" s="1" t="s">
        <v>2467</v>
      </c>
      <c r="AH430" s="1" t="s">
        <v>165</v>
      </c>
      <c r="AI430" s="1" t="s">
        <v>166</v>
      </c>
      <c r="AJ430" s="1">
        <v>80.4</v>
      </c>
      <c r="AK430" s="1">
        <v>0</v>
      </c>
      <c r="AL430" s="1"/>
      <c r="AM430" s="1"/>
      <c r="AN430" s="1"/>
      <c r="AO430" s="1"/>
      <c r="AP430" s="1"/>
      <c r="AQ430" s="1"/>
      <c r="AR430" s="1" t="s">
        <v>434</v>
      </c>
      <c r="AS430" s="1" t="s">
        <v>8375</v>
      </c>
      <c r="AT430" s="1" t="s">
        <v>1043</v>
      </c>
      <c r="AU430" s="1" t="s">
        <v>542</v>
      </c>
      <c r="AV430" s="1">
        <v>86.85</v>
      </c>
      <c r="AW430" s="1">
        <v>0</v>
      </c>
      <c r="AX430" s="1" t="s">
        <v>8376</v>
      </c>
      <c r="AY430" s="1" t="s">
        <v>8377</v>
      </c>
      <c r="AZ430" s="1" t="s">
        <v>852</v>
      </c>
      <c r="BA430" s="1" t="s">
        <v>202</v>
      </c>
      <c r="BB430" s="1">
        <v>80</v>
      </c>
      <c r="BC430" s="1">
        <v>8</v>
      </c>
      <c r="BD430" s="1"/>
      <c r="BE430" s="1"/>
      <c r="BF430" s="1"/>
      <c r="BG430" s="1"/>
      <c r="BH430" s="1"/>
      <c r="BI430" s="1"/>
      <c r="BJ430" s="1" t="s">
        <v>8378</v>
      </c>
      <c r="BK430" s="1"/>
      <c r="BL430" s="1"/>
      <c r="BM430" s="1" t="s">
        <v>8379</v>
      </c>
      <c r="BN430" s="1">
        <v>9</v>
      </c>
      <c r="BO430" s="1" t="s">
        <v>8380</v>
      </c>
      <c r="BP430" s="1" t="str">
        <f>HYPERLINK("https://nconnect.nicmar.ac.in/storage/profile/ProfilePhoto_P25700429_627859.jpg","Download")</f>
        <v>0</v>
      </c>
      <c r="BQ430" s="3"/>
      <c r="BR430" s="3"/>
    </row>
    <row r="431" spans="1:70">
      <c r="A431" s="1" t="s">
        <v>70</v>
      </c>
      <c r="B431" s="1" t="s">
        <v>441</v>
      </c>
      <c r="C431" s="1" t="s">
        <v>8381</v>
      </c>
      <c r="D431" s="1" t="s">
        <v>8382</v>
      </c>
      <c r="E431" s="1" t="s">
        <v>3061</v>
      </c>
      <c r="F431" s="1" t="s">
        <v>2593</v>
      </c>
      <c r="G431" s="1" t="s">
        <v>8383</v>
      </c>
      <c r="H431" s="1" t="s">
        <v>8384</v>
      </c>
      <c r="I431" s="1" t="s">
        <v>8385</v>
      </c>
      <c r="J431" s="1">
        <v>7738999969</v>
      </c>
      <c r="K431" s="1" t="s">
        <v>79</v>
      </c>
      <c r="L431" s="1" t="s">
        <v>8386</v>
      </c>
      <c r="M431" s="1" t="s">
        <v>81</v>
      </c>
      <c r="N431" s="1" t="s">
        <v>5374</v>
      </c>
      <c r="O431" s="1"/>
      <c r="P431" s="1" t="s">
        <v>472</v>
      </c>
      <c r="Q431" s="1" t="s">
        <v>8387</v>
      </c>
      <c r="R431" s="1" t="s">
        <v>8388</v>
      </c>
      <c r="S431" s="1">
        <v>7900049032</v>
      </c>
      <c r="T431" s="1" t="s">
        <v>8389</v>
      </c>
      <c r="U431" s="1" t="s">
        <v>8390</v>
      </c>
      <c r="V431" s="1">
        <v>7700036459</v>
      </c>
      <c r="W431" s="1" t="s">
        <v>156</v>
      </c>
      <c r="X431" s="1" t="s">
        <v>8391</v>
      </c>
      <c r="Y431" s="1" t="s">
        <v>991</v>
      </c>
      <c r="Z431" s="1" t="s">
        <v>92</v>
      </c>
      <c r="AA431" s="1" t="s">
        <v>8391</v>
      </c>
      <c r="AB431" s="1" t="s">
        <v>991</v>
      </c>
      <c r="AC431" s="1" t="s">
        <v>92</v>
      </c>
      <c r="AD431" s="1">
        <v>8.66</v>
      </c>
      <c r="AE431" s="1" t="s">
        <v>93</v>
      </c>
      <c r="AF431" s="1" t="s">
        <v>8392</v>
      </c>
      <c r="AG431" s="1" t="s">
        <v>160</v>
      </c>
      <c r="AH431" s="1" t="s">
        <v>97</v>
      </c>
      <c r="AI431" s="1" t="s">
        <v>1089</v>
      </c>
      <c r="AJ431" s="1">
        <v>78.6</v>
      </c>
      <c r="AK431" s="1"/>
      <c r="AL431" s="1"/>
      <c r="AM431" s="1"/>
      <c r="AN431" s="1"/>
      <c r="AO431" s="1"/>
      <c r="AP431" s="1"/>
      <c r="AQ431" s="1"/>
      <c r="AR431" s="1" t="s">
        <v>98</v>
      </c>
      <c r="AS431" s="1" t="s">
        <v>8393</v>
      </c>
      <c r="AT431" s="1" t="s">
        <v>1374</v>
      </c>
      <c r="AU431" s="1" t="s">
        <v>433</v>
      </c>
      <c r="AV431" s="1">
        <v>74.18</v>
      </c>
      <c r="AW431" s="1"/>
      <c r="AX431" s="1" t="s">
        <v>666</v>
      </c>
      <c r="AY431" s="1" t="s">
        <v>8394</v>
      </c>
      <c r="AZ431" s="1" t="s">
        <v>310</v>
      </c>
      <c r="BA431" s="1" t="s">
        <v>105</v>
      </c>
      <c r="BB431" s="1">
        <v>69.48</v>
      </c>
      <c r="BC431" s="1">
        <v>7.75</v>
      </c>
      <c r="BD431" s="1"/>
      <c r="BE431" s="1"/>
      <c r="BF431" s="1"/>
      <c r="BG431" s="1"/>
      <c r="BH431" s="1"/>
      <c r="BI431" s="1"/>
      <c r="BJ431" s="1" t="s">
        <v>567</v>
      </c>
      <c r="BK431" s="1" t="s">
        <v>8395</v>
      </c>
      <c r="BL431" s="1" t="s">
        <v>7635</v>
      </c>
      <c r="BM431" s="1" t="s">
        <v>8396</v>
      </c>
      <c r="BN431" s="1">
        <v>8</v>
      </c>
      <c r="BO431" s="1"/>
      <c r="BP431" s="1" t="str">
        <f>HYPERLINK("https://nconnect.nicmar.ac.in/storage/profile/ProfilePhoto_P25700430_384715.jpg","Download")</f>
        <v>0</v>
      </c>
      <c r="BQ431" s="3"/>
      <c r="BR431" s="3"/>
    </row>
    <row r="432" spans="1:70">
      <c r="A432" s="1" t="s">
        <v>70</v>
      </c>
      <c r="B432" s="1" t="s">
        <v>441</v>
      </c>
      <c r="C432" s="1" t="s">
        <v>8397</v>
      </c>
      <c r="D432" s="1" t="s">
        <v>8398</v>
      </c>
      <c r="E432" s="1"/>
      <c r="F432" s="1" t="s">
        <v>3927</v>
      </c>
      <c r="G432" s="1" t="s">
        <v>8399</v>
      </c>
      <c r="H432" s="1" t="s">
        <v>8400</v>
      </c>
      <c r="I432" s="1" t="s">
        <v>8401</v>
      </c>
      <c r="J432" s="1">
        <v>9337010182</v>
      </c>
      <c r="K432" s="1" t="s">
        <v>79</v>
      </c>
      <c r="L432" s="1" t="s">
        <v>8402</v>
      </c>
      <c r="M432" s="1" t="s">
        <v>81</v>
      </c>
      <c r="N432" s="1" t="s">
        <v>8403</v>
      </c>
      <c r="O432" s="1"/>
      <c r="P432" s="1" t="s">
        <v>497</v>
      </c>
      <c r="Q432" s="1" t="s">
        <v>8404</v>
      </c>
      <c r="R432" s="1" t="s">
        <v>8405</v>
      </c>
      <c r="S432" s="1">
        <v>7978990750</v>
      </c>
      <c r="T432" s="1" t="s">
        <v>8406</v>
      </c>
      <c r="U432" s="1" t="s">
        <v>8407</v>
      </c>
      <c r="V432" s="1">
        <v>7008831481</v>
      </c>
      <c r="W432" s="1" t="s">
        <v>8406</v>
      </c>
      <c r="X432" s="1" t="s">
        <v>8408</v>
      </c>
      <c r="Y432" s="1" t="s">
        <v>8409</v>
      </c>
      <c r="Z432" s="1" t="s">
        <v>846</v>
      </c>
      <c r="AA432" s="1" t="s">
        <v>8408</v>
      </c>
      <c r="AB432" s="1" t="s">
        <v>8409</v>
      </c>
      <c r="AC432" s="1" t="s">
        <v>846</v>
      </c>
      <c r="AD432" s="1">
        <v>8.87</v>
      </c>
      <c r="AE432" s="1" t="s">
        <v>93</v>
      </c>
      <c r="AF432" s="1" t="s">
        <v>3483</v>
      </c>
      <c r="AG432" s="1" t="s">
        <v>8410</v>
      </c>
      <c r="AH432" s="1" t="s">
        <v>279</v>
      </c>
      <c r="AI432" s="1" t="s">
        <v>165</v>
      </c>
      <c r="AJ432" s="1">
        <v>95</v>
      </c>
      <c r="AK432" s="1">
        <v>10</v>
      </c>
      <c r="AL432" s="1" t="s">
        <v>1237</v>
      </c>
      <c r="AM432" s="1" t="s">
        <v>2005</v>
      </c>
      <c r="AN432" s="1" t="s">
        <v>383</v>
      </c>
      <c r="AO432" s="1" t="s">
        <v>308</v>
      </c>
      <c r="AP432" s="1">
        <v>71.2</v>
      </c>
      <c r="AQ432" s="1"/>
      <c r="AR432" s="1"/>
      <c r="AS432" s="1"/>
      <c r="AT432" s="1"/>
      <c r="AU432" s="1"/>
      <c r="AV432" s="1"/>
      <c r="AW432" s="1"/>
      <c r="AX432" s="1" t="s">
        <v>5110</v>
      </c>
      <c r="AY432" s="1" t="s">
        <v>8411</v>
      </c>
      <c r="AZ432" s="1" t="s">
        <v>310</v>
      </c>
      <c r="BA432" s="1" t="s">
        <v>1292</v>
      </c>
      <c r="BB432" s="1">
        <v>87.4</v>
      </c>
      <c r="BC432" s="1">
        <v>8.74</v>
      </c>
      <c r="BD432" s="1"/>
      <c r="BE432" s="1"/>
      <c r="BF432" s="1"/>
      <c r="BG432" s="1"/>
      <c r="BH432" s="1"/>
      <c r="BI432" s="1"/>
      <c r="BJ432" s="1" t="s">
        <v>8412</v>
      </c>
      <c r="BK432" s="1" t="s">
        <v>8413</v>
      </c>
      <c r="BL432" s="1" t="s">
        <v>463</v>
      </c>
      <c r="BM432" s="1" t="s">
        <v>8414</v>
      </c>
      <c r="BN432" s="1">
        <v>34</v>
      </c>
      <c r="BO432" s="1"/>
      <c r="BP432" s="1" t="str">
        <f>HYPERLINK("https://nconnect.nicmar.ac.in/storage/profile/ProfilePhoto_P25700431_926174.jpg","Download")</f>
        <v>0</v>
      </c>
      <c r="BQ432" s="3"/>
      <c r="BR432" s="3"/>
    </row>
    <row r="433" spans="1:70">
      <c r="A433" s="1" t="s">
        <v>70</v>
      </c>
      <c r="B433" s="1" t="s">
        <v>441</v>
      </c>
      <c r="C433" s="1" t="s">
        <v>8415</v>
      </c>
      <c r="D433" s="1" t="s">
        <v>3511</v>
      </c>
      <c r="E433" s="1"/>
      <c r="F433" s="1" t="s">
        <v>8416</v>
      </c>
      <c r="G433" s="1" t="s">
        <v>8417</v>
      </c>
      <c r="H433" s="1" t="s">
        <v>8418</v>
      </c>
      <c r="I433" s="1" t="s">
        <v>8419</v>
      </c>
      <c r="J433" s="1">
        <v>7000150551</v>
      </c>
      <c r="K433" s="1" t="s">
        <v>79</v>
      </c>
      <c r="L433" s="1" t="s">
        <v>8420</v>
      </c>
      <c r="M433" s="1" t="s">
        <v>81</v>
      </c>
      <c r="N433" s="1" t="s">
        <v>8421</v>
      </c>
      <c r="O433" s="1"/>
      <c r="P433" s="1" t="s">
        <v>1007</v>
      </c>
      <c r="Q433" s="1" t="s">
        <v>8422</v>
      </c>
      <c r="R433" s="1" t="s">
        <v>8423</v>
      </c>
      <c r="S433" s="1">
        <v>9827589630</v>
      </c>
      <c r="T433" s="1" t="s">
        <v>8424</v>
      </c>
      <c r="U433" s="1" t="s">
        <v>8425</v>
      </c>
      <c r="V433" s="1">
        <v>9340888192</v>
      </c>
      <c r="W433" s="1" t="s">
        <v>273</v>
      </c>
      <c r="X433" s="1" t="s">
        <v>8426</v>
      </c>
      <c r="Y433" s="1" t="s">
        <v>7935</v>
      </c>
      <c r="Z433" s="1" t="s">
        <v>3437</v>
      </c>
      <c r="AA433" s="1" t="s">
        <v>8426</v>
      </c>
      <c r="AB433" s="1" t="s">
        <v>7935</v>
      </c>
      <c r="AC433" s="1" t="s">
        <v>3437</v>
      </c>
      <c r="AD433" s="1">
        <v>8.16</v>
      </c>
      <c r="AE433" s="1" t="s">
        <v>93</v>
      </c>
      <c r="AF433" s="1" t="s">
        <v>8427</v>
      </c>
      <c r="AG433" s="1" t="s">
        <v>8428</v>
      </c>
      <c r="AH433" s="1" t="s">
        <v>2736</v>
      </c>
      <c r="AI433" s="1" t="s">
        <v>129</v>
      </c>
      <c r="AJ433" s="1">
        <v>87.4</v>
      </c>
      <c r="AK433" s="1">
        <v>9.2</v>
      </c>
      <c r="AL433" s="1" t="s">
        <v>8427</v>
      </c>
      <c r="AM433" s="1" t="s">
        <v>8428</v>
      </c>
      <c r="AN433" s="1" t="s">
        <v>1239</v>
      </c>
      <c r="AO433" s="1" t="s">
        <v>131</v>
      </c>
      <c r="AP433" s="1">
        <v>60.4</v>
      </c>
      <c r="AQ433" s="1">
        <v>0</v>
      </c>
      <c r="AR433" s="1"/>
      <c r="AS433" s="1"/>
      <c r="AT433" s="1"/>
      <c r="AU433" s="1"/>
      <c r="AV433" s="1"/>
      <c r="AW433" s="1"/>
      <c r="AX433" s="1" t="s">
        <v>5228</v>
      </c>
      <c r="AY433" s="1" t="s">
        <v>8429</v>
      </c>
      <c r="AZ433" s="1" t="s">
        <v>161</v>
      </c>
      <c r="BA433" s="1" t="s">
        <v>433</v>
      </c>
      <c r="BB433" s="1">
        <v>64.7</v>
      </c>
      <c r="BC433" s="1">
        <v>6.47</v>
      </c>
      <c r="BD433" s="1"/>
      <c r="BE433" s="1"/>
      <c r="BF433" s="1"/>
      <c r="BG433" s="1"/>
      <c r="BH433" s="1"/>
      <c r="BI433" s="1"/>
      <c r="BJ433" s="1" t="s">
        <v>8430</v>
      </c>
      <c r="BK433" s="1" t="s">
        <v>8431</v>
      </c>
      <c r="BL433" s="1" t="s">
        <v>1540</v>
      </c>
      <c r="BM433" s="1" t="s">
        <v>8432</v>
      </c>
      <c r="BN433" s="1">
        <v>10</v>
      </c>
      <c r="BO433" s="1"/>
      <c r="BP433" s="1" t="str">
        <f>HYPERLINK("https://nconnect.nicmar.ac.in/storage/profile/ProfilePhoto_P25700432_658914.jpg","Download")</f>
        <v>0</v>
      </c>
      <c r="BQ433" s="3"/>
      <c r="BR433" s="3"/>
    </row>
    <row r="434" spans="1:70">
      <c r="A434" s="1" t="s">
        <v>70</v>
      </c>
      <c r="B434" s="1" t="s">
        <v>441</v>
      </c>
      <c r="C434" s="1" t="s">
        <v>8433</v>
      </c>
      <c r="D434" s="1" t="s">
        <v>3511</v>
      </c>
      <c r="E434" s="1" t="s">
        <v>3970</v>
      </c>
      <c r="F434" s="1" t="s">
        <v>8434</v>
      </c>
      <c r="G434" s="1" t="s">
        <v>8435</v>
      </c>
      <c r="H434" s="1" t="s">
        <v>8436</v>
      </c>
      <c r="I434" s="1" t="s">
        <v>8437</v>
      </c>
      <c r="J434" s="1">
        <v>7719921717</v>
      </c>
      <c r="K434" s="1" t="s">
        <v>79</v>
      </c>
      <c r="L434" s="1" t="s">
        <v>8438</v>
      </c>
      <c r="M434" s="1" t="s">
        <v>81</v>
      </c>
      <c r="N434" s="1" t="s">
        <v>8439</v>
      </c>
      <c r="O434" s="1"/>
      <c r="P434" s="1" t="s">
        <v>450</v>
      </c>
      <c r="Q434" s="1" t="s">
        <v>8440</v>
      </c>
      <c r="R434" s="1" t="s">
        <v>8441</v>
      </c>
      <c r="S434" s="1">
        <v>7057320017</v>
      </c>
      <c r="T434" s="1" t="s">
        <v>8442</v>
      </c>
      <c r="U434" s="1" t="s">
        <v>2559</v>
      </c>
      <c r="V434" s="1">
        <v>7057330017</v>
      </c>
      <c r="W434" s="1" t="s">
        <v>156</v>
      </c>
      <c r="X434" s="1" t="s">
        <v>8443</v>
      </c>
      <c r="Y434" s="1" t="s">
        <v>3557</v>
      </c>
      <c r="Z434" s="1" t="s">
        <v>92</v>
      </c>
      <c r="AA434" s="1" t="s">
        <v>8443</v>
      </c>
      <c r="AB434" s="1" t="s">
        <v>3557</v>
      </c>
      <c r="AC434" s="1" t="s">
        <v>92</v>
      </c>
      <c r="AD434" s="1">
        <v>8.31</v>
      </c>
      <c r="AE434" s="1" t="s">
        <v>93</v>
      </c>
      <c r="AF434" s="1" t="s">
        <v>8444</v>
      </c>
      <c r="AG434" s="1" t="s">
        <v>160</v>
      </c>
      <c r="AH434" s="1" t="s">
        <v>128</v>
      </c>
      <c r="AI434" s="1" t="s">
        <v>1190</v>
      </c>
      <c r="AJ434" s="1">
        <v>84.2</v>
      </c>
      <c r="AK434" s="1"/>
      <c r="AL434" s="1"/>
      <c r="AM434" s="1"/>
      <c r="AN434" s="1"/>
      <c r="AO434" s="1"/>
      <c r="AP434" s="1"/>
      <c r="AQ434" s="1"/>
      <c r="AR434" s="1" t="s">
        <v>98</v>
      </c>
      <c r="AS434" s="1" t="s">
        <v>8445</v>
      </c>
      <c r="AT434" s="1" t="s">
        <v>1190</v>
      </c>
      <c r="AU434" s="1" t="s">
        <v>162</v>
      </c>
      <c r="AV434" s="1">
        <v>85.94</v>
      </c>
      <c r="AW434" s="1"/>
      <c r="AX434" s="1" t="s">
        <v>3191</v>
      </c>
      <c r="AY434" s="1" t="s">
        <v>8446</v>
      </c>
      <c r="AZ434" s="1" t="s">
        <v>162</v>
      </c>
      <c r="BA434" s="1" t="s">
        <v>310</v>
      </c>
      <c r="BB434" s="1">
        <v>68.11</v>
      </c>
      <c r="BC434" s="1">
        <v>7.74</v>
      </c>
      <c r="BD434" s="1"/>
      <c r="BE434" s="1"/>
      <c r="BF434" s="1"/>
      <c r="BG434" s="1"/>
      <c r="BH434" s="1"/>
      <c r="BI434" s="1"/>
      <c r="BJ434" s="1" t="s">
        <v>567</v>
      </c>
      <c r="BK434" s="1" t="s">
        <v>8447</v>
      </c>
      <c r="BL434" s="1" t="s">
        <v>138</v>
      </c>
      <c r="BM434" s="1" t="s">
        <v>8448</v>
      </c>
      <c r="BN434" s="1">
        <v>8</v>
      </c>
      <c r="BO434" s="1"/>
      <c r="BP434" s="1" t="str">
        <f>HYPERLINK("https://nconnect.nicmar.ac.in/storage/profile/ProfilePhoto_P25700433_873965.jpg","Download")</f>
        <v>0</v>
      </c>
      <c r="BQ434" s="3"/>
      <c r="BR434" s="3"/>
    </row>
    <row r="435" spans="1:70">
      <c r="A435" s="1" t="s">
        <v>70</v>
      </c>
      <c r="B435" s="1" t="s">
        <v>441</v>
      </c>
      <c r="C435" s="1" t="s">
        <v>8449</v>
      </c>
      <c r="D435" s="1" t="s">
        <v>6555</v>
      </c>
      <c r="E435" s="1" t="s">
        <v>490</v>
      </c>
      <c r="F435" s="1" t="s">
        <v>2220</v>
      </c>
      <c r="G435" s="1" t="s">
        <v>8450</v>
      </c>
      <c r="H435" s="1" t="s">
        <v>8451</v>
      </c>
      <c r="I435" s="1" t="s">
        <v>8452</v>
      </c>
      <c r="J435" s="1">
        <v>7744977229</v>
      </c>
      <c r="K435" s="1" t="s">
        <v>79</v>
      </c>
      <c r="L435" s="1" t="s">
        <v>8453</v>
      </c>
      <c r="M435" s="1" t="s">
        <v>81</v>
      </c>
      <c r="N435" s="1" t="s">
        <v>8454</v>
      </c>
      <c r="O435" s="1"/>
      <c r="P435" s="1" t="s">
        <v>472</v>
      </c>
      <c r="Q435" s="1" t="s">
        <v>8455</v>
      </c>
      <c r="R435" s="1" t="s">
        <v>490</v>
      </c>
      <c r="S435" s="1">
        <v>9822246222</v>
      </c>
      <c r="T435" s="1" t="s">
        <v>820</v>
      </c>
      <c r="U435" s="1" t="s">
        <v>1929</v>
      </c>
      <c r="V435" s="1">
        <v>9823258144</v>
      </c>
      <c r="W435" s="1" t="s">
        <v>531</v>
      </c>
      <c r="X435" s="1" t="s">
        <v>8456</v>
      </c>
      <c r="Y435" s="1" t="s">
        <v>191</v>
      </c>
      <c r="Z435" s="1" t="s">
        <v>92</v>
      </c>
      <c r="AA435" s="1" t="s">
        <v>8456</v>
      </c>
      <c r="AB435" s="1" t="s">
        <v>191</v>
      </c>
      <c r="AC435" s="1" t="s">
        <v>92</v>
      </c>
      <c r="AD435" s="1">
        <v>9.21</v>
      </c>
      <c r="AE435" s="1" t="s">
        <v>93</v>
      </c>
      <c r="AF435" s="1" t="s">
        <v>8457</v>
      </c>
      <c r="AG435" s="1" t="s">
        <v>8458</v>
      </c>
      <c r="AH435" s="1" t="s">
        <v>101</v>
      </c>
      <c r="AI435" s="1" t="s">
        <v>308</v>
      </c>
      <c r="AJ435" s="1">
        <v>95</v>
      </c>
      <c r="AK435" s="1"/>
      <c r="AL435" s="1" t="s">
        <v>2503</v>
      </c>
      <c r="AM435" s="1" t="s">
        <v>8459</v>
      </c>
      <c r="AN435" s="1" t="s">
        <v>173</v>
      </c>
      <c r="AO435" s="1" t="s">
        <v>826</v>
      </c>
      <c r="AP435" s="1">
        <v>88.5</v>
      </c>
      <c r="AQ435" s="1"/>
      <c r="AR435" s="1"/>
      <c r="AS435" s="1"/>
      <c r="AT435" s="1"/>
      <c r="AU435" s="1"/>
      <c r="AV435" s="1"/>
      <c r="AW435" s="1"/>
      <c r="AX435" s="1" t="s">
        <v>361</v>
      </c>
      <c r="AY435" s="1" t="s">
        <v>6025</v>
      </c>
      <c r="AZ435" s="1" t="s">
        <v>852</v>
      </c>
      <c r="BA435" s="1" t="s">
        <v>829</v>
      </c>
      <c r="BB435" s="1">
        <v>84.3</v>
      </c>
      <c r="BC435" s="1">
        <v>8.93</v>
      </c>
      <c r="BD435" s="1"/>
      <c r="BE435" s="1"/>
      <c r="BF435" s="1"/>
      <c r="BG435" s="1"/>
      <c r="BH435" s="1"/>
      <c r="BI435" s="1"/>
      <c r="BJ435" s="1" t="s">
        <v>8460</v>
      </c>
      <c r="BK435" s="1"/>
      <c r="BL435" s="1"/>
      <c r="BM435" s="1" t="s">
        <v>8461</v>
      </c>
      <c r="BN435" s="1">
        <v>16</v>
      </c>
      <c r="BO435" s="1"/>
      <c r="BP435" s="1" t="str">
        <f>HYPERLINK("https://nconnect.nicmar.ac.in/storage/profile/ProfilePhoto_P25700434_157429.jpg","Download")</f>
        <v>0</v>
      </c>
      <c r="BQ435" s="3"/>
      <c r="BR435" s="3"/>
    </row>
    <row r="436" spans="1:70">
      <c r="A436" s="1" t="s">
        <v>70</v>
      </c>
      <c r="B436" s="1" t="s">
        <v>441</v>
      </c>
      <c r="C436" s="1" t="s">
        <v>8462</v>
      </c>
      <c r="D436" s="1" t="s">
        <v>8326</v>
      </c>
      <c r="E436" s="1" t="s">
        <v>8463</v>
      </c>
      <c r="F436" s="1" t="s">
        <v>8464</v>
      </c>
      <c r="G436" s="1" t="s">
        <v>8465</v>
      </c>
      <c r="H436" s="1" t="s">
        <v>8466</v>
      </c>
      <c r="I436" s="1" t="s">
        <v>8467</v>
      </c>
      <c r="J436" s="1">
        <v>7993699465</v>
      </c>
      <c r="K436" s="1" t="s">
        <v>148</v>
      </c>
      <c r="L436" s="1" t="s">
        <v>8468</v>
      </c>
      <c r="M436" s="1" t="s">
        <v>81</v>
      </c>
      <c r="N436" s="1" t="s">
        <v>8469</v>
      </c>
      <c r="O436" s="1"/>
      <c r="P436" s="1" t="s">
        <v>450</v>
      </c>
      <c r="Q436" s="1" t="s">
        <v>8470</v>
      </c>
      <c r="R436" s="1" t="s">
        <v>8471</v>
      </c>
      <c r="S436" s="1">
        <v>9849544624</v>
      </c>
      <c r="T436" s="1" t="s">
        <v>8472</v>
      </c>
      <c r="U436" s="1" t="s">
        <v>8473</v>
      </c>
      <c r="V436" s="1">
        <v>8328436838</v>
      </c>
      <c r="W436" s="1" t="s">
        <v>820</v>
      </c>
      <c r="X436" s="1" t="s">
        <v>8474</v>
      </c>
      <c r="Y436" s="1" t="s">
        <v>3109</v>
      </c>
      <c r="Z436" s="1" t="s">
        <v>276</v>
      </c>
      <c r="AA436" s="1" t="s">
        <v>8474</v>
      </c>
      <c r="AB436" s="1" t="s">
        <v>3109</v>
      </c>
      <c r="AC436" s="1" t="s">
        <v>276</v>
      </c>
      <c r="AD436" s="1">
        <v>8.85</v>
      </c>
      <c r="AE436" s="1" t="s">
        <v>93</v>
      </c>
      <c r="AF436" s="1" t="s">
        <v>8475</v>
      </c>
      <c r="AG436" s="1" t="s">
        <v>1396</v>
      </c>
      <c r="AH436" s="1" t="s">
        <v>162</v>
      </c>
      <c r="AI436" s="1" t="s">
        <v>195</v>
      </c>
      <c r="AJ436" s="1">
        <v>97</v>
      </c>
      <c r="AK436" s="1">
        <v>9.7</v>
      </c>
      <c r="AL436" s="1" t="s">
        <v>8476</v>
      </c>
      <c r="AM436" s="1" t="s">
        <v>2312</v>
      </c>
      <c r="AN436" s="1" t="s">
        <v>383</v>
      </c>
      <c r="AO436" s="1" t="s">
        <v>537</v>
      </c>
      <c r="AP436" s="1">
        <v>84</v>
      </c>
      <c r="AQ436" s="1">
        <v>8.44</v>
      </c>
      <c r="AR436" s="1"/>
      <c r="AS436" s="1"/>
      <c r="AT436" s="1"/>
      <c r="AU436" s="1"/>
      <c r="AV436" s="1"/>
      <c r="AW436" s="1"/>
      <c r="AX436" s="1" t="s">
        <v>8476</v>
      </c>
      <c r="AY436" s="1" t="s">
        <v>8476</v>
      </c>
      <c r="AZ436" s="1" t="s">
        <v>433</v>
      </c>
      <c r="BA436" s="1" t="s">
        <v>935</v>
      </c>
      <c r="BB436" s="1">
        <v>92</v>
      </c>
      <c r="BC436" s="1">
        <v>9.2</v>
      </c>
      <c r="BD436" s="1"/>
      <c r="BE436" s="1"/>
      <c r="BF436" s="1"/>
      <c r="BG436" s="1"/>
      <c r="BH436" s="1"/>
      <c r="BI436" s="1"/>
      <c r="BJ436" s="1" t="s">
        <v>8477</v>
      </c>
      <c r="BK436" s="1"/>
      <c r="BL436" s="1"/>
      <c r="BM436" s="1" t="s">
        <v>8478</v>
      </c>
      <c r="BN436" s="1">
        <v>8</v>
      </c>
      <c r="BO436" s="1" t="s">
        <v>8479</v>
      </c>
      <c r="BP436" s="1" t="str">
        <f>HYPERLINK("https://nconnect.nicmar.ac.in/storage/profile/ProfilePhoto_P25700435_234951.jpg","Download")</f>
        <v>0</v>
      </c>
      <c r="BQ436" s="3"/>
      <c r="BR436" s="3"/>
    </row>
    <row r="437" spans="1:70">
      <c r="A437" s="1" t="s">
        <v>70</v>
      </c>
      <c r="B437" s="1" t="s">
        <v>441</v>
      </c>
      <c r="C437" s="1" t="s">
        <v>8480</v>
      </c>
      <c r="D437" s="1" t="s">
        <v>8481</v>
      </c>
      <c r="E437" s="1" t="s">
        <v>8482</v>
      </c>
      <c r="F437" s="1" t="s">
        <v>2530</v>
      </c>
      <c r="G437" s="1" t="s">
        <v>8483</v>
      </c>
      <c r="H437" s="1" t="s">
        <v>8484</v>
      </c>
      <c r="I437" s="1" t="s">
        <v>8485</v>
      </c>
      <c r="J437" s="1">
        <v>7020783464</v>
      </c>
      <c r="K437" s="1" t="s">
        <v>79</v>
      </c>
      <c r="L437" s="1" t="s">
        <v>8486</v>
      </c>
      <c r="M437" s="1" t="s">
        <v>81</v>
      </c>
      <c r="N437" s="1" t="s">
        <v>6825</v>
      </c>
      <c r="O437" s="1"/>
      <c r="P437" s="1" t="s">
        <v>472</v>
      </c>
      <c r="Q437" s="1" t="s">
        <v>8487</v>
      </c>
      <c r="R437" s="1" t="s">
        <v>8488</v>
      </c>
      <c r="S437" s="1">
        <v>8421793301</v>
      </c>
      <c r="T437" s="1" t="s">
        <v>820</v>
      </c>
      <c r="U437" s="1" t="s">
        <v>8489</v>
      </c>
      <c r="V437" s="1">
        <v>7058313575</v>
      </c>
      <c r="W437" s="1" t="s">
        <v>156</v>
      </c>
      <c r="X437" s="1" t="s">
        <v>8490</v>
      </c>
      <c r="Y437" s="1" t="s">
        <v>328</v>
      </c>
      <c r="Z437" s="1" t="s">
        <v>92</v>
      </c>
      <c r="AA437" s="1" t="s">
        <v>8490</v>
      </c>
      <c r="AB437" s="1" t="s">
        <v>328</v>
      </c>
      <c r="AC437" s="1" t="s">
        <v>92</v>
      </c>
      <c r="AD437" s="1">
        <v>8.15</v>
      </c>
      <c r="AE437" s="1" t="s">
        <v>93</v>
      </c>
      <c r="AF437" s="1" t="s">
        <v>8491</v>
      </c>
      <c r="AG437" s="1" t="s">
        <v>160</v>
      </c>
      <c r="AH437" s="1" t="s">
        <v>383</v>
      </c>
      <c r="AI437" s="1" t="s">
        <v>166</v>
      </c>
      <c r="AJ437" s="1">
        <v>63.8</v>
      </c>
      <c r="AK437" s="1"/>
      <c r="AL437" s="1"/>
      <c r="AM437" s="1"/>
      <c r="AN437" s="1"/>
      <c r="AO437" s="1"/>
      <c r="AP437" s="1"/>
      <c r="AQ437" s="1"/>
      <c r="AR437" s="1" t="s">
        <v>98</v>
      </c>
      <c r="AS437" s="1" t="s">
        <v>8492</v>
      </c>
      <c r="AT437" s="1" t="s">
        <v>101</v>
      </c>
      <c r="AU437" s="1" t="s">
        <v>539</v>
      </c>
      <c r="AV437" s="1">
        <v>79.11</v>
      </c>
      <c r="AW437" s="1"/>
      <c r="AX437" s="1" t="s">
        <v>335</v>
      </c>
      <c r="AY437" s="1" t="s">
        <v>7598</v>
      </c>
      <c r="AZ437" s="1" t="s">
        <v>539</v>
      </c>
      <c r="BA437" s="1" t="s">
        <v>1067</v>
      </c>
      <c r="BB437" s="1">
        <v>66.22</v>
      </c>
      <c r="BC437" s="1">
        <v>7.5</v>
      </c>
      <c r="BD437" s="1"/>
      <c r="BE437" s="1"/>
      <c r="BF437" s="1"/>
      <c r="BG437" s="1"/>
      <c r="BH437" s="1"/>
      <c r="BI437" s="1"/>
      <c r="BJ437" s="1" t="s">
        <v>2547</v>
      </c>
      <c r="BK437" s="1"/>
      <c r="BL437" s="1"/>
      <c r="BM437" s="1" t="s">
        <v>8493</v>
      </c>
      <c r="BN437" s="1">
        <v>4</v>
      </c>
      <c r="BO437" s="1" t="s">
        <v>8494</v>
      </c>
      <c r="BP437" s="1" t="str">
        <f>HYPERLINK("https://nconnect.nicmar.ac.in/storage/profile/ProfilePhoto_P25700436_561982.jpg","Download")</f>
        <v>0</v>
      </c>
      <c r="BQ437" s="3"/>
      <c r="BR437" s="3"/>
    </row>
    <row r="438" spans="1:70">
      <c r="A438" s="1" t="s">
        <v>70</v>
      </c>
      <c r="B438" s="1" t="s">
        <v>441</v>
      </c>
      <c r="C438" s="1" t="s">
        <v>8495</v>
      </c>
      <c r="D438" s="1" t="s">
        <v>8496</v>
      </c>
      <c r="E438" s="1" t="s">
        <v>8497</v>
      </c>
      <c r="F438" s="1" t="s">
        <v>8498</v>
      </c>
      <c r="G438" s="1" t="s">
        <v>8499</v>
      </c>
      <c r="H438" s="1" t="s">
        <v>8500</v>
      </c>
      <c r="I438" s="1" t="s">
        <v>8501</v>
      </c>
      <c r="J438" s="1">
        <v>9604493618</v>
      </c>
      <c r="K438" s="1" t="s">
        <v>79</v>
      </c>
      <c r="L438" s="1" t="s">
        <v>8502</v>
      </c>
      <c r="M438" s="1" t="s">
        <v>81</v>
      </c>
      <c r="N438" s="1" t="s">
        <v>8503</v>
      </c>
      <c r="O438" s="1"/>
      <c r="P438" s="1" t="s">
        <v>450</v>
      </c>
      <c r="Q438" s="1" t="s">
        <v>8504</v>
      </c>
      <c r="R438" s="1" t="s">
        <v>8497</v>
      </c>
      <c r="S438" s="1">
        <v>9168085461</v>
      </c>
      <c r="T438" s="1" t="s">
        <v>154</v>
      </c>
      <c r="U438" s="1" t="s">
        <v>8505</v>
      </c>
      <c r="V438" s="1">
        <v>8317272994</v>
      </c>
      <c r="W438" s="1" t="s">
        <v>156</v>
      </c>
      <c r="X438" s="1" t="s">
        <v>8506</v>
      </c>
      <c r="Y438" s="1" t="s">
        <v>991</v>
      </c>
      <c r="Z438" s="1" t="s">
        <v>92</v>
      </c>
      <c r="AA438" s="1" t="s">
        <v>8506</v>
      </c>
      <c r="AB438" s="1" t="s">
        <v>991</v>
      </c>
      <c r="AC438" s="1" t="s">
        <v>92</v>
      </c>
      <c r="AD438" s="1">
        <v>9.02</v>
      </c>
      <c r="AE438" s="1" t="s">
        <v>93</v>
      </c>
      <c r="AF438" s="1" t="s">
        <v>8507</v>
      </c>
      <c r="AG438" s="1" t="s">
        <v>1942</v>
      </c>
      <c r="AH438" s="1" t="s">
        <v>161</v>
      </c>
      <c r="AI438" s="1" t="s">
        <v>162</v>
      </c>
      <c r="AJ438" s="1">
        <v>82.4</v>
      </c>
      <c r="AK438" s="1"/>
      <c r="AL438" s="1"/>
      <c r="AM438" s="1"/>
      <c r="AN438" s="1"/>
      <c r="AO438" s="1"/>
      <c r="AP438" s="1"/>
      <c r="AQ438" s="1"/>
      <c r="AR438" s="1" t="s">
        <v>434</v>
      </c>
      <c r="AS438" s="1" t="s">
        <v>8508</v>
      </c>
      <c r="AT438" s="1" t="s">
        <v>134</v>
      </c>
      <c r="AU438" s="1" t="s">
        <v>433</v>
      </c>
      <c r="AV438" s="1">
        <v>59.39</v>
      </c>
      <c r="AW438" s="1"/>
      <c r="AX438" s="1" t="s">
        <v>253</v>
      </c>
      <c r="AY438" s="1" t="s">
        <v>8509</v>
      </c>
      <c r="AZ438" s="1" t="s">
        <v>201</v>
      </c>
      <c r="BA438" s="1" t="s">
        <v>619</v>
      </c>
      <c r="BB438" s="1">
        <v>68.2</v>
      </c>
      <c r="BC438" s="1"/>
      <c r="BD438" s="1"/>
      <c r="BE438" s="1"/>
      <c r="BF438" s="1"/>
      <c r="BG438" s="1"/>
      <c r="BH438" s="1"/>
      <c r="BI438" s="1"/>
      <c r="BJ438" s="1" t="s">
        <v>7234</v>
      </c>
      <c r="BK438" s="1" t="s">
        <v>8510</v>
      </c>
      <c r="BL438" s="1" t="s">
        <v>695</v>
      </c>
      <c r="BM438" s="1" t="s">
        <v>8511</v>
      </c>
      <c r="BN438" s="1">
        <v>27</v>
      </c>
      <c r="BO438" s="1" t="s">
        <v>8512</v>
      </c>
      <c r="BP438" s="1" t="str">
        <f>HYPERLINK("https://nconnect.nicmar.ac.in/storage/profile/6a60b9b9a8f6d.png","Download")</f>
        <v>0</v>
      </c>
      <c r="BQ438" s="3"/>
      <c r="BR438" s="3"/>
    </row>
    <row r="439" spans="1:70">
      <c r="A439" s="1" t="s">
        <v>70</v>
      </c>
      <c r="B439" s="1" t="s">
        <v>441</v>
      </c>
      <c r="C439" s="1" t="s">
        <v>8513</v>
      </c>
      <c r="D439" s="1" t="s">
        <v>3235</v>
      </c>
      <c r="E439" s="1"/>
      <c r="F439" s="1" t="s">
        <v>3059</v>
      </c>
      <c r="G439" s="1" t="s">
        <v>8514</v>
      </c>
      <c r="H439" s="1" t="s">
        <v>8515</v>
      </c>
      <c r="I439" s="1" t="s">
        <v>8516</v>
      </c>
      <c r="J439" s="1">
        <v>9067577085</v>
      </c>
      <c r="K439" s="1" t="s">
        <v>148</v>
      </c>
      <c r="L439" s="1" t="s">
        <v>8517</v>
      </c>
      <c r="M439" s="1" t="s">
        <v>81</v>
      </c>
      <c r="N439" s="1" t="s">
        <v>3587</v>
      </c>
      <c r="O439" s="1"/>
      <c r="P439" s="1" t="s">
        <v>450</v>
      </c>
      <c r="Q439" s="1" t="s">
        <v>8518</v>
      </c>
      <c r="R439" s="1" t="s">
        <v>8519</v>
      </c>
      <c r="S439" s="1">
        <v>9765309777</v>
      </c>
      <c r="T439" s="1" t="s">
        <v>632</v>
      </c>
      <c r="U439" s="1" t="s">
        <v>8520</v>
      </c>
      <c r="V439" s="1">
        <v>8421821114</v>
      </c>
      <c r="W439" s="1" t="s">
        <v>156</v>
      </c>
      <c r="X439" s="1" t="s">
        <v>8521</v>
      </c>
      <c r="Y439" s="1" t="s">
        <v>91</v>
      </c>
      <c r="Z439" s="1" t="s">
        <v>92</v>
      </c>
      <c r="AA439" s="1" t="s">
        <v>8522</v>
      </c>
      <c r="AB439" s="1" t="s">
        <v>91</v>
      </c>
      <c r="AC439" s="1" t="s">
        <v>92</v>
      </c>
      <c r="AD439" s="1">
        <v>8.36</v>
      </c>
      <c r="AE439" s="1" t="s">
        <v>93</v>
      </c>
      <c r="AF439" s="1" t="s">
        <v>6198</v>
      </c>
      <c r="AG439" s="1" t="s">
        <v>8523</v>
      </c>
      <c r="AH439" s="1" t="s">
        <v>101</v>
      </c>
      <c r="AI439" s="1" t="s">
        <v>308</v>
      </c>
      <c r="AJ439" s="1">
        <v>87</v>
      </c>
      <c r="AK439" s="1">
        <v>0</v>
      </c>
      <c r="AL439" s="1" t="s">
        <v>8524</v>
      </c>
      <c r="AM439" s="1" t="s">
        <v>160</v>
      </c>
      <c r="AN439" s="1" t="s">
        <v>460</v>
      </c>
      <c r="AO439" s="1" t="s">
        <v>826</v>
      </c>
      <c r="AP439" s="1">
        <v>94.33</v>
      </c>
      <c r="AQ439" s="1">
        <v>0</v>
      </c>
      <c r="AR439" s="1"/>
      <c r="AS439" s="1"/>
      <c r="AT439" s="1"/>
      <c r="AU439" s="1"/>
      <c r="AV439" s="1"/>
      <c r="AW439" s="1"/>
      <c r="AX439" s="1" t="s">
        <v>6201</v>
      </c>
      <c r="AY439" s="1" t="s">
        <v>6202</v>
      </c>
      <c r="AZ439" s="1" t="s">
        <v>852</v>
      </c>
      <c r="BA439" s="1" t="s">
        <v>829</v>
      </c>
      <c r="BB439" s="1">
        <v>78.18</v>
      </c>
      <c r="BC439" s="1">
        <v>7.75</v>
      </c>
      <c r="BD439" s="1"/>
      <c r="BE439" s="1"/>
      <c r="BF439" s="1"/>
      <c r="BG439" s="1"/>
      <c r="BH439" s="1"/>
      <c r="BI439" s="1"/>
      <c r="BJ439" s="1" t="s">
        <v>3733</v>
      </c>
      <c r="BK439" s="1"/>
      <c r="BL439" s="1"/>
      <c r="BM439" s="1" t="s">
        <v>8525</v>
      </c>
      <c r="BN439" s="1">
        <v>13</v>
      </c>
      <c r="BO439" s="1"/>
      <c r="BP439" s="1" t="str">
        <f>HYPERLINK("https://nconnect.nicmar.ac.in/storage/profile/ProfilePhoto_P25700438_752491.jpg","Download")</f>
        <v>0</v>
      </c>
      <c r="BQ439" s="3"/>
      <c r="BR439" s="3"/>
    </row>
    <row r="440" spans="1:70">
      <c r="A440" s="1" t="s">
        <v>70</v>
      </c>
      <c r="B440" s="1" t="s">
        <v>441</v>
      </c>
      <c r="C440" s="1" t="s">
        <v>8526</v>
      </c>
      <c r="D440" s="1" t="s">
        <v>8527</v>
      </c>
      <c r="E440" s="1" t="s">
        <v>2071</v>
      </c>
      <c r="F440" s="1" t="s">
        <v>142</v>
      </c>
      <c r="G440" s="1" t="s">
        <v>8528</v>
      </c>
      <c r="H440" s="1" t="s">
        <v>8529</v>
      </c>
      <c r="I440" s="1" t="s">
        <v>8530</v>
      </c>
      <c r="J440" s="1">
        <v>9356632434</v>
      </c>
      <c r="K440" s="1" t="s">
        <v>148</v>
      </c>
      <c r="L440" s="1" t="s">
        <v>8531</v>
      </c>
      <c r="M440" s="1" t="s">
        <v>81</v>
      </c>
      <c r="N440" s="1" t="s">
        <v>605</v>
      </c>
      <c r="O440" s="1"/>
      <c r="P440" s="1" t="s">
        <v>472</v>
      </c>
      <c r="Q440" s="1" t="s">
        <v>8532</v>
      </c>
      <c r="R440" s="1" t="s">
        <v>2071</v>
      </c>
      <c r="S440" s="1">
        <v>8605104257</v>
      </c>
      <c r="T440" s="1" t="s">
        <v>87</v>
      </c>
      <c r="U440" s="1" t="s">
        <v>5908</v>
      </c>
      <c r="V440" s="1">
        <v>8888704257</v>
      </c>
      <c r="W440" s="1" t="s">
        <v>3861</v>
      </c>
      <c r="X440" s="1" t="s">
        <v>8533</v>
      </c>
      <c r="Y440" s="1" t="s">
        <v>1012</v>
      </c>
      <c r="Z440" s="1" t="s">
        <v>92</v>
      </c>
      <c r="AA440" s="1" t="s">
        <v>8533</v>
      </c>
      <c r="AB440" s="1" t="s">
        <v>1012</v>
      </c>
      <c r="AC440" s="1" t="s">
        <v>92</v>
      </c>
      <c r="AD440" s="1">
        <v>9.18</v>
      </c>
      <c r="AE440" s="1" t="s">
        <v>93</v>
      </c>
      <c r="AF440" s="1" t="s">
        <v>8534</v>
      </c>
      <c r="AG440" s="1" t="s">
        <v>8535</v>
      </c>
      <c r="AH440" s="1" t="s">
        <v>101</v>
      </c>
      <c r="AI440" s="1" t="s">
        <v>409</v>
      </c>
      <c r="AJ440" s="1">
        <v>94.6</v>
      </c>
      <c r="AK440" s="1"/>
      <c r="AL440" s="1" t="s">
        <v>8536</v>
      </c>
      <c r="AM440" s="1" t="s">
        <v>8535</v>
      </c>
      <c r="AN440" s="1" t="s">
        <v>460</v>
      </c>
      <c r="AO440" s="1" t="s">
        <v>1169</v>
      </c>
      <c r="AP440" s="1">
        <v>94.83</v>
      </c>
      <c r="AQ440" s="1"/>
      <c r="AR440" s="1"/>
      <c r="AS440" s="1"/>
      <c r="AT440" s="1"/>
      <c r="AU440" s="1"/>
      <c r="AV440" s="1"/>
      <c r="AW440" s="1"/>
      <c r="AX440" s="1" t="s">
        <v>1017</v>
      </c>
      <c r="AY440" s="1" t="s">
        <v>8537</v>
      </c>
      <c r="AZ440" s="1" t="s">
        <v>363</v>
      </c>
      <c r="BA440" s="1" t="s">
        <v>829</v>
      </c>
      <c r="BB440" s="1">
        <v>65.3</v>
      </c>
      <c r="BC440" s="1">
        <v>7.28</v>
      </c>
      <c r="BD440" s="1"/>
      <c r="BE440" s="1"/>
      <c r="BF440" s="1"/>
      <c r="BG440" s="1"/>
      <c r="BH440" s="1"/>
      <c r="BI440" s="1"/>
      <c r="BJ440" s="1" t="s">
        <v>8538</v>
      </c>
      <c r="BK440" s="1"/>
      <c r="BL440" s="1"/>
      <c r="BM440" s="1" t="s">
        <v>8539</v>
      </c>
      <c r="BN440" s="1">
        <v>15</v>
      </c>
      <c r="BO440" s="1" t="s">
        <v>4870</v>
      </c>
      <c r="BP440" s="1" t="str">
        <f>HYPERLINK("https://nconnect.nicmar.ac.in/storage/profile/ProfilePhoto_P25700439_567421.jpg","Download")</f>
        <v>0</v>
      </c>
      <c r="BQ440" s="3"/>
      <c r="BR440" s="3"/>
    </row>
    <row r="441" spans="1:70">
      <c r="A441" s="1" t="s">
        <v>70</v>
      </c>
      <c r="B441" s="1" t="s">
        <v>441</v>
      </c>
      <c r="C441" s="1" t="s">
        <v>8540</v>
      </c>
      <c r="D441" s="1" t="s">
        <v>8541</v>
      </c>
      <c r="E441" s="1" t="s">
        <v>5579</v>
      </c>
      <c r="F441" s="1" t="s">
        <v>8542</v>
      </c>
      <c r="G441" s="1" t="s">
        <v>8543</v>
      </c>
      <c r="H441" s="1" t="s">
        <v>8544</v>
      </c>
      <c r="I441" s="1" t="s">
        <v>8545</v>
      </c>
      <c r="J441" s="1">
        <v>8788588413</v>
      </c>
      <c r="K441" s="1" t="s">
        <v>148</v>
      </c>
      <c r="L441" s="1" t="s">
        <v>8546</v>
      </c>
      <c r="M441" s="1" t="s">
        <v>81</v>
      </c>
      <c r="N441" s="1" t="s">
        <v>751</v>
      </c>
      <c r="O441" s="1"/>
      <c r="P441" s="1" t="s">
        <v>497</v>
      </c>
      <c r="Q441" s="1" t="s">
        <v>8547</v>
      </c>
      <c r="R441" s="1" t="s">
        <v>8548</v>
      </c>
      <c r="S441" s="1">
        <v>9096930712</v>
      </c>
      <c r="T441" s="1" t="s">
        <v>632</v>
      </c>
      <c r="U441" s="1" t="s">
        <v>8549</v>
      </c>
      <c r="V441" s="1">
        <v>9987173686</v>
      </c>
      <c r="W441" s="1" t="s">
        <v>632</v>
      </c>
      <c r="X441" s="1" t="s">
        <v>8550</v>
      </c>
      <c r="Y441" s="1" t="s">
        <v>4313</v>
      </c>
      <c r="Z441" s="1" t="s">
        <v>92</v>
      </c>
      <c r="AA441" s="1" t="s">
        <v>8551</v>
      </c>
      <c r="AB441" s="1" t="s">
        <v>4313</v>
      </c>
      <c r="AC441" s="1" t="s">
        <v>92</v>
      </c>
      <c r="AD441" s="1">
        <v>8.23</v>
      </c>
      <c r="AE441" s="1" t="s">
        <v>93</v>
      </c>
      <c r="AF441" s="1" t="s">
        <v>8552</v>
      </c>
      <c r="AG441" s="1" t="s">
        <v>8553</v>
      </c>
      <c r="AH441" s="1" t="s">
        <v>1089</v>
      </c>
      <c r="AI441" s="1" t="s">
        <v>195</v>
      </c>
      <c r="AJ441" s="1">
        <v>76.4</v>
      </c>
      <c r="AK441" s="1">
        <v>8.4</v>
      </c>
      <c r="AL441" s="1"/>
      <c r="AM441" s="1"/>
      <c r="AN441" s="1"/>
      <c r="AO441" s="1"/>
      <c r="AP441" s="1"/>
      <c r="AQ441" s="1"/>
      <c r="AR441" s="1" t="s">
        <v>98</v>
      </c>
      <c r="AS441" s="1" t="s">
        <v>8554</v>
      </c>
      <c r="AT441" s="1" t="s">
        <v>310</v>
      </c>
      <c r="AU441" s="1" t="s">
        <v>1378</v>
      </c>
      <c r="AV441" s="1">
        <v>80.89</v>
      </c>
      <c r="AW441" s="1">
        <v>8.51</v>
      </c>
      <c r="AX441" s="1" t="s">
        <v>666</v>
      </c>
      <c r="AY441" s="1" t="s">
        <v>8554</v>
      </c>
      <c r="AZ441" s="1" t="s">
        <v>105</v>
      </c>
      <c r="BA441" s="1" t="s">
        <v>543</v>
      </c>
      <c r="BB441" s="1">
        <v>73.48</v>
      </c>
      <c r="BC441" s="1">
        <v>8.33</v>
      </c>
      <c r="BD441" s="1"/>
      <c r="BE441" s="1"/>
      <c r="BF441" s="1"/>
      <c r="BG441" s="1"/>
      <c r="BH441" s="1"/>
      <c r="BI441" s="1"/>
      <c r="BJ441" s="1" t="s">
        <v>8555</v>
      </c>
      <c r="BK441" s="1"/>
      <c r="BL441" s="1"/>
      <c r="BM441" s="1" t="s">
        <v>8556</v>
      </c>
      <c r="BN441" s="1">
        <v>8</v>
      </c>
      <c r="BO441" s="1" t="s">
        <v>8557</v>
      </c>
      <c r="BP441" s="1" t="str">
        <f>HYPERLINK("https://nconnect.nicmar.ac.in/storage/profile/ProfilePhoto_P25700440_435897.jpg","Download")</f>
        <v>0</v>
      </c>
      <c r="BQ441" s="3"/>
      <c r="BR441" s="3"/>
    </row>
    <row r="442" spans="1:70">
      <c r="A442" s="1" t="s">
        <v>70</v>
      </c>
      <c r="B442" s="1" t="s">
        <v>441</v>
      </c>
      <c r="C442" s="1" t="s">
        <v>8558</v>
      </c>
      <c r="D442" s="1" t="s">
        <v>793</v>
      </c>
      <c r="E442" s="1"/>
      <c r="F442" s="1" t="s">
        <v>8559</v>
      </c>
      <c r="G442" s="1" t="s">
        <v>8560</v>
      </c>
      <c r="H442" s="1" t="s">
        <v>8561</v>
      </c>
      <c r="I442" s="1" t="s">
        <v>8562</v>
      </c>
      <c r="J442" s="1">
        <v>6303397745</v>
      </c>
      <c r="K442" s="1" t="s">
        <v>79</v>
      </c>
      <c r="L442" s="1" t="s">
        <v>8563</v>
      </c>
      <c r="M442" s="1" t="s">
        <v>81</v>
      </c>
      <c r="N442" s="1" t="s">
        <v>8564</v>
      </c>
      <c r="O442" s="1"/>
      <c r="P442" s="1" t="s">
        <v>450</v>
      </c>
      <c r="Q442" s="1" t="s">
        <v>8565</v>
      </c>
      <c r="R442" s="1" t="s">
        <v>8566</v>
      </c>
      <c r="S442" s="1">
        <v>8309682167</v>
      </c>
      <c r="T442" s="1" t="s">
        <v>3807</v>
      </c>
      <c r="U442" s="1" t="s">
        <v>8567</v>
      </c>
      <c r="V442" s="1">
        <v>7013296229</v>
      </c>
      <c r="W442" s="1" t="s">
        <v>531</v>
      </c>
      <c r="X442" s="1" t="s">
        <v>8568</v>
      </c>
      <c r="Y442" s="1" t="s">
        <v>3863</v>
      </c>
      <c r="Z442" s="1" t="s">
        <v>276</v>
      </c>
      <c r="AA442" s="1" t="s">
        <v>8569</v>
      </c>
      <c r="AB442" s="1" t="s">
        <v>3863</v>
      </c>
      <c r="AC442" s="1" t="s">
        <v>276</v>
      </c>
      <c r="AD442" s="1">
        <v>8.77</v>
      </c>
      <c r="AE442" s="1" t="s">
        <v>93</v>
      </c>
      <c r="AF442" s="1" t="s">
        <v>1599</v>
      </c>
      <c r="AG442" s="1" t="s">
        <v>8570</v>
      </c>
      <c r="AH442" s="1" t="s">
        <v>165</v>
      </c>
      <c r="AI442" s="1" t="s">
        <v>101</v>
      </c>
      <c r="AJ442" s="1">
        <v>79.4</v>
      </c>
      <c r="AK442" s="1"/>
      <c r="AL442" s="1" t="s">
        <v>4623</v>
      </c>
      <c r="AM442" s="1" t="s">
        <v>8571</v>
      </c>
      <c r="AN442" s="1" t="s">
        <v>433</v>
      </c>
      <c r="AO442" s="1" t="s">
        <v>460</v>
      </c>
      <c r="AP442" s="1">
        <v>66.6</v>
      </c>
      <c r="AQ442" s="1"/>
      <c r="AR442" s="1"/>
      <c r="AS442" s="1"/>
      <c r="AT442" s="1"/>
      <c r="AU442" s="1"/>
      <c r="AV442" s="1"/>
      <c r="AW442" s="1"/>
      <c r="AX442" s="1" t="s">
        <v>4625</v>
      </c>
      <c r="AY442" s="1" t="s">
        <v>8572</v>
      </c>
      <c r="AZ442" s="1" t="s">
        <v>173</v>
      </c>
      <c r="BA442" s="1" t="s">
        <v>202</v>
      </c>
      <c r="BB442" s="1">
        <v>63.5</v>
      </c>
      <c r="BC442" s="1">
        <v>7.1</v>
      </c>
      <c r="BD442" s="1"/>
      <c r="BE442" s="1"/>
      <c r="BF442" s="1"/>
      <c r="BG442" s="1"/>
      <c r="BH442" s="1"/>
      <c r="BI442" s="1"/>
      <c r="BJ442" s="1" t="s">
        <v>8573</v>
      </c>
      <c r="BK442" s="1" t="s">
        <v>8574</v>
      </c>
      <c r="BL442" s="1" t="s">
        <v>2569</v>
      </c>
      <c r="BM442" s="1" t="s">
        <v>8575</v>
      </c>
      <c r="BN442" s="1">
        <v>9</v>
      </c>
      <c r="BO442" s="1"/>
      <c r="BP442" s="1" t="str">
        <f>HYPERLINK("https://nconnect.nicmar.ac.in/storage/profile/ProfilePhoto_P25700441_579146.jpg","Download")</f>
        <v>0</v>
      </c>
      <c r="BQ442" s="3"/>
      <c r="BR442" s="3"/>
    </row>
    <row r="443" spans="1:70">
      <c r="A443" s="1" t="s">
        <v>70</v>
      </c>
      <c r="B443" s="1" t="s">
        <v>441</v>
      </c>
      <c r="C443" s="1" t="s">
        <v>8576</v>
      </c>
      <c r="D443" s="1" t="s">
        <v>8577</v>
      </c>
      <c r="E443" s="1" t="s">
        <v>7626</v>
      </c>
      <c r="F443" s="1" t="s">
        <v>8578</v>
      </c>
      <c r="G443" s="1" t="s">
        <v>8579</v>
      </c>
      <c r="H443" s="1" t="s">
        <v>8580</v>
      </c>
      <c r="I443" s="1" t="s">
        <v>8581</v>
      </c>
      <c r="J443" s="1">
        <v>9324044109</v>
      </c>
      <c r="K443" s="1" t="s">
        <v>148</v>
      </c>
      <c r="L443" s="1" t="s">
        <v>6226</v>
      </c>
      <c r="M443" s="1" t="s">
        <v>81</v>
      </c>
      <c r="N443" s="1" t="s">
        <v>605</v>
      </c>
      <c r="O443" s="1"/>
      <c r="P443" s="1" t="s">
        <v>472</v>
      </c>
      <c r="Q443" s="1" t="s">
        <v>8582</v>
      </c>
      <c r="R443" s="1" t="s">
        <v>8583</v>
      </c>
      <c r="S443" s="1">
        <v>9405856999</v>
      </c>
      <c r="T443" s="1" t="s">
        <v>154</v>
      </c>
      <c r="U443" s="1" t="s">
        <v>8584</v>
      </c>
      <c r="V443" s="1">
        <v>9921163311</v>
      </c>
      <c r="W443" s="1" t="s">
        <v>156</v>
      </c>
      <c r="X443" s="1" t="s">
        <v>8585</v>
      </c>
      <c r="Y443" s="1" t="s">
        <v>1012</v>
      </c>
      <c r="Z443" s="1" t="s">
        <v>92</v>
      </c>
      <c r="AA443" s="1" t="s">
        <v>8585</v>
      </c>
      <c r="AB443" s="1" t="s">
        <v>1012</v>
      </c>
      <c r="AC443" s="1" t="s">
        <v>92</v>
      </c>
      <c r="AD443" s="1">
        <v>8.69</v>
      </c>
      <c r="AE443" s="1" t="s">
        <v>93</v>
      </c>
      <c r="AF443" s="1" t="s">
        <v>6110</v>
      </c>
      <c r="AG443" s="1" t="s">
        <v>8586</v>
      </c>
      <c r="AH443" s="1" t="s">
        <v>101</v>
      </c>
      <c r="AI443" s="1" t="s">
        <v>433</v>
      </c>
      <c r="AJ443" s="1">
        <v>75.6</v>
      </c>
      <c r="AK443" s="1">
        <v>7.95</v>
      </c>
      <c r="AL443" s="1" t="s">
        <v>8587</v>
      </c>
      <c r="AM443" s="1" t="s">
        <v>1942</v>
      </c>
      <c r="AN443" s="1" t="s">
        <v>173</v>
      </c>
      <c r="AO443" s="1" t="s">
        <v>436</v>
      </c>
      <c r="AP443" s="1">
        <v>92.83</v>
      </c>
      <c r="AQ443" s="1">
        <v>9.77</v>
      </c>
      <c r="AR443" s="1"/>
      <c r="AS443" s="1"/>
      <c r="AT443" s="1"/>
      <c r="AU443" s="1"/>
      <c r="AV443" s="1"/>
      <c r="AW443" s="1"/>
      <c r="AX443" s="1" t="s">
        <v>8588</v>
      </c>
      <c r="AY443" s="1" t="s">
        <v>8589</v>
      </c>
      <c r="AZ443" s="1" t="s">
        <v>436</v>
      </c>
      <c r="BA443" s="1" t="s">
        <v>1379</v>
      </c>
      <c r="BB443" s="1">
        <v>86.9</v>
      </c>
      <c r="BC443" s="1">
        <v>8.69</v>
      </c>
      <c r="BD443" s="1"/>
      <c r="BE443" s="1"/>
      <c r="BF443" s="1"/>
      <c r="BG443" s="1"/>
      <c r="BH443" s="1"/>
      <c r="BI443" s="1"/>
      <c r="BJ443" s="1" t="s">
        <v>8590</v>
      </c>
      <c r="BK443" s="1"/>
      <c r="BL443" s="1"/>
      <c r="BM443" s="1" t="s">
        <v>8591</v>
      </c>
      <c r="BN443" s="1">
        <v>27</v>
      </c>
      <c r="BO443" s="1" t="s">
        <v>8592</v>
      </c>
      <c r="BP443" s="1" t="str">
        <f>HYPERLINK("https://nconnect.nicmar.ac.in/storage/profile/ProfilePhoto_P25700442_698427.jpg","Download")</f>
        <v>0</v>
      </c>
      <c r="BQ443" s="3"/>
      <c r="BR443" s="3"/>
    </row>
    <row r="444" spans="1:70">
      <c r="A444" s="1" t="s">
        <v>70</v>
      </c>
      <c r="B444" s="1" t="s">
        <v>441</v>
      </c>
      <c r="C444" s="1" t="s">
        <v>8593</v>
      </c>
      <c r="D444" s="1" t="s">
        <v>6936</v>
      </c>
      <c r="E444" s="1" t="s">
        <v>8594</v>
      </c>
      <c r="F444" s="1" t="s">
        <v>1156</v>
      </c>
      <c r="G444" s="1" t="s">
        <v>8595</v>
      </c>
      <c r="H444" s="1" t="s">
        <v>8596</v>
      </c>
      <c r="I444" s="1" t="s">
        <v>8597</v>
      </c>
      <c r="J444" s="1">
        <v>7507570459</v>
      </c>
      <c r="K444" s="1" t="s">
        <v>79</v>
      </c>
      <c r="L444" s="1" t="s">
        <v>8598</v>
      </c>
      <c r="M444" s="1" t="s">
        <v>81</v>
      </c>
      <c r="N444" s="1" t="s">
        <v>751</v>
      </c>
      <c r="O444" s="1"/>
      <c r="P444" s="1" t="s">
        <v>1007</v>
      </c>
      <c r="Q444" s="1" t="s">
        <v>8599</v>
      </c>
      <c r="R444" s="1" t="s">
        <v>8600</v>
      </c>
      <c r="S444" s="1">
        <v>8830014225</v>
      </c>
      <c r="T444" s="1" t="s">
        <v>154</v>
      </c>
      <c r="U444" s="1" t="s">
        <v>3955</v>
      </c>
      <c r="V444" s="1">
        <v>9767991960</v>
      </c>
      <c r="W444" s="1" t="s">
        <v>156</v>
      </c>
      <c r="X444" s="1" t="s">
        <v>8601</v>
      </c>
      <c r="Y444" s="1" t="s">
        <v>304</v>
      </c>
      <c r="Z444" s="1" t="s">
        <v>92</v>
      </c>
      <c r="AA444" s="1" t="s">
        <v>8601</v>
      </c>
      <c r="AB444" s="1" t="s">
        <v>304</v>
      </c>
      <c r="AC444" s="1" t="s">
        <v>92</v>
      </c>
      <c r="AD444" s="1">
        <v>8.77</v>
      </c>
      <c r="AE444" s="1" t="s">
        <v>93</v>
      </c>
      <c r="AF444" s="1" t="s">
        <v>8602</v>
      </c>
      <c r="AG444" s="1" t="s">
        <v>307</v>
      </c>
      <c r="AH444" s="1" t="s">
        <v>162</v>
      </c>
      <c r="AI444" s="1" t="s">
        <v>165</v>
      </c>
      <c r="AJ444" s="1">
        <v>79.8</v>
      </c>
      <c r="AK444" s="1">
        <v>8.4</v>
      </c>
      <c r="AL444" s="1" t="s">
        <v>8602</v>
      </c>
      <c r="AM444" s="1" t="s">
        <v>307</v>
      </c>
      <c r="AN444" s="1" t="s">
        <v>166</v>
      </c>
      <c r="AO444" s="1" t="s">
        <v>308</v>
      </c>
      <c r="AP444" s="1">
        <v>56</v>
      </c>
      <c r="AQ444" s="1"/>
      <c r="AR444" s="1" t="s">
        <v>98</v>
      </c>
      <c r="AS444" s="1" t="s">
        <v>8603</v>
      </c>
      <c r="AT444" s="1" t="s">
        <v>201</v>
      </c>
      <c r="AU444" s="1" t="s">
        <v>542</v>
      </c>
      <c r="AV444" s="1">
        <v>90.89</v>
      </c>
      <c r="AW444" s="1"/>
      <c r="AX444" s="1" t="s">
        <v>361</v>
      </c>
      <c r="AY444" s="1" t="s">
        <v>8604</v>
      </c>
      <c r="AZ444" s="1" t="s">
        <v>852</v>
      </c>
      <c r="BA444" s="1" t="s">
        <v>202</v>
      </c>
      <c r="BB444" s="1">
        <v>68.7</v>
      </c>
      <c r="BC444" s="1">
        <v>7.72</v>
      </c>
      <c r="BD444" s="1"/>
      <c r="BE444" s="1"/>
      <c r="BF444" s="1"/>
      <c r="BG444" s="1"/>
      <c r="BH444" s="1"/>
      <c r="BI444" s="1"/>
      <c r="BJ444" s="1" t="s">
        <v>8605</v>
      </c>
      <c r="BK444" s="1"/>
      <c r="BL444" s="1"/>
      <c r="BM444" s="1" t="s">
        <v>8606</v>
      </c>
      <c r="BN444" s="1">
        <v>60</v>
      </c>
      <c r="BO444" s="1" t="s">
        <v>8607</v>
      </c>
      <c r="BP444" s="1" t="str">
        <f>HYPERLINK("https://nconnect.nicmar.ac.in/storage/profile/ProfilePhoto_P25700443_397648.jpg","Download")</f>
        <v>0</v>
      </c>
      <c r="BQ444" s="3"/>
      <c r="BR444" s="3"/>
    </row>
    <row r="445" spans="1:70">
      <c r="A445" s="1" t="s">
        <v>70</v>
      </c>
      <c r="B445" s="1" t="s">
        <v>441</v>
      </c>
      <c r="C445" s="1" t="s">
        <v>8608</v>
      </c>
      <c r="D445" s="1" t="s">
        <v>8609</v>
      </c>
      <c r="E445" s="1"/>
      <c r="F445" s="1" t="s">
        <v>1273</v>
      </c>
      <c r="G445" s="1" t="s">
        <v>8610</v>
      </c>
      <c r="H445" s="1" t="s">
        <v>8611</v>
      </c>
      <c r="I445" s="1" t="s">
        <v>8612</v>
      </c>
      <c r="J445" s="1">
        <v>7358012493</v>
      </c>
      <c r="K445" s="1" t="s">
        <v>79</v>
      </c>
      <c r="L445" s="1" t="s">
        <v>8613</v>
      </c>
      <c r="M445" s="1" t="s">
        <v>81</v>
      </c>
      <c r="N445" s="1" t="s">
        <v>2034</v>
      </c>
      <c r="O445" s="1"/>
      <c r="P445" s="1" t="s">
        <v>656</v>
      </c>
      <c r="Q445" s="1" t="s">
        <v>8614</v>
      </c>
      <c r="R445" s="1" t="s">
        <v>8615</v>
      </c>
      <c r="S445" s="1">
        <v>7337392771</v>
      </c>
      <c r="T445" s="1" t="s">
        <v>87</v>
      </c>
      <c r="U445" s="1" t="s">
        <v>8616</v>
      </c>
      <c r="V445" s="1">
        <v>7358297076</v>
      </c>
      <c r="W445" s="1" t="s">
        <v>8617</v>
      </c>
      <c r="X445" s="1" t="s">
        <v>8618</v>
      </c>
      <c r="Y445" s="1" t="s">
        <v>4260</v>
      </c>
      <c r="Z445" s="1" t="s">
        <v>559</v>
      </c>
      <c r="AA445" s="1" t="s">
        <v>8618</v>
      </c>
      <c r="AB445" s="1" t="s">
        <v>4260</v>
      </c>
      <c r="AC445" s="1" t="s">
        <v>559</v>
      </c>
      <c r="AD445" s="1">
        <v>7.54</v>
      </c>
      <c r="AE445" s="1" t="s">
        <v>93</v>
      </c>
      <c r="AF445" s="1" t="s">
        <v>8619</v>
      </c>
      <c r="AG445" s="1" t="s">
        <v>8620</v>
      </c>
      <c r="AH445" s="1" t="s">
        <v>101</v>
      </c>
      <c r="AI445" s="1" t="s">
        <v>409</v>
      </c>
      <c r="AJ445" s="1">
        <v>64.2</v>
      </c>
      <c r="AK445" s="1"/>
      <c r="AL445" s="1"/>
      <c r="AM445" s="1"/>
      <c r="AN445" s="1"/>
      <c r="AO445" s="1"/>
      <c r="AP445" s="1"/>
      <c r="AQ445" s="1"/>
      <c r="AR445" s="1" t="s">
        <v>434</v>
      </c>
      <c r="AS445" s="1" t="s">
        <v>8621</v>
      </c>
      <c r="AT445" s="1" t="s">
        <v>433</v>
      </c>
      <c r="AU445" s="1" t="s">
        <v>619</v>
      </c>
      <c r="AV445" s="1">
        <v>85</v>
      </c>
      <c r="AW445" s="1"/>
      <c r="AX445" s="1" t="s">
        <v>564</v>
      </c>
      <c r="AY445" s="1" t="s">
        <v>8622</v>
      </c>
      <c r="AZ445" s="1" t="s">
        <v>284</v>
      </c>
      <c r="BA445" s="1" t="s">
        <v>543</v>
      </c>
      <c r="BB445" s="1">
        <v>68.3</v>
      </c>
      <c r="BC445" s="1">
        <v>6.83</v>
      </c>
      <c r="BD445" s="1"/>
      <c r="BE445" s="1"/>
      <c r="BF445" s="1"/>
      <c r="BG445" s="1"/>
      <c r="BH445" s="1"/>
      <c r="BI445" s="1"/>
      <c r="BJ445" s="1" t="s">
        <v>364</v>
      </c>
      <c r="BK445" s="1"/>
      <c r="BL445" s="1"/>
      <c r="BM445" s="1" t="s">
        <v>8623</v>
      </c>
      <c r="BN445" s="1">
        <v>17</v>
      </c>
      <c r="BO445" s="1"/>
      <c r="BP445" s="1" t="str">
        <f>HYPERLINK("https://nconnect.nicmar.ac.in/storage/profile/ProfilePhoto_P25700444_392578.jpg","Download")</f>
        <v>0</v>
      </c>
      <c r="BQ445" s="3"/>
      <c r="BR445" s="3"/>
    </row>
    <row r="446" spans="1:70">
      <c r="A446" s="1" t="s">
        <v>70</v>
      </c>
      <c r="B446" s="1" t="s">
        <v>441</v>
      </c>
      <c r="C446" s="1" t="s">
        <v>8624</v>
      </c>
      <c r="D446" s="1" t="s">
        <v>8625</v>
      </c>
      <c r="E446" s="1" t="s">
        <v>878</v>
      </c>
      <c r="F446" s="1" t="s">
        <v>236</v>
      </c>
      <c r="G446" s="1" t="s">
        <v>8626</v>
      </c>
      <c r="H446" s="1" t="s">
        <v>8627</v>
      </c>
      <c r="I446" s="1" t="s">
        <v>8628</v>
      </c>
      <c r="J446" s="1">
        <v>8999899441</v>
      </c>
      <c r="K446" s="1" t="s">
        <v>79</v>
      </c>
      <c r="L446" s="1" t="s">
        <v>8629</v>
      </c>
      <c r="M446" s="1" t="s">
        <v>81</v>
      </c>
      <c r="N446" s="1" t="s">
        <v>8630</v>
      </c>
      <c r="O446" s="1"/>
      <c r="P446" s="1" t="s">
        <v>472</v>
      </c>
      <c r="Q446" s="1" t="s">
        <v>8631</v>
      </c>
      <c r="R446" s="1" t="s">
        <v>878</v>
      </c>
      <c r="S446" s="1">
        <v>9922437367</v>
      </c>
      <c r="T446" s="1" t="s">
        <v>2405</v>
      </c>
      <c r="U446" s="1" t="s">
        <v>2676</v>
      </c>
      <c r="V446" s="1">
        <v>9960974766</v>
      </c>
      <c r="W446" s="1" t="s">
        <v>156</v>
      </c>
      <c r="X446" s="1" t="s">
        <v>8632</v>
      </c>
      <c r="Y446" s="1" t="s">
        <v>191</v>
      </c>
      <c r="Z446" s="1" t="s">
        <v>92</v>
      </c>
      <c r="AA446" s="1" t="s">
        <v>8632</v>
      </c>
      <c r="AB446" s="1" t="s">
        <v>191</v>
      </c>
      <c r="AC446" s="1" t="s">
        <v>92</v>
      </c>
      <c r="AD446" s="1">
        <v>7.4</v>
      </c>
      <c r="AE446" s="1" t="s">
        <v>93</v>
      </c>
      <c r="AF446" s="1" t="s">
        <v>8633</v>
      </c>
      <c r="AG446" s="1" t="s">
        <v>160</v>
      </c>
      <c r="AH446" s="1" t="s">
        <v>1190</v>
      </c>
      <c r="AI446" s="1" t="s">
        <v>96</v>
      </c>
      <c r="AJ446" s="1">
        <v>86.2</v>
      </c>
      <c r="AK446" s="1">
        <v>0</v>
      </c>
      <c r="AL446" s="1" t="s">
        <v>8634</v>
      </c>
      <c r="AM446" s="1" t="s">
        <v>8635</v>
      </c>
      <c r="AN446" s="1" t="s">
        <v>161</v>
      </c>
      <c r="AO446" s="1" t="s">
        <v>614</v>
      </c>
      <c r="AP446" s="1">
        <v>60.46</v>
      </c>
      <c r="AQ446" s="1">
        <v>0</v>
      </c>
      <c r="AR446" s="1"/>
      <c r="AS446" s="1"/>
      <c r="AT446" s="1"/>
      <c r="AU446" s="1"/>
      <c r="AV446" s="1"/>
      <c r="AW446" s="1"/>
      <c r="AX446" s="1" t="s">
        <v>361</v>
      </c>
      <c r="AY446" s="1" t="s">
        <v>8636</v>
      </c>
      <c r="AZ446" s="1" t="s">
        <v>1374</v>
      </c>
      <c r="BA446" s="1" t="s">
        <v>539</v>
      </c>
      <c r="BB446" s="1">
        <v>64.5</v>
      </c>
      <c r="BC446" s="1"/>
      <c r="BD446" s="1"/>
      <c r="BE446" s="1"/>
      <c r="BF446" s="1"/>
      <c r="BG446" s="1"/>
      <c r="BH446" s="1"/>
      <c r="BI446" s="1"/>
      <c r="BJ446" s="1" t="s">
        <v>8637</v>
      </c>
      <c r="BK446" s="1" t="s">
        <v>8638</v>
      </c>
      <c r="BL446" s="1" t="s">
        <v>7635</v>
      </c>
      <c r="BM446" s="1" t="s">
        <v>8639</v>
      </c>
      <c r="BN446" s="1">
        <v>8</v>
      </c>
      <c r="BO446" s="1"/>
      <c r="BP446" s="1" t="str">
        <f>HYPERLINK("https://nconnect.nicmar.ac.in/storage/profile/ProfilePhoto_P25700445_174289.jpg","Download")</f>
        <v>0</v>
      </c>
      <c r="BQ446" s="3"/>
      <c r="BR446" s="3"/>
    </row>
    <row r="447" spans="1:70">
      <c r="A447" s="1" t="s">
        <v>70</v>
      </c>
      <c r="B447" s="1" t="s">
        <v>441</v>
      </c>
      <c r="C447" s="1" t="s">
        <v>8640</v>
      </c>
      <c r="D447" s="1" t="s">
        <v>8541</v>
      </c>
      <c r="E447" s="1" t="s">
        <v>4321</v>
      </c>
      <c r="F447" s="1" t="s">
        <v>8641</v>
      </c>
      <c r="G447" s="1" t="s">
        <v>8642</v>
      </c>
      <c r="H447" s="1" t="s">
        <v>8643</v>
      </c>
      <c r="I447" s="1" t="s">
        <v>8644</v>
      </c>
      <c r="J447" s="1">
        <v>8806005851</v>
      </c>
      <c r="K447" s="1" t="s">
        <v>148</v>
      </c>
      <c r="L447" s="1" t="s">
        <v>8645</v>
      </c>
      <c r="M447" s="1" t="s">
        <v>81</v>
      </c>
      <c r="N447" s="1" t="s">
        <v>605</v>
      </c>
      <c r="O447" s="1"/>
      <c r="P447" s="1" t="s">
        <v>472</v>
      </c>
      <c r="Q447" s="1" t="s">
        <v>8646</v>
      </c>
      <c r="R447" s="1" t="s">
        <v>8647</v>
      </c>
      <c r="S447" s="1">
        <v>9049373272</v>
      </c>
      <c r="T447" s="1" t="s">
        <v>154</v>
      </c>
      <c r="U447" s="1" t="s">
        <v>8648</v>
      </c>
      <c r="V447" s="1">
        <v>8793292232</v>
      </c>
      <c r="W447" s="1" t="s">
        <v>156</v>
      </c>
      <c r="X447" s="1" t="s">
        <v>8649</v>
      </c>
      <c r="Y447" s="1" t="s">
        <v>1166</v>
      </c>
      <c r="Z447" s="1" t="s">
        <v>92</v>
      </c>
      <c r="AA447" s="1" t="s">
        <v>8649</v>
      </c>
      <c r="AB447" s="1" t="s">
        <v>1166</v>
      </c>
      <c r="AC447" s="1" t="s">
        <v>92</v>
      </c>
      <c r="AD447" s="1">
        <v>7.94</v>
      </c>
      <c r="AE447" s="1" t="s">
        <v>93</v>
      </c>
      <c r="AF447" s="1" t="s">
        <v>8650</v>
      </c>
      <c r="AG447" s="1" t="s">
        <v>160</v>
      </c>
      <c r="AH447" s="1" t="s">
        <v>162</v>
      </c>
      <c r="AI447" s="1" t="s">
        <v>195</v>
      </c>
      <c r="AJ447" s="1">
        <v>80.2</v>
      </c>
      <c r="AK447" s="1"/>
      <c r="AL447" s="1" t="s">
        <v>8651</v>
      </c>
      <c r="AM447" s="1" t="s">
        <v>160</v>
      </c>
      <c r="AN447" s="1" t="s">
        <v>101</v>
      </c>
      <c r="AO447" s="1" t="s">
        <v>198</v>
      </c>
      <c r="AP447" s="1">
        <v>62.15</v>
      </c>
      <c r="AQ447" s="1"/>
      <c r="AR447" s="1"/>
      <c r="AS447" s="1"/>
      <c r="AT447" s="1"/>
      <c r="AU447" s="1"/>
      <c r="AV447" s="1"/>
      <c r="AW447" s="1"/>
      <c r="AX447" s="1" t="s">
        <v>666</v>
      </c>
      <c r="AY447" s="1" t="s">
        <v>8652</v>
      </c>
      <c r="AZ447" s="1" t="s">
        <v>201</v>
      </c>
      <c r="BA447" s="1" t="s">
        <v>8653</v>
      </c>
      <c r="BB447" s="1">
        <v>64</v>
      </c>
      <c r="BC447" s="1">
        <v>7.15</v>
      </c>
      <c r="BD447" s="1"/>
      <c r="BE447" s="1"/>
      <c r="BF447" s="1"/>
      <c r="BG447" s="1"/>
      <c r="BH447" s="1"/>
      <c r="BI447" s="1"/>
      <c r="BJ447" s="1" t="s">
        <v>8654</v>
      </c>
      <c r="BK447" s="1"/>
      <c r="BL447" s="1"/>
      <c r="BM447" s="1" t="s">
        <v>8655</v>
      </c>
      <c r="BN447" s="1">
        <v>9</v>
      </c>
      <c r="BO447" s="1"/>
      <c r="BP447" s="1" t="str">
        <f>HYPERLINK("https://nconnect.nicmar.ac.in/storage/profile/ProfilePhoto_P25700446_625137.jpg","Download")</f>
        <v>0</v>
      </c>
      <c r="BQ447" s="3"/>
      <c r="BR447" s="3"/>
    </row>
    <row r="448" spans="1:70">
      <c r="A448" s="1" t="s">
        <v>70</v>
      </c>
      <c r="B448" s="1" t="s">
        <v>441</v>
      </c>
      <c r="C448" s="1" t="s">
        <v>8656</v>
      </c>
      <c r="D448" s="1" t="s">
        <v>8657</v>
      </c>
      <c r="E448" s="1" t="s">
        <v>519</v>
      </c>
      <c r="F448" s="1" t="s">
        <v>520</v>
      </c>
      <c r="G448" s="1" t="s">
        <v>8658</v>
      </c>
      <c r="H448" s="1" t="s">
        <v>8659</v>
      </c>
      <c r="I448" s="1" t="s">
        <v>8660</v>
      </c>
      <c r="J448" s="1">
        <v>8445489675</v>
      </c>
      <c r="K448" s="1" t="s">
        <v>79</v>
      </c>
      <c r="L448" s="1" t="s">
        <v>8661</v>
      </c>
      <c r="M448" s="1" t="s">
        <v>81</v>
      </c>
      <c r="N448" s="1" t="s">
        <v>8662</v>
      </c>
      <c r="O448" s="1"/>
      <c r="P448" s="1" t="s">
        <v>497</v>
      </c>
      <c r="Q448" s="1" t="s">
        <v>8663</v>
      </c>
      <c r="R448" s="1" t="s">
        <v>8664</v>
      </c>
      <c r="S448" s="1">
        <v>8126123456</v>
      </c>
      <c r="T448" s="1" t="s">
        <v>120</v>
      </c>
      <c r="U448" s="1" t="s">
        <v>8665</v>
      </c>
      <c r="V448" s="1">
        <v>6396047747</v>
      </c>
      <c r="W448" s="1" t="s">
        <v>273</v>
      </c>
      <c r="X448" s="1" t="s">
        <v>8666</v>
      </c>
      <c r="Y448" s="1" t="s">
        <v>8667</v>
      </c>
      <c r="Z448" s="1" t="s">
        <v>534</v>
      </c>
      <c r="AA448" s="1" t="s">
        <v>8666</v>
      </c>
      <c r="AB448" s="1" t="s">
        <v>8667</v>
      </c>
      <c r="AC448" s="1" t="s">
        <v>534</v>
      </c>
      <c r="AD448" s="1">
        <v>8.23</v>
      </c>
      <c r="AE448" s="1" t="s">
        <v>93</v>
      </c>
      <c r="AF448" s="1" t="s">
        <v>8668</v>
      </c>
      <c r="AG448" s="1" t="s">
        <v>8668</v>
      </c>
      <c r="AH448" s="1" t="s">
        <v>1088</v>
      </c>
      <c r="AI448" s="1" t="s">
        <v>614</v>
      </c>
      <c r="AJ448" s="1">
        <v>79.8</v>
      </c>
      <c r="AK448" s="1">
        <v>8.4</v>
      </c>
      <c r="AL448" s="1" t="s">
        <v>8668</v>
      </c>
      <c r="AM448" s="1" t="s">
        <v>307</v>
      </c>
      <c r="AN448" s="1" t="s">
        <v>689</v>
      </c>
      <c r="AO448" s="1" t="s">
        <v>166</v>
      </c>
      <c r="AP448" s="1">
        <v>61</v>
      </c>
      <c r="AQ448" s="1"/>
      <c r="AR448" s="1"/>
      <c r="AS448" s="1"/>
      <c r="AT448" s="1"/>
      <c r="AU448" s="1"/>
      <c r="AV448" s="1"/>
      <c r="AW448" s="1"/>
      <c r="AX448" s="1" t="s">
        <v>8669</v>
      </c>
      <c r="AY448" s="1" t="s">
        <v>8670</v>
      </c>
      <c r="AZ448" s="1" t="s">
        <v>169</v>
      </c>
      <c r="BA448" s="1" t="s">
        <v>1378</v>
      </c>
      <c r="BB448" s="1">
        <v>68.7</v>
      </c>
      <c r="BC448" s="1">
        <v>6.87</v>
      </c>
      <c r="BD448" s="1"/>
      <c r="BE448" s="1"/>
      <c r="BF448" s="1"/>
      <c r="BG448" s="1"/>
      <c r="BH448" s="1"/>
      <c r="BI448" s="1"/>
      <c r="BJ448" s="1" t="s">
        <v>3326</v>
      </c>
      <c r="BK448" s="1" t="s">
        <v>8671</v>
      </c>
      <c r="BL448" s="1" t="s">
        <v>3965</v>
      </c>
      <c r="BM448" s="1" t="s">
        <v>8672</v>
      </c>
      <c r="BN448" s="1">
        <v>8</v>
      </c>
      <c r="BO448" s="1" t="s">
        <v>8673</v>
      </c>
      <c r="BP448" s="1" t="str">
        <f>HYPERLINK("https://nconnect.nicmar.ac.in/storage/profile/ProfilePhoto_P25700447_624183.jpg","Download")</f>
        <v>0</v>
      </c>
      <c r="BQ448" s="3"/>
      <c r="BR448" s="3"/>
    </row>
    <row r="449" spans="1:70">
      <c r="A449" s="1" t="s">
        <v>70</v>
      </c>
      <c r="B449" s="1" t="s">
        <v>441</v>
      </c>
      <c r="C449" s="1" t="s">
        <v>8674</v>
      </c>
      <c r="D449" s="1" t="s">
        <v>8675</v>
      </c>
      <c r="E449" s="1"/>
      <c r="F449" s="1" t="s">
        <v>8676</v>
      </c>
      <c r="G449" s="1" t="s">
        <v>8677</v>
      </c>
      <c r="H449" s="1" t="s">
        <v>8678</v>
      </c>
      <c r="I449" s="1" t="s">
        <v>8679</v>
      </c>
      <c r="J449" s="1">
        <v>7418269162</v>
      </c>
      <c r="K449" s="1" t="s">
        <v>79</v>
      </c>
      <c r="L449" s="1" t="s">
        <v>8680</v>
      </c>
      <c r="M449" s="1" t="s">
        <v>81</v>
      </c>
      <c r="N449" s="1" t="s">
        <v>8681</v>
      </c>
      <c r="O449" s="1"/>
      <c r="P449" s="1" t="s">
        <v>497</v>
      </c>
      <c r="Q449" s="1" t="s">
        <v>8682</v>
      </c>
      <c r="R449" s="1" t="s">
        <v>8683</v>
      </c>
      <c r="S449" s="1">
        <v>9840810292</v>
      </c>
      <c r="T449" s="1" t="s">
        <v>8684</v>
      </c>
      <c r="U449" s="1" t="s">
        <v>8685</v>
      </c>
      <c r="V449" s="1">
        <v>7904909123</v>
      </c>
      <c r="W449" s="1" t="s">
        <v>8686</v>
      </c>
      <c r="X449" s="1" t="s">
        <v>8687</v>
      </c>
      <c r="Y449" s="1" t="s">
        <v>191</v>
      </c>
      <c r="Z449" s="1" t="s">
        <v>92</v>
      </c>
      <c r="AA449" s="1" t="s">
        <v>8688</v>
      </c>
      <c r="AB449" s="1" t="s">
        <v>1475</v>
      </c>
      <c r="AC449" s="1" t="s">
        <v>559</v>
      </c>
      <c r="AD449" s="1">
        <v>9.33</v>
      </c>
      <c r="AE449" s="1" t="s">
        <v>93</v>
      </c>
      <c r="AF449" s="1" t="s">
        <v>8689</v>
      </c>
      <c r="AG449" s="1" t="s">
        <v>758</v>
      </c>
      <c r="AH449" s="1" t="s">
        <v>161</v>
      </c>
      <c r="AI449" s="1" t="s">
        <v>614</v>
      </c>
      <c r="AJ449" s="1">
        <v>77.9</v>
      </c>
      <c r="AK449" s="1">
        <v>8.2</v>
      </c>
      <c r="AL449" s="1" t="s">
        <v>8690</v>
      </c>
      <c r="AM449" s="1" t="s">
        <v>8620</v>
      </c>
      <c r="AN449" s="1" t="s">
        <v>165</v>
      </c>
      <c r="AO449" s="1" t="s">
        <v>166</v>
      </c>
      <c r="AP449" s="1">
        <v>88.5</v>
      </c>
      <c r="AQ449" s="1">
        <v>0</v>
      </c>
      <c r="AR449" s="1"/>
      <c r="AS449" s="1"/>
      <c r="AT449" s="1"/>
      <c r="AU449" s="1"/>
      <c r="AV449" s="1"/>
      <c r="AW449" s="1"/>
      <c r="AX449" s="1" t="s">
        <v>564</v>
      </c>
      <c r="AY449" s="1" t="s">
        <v>8691</v>
      </c>
      <c r="AZ449" s="1" t="s">
        <v>170</v>
      </c>
      <c r="BA449" s="1" t="s">
        <v>1219</v>
      </c>
      <c r="BB449" s="1">
        <v>90</v>
      </c>
      <c r="BC449" s="1">
        <v>9</v>
      </c>
      <c r="BD449" s="1"/>
      <c r="BE449" s="1"/>
      <c r="BF449" s="1"/>
      <c r="BG449" s="1"/>
      <c r="BH449" s="1"/>
      <c r="BI449" s="1"/>
      <c r="BJ449" s="1" t="s">
        <v>3733</v>
      </c>
      <c r="BK449" s="1" t="s">
        <v>8692</v>
      </c>
      <c r="BL449" s="1" t="s">
        <v>1048</v>
      </c>
      <c r="BM449" s="1" t="s">
        <v>8693</v>
      </c>
      <c r="BN449" s="1">
        <v>12</v>
      </c>
      <c r="BO449" s="1" t="s">
        <v>8694</v>
      </c>
      <c r="BP449" s="1" t="str">
        <f>HYPERLINK("https://nconnect.nicmar.ac.in/storage/profile/ProfilePhoto_P25700448_675934.jpg","Download")</f>
        <v>0</v>
      </c>
      <c r="BQ449" s="3"/>
      <c r="BR449" s="3"/>
    </row>
    <row r="450" spans="1:70">
      <c r="A450" s="1" t="s">
        <v>70</v>
      </c>
      <c r="B450" s="1" t="s">
        <v>441</v>
      </c>
      <c r="C450" s="1" t="s">
        <v>8695</v>
      </c>
      <c r="D450" s="1" t="s">
        <v>8696</v>
      </c>
      <c r="E450" s="1" t="s">
        <v>1937</v>
      </c>
      <c r="F450" s="1" t="s">
        <v>8697</v>
      </c>
      <c r="G450" s="1" t="s">
        <v>8698</v>
      </c>
      <c r="H450" s="1" t="s">
        <v>8699</v>
      </c>
      <c r="I450" s="1" t="s">
        <v>8700</v>
      </c>
      <c r="J450" s="1">
        <v>9307267462</v>
      </c>
      <c r="K450" s="1" t="s">
        <v>79</v>
      </c>
      <c r="L450" s="1" t="s">
        <v>8701</v>
      </c>
      <c r="M450" s="1" t="s">
        <v>81</v>
      </c>
      <c r="N450" s="1" t="s">
        <v>8702</v>
      </c>
      <c r="O450" s="1"/>
      <c r="P450" s="1" t="s">
        <v>497</v>
      </c>
      <c r="Q450" s="1" t="s">
        <v>8703</v>
      </c>
      <c r="R450" s="1" t="s">
        <v>8704</v>
      </c>
      <c r="S450" s="1">
        <v>9422941112</v>
      </c>
      <c r="T450" s="1" t="s">
        <v>122</v>
      </c>
      <c r="U450" s="1" t="s">
        <v>8705</v>
      </c>
      <c r="V450" s="1">
        <v>9370959374</v>
      </c>
      <c r="W450" s="1" t="s">
        <v>122</v>
      </c>
      <c r="X450" s="1" t="s">
        <v>8706</v>
      </c>
      <c r="Y450" s="1" t="s">
        <v>1122</v>
      </c>
      <c r="Z450" s="1" t="s">
        <v>92</v>
      </c>
      <c r="AA450" s="1" t="s">
        <v>8706</v>
      </c>
      <c r="AB450" s="1" t="s">
        <v>1122</v>
      </c>
      <c r="AC450" s="1" t="s">
        <v>92</v>
      </c>
      <c r="AD450" s="1" t="s">
        <v>93</v>
      </c>
      <c r="AE450" s="1" t="s">
        <v>93</v>
      </c>
      <c r="AF450" s="1" t="s">
        <v>8707</v>
      </c>
      <c r="AG450" s="1" t="s">
        <v>8708</v>
      </c>
      <c r="AH450" s="1" t="s">
        <v>101</v>
      </c>
      <c r="AI450" s="1" t="s">
        <v>308</v>
      </c>
      <c r="AJ450" s="1">
        <v>96.2</v>
      </c>
      <c r="AK450" s="1"/>
      <c r="AL450" s="1" t="s">
        <v>8709</v>
      </c>
      <c r="AM450" s="1" t="s">
        <v>8710</v>
      </c>
      <c r="AN450" s="1" t="s">
        <v>460</v>
      </c>
      <c r="AO450" s="1" t="s">
        <v>826</v>
      </c>
      <c r="AP450" s="1">
        <v>92</v>
      </c>
      <c r="AQ450" s="1"/>
      <c r="AR450" s="1"/>
      <c r="AS450" s="1"/>
      <c r="AT450" s="1"/>
      <c r="AU450" s="1"/>
      <c r="AV450" s="1"/>
      <c r="AW450" s="1"/>
      <c r="AX450" s="1" t="s">
        <v>8711</v>
      </c>
      <c r="AY450" s="1" t="s">
        <v>8712</v>
      </c>
      <c r="AZ450" s="1" t="s">
        <v>436</v>
      </c>
      <c r="BA450" s="1" t="s">
        <v>543</v>
      </c>
      <c r="BB450" s="1">
        <v>78</v>
      </c>
      <c r="BC450" s="1">
        <v>8.6</v>
      </c>
      <c r="BD450" s="1"/>
      <c r="BE450" s="1"/>
      <c r="BF450" s="1"/>
      <c r="BG450" s="1"/>
      <c r="BH450" s="1"/>
      <c r="BI450" s="1"/>
      <c r="BJ450" s="1" t="s">
        <v>364</v>
      </c>
      <c r="BK450" s="1"/>
      <c r="BL450" s="1"/>
      <c r="BM450" s="1" t="s">
        <v>8713</v>
      </c>
      <c r="BN450" s="1">
        <v>20</v>
      </c>
      <c r="BO450" s="1"/>
      <c r="BP450" s="1" t="str">
        <f>HYPERLINK("https://nconnect.nicmar.ac.in/storage/profile/ProfilePhoto_P25700449_946731.jpg","Download")</f>
        <v>0</v>
      </c>
      <c r="BQ450" s="3"/>
      <c r="BR450" s="3"/>
    </row>
    <row r="451" spans="1:70">
      <c r="A451" s="1" t="s">
        <v>70</v>
      </c>
      <c r="B451" s="1" t="s">
        <v>441</v>
      </c>
      <c r="C451" s="1" t="s">
        <v>8714</v>
      </c>
      <c r="D451" s="1" t="s">
        <v>8715</v>
      </c>
      <c r="E451" s="1" t="s">
        <v>3119</v>
      </c>
      <c r="F451" s="1" t="s">
        <v>8716</v>
      </c>
      <c r="G451" s="1" t="s">
        <v>8717</v>
      </c>
      <c r="H451" s="1" t="s">
        <v>8718</v>
      </c>
      <c r="I451" s="1" t="s">
        <v>8719</v>
      </c>
      <c r="J451" s="1">
        <v>9624951503</v>
      </c>
      <c r="K451" s="1" t="s">
        <v>79</v>
      </c>
      <c r="L451" s="1" t="s">
        <v>8720</v>
      </c>
      <c r="M451" s="1" t="s">
        <v>81</v>
      </c>
      <c r="N451" s="1" t="s">
        <v>8721</v>
      </c>
      <c r="O451" s="1"/>
      <c r="P451" s="1" t="s">
        <v>450</v>
      </c>
      <c r="Q451" s="1" t="s">
        <v>8722</v>
      </c>
      <c r="R451" s="1" t="s">
        <v>8723</v>
      </c>
      <c r="S451" s="1">
        <v>7990856554</v>
      </c>
      <c r="T451" s="1" t="s">
        <v>120</v>
      </c>
      <c r="U451" s="1" t="s">
        <v>8724</v>
      </c>
      <c r="V451" s="1">
        <v>9265635667</v>
      </c>
      <c r="W451" s="1" t="s">
        <v>156</v>
      </c>
      <c r="X451" s="1" t="s">
        <v>8725</v>
      </c>
      <c r="Y451" s="1" t="s">
        <v>8726</v>
      </c>
      <c r="Z451" s="1" t="s">
        <v>662</v>
      </c>
      <c r="AA451" s="1" t="s">
        <v>8725</v>
      </c>
      <c r="AB451" s="1" t="s">
        <v>8726</v>
      </c>
      <c r="AC451" s="1" t="s">
        <v>662</v>
      </c>
      <c r="AD451" s="1">
        <v>8.19</v>
      </c>
      <c r="AE451" s="1" t="s">
        <v>93</v>
      </c>
      <c r="AF451" s="1" t="s">
        <v>8727</v>
      </c>
      <c r="AG451" s="1" t="s">
        <v>8728</v>
      </c>
      <c r="AH451" s="1" t="s">
        <v>96</v>
      </c>
      <c r="AI451" s="1" t="s">
        <v>161</v>
      </c>
      <c r="AJ451" s="1">
        <v>74</v>
      </c>
      <c r="AK451" s="1">
        <v>0</v>
      </c>
      <c r="AL451" s="1" t="s">
        <v>8729</v>
      </c>
      <c r="AM451" s="1" t="s">
        <v>8728</v>
      </c>
      <c r="AN451" s="1" t="s">
        <v>162</v>
      </c>
      <c r="AO451" s="1" t="s">
        <v>562</v>
      </c>
      <c r="AP451" s="1">
        <v>63.85</v>
      </c>
      <c r="AQ451" s="1">
        <v>0</v>
      </c>
      <c r="AR451" s="1"/>
      <c r="AS451" s="1"/>
      <c r="AT451" s="1"/>
      <c r="AU451" s="1"/>
      <c r="AV451" s="1"/>
      <c r="AW451" s="1"/>
      <c r="AX451" s="1" t="s">
        <v>5245</v>
      </c>
      <c r="AY451" s="1" t="s">
        <v>8730</v>
      </c>
      <c r="AZ451" s="1" t="s">
        <v>225</v>
      </c>
      <c r="BA451" s="1" t="s">
        <v>828</v>
      </c>
      <c r="BB451" s="1">
        <v>74.4</v>
      </c>
      <c r="BC451" s="1">
        <v>7.94</v>
      </c>
      <c r="BD451" s="1"/>
      <c r="BE451" s="1"/>
      <c r="BF451" s="1"/>
      <c r="BG451" s="1"/>
      <c r="BH451" s="1"/>
      <c r="BI451" s="1"/>
      <c r="BJ451" s="1" t="s">
        <v>8731</v>
      </c>
      <c r="BK451" s="1" t="s">
        <v>8732</v>
      </c>
      <c r="BL451" s="1" t="s">
        <v>1048</v>
      </c>
      <c r="BM451" s="1" t="s">
        <v>8733</v>
      </c>
      <c r="BN451" s="1">
        <v>9</v>
      </c>
      <c r="BO451" s="1" t="s">
        <v>8734</v>
      </c>
      <c r="BP451" s="1" t="str">
        <f>HYPERLINK("https://nconnect.nicmar.ac.in/storage/profile/ProfilePhoto_P25700450_896257.jpg","Download")</f>
        <v>0</v>
      </c>
      <c r="BQ451" s="3"/>
      <c r="BR451" s="3"/>
    </row>
    <row r="452" spans="1:70">
      <c r="A452" s="1" t="s">
        <v>70</v>
      </c>
      <c r="B452" s="1" t="s">
        <v>441</v>
      </c>
      <c r="C452" s="1" t="s">
        <v>8735</v>
      </c>
      <c r="D452" s="1" t="s">
        <v>8258</v>
      </c>
      <c r="E452" s="1" t="s">
        <v>1298</v>
      </c>
      <c r="F452" s="1" t="s">
        <v>8736</v>
      </c>
      <c r="G452" s="1" t="s">
        <v>8737</v>
      </c>
      <c r="H452" s="1" t="s">
        <v>8738</v>
      </c>
      <c r="I452" s="1" t="s">
        <v>8739</v>
      </c>
      <c r="J452" s="1">
        <v>9669982217</v>
      </c>
      <c r="K452" s="1" t="s">
        <v>79</v>
      </c>
      <c r="L452" s="1" t="s">
        <v>8740</v>
      </c>
      <c r="M452" s="1" t="s">
        <v>81</v>
      </c>
      <c r="N452" s="1" t="s">
        <v>605</v>
      </c>
      <c r="O452" s="1"/>
      <c r="P452" s="1" t="s">
        <v>497</v>
      </c>
      <c r="Q452" s="1" t="s">
        <v>8741</v>
      </c>
      <c r="R452" s="1" t="s">
        <v>8742</v>
      </c>
      <c r="S452" s="1">
        <v>7693895796</v>
      </c>
      <c r="T452" s="1" t="s">
        <v>820</v>
      </c>
      <c r="U452" s="1" t="s">
        <v>8743</v>
      </c>
      <c r="V452" s="1">
        <v>7693895796</v>
      </c>
      <c r="W452" s="1" t="s">
        <v>89</v>
      </c>
      <c r="X452" s="1" t="s">
        <v>8744</v>
      </c>
      <c r="Y452" s="1" t="s">
        <v>8745</v>
      </c>
      <c r="Z452" s="1" t="s">
        <v>3437</v>
      </c>
      <c r="AA452" s="1" t="s">
        <v>8744</v>
      </c>
      <c r="AB452" s="1" t="s">
        <v>8745</v>
      </c>
      <c r="AC452" s="1" t="s">
        <v>3437</v>
      </c>
      <c r="AD452" s="1">
        <v>7.5</v>
      </c>
      <c r="AE452" s="1" t="s">
        <v>93</v>
      </c>
      <c r="AF452" s="1" t="s">
        <v>8746</v>
      </c>
      <c r="AG452" s="1" t="s">
        <v>8747</v>
      </c>
      <c r="AH452" s="1" t="s">
        <v>1088</v>
      </c>
      <c r="AI452" s="1" t="s">
        <v>614</v>
      </c>
      <c r="AJ452" s="1">
        <v>79.8</v>
      </c>
      <c r="AK452" s="1">
        <v>8.4</v>
      </c>
      <c r="AL452" s="1" t="s">
        <v>8746</v>
      </c>
      <c r="AM452" s="1" t="s">
        <v>8747</v>
      </c>
      <c r="AN452" s="1" t="s">
        <v>689</v>
      </c>
      <c r="AO452" s="1" t="s">
        <v>166</v>
      </c>
      <c r="AP452" s="1">
        <v>65</v>
      </c>
      <c r="AQ452" s="1"/>
      <c r="AR452" s="1"/>
      <c r="AS452" s="1"/>
      <c r="AT452" s="1"/>
      <c r="AU452" s="1"/>
      <c r="AV452" s="1"/>
      <c r="AW452" s="1"/>
      <c r="AX452" s="1" t="s">
        <v>2179</v>
      </c>
      <c r="AY452" s="1" t="s">
        <v>8748</v>
      </c>
      <c r="AZ452" s="1" t="s">
        <v>1043</v>
      </c>
      <c r="BA452" s="1" t="s">
        <v>5282</v>
      </c>
      <c r="BB452" s="1">
        <v>69</v>
      </c>
      <c r="BC452" s="1">
        <v>6.9</v>
      </c>
      <c r="BD452" s="1"/>
      <c r="BE452" s="1"/>
      <c r="BF452" s="1"/>
      <c r="BG452" s="1"/>
      <c r="BH452" s="1"/>
      <c r="BI452" s="1"/>
      <c r="BJ452" s="1" t="s">
        <v>8749</v>
      </c>
      <c r="BK452" s="1"/>
      <c r="BL452" s="1"/>
      <c r="BM452" s="1" t="s">
        <v>8750</v>
      </c>
      <c r="BN452" s="1">
        <v>52</v>
      </c>
      <c r="BO452" s="1" t="s">
        <v>8751</v>
      </c>
      <c r="BP452" s="1" t="str">
        <f>HYPERLINK("https://nconnect.nicmar.ac.in/storage/profile/ProfilePhoto_P25700451_316894.jpg","Download")</f>
        <v>0</v>
      </c>
      <c r="BQ452" s="3"/>
      <c r="BR452" s="3"/>
    </row>
    <row r="453" spans="1:70">
      <c r="A453" s="1" t="s">
        <v>70</v>
      </c>
      <c r="B453" s="1" t="s">
        <v>441</v>
      </c>
      <c r="C453" s="1" t="s">
        <v>8752</v>
      </c>
      <c r="D453" s="1" t="s">
        <v>2241</v>
      </c>
      <c r="E453" s="1"/>
      <c r="F453" s="1" t="s">
        <v>8753</v>
      </c>
      <c r="G453" s="1" t="s">
        <v>8754</v>
      </c>
      <c r="H453" s="1" t="s">
        <v>8755</v>
      </c>
      <c r="I453" s="1" t="s">
        <v>8756</v>
      </c>
      <c r="J453" s="1">
        <v>9526915241</v>
      </c>
      <c r="K453" s="1" t="s">
        <v>79</v>
      </c>
      <c r="L453" s="1" t="s">
        <v>3410</v>
      </c>
      <c r="M453" s="1" t="s">
        <v>81</v>
      </c>
      <c r="N453" s="1" t="s">
        <v>8757</v>
      </c>
      <c r="O453" s="1"/>
      <c r="P453" s="1" t="s">
        <v>472</v>
      </c>
      <c r="Q453" s="1" t="s">
        <v>8758</v>
      </c>
      <c r="R453" s="1" t="s">
        <v>8759</v>
      </c>
      <c r="S453" s="1">
        <v>9446104143</v>
      </c>
      <c r="T453" s="1" t="s">
        <v>8760</v>
      </c>
      <c r="U453" s="1" t="s">
        <v>8761</v>
      </c>
      <c r="V453" s="1">
        <v>9446317836</v>
      </c>
      <c r="W453" s="1" t="s">
        <v>8762</v>
      </c>
      <c r="X453" s="1" t="s">
        <v>8763</v>
      </c>
      <c r="Y453" s="1" t="s">
        <v>191</v>
      </c>
      <c r="Z453" s="1" t="s">
        <v>92</v>
      </c>
      <c r="AA453" s="1" t="s">
        <v>8764</v>
      </c>
      <c r="AB453" s="1" t="s">
        <v>686</v>
      </c>
      <c r="AC453" s="1" t="s">
        <v>125</v>
      </c>
      <c r="AD453" s="1">
        <v>7.28</v>
      </c>
      <c r="AE453" s="1" t="s">
        <v>93</v>
      </c>
      <c r="AF453" s="1" t="s">
        <v>8765</v>
      </c>
      <c r="AG453" s="1" t="s">
        <v>8766</v>
      </c>
      <c r="AH453" s="1" t="s">
        <v>96</v>
      </c>
      <c r="AI453" s="1" t="s">
        <v>97</v>
      </c>
      <c r="AJ453" s="1">
        <v>70.3</v>
      </c>
      <c r="AK453" s="1">
        <v>7.4</v>
      </c>
      <c r="AL453" s="1" t="s">
        <v>687</v>
      </c>
      <c r="AM453" s="1" t="s">
        <v>8766</v>
      </c>
      <c r="AN453" s="1" t="s">
        <v>162</v>
      </c>
      <c r="AO453" s="1" t="s">
        <v>195</v>
      </c>
      <c r="AP453" s="1">
        <v>68</v>
      </c>
      <c r="AQ453" s="1">
        <v>6.8</v>
      </c>
      <c r="AR453" s="1"/>
      <c r="AS453" s="1"/>
      <c r="AT453" s="1"/>
      <c r="AU453" s="1"/>
      <c r="AV453" s="1"/>
      <c r="AW453" s="1"/>
      <c r="AX453" s="1" t="s">
        <v>2625</v>
      </c>
      <c r="AY453" s="1" t="s">
        <v>6167</v>
      </c>
      <c r="AZ453" s="1" t="s">
        <v>101</v>
      </c>
      <c r="BA453" s="1" t="s">
        <v>619</v>
      </c>
      <c r="BB453" s="1">
        <v>71</v>
      </c>
      <c r="BC453" s="1">
        <v>7.1</v>
      </c>
      <c r="BD453" s="1"/>
      <c r="BE453" s="1"/>
      <c r="BF453" s="1"/>
      <c r="BG453" s="1"/>
      <c r="BH453" s="1"/>
      <c r="BI453" s="1"/>
      <c r="BJ453" s="1" t="s">
        <v>8767</v>
      </c>
      <c r="BK453" s="1" t="s">
        <v>8768</v>
      </c>
      <c r="BL453" s="1" t="s">
        <v>762</v>
      </c>
      <c r="BM453" s="1" t="s">
        <v>8769</v>
      </c>
      <c r="BN453" s="1">
        <v>8</v>
      </c>
      <c r="BO453" s="1"/>
      <c r="BP453" s="1" t="str">
        <f>HYPERLINK("https://nconnect.nicmar.ac.in/storage/profile/ProfilePhoto_P25700452_132786.jpg","Download")</f>
        <v>0</v>
      </c>
      <c r="BQ453" s="3"/>
      <c r="BR453" s="3"/>
    </row>
    <row r="454" spans="1:70">
      <c r="A454" s="1" t="s">
        <v>70</v>
      </c>
      <c r="B454" s="1" t="s">
        <v>441</v>
      </c>
      <c r="C454" s="1" t="s">
        <v>8770</v>
      </c>
      <c r="D454" s="1" t="s">
        <v>2591</v>
      </c>
      <c r="E454" s="1" t="s">
        <v>8771</v>
      </c>
      <c r="F454" s="1" t="s">
        <v>8772</v>
      </c>
      <c r="G454" s="1" t="s">
        <v>8773</v>
      </c>
      <c r="H454" s="1" t="s">
        <v>8774</v>
      </c>
      <c r="I454" s="1" t="s">
        <v>8775</v>
      </c>
      <c r="J454" s="1">
        <v>9370776955</v>
      </c>
      <c r="K454" s="1" t="s">
        <v>79</v>
      </c>
      <c r="L454" s="1" t="s">
        <v>8776</v>
      </c>
      <c r="M454" s="1" t="s">
        <v>81</v>
      </c>
      <c r="N454" s="1" t="s">
        <v>1448</v>
      </c>
      <c r="O454" s="1"/>
      <c r="P454" s="1" t="s">
        <v>450</v>
      </c>
      <c r="Q454" s="1" t="s">
        <v>8777</v>
      </c>
      <c r="R454" s="1" t="s">
        <v>8778</v>
      </c>
      <c r="S454" s="1">
        <v>9422137293</v>
      </c>
      <c r="T454" s="1" t="s">
        <v>154</v>
      </c>
      <c r="U454" s="1" t="s">
        <v>8779</v>
      </c>
      <c r="V454" s="1">
        <v>8390902629</v>
      </c>
      <c r="W454" s="1" t="s">
        <v>89</v>
      </c>
      <c r="X454" s="1" t="s">
        <v>8780</v>
      </c>
      <c r="Y454" s="1" t="s">
        <v>611</v>
      </c>
      <c r="Z454" s="1" t="s">
        <v>92</v>
      </c>
      <c r="AA454" s="1" t="s">
        <v>8780</v>
      </c>
      <c r="AB454" s="1" t="s">
        <v>611</v>
      </c>
      <c r="AC454" s="1" t="s">
        <v>92</v>
      </c>
      <c r="AD454" s="1">
        <v>8.58</v>
      </c>
      <c r="AE454" s="1" t="s">
        <v>93</v>
      </c>
      <c r="AF454" s="1" t="s">
        <v>8781</v>
      </c>
      <c r="AG454" s="1" t="s">
        <v>8782</v>
      </c>
      <c r="AH454" s="1" t="s">
        <v>1088</v>
      </c>
      <c r="AI454" s="1" t="s">
        <v>1089</v>
      </c>
      <c r="AJ454" s="1">
        <v>81.7</v>
      </c>
      <c r="AK454" s="1">
        <v>8.6</v>
      </c>
      <c r="AL454" s="1" t="s">
        <v>8783</v>
      </c>
      <c r="AM454" s="1" t="s">
        <v>8784</v>
      </c>
      <c r="AN454" s="1" t="s">
        <v>165</v>
      </c>
      <c r="AO454" s="1" t="s">
        <v>281</v>
      </c>
      <c r="AP454" s="1">
        <v>61.54</v>
      </c>
      <c r="AQ454" s="1"/>
      <c r="AR454" s="1"/>
      <c r="AS454" s="1"/>
      <c r="AT454" s="1"/>
      <c r="AU454" s="1"/>
      <c r="AV454" s="1"/>
      <c r="AW454" s="1"/>
      <c r="AX454" s="1" t="s">
        <v>410</v>
      </c>
      <c r="AY454" s="1" t="s">
        <v>8785</v>
      </c>
      <c r="AZ454" s="1" t="s">
        <v>1043</v>
      </c>
      <c r="BA454" s="1" t="s">
        <v>105</v>
      </c>
      <c r="BB454" s="1">
        <v>80.3</v>
      </c>
      <c r="BC454" s="1">
        <v>8.78</v>
      </c>
      <c r="BD454" s="1"/>
      <c r="BE454" s="1"/>
      <c r="BF454" s="1"/>
      <c r="BG454" s="1"/>
      <c r="BH454" s="1"/>
      <c r="BI454" s="1"/>
      <c r="BJ454" s="1" t="s">
        <v>8786</v>
      </c>
      <c r="BK454" s="1" t="s">
        <v>8787</v>
      </c>
      <c r="BL454" s="1" t="s">
        <v>1540</v>
      </c>
      <c r="BM454" s="1" t="s">
        <v>8788</v>
      </c>
      <c r="BN454" s="1">
        <v>13</v>
      </c>
      <c r="BO454" s="1" t="s">
        <v>8789</v>
      </c>
      <c r="BP454" s="1" t="str">
        <f>HYPERLINK("https://nconnect.nicmar.ac.in/storage/profile/ProfilePhoto_P25700453_982314.jpg","Download")</f>
        <v>0</v>
      </c>
      <c r="BQ454" s="3"/>
      <c r="BR454" s="3"/>
    </row>
    <row r="455" spans="1:70">
      <c r="A455" s="1" t="s">
        <v>70</v>
      </c>
      <c r="B455" s="1" t="s">
        <v>441</v>
      </c>
      <c r="C455" s="1" t="s">
        <v>8790</v>
      </c>
      <c r="D455" s="1" t="s">
        <v>8791</v>
      </c>
      <c r="E455" s="1"/>
      <c r="F455" s="1" t="s">
        <v>8792</v>
      </c>
      <c r="G455" s="1" t="s">
        <v>8793</v>
      </c>
      <c r="H455" s="1" t="s">
        <v>8794</v>
      </c>
      <c r="I455" s="1" t="s">
        <v>8795</v>
      </c>
      <c r="J455" s="1">
        <v>8610181085</v>
      </c>
      <c r="K455" s="1" t="s">
        <v>79</v>
      </c>
      <c r="L455" s="1" t="s">
        <v>8796</v>
      </c>
      <c r="M455" s="1" t="s">
        <v>81</v>
      </c>
      <c r="N455" s="1" t="s">
        <v>8797</v>
      </c>
      <c r="O455" s="1"/>
      <c r="P455" s="1" t="s">
        <v>450</v>
      </c>
      <c r="Q455" s="1" t="s">
        <v>8798</v>
      </c>
      <c r="R455" s="1" t="s">
        <v>8799</v>
      </c>
      <c r="S455" s="1">
        <v>8940067277</v>
      </c>
      <c r="T455" s="1" t="s">
        <v>8800</v>
      </c>
      <c r="U455" s="1" t="s">
        <v>8801</v>
      </c>
      <c r="V455" s="1">
        <v>9655697277</v>
      </c>
      <c r="W455" s="1" t="s">
        <v>273</v>
      </c>
      <c r="X455" s="1" t="s">
        <v>8802</v>
      </c>
      <c r="Y455" s="1" t="s">
        <v>8803</v>
      </c>
      <c r="Z455" s="1" t="s">
        <v>559</v>
      </c>
      <c r="AA455" s="1" t="s">
        <v>8802</v>
      </c>
      <c r="AB455" s="1" t="s">
        <v>8803</v>
      </c>
      <c r="AC455" s="1" t="s">
        <v>559</v>
      </c>
      <c r="AD455" s="1">
        <v>8.39</v>
      </c>
      <c r="AE455" s="1" t="s">
        <v>93</v>
      </c>
      <c r="AF455" s="1" t="s">
        <v>8804</v>
      </c>
      <c r="AG455" s="1" t="s">
        <v>8805</v>
      </c>
      <c r="AH455" s="1" t="s">
        <v>101</v>
      </c>
      <c r="AI455" s="1" t="s">
        <v>308</v>
      </c>
      <c r="AJ455" s="1">
        <v>93.4</v>
      </c>
      <c r="AK455" s="1"/>
      <c r="AL455" s="1" t="s">
        <v>8804</v>
      </c>
      <c r="AM455" s="1" t="s">
        <v>8805</v>
      </c>
      <c r="AN455" s="1" t="s">
        <v>460</v>
      </c>
      <c r="AO455" s="1" t="s">
        <v>539</v>
      </c>
      <c r="AP455" s="1">
        <v>96.2</v>
      </c>
      <c r="AQ455" s="1"/>
      <c r="AR455" s="1"/>
      <c r="AS455" s="1"/>
      <c r="AT455" s="1"/>
      <c r="AU455" s="1"/>
      <c r="AV455" s="1"/>
      <c r="AW455" s="1"/>
      <c r="AX455" s="1" t="s">
        <v>564</v>
      </c>
      <c r="AY455" s="1" t="s">
        <v>8806</v>
      </c>
      <c r="AZ455" s="1" t="s">
        <v>436</v>
      </c>
      <c r="BA455" s="1" t="s">
        <v>543</v>
      </c>
      <c r="BB455" s="1">
        <v>74.9</v>
      </c>
      <c r="BC455" s="1">
        <v>7.49</v>
      </c>
      <c r="BD455" s="1"/>
      <c r="BE455" s="1"/>
      <c r="BF455" s="1"/>
      <c r="BG455" s="1"/>
      <c r="BH455" s="1"/>
      <c r="BI455" s="1"/>
      <c r="BJ455" s="1" t="s">
        <v>8807</v>
      </c>
      <c r="BK455" s="1"/>
      <c r="BL455" s="1"/>
      <c r="BM455" s="1" t="s">
        <v>8808</v>
      </c>
      <c r="BN455" s="1">
        <v>13</v>
      </c>
      <c r="BO455" s="1"/>
      <c r="BP455" s="1" t="str">
        <f>HYPERLINK("https://nconnect.nicmar.ac.in/storage/profile/ProfilePhoto_P25700454_245369.jpg","Download")</f>
        <v>0</v>
      </c>
      <c r="BQ455" s="3"/>
      <c r="BR455" s="3"/>
    </row>
    <row r="456" spans="1:70">
      <c r="A456" s="1" t="s">
        <v>70</v>
      </c>
      <c r="B456" s="1" t="s">
        <v>441</v>
      </c>
      <c r="C456" s="1" t="s">
        <v>8809</v>
      </c>
      <c r="D456" s="1" t="s">
        <v>343</v>
      </c>
      <c r="E456" s="1" t="s">
        <v>6902</v>
      </c>
      <c r="F456" s="1" t="s">
        <v>4403</v>
      </c>
      <c r="G456" s="1" t="s">
        <v>8810</v>
      </c>
      <c r="H456" s="1" t="s">
        <v>8811</v>
      </c>
      <c r="I456" s="1" t="s">
        <v>8812</v>
      </c>
      <c r="J456" s="1">
        <v>9423785516</v>
      </c>
      <c r="K456" s="1" t="s">
        <v>79</v>
      </c>
      <c r="L456" s="1" t="s">
        <v>8813</v>
      </c>
      <c r="M456" s="1" t="s">
        <v>81</v>
      </c>
      <c r="N456" s="1" t="s">
        <v>751</v>
      </c>
      <c r="O456" s="1"/>
      <c r="P456" s="1" t="s">
        <v>450</v>
      </c>
      <c r="Q456" s="1" t="s">
        <v>8814</v>
      </c>
      <c r="R456" s="1" t="s">
        <v>6902</v>
      </c>
      <c r="S456" s="1">
        <v>9423530082</v>
      </c>
      <c r="T456" s="1" t="s">
        <v>120</v>
      </c>
      <c r="U456" s="1" t="s">
        <v>2250</v>
      </c>
      <c r="V456" s="1">
        <v>9423530082</v>
      </c>
      <c r="W456" s="1" t="s">
        <v>156</v>
      </c>
      <c r="X456" s="1" t="s">
        <v>8815</v>
      </c>
      <c r="Y456" s="1" t="s">
        <v>191</v>
      </c>
      <c r="Z456" s="1" t="s">
        <v>92</v>
      </c>
      <c r="AA456" s="1" t="s">
        <v>8816</v>
      </c>
      <c r="AB456" s="1" t="s">
        <v>1754</v>
      </c>
      <c r="AC456" s="1" t="s">
        <v>92</v>
      </c>
      <c r="AD456" s="1">
        <v>8.61</v>
      </c>
      <c r="AE456" s="1" t="s">
        <v>93</v>
      </c>
      <c r="AF456" s="1" t="s">
        <v>8817</v>
      </c>
      <c r="AG456" s="1" t="s">
        <v>160</v>
      </c>
      <c r="AH456" s="1" t="s">
        <v>128</v>
      </c>
      <c r="AI456" s="1" t="s">
        <v>1190</v>
      </c>
      <c r="AJ456" s="1">
        <v>85.09</v>
      </c>
      <c r="AK456" s="1"/>
      <c r="AL456" s="1" t="s">
        <v>8818</v>
      </c>
      <c r="AM456" s="1" t="s">
        <v>160</v>
      </c>
      <c r="AN456" s="1" t="s">
        <v>1559</v>
      </c>
      <c r="AO456" s="1" t="s">
        <v>131</v>
      </c>
      <c r="AP456" s="1">
        <v>62.15</v>
      </c>
      <c r="AQ456" s="1"/>
      <c r="AR456" s="1"/>
      <c r="AS456" s="1"/>
      <c r="AT456" s="1"/>
      <c r="AU456" s="1"/>
      <c r="AV456" s="1"/>
      <c r="AW456" s="1"/>
      <c r="AX456" s="1" t="s">
        <v>361</v>
      </c>
      <c r="AY456" s="1" t="s">
        <v>8819</v>
      </c>
      <c r="AZ456" s="1" t="s">
        <v>337</v>
      </c>
      <c r="BA456" s="1" t="s">
        <v>170</v>
      </c>
      <c r="BB456" s="1">
        <v>64.76</v>
      </c>
      <c r="BC456" s="1">
        <v>7.36</v>
      </c>
      <c r="BD456" s="1"/>
      <c r="BE456" s="1"/>
      <c r="BF456" s="1"/>
      <c r="BG456" s="1"/>
      <c r="BH456" s="1"/>
      <c r="BI456" s="1"/>
      <c r="BJ456" s="1" t="s">
        <v>8820</v>
      </c>
      <c r="BK456" s="1" t="s">
        <v>8821</v>
      </c>
      <c r="BL456" s="1" t="s">
        <v>4948</v>
      </c>
      <c r="BM456" s="1" t="s">
        <v>8822</v>
      </c>
      <c r="BN456" s="1">
        <v>8</v>
      </c>
      <c r="BO456" s="1" t="s">
        <v>8823</v>
      </c>
      <c r="BP456" s="1" t="str">
        <f>HYPERLINK("https://nconnect.nicmar.ac.in/storage/profile/ProfilePhoto_P25700455_781534.jpg","Download")</f>
        <v>0</v>
      </c>
      <c r="BQ456" s="3"/>
      <c r="BR456" s="3"/>
    </row>
    <row r="457" spans="1:70">
      <c r="A457" s="1" t="s">
        <v>70</v>
      </c>
      <c r="B457" s="1" t="s">
        <v>441</v>
      </c>
      <c r="C457" s="1" t="s">
        <v>8824</v>
      </c>
      <c r="D457" s="1" t="s">
        <v>8825</v>
      </c>
      <c r="E457" s="1" t="s">
        <v>1000</v>
      </c>
      <c r="F457" s="1" t="s">
        <v>8826</v>
      </c>
      <c r="G457" s="1" t="s">
        <v>8827</v>
      </c>
      <c r="H457" s="1" t="s">
        <v>8828</v>
      </c>
      <c r="I457" s="1" t="s">
        <v>8829</v>
      </c>
      <c r="J457" s="1">
        <v>9284555590</v>
      </c>
      <c r="K457" s="1" t="s">
        <v>79</v>
      </c>
      <c r="L457" s="1" t="s">
        <v>8830</v>
      </c>
      <c r="M457" s="1" t="s">
        <v>81</v>
      </c>
      <c r="N457" s="1" t="s">
        <v>8831</v>
      </c>
      <c r="O457" s="1"/>
      <c r="P457" s="1" t="s">
        <v>450</v>
      </c>
      <c r="Q457" s="1" t="s">
        <v>8832</v>
      </c>
      <c r="R457" s="1" t="s">
        <v>8833</v>
      </c>
      <c r="S457" s="1">
        <v>7020000124</v>
      </c>
      <c r="T457" s="1" t="s">
        <v>820</v>
      </c>
      <c r="U457" s="1" t="s">
        <v>8834</v>
      </c>
      <c r="V457" s="1">
        <v>9422374434</v>
      </c>
      <c r="W457" s="1" t="s">
        <v>1938</v>
      </c>
      <c r="X457" s="1" t="s">
        <v>8835</v>
      </c>
      <c r="Y457" s="1" t="s">
        <v>5663</v>
      </c>
      <c r="Z457" s="1" t="s">
        <v>92</v>
      </c>
      <c r="AA457" s="1" t="s">
        <v>8836</v>
      </c>
      <c r="AB457" s="1" t="s">
        <v>5663</v>
      </c>
      <c r="AC457" s="1" t="s">
        <v>92</v>
      </c>
      <c r="AD457" s="1">
        <v>8.28</v>
      </c>
      <c r="AE457" s="1" t="s">
        <v>93</v>
      </c>
      <c r="AF457" s="1" t="s">
        <v>8837</v>
      </c>
      <c r="AG457" s="1" t="s">
        <v>8838</v>
      </c>
      <c r="AH457" s="1" t="s">
        <v>1190</v>
      </c>
      <c r="AI457" s="1" t="s">
        <v>505</v>
      </c>
      <c r="AJ457" s="1">
        <v>65.2</v>
      </c>
      <c r="AK457" s="1"/>
      <c r="AL457" s="1" t="s">
        <v>8839</v>
      </c>
      <c r="AM457" s="1" t="s">
        <v>8838</v>
      </c>
      <c r="AN457" s="1" t="s">
        <v>97</v>
      </c>
      <c r="AO457" s="1" t="s">
        <v>507</v>
      </c>
      <c r="AP457" s="1">
        <v>55.85</v>
      </c>
      <c r="AQ457" s="1"/>
      <c r="AR457" s="1" t="s">
        <v>98</v>
      </c>
      <c r="AS457" s="1" t="s">
        <v>8840</v>
      </c>
      <c r="AT457" s="1" t="s">
        <v>165</v>
      </c>
      <c r="AU457" s="1" t="s">
        <v>433</v>
      </c>
      <c r="AV457" s="1">
        <v>69.82</v>
      </c>
      <c r="AW457" s="1"/>
      <c r="AX457" s="1" t="s">
        <v>102</v>
      </c>
      <c r="AY457" s="1" t="s">
        <v>8841</v>
      </c>
      <c r="AZ457" s="1" t="s">
        <v>433</v>
      </c>
      <c r="BA457" s="1" t="s">
        <v>105</v>
      </c>
      <c r="BB457" s="1">
        <v>82.6</v>
      </c>
      <c r="BC457" s="1">
        <v>8.76</v>
      </c>
      <c r="BD457" s="1"/>
      <c r="BE457" s="1"/>
      <c r="BF457" s="1"/>
      <c r="BG457" s="1"/>
      <c r="BH457" s="1"/>
      <c r="BI457" s="1"/>
      <c r="BJ457" s="1" t="s">
        <v>567</v>
      </c>
      <c r="BK457" s="1" t="s">
        <v>8842</v>
      </c>
      <c r="BL457" s="1" t="s">
        <v>8843</v>
      </c>
      <c r="BM457" s="1" t="s">
        <v>8844</v>
      </c>
      <c r="BN457" s="1">
        <v>34</v>
      </c>
      <c r="BO457" s="1" t="s">
        <v>8845</v>
      </c>
      <c r="BP457" s="1" t="str">
        <f>HYPERLINK("https://nconnect.nicmar.ac.in/storage/profile/ProfilePhoto_P25700456_195823.jpg","Download")</f>
        <v>0</v>
      </c>
      <c r="BQ457" s="3"/>
      <c r="BR457" s="3"/>
    </row>
    <row r="458" spans="1:70">
      <c r="A458" s="1" t="s">
        <v>70</v>
      </c>
      <c r="B458" s="1" t="s">
        <v>441</v>
      </c>
      <c r="C458" s="1" t="s">
        <v>8846</v>
      </c>
      <c r="D458" s="1" t="s">
        <v>8847</v>
      </c>
      <c r="E458" s="1"/>
      <c r="F458" s="1" t="s">
        <v>8848</v>
      </c>
      <c r="G458" s="1" t="s">
        <v>8849</v>
      </c>
      <c r="H458" s="1" t="s">
        <v>8850</v>
      </c>
      <c r="I458" s="1" t="s">
        <v>8851</v>
      </c>
      <c r="J458" s="1">
        <v>6374242665</v>
      </c>
      <c r="K458" s="1" t="s">
        <v>148</v>
      </c>
      <c r="L458" s="1" t="s">
        <v>8852</v>
      </c>
      <c r="M458" s="1" t="s">
        <v>81</v>
      </c>
      <c r="N458" s="1" t="s">
        <v>8853</v>
      </c>
      <c r="O458" s="1"/>
      <c r="P458" s="1" t="s">
        <v>450</v>
      </c>
      <c r="Q458" s="1" t="s">
        <v>8854</v>
      </c>
      <c r="R458" s="1" t="s">
        <v>8855</v>
      </c>
      <c r="S458" s="1">
        <v>9865834887</v>
      </c>
      <c r="T458" s="1" t="s">
        <v>8856</v>
      </c>
      <c r="U458" s="1" t="s">
        <v>8857</v>
      </c>
      <c r="V458" s="1">
        <v>9865873484</v>
      </c>
      <c r="W458" s="1" t="s">
        <v>122</v>
      </c>
      <c r="X458" s="1" t="s">
        <v>8858</v>
      </c>
      <c r="Y458" s="1" t="s">
        <v>8859</v>
      </c>
      <c r="Z458" s="1" t="s">
        <v>559</v>
      </c>
      <c r="AA458" s="1" t="s">
        <v>8858</v>
      </c>
      <c r="AB458" s="1" t="s">
        <v>8859</v>
      </c>
      <c r="AC458" s="1" t="s">
        <v>559</v>
      </c>
      <c r="AD458" s="1">
        <v>8.46</v>
      </c>
      <c r="AE458" s="1" t="s">
        <v>93</v>
      </c>
      <c r="AF458" s="1" t="s">
        <v>8860</v>
      </c>
      <c r="AG458" s="1" t="s">
        <v>8861</v>
      </c>
      <c r="AH458" s="1" t="s">
        <v>101</v>
      </c>
      <c r="AI458" s="1" t="s">
        <v>537</v>
      </c>
      <c r="AJ458" s="1">
        <v>86.8</v>
      </c>
      <c r="AK458" s="1"/>
      <c r="AL458" s="1" t="s">
        <v>8860</v>
      </c>
      <c r="AM458" s="1" t="s">
        <v>8861</v>
      </c>
      <c r="AN458" s="1" t="s">
        <v>460</v>
      </c>
      <c r="AO458" s="1" t="s">
        <v>539</v>
      </c>
      <c r="AP458" s="1">
        <v>87.75</v>
      </c>
      <c r="AQ458" s="1"/>
      <c r="AR458" s="1"/>
      <c r="AS458" s="1"/>
      <c r="AT458" s="1"/>
      <c r="AU458" s="1"/>
      <c r="AV458" s="1"/>
      <c r="AW458" s="1"/>
      <c r="AX458" s="1" t="s">
        <v>7275</v>
      </c>
      <c r="AY458" s="1" t="s">
        <v>7275</v>
      </c>
      <c r="AZ458" s="1" t="s">
        <v>542</v>
      </c>
      <c r="BA458" s="1" t="s">
        <v>543</v>
      </c>
      <c r="BB458" s="1">
        <v>75.4</v>
      </c>
      <c r="BC458" s="1">
        <v>7.54</v>
      </c>
      <c r="BD458" s="1"/>
      <c r="BE458" s="1"/>
      <c r="BF458" s="1"/>
      <c r="BG458" s="1"/>
      <c r="BH458" s="1"/>
      <c r="BI458" s="1"/>
      <c r="BJ458" s="1" t="s">
        <v>8862</v>
      </c>
      <c r="BK458" s="1"/>
      <c r="BL458" s="1"/>
      <c r="BM458" s="1" t="s">
        <v>8863</v>
      </c>
      <c r="BN458" s="1">
        <v>7</v>
      </c>
      <c r="BO458" s="1" t="s">
        <v>8864</v>
      </c>
      <c r="BP458" s="1" t="str">
        <f>HYPERLINK("https://nconnect.nicmar.ac.in/storage/profile/ProfilePhoto_P25700457_793145.jpg","Download")</f>
        <v>0</v>
      </c>
      <c r="BQ458" s="3"/>
      <c r="BR458" s="3"/>
    </row>
    <row r="459" spans="1:70">
      <c r="A459" s="1" t="s">
        <v>70</v>
      </c>
      <c r="B459" s="1" t="s">
        <v>441</v>
      </c>
      <c r="C459" s="1" t="s">
        <v>8865</v>
      </c>
      <c r="D459" s="1" t="s">
        <v>1298</v>
      </c>
      <c r="E459" s="1"/>
      <c r="F459" s="1" t="s">
        <v>8866</v>
      </c>
      <c r="G459" s="1" t="s">
        <v>8867</v>
      </c>
      <c r="H459" s="1" t="s">
        <v>8868</v>
      </c>
      <c r="I459" s="1" t="s">
        <v>8869</v>
      </c>
      <c r="J459" s="1">
        <v>9682500421</v>
      </c>
      <c r="K459" s="1" t="s">
        <v>79</v>
      </c>
      <c r="L459" s="1" t="s">
        <v>8870</v>
      </c>
      <c r="M459" s="1" t="s">
        <v>81</v>
      </c>
      <c r="N459" s="1" t="s">
        <v>7438</v>
      </c>
      <c r="O459" s="1"/>
      <c r="P459" s="1" t="s">
        <v>472</v>
      </c>
      <c r="Q459" s="1" t="s">
        <v>8871</v>
      </c>
      <c r="R459" s="1" t="s">
        <v>8872</v>
      </c>
      <c r="S459" s="1">
        <v>9469141363</v>
      </c>
      <c r="T459" s="1" t="s">
        <v>8873</v>
      </c>
      <c r="U459" s="1" t="s">
        <v>8874</v>
      </c>
      <c r="V459" s="1">
        <v>9086596964</v>
      </c>
      <c r="W459" s="1" t="s">
        <v>156</v>
      </c>
      <c r="X459" s="1" t="s">
        <v>8875</v>
      </c>
      <c r="Y459" s="1" t="s">
        <v>8876</v>
      </c>
      <c r="Z459" s="1" t="s">
        <v>8877</v>
      </c>
      <c r="AA459" s="1" t="s">
        <v>8875</v>
      </c>
      <c r="AB459" s="1" t="s">
        <v>8876</v>
      </c>
      <c r="AC459" s="1" t="s">
        <v>8877</v>
      </c>
      <c r="AD459" s="1">
        <v>8.43</v>
      </c>
      <c r="AE459" s="1" t="s">
        <v>93</v>
      </c>
      <c r="AF459" s="1" t="s">
        <v>8878</v>
      </c>
      <c r="AG459" s="1" t="s">
        <v>777</v>
      </c>
      <c r="AH459" s="1" t="s">
        <v>689</v>
      </c>
      <c r="AI459" s="1" t="s">
        <v>166</v>
      </c>
      <c r="AJ459" s="1">
        <v>82</v>
      </c>
      <c r="AK459" s="1"/>
      <c r="AL459" s="1" t="s">
        <v>8878</v>
      </c>
      <c r="AM459" s="1" t="s">
        <v>777</v>
      </c>
      <c r="AN459" s="1" t="s">
        <v>537</v>
      </c>
      <c r="AO459" s="1" t="s">
        <v>173</v>
      </c>
      <c r="AP459" s="1">
        <v>79.2</v>
      </c>
      <c r="AQ459" s="1"/>
      <c r="AR459" s="1"/>
      <c r="AS459" s="1"/>
      <c r="AT459" s="1"/>
      <c r="AU459" s="1"/>
      <c r="AV459" s="1"/>
      <c r="AW459" s="1"/>
      <c r="AX459" s="1" t="s">
        <v>8879</v>
      </c>
      <c r="AY459" s="1" t="s">
        <v>8880</v>
      </c>
      <c r="AZ459" s="1" t="s">
        <v>1019</v>
      </c>
      <c r="BA459" s="1" t="s">
        <v>1219</v>
      </c>
      <c r="BB459" s="1">
        <v>70.76</v>
      </c>
      <c r="BC459" s="1">
        <v>7.45</v>
      </c>
      <c r="BD459" s="1"/>
      <c r="BE459" s="1"/>
      <c r="BF459" s="1"/>
      <c r="BG459" s="1"/>
      <c r="BH459" s="1"/>
      <c r="BI459" s="1"/>
      <c r="BJ459" s="1" t="s">
        <v>8881</v>
      </c>
      <c r="BK459" s="1"/>
      <c r="BL459" s="1"/>
      <c r="BM459" s="1" t="s">
        <v>8882</v>
      </c>
      <c r="BN459" s="1">
        <v>34</v>
      </c>
      <c r="BO459" s="1" t="s">
        <v>8883</v>
      </c>
      <c r="BP459" s="1" t="str">
        <f>HYPERLINK("https://nconnect.nicmar.ac.in/storage/profile/ProfilePhoto_P25700458_218963.jpg","Download")</f>
        <v>0</v>
      </c>
      <c r="BQ459" s="3"/>
      <c r="BR459" s="3"/>
    </row>
    <row r="460" spans="1:70">
      <c r="A460" s="1" t="s">
        <v>70</v>
      </c>
      <c r="B460" s="1" t="s">
        <v>441</v>
      </c>
      <c r="C460" s="1" t="s">
        <v>8884</v>
      </c>
      <c r="D460" s="1" t="s">
        <v>8885</v>
      </c>
      <c r="E460" s="1" t="s">
        <v>1644</v>
      </c>
      <c r="F460" s="1" t="s">
        <v>1156</v>
      </c>
      <c r="G460" s="1" t="s">
        <v>8886</v>
      </c>
      <c r="H460" s="1" t="s">
        <v>8887</v>
      </c>
      <c r="I460" s="1" t="s">
        <v>8888</v>
      </c>
      <c r="J460" s="1">
        <v>7776833773</v>
      </c>
      <c r="K460" s="1" t="s">
        <v>79</v>
      </c>
      <c r="L460" s="1" t="s">
        <v>8889</v>
      </c>
      <c r="M460" s="1" t="s">
        <v>81</v>
      </c>
      <c r="N460" s="1" t="s">
        <v>605</v>
      </c>
      <c r="O460" s="1"/>
      <c r="P460" s="1" t="s">
        <v>472</v>
      </c>
      <c r="Q460" s="1" t="s">
        <v>8890</v>
      </c>
      <c r="R460" s="1" t="s">
        <v>1644</v>
      </c>
      <c r="S460" s="1">
        <v>7620077100</v>
      </c>
      <c r="T460" s="1" t="s">
        <v>820</v>
      </c>
      <c r="U460" s="1" t="s">
        <v>8891</v>
      </c>
      <c r="V460" s="1">
        <v>7776833773</v>
      </c>
      <c r="W460" s="1" t="s">
        <v>2539</v>
      </c>
      <c r="X460" s="1" t="s">
        <v>8892</v>
      </c>
      <c r="Y460" s="1" t="s">
        <v>304</v>
      </c>
      <c r="Z460" s="1" t="s">
        <v>92</v>
      </c>
      <c r="AA460" s="1" t="s">
        <v>8892</v>
      </c>
      <c r="AB460" s="1" t="s">
        <v>304</v>
      </c>
      <c r="AC460" s="1" t="s">
        <v>92</v>
      </c>
      <c r="AD460" s="1">
        <v>9.02</v>
      </c>
      <c r="AE460" s="1" t="s">
        <v>93</v>
      </c>
      <c r="AF460" s="1" t="s">
        <v>8893</v>
      </c>
      <c r="AG460" s="1" t="s">
        <v>8894</v>
      </c>
      <c r="AH460" s="1" t="s">
        <v>162</v>
      </c>
      <c r="AI460" s="1" t="s">
        <v>689</v>
      </c>
      <c r="AJ460" s="1">
        <v>93.2</v>
      </c>
      <c r="AK460" s="1"/>
      <c r="AL460" s="1" t="s">
        <v>8895</v>
      </c>
      <c r="AM460" s="1" t="s">
        <v>8896</v>
      </c>
      <c r="AN460" s="1" t="s">
        <v>101</v>
      </c>
      <c r="AO460" s="1" t="s">
        <v>537</v>
      </c>
      <c r="AP460" s="1">
        <v>76.77</v>
      </c>
      <c r="AQ460" s="1"/>
      <c r="AR460" s="1"/>
      <c r="AS460" s="1"/>
      <c r="AT460" s="1"/>
      <c r="AU460" s="1"/>
      <c r="AV460" s="1"/>
      <c r="AW460" s="1"/>
      <c r="AX460" s="1" t="s">
        <v>361</v>
      </c>
      <c r="AY460" s="1" t="s">
        <v>8897</v>
      </c>
      <c r="AZ460" s="1" t="s">
        <v>310</v>
      </c>
      <c r="BA460" s="1" t="s">
        <v>229</v>
      </c>
      <c r="BB460" s="1">
        <v>87</v>
      </c>
      <c r="BC460" s="1">
        <v>9.45</v>
      </c>
      <c r="BD460" s="1"/>
      <c r="BE460" s="1"/>
      <c r="BF460" s="1"/>
      <c r="BG460" s="1"/>
      <c r="BH460" s="1"/>
      <c r="BI460" s="1"/>
      <c r="BJ460" s="1" t="s">
        <v>8898</v>
      </c>
      <c r="BK460" s="1" t="s">
        <v>8899</v>
      </c>
      <c r="BL460" s="1" t="s">
        <v>762</v>
      </c>
      <c r="BM460" s="1" t="s">
        <v>8900</v>
      </c>
      <c r="BN460" s="1">
        <v>34</v>
      </c>
      <c r="BO460" s="1" t="s">
        <v>8901</v>
      </c>
      <c r="BP460" s="1" t="str">
        <f>HYPERLINK("https://nconnect.nicmar.ac.in/storage/profile/ProfilePhoto_P25700459_341756.jpg","Download")</f>
        <v>0</v>
      </c>
      <c r="BQ460" s="3"/>
      <c r="BR460" s="3"/>
    </row>
    <row r="461" spans="1:70">
      <c r="A461" s="1" t="s">
        <v>70</v>
      </c>
      <c r="B461" s="1" t="s">
        <v>441</v>
      </c>
      <c r="C461" s="1" t="s">
        <v>8902</v>
      </c>
      <c r="D461" s="1" t="s">
        <v>8903</v>
      </c>
      <c r="E461" s="1"/>
      <c r="F461" s="1" t="s">
        <v>8904</v>
      </c>
      <c r="G461" s="1" t="s">
        <v>8905</v>
      </c>
      <c r="H461" s="1" t="s">
        <v>8906</v>
      </c>
      <c r="I461" s="1" t="s">
        <v>8907</v>
      </c>
      <c r="J461" s="1">
        <v>8610896413</v>
      </c>
      <c r="K461" s="1" t="s">
        <v>79</v>
      </c>
      <c r="L461" s="1" t="s">
        <v>8908</v>
      </c>
      <c r="M461" s="1" t="s">
        <v>81</v>
      </c>
      <c r="N461" s="1" t="s">
        <v>5779</v>
      </c>
      <c r="O461" s="1"/>
      <c r="P461" s="1" t="s">
        <v>497</v>
      </c>
      <c r="Q461" s="1" t="s">
        <v>8909</v>
      </c>
      <c r="R461" s="1" t="s">
        <v>8904</v>
      </c>
      <c r="S461" s="1">
        <v>9363044241</v>
      </c>
      <c r="T461" s="1" t="s">
        <v>820</v>
      </c>
      <c r="U461" s="1" t="s">
        <v>8910</v>
      </c>
      <c r="V461" s="1">
        <v>9442644241</v>
      </c>
      <c r="W461" s="1" t="s">
        <v>273</v>
      </c>
      <c r="X461" s="1" t="s">
        <v>8911</v>
      </c>
      <c r="Y461" s="1" t="s">
        <v>8912</v>
      </c>
      <c r="Z461" s="1" t="s">
        <v>559</v>
      </c>
      <c r="AA461" s="1" t="s">
        <v>8911</v>
      </c>
      <c r="AB461" s="1" t="s">
        <v>8912</v>
      </c>
      <c r="AC461" s="1" t="s">
        <v>559</v>
      </c>
      <c r="AD461" s="1">
        <v>7.98</v>
      </c>
      <c r="AE461" s="1" t="s">
        <v>93</v>
      </c>
      <c r="AF461" s="1" t="s">
        <v>8913</v>
      </c>
      <c r="AG461" s="1" t="s">
        <v>8914</v>
      </c>
      <c r="AH461" s="1" t="s">
        <v>689</v>
      </c>
      <c r="AI461" s="1" t="s">
        <v>308</v>
      </c>
      <c r="AJ461" s="1">
        <v>70.8</v>
      </c>
      <c r="AK461" s="1"/>
      <c r="AL461" s="1" t="s">
        <v>8913</v>
      </c>
      <c r="AM461" s="1" t="s">
        <v>8914</v>
      </c>
      <c r="AN461" s="1" t="s">
        <v>689</v>
      </c>
      <c r="AO461" s="1" t="s">
        <v>539</v>
      </c>
      <c r="AP461" s="1">
        <v>78.8</v>
      </c>
      <c r="AQ461" s="1"/>
      <c r="AR461" s="1"/>
      <c r="AS461" s="1"/>
      <c r="AT461" s="1"/>
      <c r="AU461" s="1"/>
      <c r="AV461" s="1"/>
      <c r="AW461" s="1"/>
      <c r="AX461" s="1" t="s">
        <v>540</v>
      </c>
      <c r="AY461" s="1" t="s">
        <v>8915</v>
      </c>
      <c r="AZ461" s="1" t="s">
        <v>542</v>
      </c>
      <c r="BA461" s="1" t="s">
        <v>543</v>
      </c>
      <c r="BB461" s="1">
        <v>79.2</v>
      </c>
      <c r="BC461" s="1">
        <v>7.92</v>
      </c>
      <c r="BD461" s="1"/>
      <c r="BE461" s="1"/>
      <c r="BF461" s="1"/>
      <c r="BG461" s="1"/>
      <c r="BH461" s="1"/>
      <c r="BI461" s="1"/>
      <c r="BJ461" s="1" t="s">
        <v>364</v>
      </c>
      <c r="BK461" s="1"/>
      <c r="BL461" s="1"/>
      <c r="BM461" s="1" t="s">
        <v>8916</v>
      </c>
      <c r="BN461" s="1">
        <v>13</v>
      </c>
      <c r="BO461" s="1" t="s">
        <v>8917</v>
      </c>
      <c r="BP461" s="1" t="str">
        <f>HYPERLINK("https://nconnect.nicmar.ac.in/storage/profile/ProfilePhoto_P25700460_479385.jpg","Download")</f>
        <v>0</v>
      </c>
      <c r="BQ461" s="3"/>
      <c r="BR461" s="3"/>
    </row>
    <row r="462" spans="1:70">
      <c r="A462" s="1" t="s">
        <v>70</v>
      </c>
      <c r="B462" s="1" t="s">
        <v>441</v>
      </c>
      <c r="C462" s="1" t="s">
        <v>8918</v>
      </c>
      <c r="D462" s="1" t="s">
        <v>744</v>
      </c>
      <c r="E462" s="1" t="s">
        <v>8919</v>
      </c>
      <c r="F462" s="1" t="s">
        <v>3237</v>
      </c>
      <c r="G462" s="1" t="s">
        <v>8920</v>
      </c>
      <c r="H462" s="1" t="s">
        <v>8921</v>
      </c>
      <c r="I462" s="1" t="s">
        <v>8922</v>
      </c>
      <c r="J462" s="1">
        <v>8999541427</v>
      </c>
      <c r="K462" s="1" t="s">
        <v>79</v>
      </c>
      <c r="L462" s="1" t="s">
        <v>8923</v>
      </c>
      <c r="M462" s="1" t="s">
        <v>81</v>
      </c>
      <c r="N462" s="1" t="s">
        <v>4976</v>
      </c>
      <c r="O462" s="1"/>
      <c r="P462" s="1" t="s">
        <v>450</v>
      </c>
      <c r="Q462" s="1" t="s">
        <v>8924</v>
      </c>
      <c r="R462" s="1" t="s">
        <v>8919</v>
      </c>
      <c r="S462" s="1">
        <v>9921418107</v>
      </c>
      <c r="T462" s="1" t="s">
        <v>154</v>
      </c>
      <c r="U462" s="1" t="s">
        <v>8505</v>
      </c>
      <c r="V462" s="1">
        <v>9834640632</v>
      </c>
      <c r="W462" s="1" t="s">
        <v>8925</v>
      </c>
      <c r="X462" s="1" t="s">
        <v>8926</v>
      </c>
      <c r="Y462" s="1" t="s">
        <v>191</v>
      </c>
      <c r="Z462" s="1" t="s">
        <v>92</v>
      </c>
      <c r="AA462" s="1" t="s">
        <v>8926</v>
      </c>
      <c r="AB462" s="1" t="s">
        <v>191</v>
      </c>
      <c r="AC462" s="1" t="s">
        <v>92</v>
      </c>
      <c r="AD462" s="1">
        <v>8.03</v>
      </c>
      <c r="AE462" s="1" t="s">
        <v>93</v>
      </c>
      <c r="AF462" s="1" t="s">
        <v>8927</v>
      </c>
      <c r="AG462" s="1" t="s">
        <v>8928</v>
      </c>
      <c r="AH462" s="1" t="s">
        <v>101</v>
      </c>
      <c r="AI462" s="1" t="s">
        <v>409</v>
      </c>
      <c r="AJ462" s="1">
        <v>75.2</v>
      </c>
      <c r="AK462" s="1"/>
      <c r="AL462" s="1"/>
      <c r="AM462" s="1"/>
      <c r="AN462" s="1"/>
      <c r="AO462" s="1"/>
      <c r="AP462" s="1"/>
      <c r="AQ462" s="1"/>
      <c r="AR462" s="1" t="s">
        <v>98</v>
      </c>
      <c r="AS462" s="1" t="s">
        <v>8929</v>
      </c>
      <c r="AT462" s="1" t="s">
        <v>201</v>
      </c>
      <c r="AU462" s="1" t="s">
        <v>105</v>
      </c>
      <c r="AV462" s="1">
        <v>77.4</v>
      </c>
      <c r="AW462" s="1"/>
      <c r="AX462" s="1" t="s">
        <v>361</v>
      </c>
      <c r="AY462" s="1" t="s">
        <v>8930</v>
      </c>
      <c r="AZ462" s="1" t="s">
        <v>1864</v>
      </c>
      <c r="BA462" s="1" t="s">
        <v>829</v>
      </c>
      <c r="BB462" s="1">
        <v>66.3</v>
      </c>
      <c r="BC462" s="1">
        <v>7.38</v>
      </c>
      <c r="BD462" s="1"/>
      <c r="BE462" s="1"/>
      <c r="BF462" s="1"/>
      <c r="BG462" s="1"/>
      <c r="BH462" s="1"/>
      <c r="BI462" s="1"/>
      <c r="BJ462" s="1" t="s">
        <v>8931</v>
      </c>
      <c r="BK462" s="1"/>
      <c r="BL462" s="1"/>
      <c r="BM462" s="1" t="s">
        <v>8932</v>
      </c>
      <c r="BN462" s="1">
        <v>13</v>
      </c>
      <c r="BO462" s="1" t="s">
        <v>8933</v>
      </c>
      <c r="BP462" s="1" t="str">
        <f>HYPERLINK("https://nconnect.nicmar.ac.in/storage/profile/ProfilePhoto_P25700461_475293.jpg","Download")</f>
        <v>0</v>
      </c>
      <c r="BQ462" s="3"/>
      <c r="BR462" s="3"/>
    </row>
    <row r="463" spans="1:70">
      <c r="A463" s="1" t="s">
        <v>70</v>
      </c>
      <c r="B463" s="1" t="s">
        <v>441</v>
      </c>
      <c r="C463" s="1" t="s">
        <v>8934</v>
      </c>
      <c r="D463" s="1" t="s">
        <v>8935</v>
      </c>
      <c r="E463" s="1"/>
      <c r="F463" s="1" t="s">
        <v>234</v>
      </c>
      <c r="G463" s="1" t="s">
        <v>8936</v>
      </c>
      <c r="H463" s="1" t="s">
        <v>8937</v>
      </c>
      <c r="I463" s="1" t="s">
        <v>8938</v>
      </c>
      <c r="J463" s="1">
        <v>8757777788</v>
      </c>
      <c r="K463" s="1" t="s">
        <v>79</v>
      </c>
      <c r="L463" s="1" t="s">
        <v>8939</v>
      </c>
      <c r="M463" s="1" t="s">
        <v>81</v>
      </c>
      <c r="N463" s="1" t="s">
        <v>1079</v>
      </c>
      <c r="O463" s="1"/>
      <c r="P463" s="1" t="s">
        <v>497</v>
      </c>
      <c r="Q463" s="1" t="s">
        <v>8940</v>
      </c>
      <c r="R463" s="1" t="s">
        <v>8941</v>
      </c>
      <c r="S463" s="1">
        <v>8102728777</v>
      </c>
      <c r="T463" s="1" t="s">
        <v>820</v>
      </c>
      <c r="U463" s="1" t="s">
        <v>8942</v>
      </c>
      <c r="V463" s="1">
        <v>9905023432</v>
      </c>
      <c r="W463" s="1" t="s">
        <v>89</v>
      </c>
      <c r="X463" s="1" t="s">
        <v>8943</v>
      </c>
      <c r="Y463" s="1" t="s">
        <v>191</v>
      </c>
      <c r="Z463" s="1" t="s">
        <v>92</v>
      </c>
      <c r="AA463" s="1" t="s">
        <v>8944</v>
      </c>
      <c r="AB463" s="1" t="s">
        <v>635</v>
      </c>
      <c r="AC463" s="1" t="s">
        <v>636</v>
      </c>
      <c r="AD463" s="1">
        <v>8.33</v>
      </c>
      <c r="AE463" s="1" t="s">
        <v>93</v>
      </c>
      <c r="AF463" s="1" t="s">
        <v>8945</v>
      </c>
      <c r="AG463" s="1" t="s">
        <v>8946</v>
      </c>
      <c r="AH463" s="1" t="s">
        <v>1191</v>
      </c>
      <c r="AI463" s="1" t="s">
        <v>131</v>
      </c>
      <c r="AJ463" s="1">
        <v>95</v>
      </c>
      <c r="AK463" s="1">
        <v>10</v>
      </c>
      <c r="AL463" s="1" t="s">
        <v>8947</v>
      </c>
      <c r="AM463" s="1" t="s">
        <v>8946</v>
      </c>
      <c r="AN463" s="1" t="s">
        <v>481</v>
      </c>
      <c r="AO463" s="1" t="s">
        <v>308</v>
      </c>
      <c r="AP463" s="1">
        <v>66.2</v>
      </c>
      <c r="AQ463" s="1"/>
      <c r="AR463" s="1"/>
      <c r="AS463" s="1"/>
      <c r="AT463" s="1"/>
      <c r="AU463" s="1"/>
      <c r="AV463" s="1"/>
      <c r="AW463" s="1"/>
      <c r="AX463" s="1" t="s">
        <v>361</v>
      </c>
      <c r="AY463" s="1" t="s">
        <v>4726</v>
      </c>
      <c r="AZ463" s="1" t="s">
        <v>201</v>
      </c>
      <c r="BA463" s="1" t="s">
        <v>174</v>
      </c>
      <c r="BB463" s="1">
        <v>69.24</v>
      </c>
      <c r="BC463" s="1">
        <v>7.78</v>
      </c>
      <c r="BD463" s="1"/>
      <c r="BE463" s="1"/>
      <c r="BF463" s="1"/>
      <c r="BG463" s="1"/>
      <c r="BH463" s="1"/>
      <c r="BI463" s="1"/>
      <c r="BJ463" s="1" t="s">
        <v>8948</v>
      </c>
      <c r="BK463" s="1" t="s">
        <v>8949</v>
      </c>
      <c r="BL463" s="1" t="s">
        <v>1151</v>
      </c>
      <c r="BM463" s="1" t="s">
        <v>8950</v>
      </c>
      <c r="BN463" s="1">
        <v>36</v>
      </c>
      <c r="BO463" s="1" t="s">
        <v>8951</v>
      </c>
      <c r="BP463" s="1" t="str">
        <f>HYPERLINK("https://nconnect.nicmar.ac.in/storage/profile/ProfilePhoto_P25700462_461837.jpg","Download")</f>
        <v>0</v>
      </c>
      <c r="BQ463" s="3"/>
      <c r="BR463" s="3"/>
    </row>
    <row r="464" spans="1:70">
      <c r="A464" s="1" t="s">
        <v>70</v>
      </c>
      <c r="B464" s="1" t="s">
        <v>441</v>
      </c>
      <c r="C464" s="1" t="s">
        <v>8952</v>
      </c>
      <c r="D464" s="1" t="s">
        <v>8953</v>
      </c>
      <c r="E464" s="1" t="s">
        <v>8954</v>
      </c>
      <c r="F464" s="1" t="s">
        <v>393</v>
      </c>
      <c r="G464" s="1" t="s">
        <v>8955</v>
      </c>
      <c r="H464" s="1" t="s">
        <v>8956</v>
      </c>
      <c r="I464" s="1" t="s">
        <v>8957</v>
      </c>
      <c r="J464" s="1">
        <v>9175048718</v>
      </c>
      <c r="K464" s="1" t="s">
        <v>148</v>
      </c>
      <c r="L464" s="1" t="s">
        <v>4058</v>
      </c>
      <c r="M464" s="1" t="s">
        <v>81</v>
      </c>
      <c r="N464" s="1" t="s">
        <v>4976</v>
      </c>
      <c r="O464" s="1"/>
      <c r="P464" s="1" t="s">
        <v>450</v>
      </c>
      <c r="Q464" s="1" t="s">
        <v>8958</v>
      </c>
      <c r="R464" s="1" t="s">
        <v>8959</v>
      </c>
      <c r="S464" s="1">
        <v>9850353247</v>
      </c>
      <c r="T464" s="1" t="s">
        <v>3915</v>
      </c>
      <c r="U464" s="1" t="s">
        <v>8960</v>
      </c>
      <c r="V464" s="1">
        <v>9850721288</v>
      </c>
      <c r="W464" s="1" t="s">
        <v>156</v>
      </c>
      <c r="X464" s="1" t="s">
        <v>8961</v>
      </c>
      <c r="Y464" s="1" t="s">
        <v>405</v>
      </c>
      <c r="Z464" s="1" t="s">
        <v>92</v>
      </c>
      <c r="AA464" s="1" t="s">
        <v>8962</v>
      </c>
      <c r="AB464" s="1" t="s">
        <v>405</v>
      </c>
      <c r="AC464" s="1" t="s">
        <v>92</v>
      </c>
      <c r="AD464" s="1">
        <v>8.52</v>
      </c>
      <c r="AE464" s="1" t="s">
        <v>93</v>
      </c>
      <c r="AF464" s="1" t="s">
        <v>8963</v>
      </c>
      <c r="AG464" s="1" t="s">
        <v>307</v>
      </c>
      <c r="AH464" s="1" t="s">
        <v>4602</v>
      </c>
      <c r="AI464" s="1" t="s">
        <v>308</v>
      </c>
      <c r="AJ464" s="1">
        <v>81.2</v>
      </c>
      <c r="AK464" s="1">
        <v>0</v>
      </c>
      <c r="AL464" s="1" t="s">
        <v>8964</v>
      </c>
      <c r="AM464" s="1" t="s">
        <v>1942</v>
      </c>
      <c r="AN464" s="1" t="s">
        <v>310</v>
      </c>
      <c r="AO464" s="1" t="s">
        <v>436</v>
      </c>
      <c r="AP464" s="1">
        <v>95.33</v>
      </c>
      <c r="AQ464" s="1">
        <v>0</v>
      </c>
      <c r="AR464" s="1"/>
      <c r="AS464" s="1"/>
      <c r="AT464" s="1"/>
      <c r="AU464" s="1"/>
      <c r="AV464" s="1"/>
      <c r="AW464" s="1"/>
      <c r="AX464" s="1" t="s">
        <v>8965</v>
      </c>
      <c r="AY464" s="1" t="s">
        <v>8966</v>
      </c>
      <c r="AZ464" s="1" t="s">
        <v>852</v>
      </c>
      <c r="BA464" s="1" t="s">
        <v>829</v>
      </c>
      <c r="BB464" s="1">
        <v>68.79</v>
      </c>
      <c r="BC464" s="1">
        <v>7.63</v>
      </c>
      <c r="BD464" s="1"/>
      <c r="BE464" s="1"/>
      <c r="BF464" s="1"/>
      <c r="BG464" s="1"/>
      <c r="BH464" s="1"/>
      <c r="BI464" s="1"/>
      <c r="BJ464" s="1" t="s">
        <v>8967</v>
      </c>
      <c r="BK464" s="1"/>
      <c r="BL464" s="1"/>
      <c r="BM464" s="1" t="s">
        <v>8968</v>
      </c>
      <c r="BN464" s="1">
        <v>23</v>
      </c>
      <c r="BO464" s="1"/>
      <c r="BP464" s="1" t="str">
        <f>HYPERLINK("https://nconnect.nicmar.ac.in/storage/profile/ProfilePhoto_P25700463_384196.jpg","Download")</f>
        <v>0</v>
      </c>
      <c r="BQ464" s="3"/>
      <c r="BR464" s="3"/>
    </row>
    <row r="465" spans="1:70">
      <c r="A465" s="1" t="s">
        <v>70</v>
      </c>
      <c r="B465" s="1" t="s">
        <v>441</v>
      </c>
      <c r="C465" s="1" t="s">
        <v>8969</v>
      </c>
      <c r="D465" s="1" t="s">
        <v>8970</v>
      </c>
      <c r="E465" s="1"/>
      <c r="F465" s="1" t="s">
        <v>8971</v>
      </c>
      <c r="G465" s="1" t="s">
        <v>8972</v>
      </c>
      <c r="H465" s="1" t="s">
        <v>8973</v>
      </c>
      <c r="I465" s="1" t="s">
        <v>8974</v>
      </c>
      <c r="J465" s="1">
        <v>8184975124</v>
      </c>
      <c r="K465" s="1" t="s">
        <v>79</v>
      </c>
      <c r="L465" s="1" t="s">
        <v>8975</v>
      </c>
      <c r="M465" s="1" t="s">
        <v>81</v>
      </c>
      <c r="N465" s="1" t="s">
        <v>8976</v>
      </c>
      <c r="O465" s="1"/>
      <c r="P465" s="1" t="s">
        <v>1007</v>
      </c>
      <c r="Q465" s="1" t="s">
        <v>8977</v>
      </c>
      <c r="R465" s="1" t="s">
        <v>8978</v>
      </c>
      <c r="S465" s="1">
        <v>9030871186</v>
      </c>
      <c r="T465" s="1" t="s">
        <v>8979</v>
      </c>
      <c r="U465" s="1" t="s">
        <v>6944</v>
      </c>
      <c r="V465" s="1">
        <v>9346051186</v>
      </c>
      <c r="W465" s="1" t="s">
        <v>273</v>
      </c>
      <c r="X465" s="1" t="s">
        <v>8980</v>
      </c>
      <c r="Y465" s="1" t="s">
        <v>8981</v>
      </c>
      <c r="Z465" s="1" t="s">
        <v>456</v>
      </c>
      <c r="AA465" s="1" t="s">
        <v>8980</v>
      </c>
      <c r="AB465" s="1" t="s">
        <v>8981</v>
      </c>
      <c r="AC465" s="1" t="s">
        <v>456</v>
      </c>
      <c r="AD465" s="1">
        <v>7.72</v>
      </c>
      <c r="AE465" s="1" t="s">
        <v>93</v>
      </c>
      <c r="AF465" s="1" t="s">
        <v>8982</v>
      </c>
      <c r="AG465" s="1" t="s">
        <v>458</v>
      </c>
      <c r="AH465" s="1" t="s">
        <v>165</v>
      </c>
      <c r="AI465" s="1" t="s">
        <v>281</v>
      </c>
      <c r="AJ465" s="1">
        <v>80.76</v>
      </c>
      <c r="AK465" s="1">
        <v>8.5</v>
      </c>
      <c r="AL465" s="1"/>
      <c r="AM465" s="1"/>
      <c r="AN465" s="1"/>
      <c r="AO465" s="1"/>
      <c r="AP465" s="1"/>
      <c r="AQ465" s="1"/>
      <c r="AR465" s="1" t="s">
        <v>434</v>
      </c>
      <c r="AS465" s="1" t="s">
        <v>8983</v>
      </c>
      <c r="AT465" s="1" t="s">
        <v>101</v>
      </c>
      <c r="AU465" s="1" t="s">
        <v>539</v>
      </c>
      <c r="AV465" s="1">
        <v>58.5</v>
      </c>
      <c r="AW465" s="1">
        <v>6.35</v>
      </c>
      <c r="AX465" s="1" t="s">
        <v>8984</v>
      </c>
      <c r="AY465" s="1" t="s">
        <v>8985</v>
      </c>
      <c r="AZ465" s="1" t="s">
        <v>542</v>
      </c>
      <c r="BA465" s="1" t="s">
        <v>1292</v>
      </c>
      <c r="BB465" s="1">
        <v>73.4</v>
      </c>
      <c r="BC465" s="1">
        <v>7.84</v>
      </c>
      <c r="BD465" s="1"/>
      <c r="BE465" s="1"/>
      <c r="BF465" s="1"/>
      <c r="BG465" s="1"/>
      <c r="BH465" s="1"/>
      <c r="BI465" s="1"/>
      <c r="BJ465" s="1" t="s">
        <v>8986</v>
      </c>
      <c r="BK465" s="1" t="s">
        <v>8987</v>
      </c>
      <c r="BL465" s="1" t="s">
        <v>1048</v>
      </c>
      <c r="BM465" s="1" t="s">
        <v>8988</v>
      </c>
      <c r="BN465" s="1">
        <v>32</v>
      </c>
      <c r="BO465" s="1"/>
      <c r="BP465" s="1" t="str">
        <f>HYPERLINK("https://nconnect.nicmar.ac.in/storage/profile/ProfilePhoto_P25700464_638752.jpg","Download")</f>
        <v>0</v>
      </c>
      <c r="BQ465" s="3"/>
      <c r="BR465" s="3"/>
    </row>
    <row r="466" spans="1:70">
      <c r="A466" s="1" t="s">
        <v>70</v>
      </c>
      <c r="B466" s="1" t="s">
        <v>441</v>
      </c>
      <c r="C466" s="1" t="s">
        <v>8989</v>
      </c>
      <c r="D466" s="1" t="s">
        <v>2670</v>
      </c>
      <c r="E466" s="1"/>
      <c r="F466" s="1" t="s">
        <v>1828</v>
      </c>
      <c r="G466" s="1" t="s">
        <v>8990</v>
      </c>
      <c r="H466" s="1" t="s">
        <v>8991</v>
      </c>
      <c r="I466" s="1" t="s">
        <v>8992</v>
      </c>
      <c r="J466" s="1">
        <v>6382968542</v>
      </c>
      <c r="K466" s="1" t="s">
        <v>79</v>
      </c>
      <c r="L466" s="1" t="s">
        <v>8993</v>
      </c>
      <c r="M466" s="1" t="s">
        <v>81</v>
      </c>
      <c r="N466" s="1" t="s">
        <v>8994</v>
      </c>
      <c r="O466" s="1"/>
      <c r="P466" s="1" t="s">
        <v>450</v>
      </c>
      <c r="Q466" s="1" t="s">
        <v>8995</v>
      </c>
      <c r="R466" s="1" t="s">
        <v>8996</v>
      </c>
      <c r="S466" s="1">
        <v>9443864602</v>
      </c>
      <c r="T466" s="1" t="s">
        <v>8997</v>
      </c>
      <c r="U466" s="1" t="s">
        <v>8998</v>
      </c>
      <c r="V466" s="1">
        <v>9443864602</v>
      </c>
      <c r="W466" s="1" t="s">
        <v>8999</v>
      </c>
      <c r="X466" s="1" t="s">
        <v>9000</v>
      </c>
      <c r="Y466" s="1" t="s">
        <v>9001</v>
      </c>
      <c r="Z466" s="1" t="s">
        <v>559</v>
      </c>
      <c r="AA466" s="1" t="s">
        <v>9000</v>
      </c>
      <c r="AB466" s="1" t="s">
        <v>9001</v>
      </c>
      <c r="AC466" s="1" t="s">
        <v>559</v>
      </c>
      <c r="AD466" s="1">
        <v>8.56</v>
      </c>
      <c r="AE466" s="1" t="s">
        <v>93</v>
      </c>
      <c r="AF466" s="1" t="s">
        <v>9002</v>
      </c>
      <c r="AG466" s="1" t="s">
        <v>9003</v>
      </c>
      <c r="AH466" s="1" t="s">
        <v>165</v>
      </c>
      <c r="AI466" s="1" t="s">
        <v>166</v>
      </c>
      <c r="AJ466" s="1">
        <v>64.4</v>
      </c>
      <c r="AK466" s="1"/>
      <c r="AL466" s="1" t="s">
        <v>9004</v>
      </c>
      <c r="AM466" s="1" t="s">
        <v>9005</v>
      </c>
      <c r="AN466" s="1" t="s">
        <v>310</v>
      </c>
      <c r="AO466" s="1" t="s">
        <v>173</v>
      </c>
      <c r="AP466" s="1">
        <v>80.2</v>
      </c>
      <c r="AQ466" s="1"/>
      <c r="AR466" s="1"/>
      <c r="AS466" s="1"/>
      <c r="AT466" s="1"/>
      <c r="AU466" s="1"/>
      <c r="AV466" s="1"/>
      <c r="AW466" s="1"/>
      <c r="AX466" s="1" t="s">
        <v>9006</v>
      </c>
      <c r="AY466" s="1" t="s">
        <v>9007</v>
      </c>
      <c r="AZ466" s="1" t="s">
        <v>460</v>
      </c>
      <c r="BA466" s="1" t="s">
        <v>829</v>
      </c>
      <c r="BB466" s="1">
        <v>87.6</v>
      </c>
      <c r="BC466" s="1">
        <v>8.76</v>
      </c>
      <c r="BD466" s="1"/>
      <c r="BE466" s="1"/>
      <c r="BF466" s="1"/>
      <c r="BG466" s="1"/>
      <c r="BH466" s="1"/>
      <c r="BI466" s="1"/>
      <c r="BJ466" s="1" t="s">
        <v>9008</v>
      </c>
      <c r="BK466" s="1"/>
      <c r="BL466" s="1"/>
      <c r="BM466" s="1" t="s">
        <v>9009</v>
      </c>
      <c r="BN466" s="1">
        <v>35</v>
      </c>
      <c r="BO466" s="1"/>
      <c r="BP466" s="1" t="str">
        <f>HYPERLINK("https://nconnect.nicmar.ac.in/storage/profile/ProfilePhoto_P25700465_781254.jpg","Download")</f>
        <v>0</v>
      </c>
      <c r="BQ466" s="3"/>
      <c r="BR466" s="3"/>
    </row>
    <row r="467" spans="1:70">
      <c r="A467" s="1" t="s">
        <v>70</v>
      </c>
      <c r="B467" s="1" t="s">
        <v>441</v>
      </c>
      <c r="C467" s="1" t="s">
        <v>9010</v>
      </c>
      <c r="D467" s="1" t="s">
        <v>417</v>
      </c>
      <c r="E467" s="1" t="s">
        <v>9011</v>
      </c>
      <c r="F467" s="1" t="s">
        <v>1156</v>
      </c>
      <c r="G467" s="1" t="s">
        <v>9012</v>
      </c>
      <c r="H467" s="1" t="s">
        <v>9013</v>
      </c>
      <c r="I467" s="1" t="s">
        <v>9014</v>
      </c>
      <c r="J467" s="1">
        <v>9022703156</v>
      </c>
      <c r="K467" s="1" t="s">
        <v>148</v>
      </c>
      <c r="L467" s="1" t="s">
        <v>2708</v>
      </c>
      <c r="M467" s="1" t="s">
        <v>150</v>
      </c>
      <c r="N467" s="1" t="s">
        <v>605</v>
      </c>
      <c r="O467" s="1"/>
      <c r="P467" s="1" t="s">
        <v>497</v>
      </c>
      <c r="Q467" s="1" t="s">
        <v>9015</v>
      </c>
      <c r="R467" s="1" t="s">
        <v>4712</v>
      </c>
      <c r="S467" s="1">
        <v>9657735550</v>
      </c>
      <c r="T467" s="1" t="s">
        <v>9016</v>
      </c>
      <c r="U467" s="1" t="s">
        <v>4992</v>
      </c>
      <c r="V467" s="1">
        <v>8805854784</v>
      </c>
      <c r="W467" s="1" t="s">
        <v>273</v>
      </c>
      <c r="X467" s="1" t="s">
        <v>9017</v>
      </c>
      <c r="Y467" s="1" t="s">
        <v>991</v>
      </c>
      <c r="Z467" s="1" t="s">
        <v>92</v>
      </c>
      <c r="AA467" s="1" t="s">
        <v>9018</v>
      </c>
      <c r="AB467" s="1" t="s">
        <v>4313</v>
      </c>
      <c r="AC467" s="1" t="s">
        <v>92</v>
      </c>
      <c r="AD467" s="1">
        <v>7.2</v>
      </c>
      <c r="AE467" s="1" t="s">
        <v>93</v>
      </c>
      <c r="AF467" s="1" t="s">
        <v>9019</v>
      </c>
      <c r="AG467" s="1" t="s">
        <v>160</v>
      </c>
      <c r="AH467" s="1" t="s">
        <v>165</v>
      </c>
      <c r="AI467" s="1" t="s">
        <v>281</v>
      </c>
      <c r="AJ467" s="1">
        <v>81.6</v>
      </c>
      <c r="AK467" s="1">
        <v>0</v>
      </c>
      <c r="AL467" s="1" t="s">
        <v>9020</v>
      </c>
      <c r="AM467" s="1" t="s">
        <v>160</v>
      </c>
      <c r="AN467" s="1" t="s">
        <v>433</v>
      </c>
      <c r="AO467" s="1" t="s">
        <v>360</v>
      </c>
      <c r="AP467" s="1">
        <v>69.69</v>
      </c>
      <c r="AQ467" s="1">
        <v>0</v>
      </c>
      <c r="AR467" s="1"/>
      <c r="AS467" s="1"/>
      <c r="AT467" s="1"/>
      <c r="AU467" s="1"/>
      <c r="AV467" s="1"/>
      <c r="AW467" s="1"/>
      <c r="AX467" s="1" t="s">
        <v>666</v>
      </c>
      <c r="AY467" s="1" t="s">
        <v>9021</v>
      </c>
      <c r="AZ467" s="1" t="s">
        <v>460</v>
      </c>
      <c r="BA467" s="1" t="s">
        <v>829</v>
      </c>
      <c r="BB467" s="1">
        <v>69.23</v>
      </c>
      <c r="BC467" s="1">
        <v>7.46</v>
      </c>
      <c r="BD467" s="1"/>
      <c r="BE467" s="1"/>
      <c r="BF467" s="1"/>
      <c r="BG467" s="1"/>
      <c r="BH467" s="1"/>
      <c r="BI467" s="1"/>
      <c r="BJ467" s="1" t="s">
        <v>9022</v>
      </c>
      <c r="BK467" s="1"/>
      <c r="BL467" s="1"/>
      <c r="BM467" s="1" t="s">
        <v>9023</v>
      </c>
      <c r="BN467" s="1">
        <v>8</v>
      </c>
      <c r="BO467" s="1"/>
      <c r="BP467" s="1" t="str">
        <f>HYPERLINK("https://nconnect.nicmar.ac.in/storage/profile/ProfilePhoto_P25700466_237615.jpg","Download")</f>
        <v>0</v>
      </c>
      <c r="BQ467" s="3"/>
      <c r="BR467" s="3"/>
    </row>
    <row r="468" spans="1:70">
      <c r="A468" s="1" t="s">
        <v>70</v>
      </c>
      <c r="B468" s="1" t="s">
        <v>441</v>
      </c>
      <c r="C468" s="1" t="s">
        <v>9024</v>
      </c>
      <c r="D468" s="1" t="s">
        <v>9025</v>
      </c>
      <c r="E468" s="1"/>
      <c r="F468" s="1" t="s">
        <v>9026</v>
      </c>
      <c r="G468" s="1" t="s">
        <v>9027</v>
      </c>
      <c r="H468" s="1" t="s">
        <v>9028</v>
      </c>
      <c r="I468" s="1" t="s">
        <v>9029</v>
      </c>
      <c r="J468" s="1">
        <v>8318035615</v>
      </c>
      <c r="K468" s="1" t="s">
        <v>79</v>
      </c>
      <c r="L468" s="1" t="s">
        <v>9030</v>
      </c>
      <c r="M468" s="1" t="s">
        <v>81</v>
      </c>
      <c r="N468" s="1" t="s">
        <v>4289</v>
      </c>
      <c r="O468" s="1"/>
      <c r="P468" s="1" t="s">
        <v>497</v>
      </c>
      <c r="Q468" s="1" t="s">
        <v>9031</v>
      </c>
      <c r="R468" s="1" t="s">
        <v>9032</v>
      </c>
      <c r="S468" s="1">
        <v>6388241703</v>
      </c>
      <c r="T468" s="1" t="s">
        <v>9033</v>
      </c>
      <c r="U468" s="1" t="s">
        <v>9034</v>
      </c>
      <c r="V468" s="1">
        <v>9140420240</v>
      </c>
      <c r="W468" s="1" t="s">
        <v>9033</v>
      </c>
      <c r="X468" s="1" t="s">
        <v>9035</v>
      </c>
      <c r="Y468" s="1" t="s">
        <v>9036</v>
      </c>
      <c r="Z468" s="1" t="s">
        <v>534</v>
      </c>
      <c r="AA468" s="1" t="s">
        <v>9035</v>
      </c>
      <c r="AB468" s="1" t="s">
        <v>9036</v>
      </c>
      <c r="AC468" s="1" t="s">
        <v>534</v>
      </c>
      <c r="AD468" s="1">
        <v>8.23</v>
      </c>
      <c r="AE468" s="1" t="s">
        <v>93</v>
      </c>
      <c r="AF468" s="1" t="s">
        <v>9037</v>
      </c>
      <c r="AG468" s="1" t="s">
        <v>9038</v>
      </c>
      <c r="AH468" s="1" t="s">
        <v>481</v>
      </c>
      <c r="AI468" s="1" t="s">
        <v>308</v>
      </c>
      <c r="AJ468" s="1">
        <v>90.4</v>
      </c>
      <c r="AK468" s="1">
        <v>9.51</v>
      </c>
      <c r="AL468" s="1" t="s">
        <v>9037</v>
      </c>
      <c r="AM468" s="1" t="s">
        <v>9038</v>
      </c>
      <c r="AN468" s="1" t="s">
        <v>956</v>
      </c>
      <c r="AO468" s="1" t="s">
        <v>539</v>
      </c>
      <c r="AP468" s="1">
        <v>88.83</v>
      </c>
      <c r="AQ468" s="1">
        <v>9.35</v>
      </c>
      <c r="AR468" s="1"/>
      <c r="AS468" s="1"/>
      <c r="AT468" s="1"/>
      <c r="AU468" s="1"/>
      <c r="AV468" s="1"/>
      <c r="AW468" s="1"/>
      <c r="AX468" s="1" t="s">
        <v>540</v>
      </c>
      <c r="AY468" s="1" t="s">
        <v>6167</v>
      </c>
      <c r="AZ468" s="1" t="s">
        <v>542</v>
      </c>
      <c r="BA468" s="1" t="s">
        <v>543</v>
      </c>
      <c r="BB468" s="1">
        <v>78.9</v>
      </c>
      <c r="BC468" s="1">
        <v>7.89</v>
      </c>
      <c r="BD468" s="1"/>
      <c r="BE468" s="1"/>
      <c r="BF468" s="1"/>
      <c r="BG468" s="1"/>
      <c r="BH468" s="1"/>
      <c r="BI468" s="1"/>
      <c r="BJ468" s="1" t="s">
        <v>9039</v>
      </c>
      <c r="BK468" s="1"/>
      <c r="BL468" s="1"/>
      <c r="BM468" s="1" t="s">
        <v>9040</v>
      </c>
      <c r="BN468" s="1">
        <v>12</v>
      </c>
      <c r="BO468" s="1"/>
      <c r="BP468" s="1" t="str">
        <f>HYPERLINK("https://nconnect.nicmar.ac.in/storage/profile/ProfilePhoto_P25700467_125643.jpg","Download")</f>
        <v>0</v>
      </c>
      <c r="BQ468" s="3"/>
      <c r="BR468" s="3"/>
    </row>
    <row r="469" spans="1:70">
      <c r="A469" s="1" t="s">
        <v>70</v>
      </c>
      <c r="B469" s="1" t="s">
        <v>441</v>
      </c>
      <c r="C469" s="1" t="s">
        <v>9041</v>
      </c>
      <c r="D469" s="1" t="s">
        <v>9042</v>
      </c>
      <c r="E469" s="1" t="s">
        <v>4806</v>
      </c>
      <c r="F469" s="1" t="s">
        <v>9043</v>
      </c>
      <c r="G469" s="1" t="s">
        <v>9044</v>
      </c>
      <c r="H469" s="1" t="s">
        <v>9045</v>
      </c>
      <c r="I469" s="1" t="s">
        <v>9046</v>
      </c>
      <c r="J469" s="1">
        <v>6361837707</v>
      </c>
      <c r="K469" s="1" t="s">
        <v>79</v>
      </c>
      <c r="L469" s="1" t="s">
        <v>9047</v>
      </c>
      <c r="M469" s="1" t="s">
        <v>81</v>
      </c>
      <c r="N469" s="1" t="s">
        <v>9048</v>
      </c>
      <c r="O469" s="1"/>
      <c r="P469" s="1" t="s">
        <v>450</v>
      </c>
      <c r="Q469" s="1" t="s">
        <v>9049</v>
      </c>
      <c r="R469" s="1" t="s">
        <v>9050</v>
      </c>
      <c r="S469" s="1">
        <v>8660703603</v>
      </c>
      <c r="T469" s="1" t="s">
        <v>154</v>
      </c>
      <c r="U469" s="1" t="s">
        <v>9051</v>
      </c>
      <c r="V469" s="1">
        <v>9686646486</v>
      </c>
      <c r="W469" s="1" t="s">
        <v>273</v>
      </c>
      <c r="X469" s="1" t="s">
        <v>9052</v>
      </c>
      <c r="Y469" s="1" t="s">
        <v>9053</v>
      </c>
      <c r="Z469" s="1" t="s">
        <v>1187</v>
      </c>
      <c r="AA469" s="1" t="s">
        <v>9052</v>
      </c>
      <c r="AB469" s="1" t="s">
        <v>9053</v>
      </c>
      <c r="AC469" s="1" t="s">
        <v>1187</v>
      </c>
      <c r="AD469" s="1">
        <v>8.09</v>
      </c>
      <c r="AE469" s="1" t="s">
        <v>93</v>
      </c>
      <c r="AF469" s="1" t="s">
        <v>9054</v>
      </c>
      <c r="AG469" s="1" t="s">
        <v>9055</v>
      </c>
      <c r="AH469" s="1" t="s">
        <v>162</v>
      </c>
      <c r="AI469" s="1" t="s">
        <v>562</v>
      </c>
      <c r="AJ469" s="1">
        <v>65.16</v>
      </c>
      <c r="AK469" s="1"/>
      <c r="AL469" s="1" t="s">
        <v>9056</v>
      </c>
      <c r="AM469" s="1" t="s">
        <v>3751</v>
      </c>
      <c r="AN469" s="1" t="s">
        <v>166</v>
      </c>
      <c r="AO469" s="1" t="s">
        <v>409</v>
      </c>
      <c r="AP469" s="1">
        <v>74.66</v>
      </c>
      <c r="AQ469" s="1"/>
      <c r="AR469" s="1"/>
      <c r="AS469" s="1"/>
      <c r="AT469" s="1"/>
      <c r="AU469" s="1"/>
      <c r="AV469" s="1"/>
      <c r="AW469" s="1"/>
      <c r="AX469" s="1" t="s">
        <v>7583</v>
      </c>
      <c r="AY469" s="1" t="s">
        <v>4088</v>
      </c>
      <c r="AZ469" s="1" t="s">
        <v>201</v>
      </c>
      <c r="BA469" s="1" t="s">
        <v>229</v>
      </c>
      <c r="BB469" s="1">
        <v>77.3</v>
      </c>
      <c r="BC469" s="1">
        <v>7.73</v>
      </c>
      <c r="BD469" s="1"/>
      <c r="BE469" s="1"/>
      <c r="BF469" s="1"/>
      <c r="BG469" s="1"/>
      <c r="BH469" s="1"/>
      <c r="BI469" s="1"/>
      <c r="BJ469" s="1" t="s">
        <v>9057</v>
      </c>
      <c r="BK469" s="1"/>
      <c r="BL469" s="1"/>
      <c r="BM469" s="1" t="s">
        <v>9058</v>
      </c>
      <c r="BN469" s="1">
        <v>14</v>
      </c>
      <c r="BO469" s="1" t="s">
        <v>9059</v>
      </c>
      <c r="BP469" s="1" t="str">
        <f>HYPERLINK("https://nconnect.nicmar.ac.in/storage/profile/ProfilePhoto_P25700468_981762.jpg","Download")</f>
        <v>0</v>
      </c>
      <c r="BQ469" s="3"/>
      <c r="BR469" s="3"/>
    </row>
    <row r="470" spans="1:70">
      <c r="A470" s="1" t="s">
        <v>70</v>
      </c>
      <c r="B470" s="1" t="s">
        <v>441</v>
      </c>
      <c r="C470" s="1" t="s">
        <v>9060</v>
      </c>
      <c r="D470" s="1" t="s">
        <v>6937</v>
      </c>
      <c r="E470" s="1" t="s">
        <v>181</v>
      </c>
      <c r="F470" s="1" t="s">
        <v>9061</v>
      </c>
      <c r="G470" s="1" t="s">
        <v>9062</v>
      </c>
      <c r="H470" s="1" t="s">
        <v>9063</v>
      </c>
      <c r="I470" s="1" t="s">
        <v>9064</v>
      </c>
      <c r="J470" s="1">
        <v>7588134455</v>
      </c>
      <c r="K470" s="1" t="s">
        <v>79</v>
      </c>
      <c r="L470" s="1" t="s">
        <v>9065</v>
      </c>
      <c r="M470" s="1" t="s">
        <v>81</v>
      </c>
      <c r="N470" s="1" t="s">
        <v>9066</v>
      </c>
      <c r="O470" s="1"/>
      <c r="P470" s="1" t="s">
        <v>497</v>
      </c>
      <c r="Q470" s="1" t="s">
        <v>9067</v>
      </c>
      <c r="R470" s="1" t="s">
        <v>181</v>
      </c>
      <c r="S470" s="1">
        <v>9823016462</v>
      </c>
      <c r="T470" s="1" t="s">
        <v>906</v>
      </c>
      <c r="U470" s="1" t="s">
        <v>3520</v>
      </c>
      <c r="V470" s="1">
        <v>9403080278</v>
      </c>
      <c r="W470" s="1" t="s">
        <v>156</v>
      </c>
      <c r="X470" s="1" t="s">
        <v>9068</v>
      </c>
      <c r="Y470" s="1" t="s">
        <v>191</v>
      </c>
      <c r="Z470" s="1" t="s">
        <v>92</v>
      </c>
      <c r="AA470" s="1" t="s">
        <v>9068</v>
      </c>
      <c r="AB470" s="1" t="s">
        <v>191</v>
      </c>
      <c r="AC470" s="1" t="s">
        <v>92</v>
      </c>
      <c r="AD470" s="1">
        <v>8.52</v>
      </c>
      <c r="AE470" s="1" t="s">
        <v>93</v>
      </c>
      <c r="AF470" s="1" t="s">
        <v>9069</v>
      </c>
      <c r="AG470" s="1" t="s">
        <v>4335</v>
      </c>
      <c r="AH470" s="1" t="s">
        <v>101</v>
      </c>
      <c r="AI470" s="1" t="s">
        <v>308</v>
      </c>
      <c r="AJ470" s="1">
        <v>83.4</v>
      </c>
      <c r="AK470" s="1"/>
      <c r="AL470" s="1" t="s">
        <v>9069</v>
      </c>
      <c r="AM470" s="1" t="s">
        <v>4335</v>
      </c>
      <c r="AN470" s="1" t="s">
        <v>433</v>
      </c>
      <c r="AO470" s="1" t="s">
        <v>826</v>
      </c>
      <c r="AP470" s="1">
        <v>87.17</v>
      </c>
      <c r="AQ470" s="1"/>
      <c r="AR470" s="1"/>
      <c r="AS470" s="1"/>
      <c r="AT470" s="1"/>
      <c r="AU470" s="1"/>
      <c r="AV470" s="1"/>
      <c r="AW470" s="1"/>
      <c r="AX470" s="1" t="s">
        <v>8320</v>
      </c>
      <c r="AY470" s="1" t="s">
        <v>8320</v>
      </c>
      <c r="AZ470" s="1" t="s">
        <v>542</v>
      </c>
      <c r="BA470" s="1" t="s">
        <v>543</v>
      </c>
      <c r="BB470" s="1">
        <v>84.9</v>
      </c>
      <c r="BC470" s="1">
        <v>8.49</v>
      </c>
      <c r="BD470" s="1"/>
      <c r="BE470" s="1"/>
      <c r="BF470" s="1"/>
      <c r="BG470" s="1"/>
      <c r="BH470" s="1"/>
      <c r="BI470" s="1"/>
      <c r="BJ470" s="1" t="s">
        <v>9070</v>
      </c>
      <c r="BK470" s="1"/>
      <c r="BL470" s="1"/>
      <c r="BM470" s="1" t="s">
        <v>9071</v>
      </c>
      <c r="BN470" s="1">
        <v>21</v>
      </c>
      <c r="BO470" s="1" t="s">
        <v>9072</v>
      </c>
      <c r="BP470" s="1" t="str">
        <f>HYPERLINK("https://nconnect.nicmar.ac.in/storage/profile/ProfilePhoto_P25700470_843725.jpg","Download")</f>
        <v>0</v>
      </c>
      <c r="BQ470" s="3"/>
      <c r="BR470" s="3"/>
    </row>
    <row r="471" spans="1:70">
      <c r="A471" s="1" t="s">
        <v>70</v>
      </c>
      <c r="B471" s="1" t="s">
        <v>441</v>
      </c>
      <c r="C471" s="1" t="s">
        <v>9073</v>
      </c>
      <c r="D471" s="1" t="s">
        <v>2838</v>
      </c>
      <c r="E471" s="1"/>
      <c r="F471" s="1" t="s">
        <v>4632</v>
      </c>
      <c r="G471" s="1" t="s">
        <v>9074</v>
      </c>
      <c r="H471" s="1" t="s">
        <v>9075</v>
      </c>
      <c r="I471" s="1" t="s">
        <v>9076</v>
      </c>
      <c r="J471" s="1">
        <v>9425961340</v>
      </c>
      <c r="K471" s="1" t="s">
        <v>79</v>
      </c>
      <c r="L471" s="1" t="s">
        <v>9077</v>
      </c>
      <c r="M471" s="1" t="s">
        <v>81</v>
      </c>
      <c r="N471" s="1" t="s">
        <v>4289</v>
      </c>
      <c r="O471" s="1"/>
      <c r="P471" s="1" t="s">
        <v>472</v>
      </c>
      <c r="Q471" s="1" t="s">
        <v>9078</v>
      </c>
      <c r="R471" s="1" t="s">
        <v>9079</v>
      </c>
      <c r="S471" s="1">
        <v>9131958600</v>
      </c>
      <c r="T471" s="1" t="s">
        <v>5624</v>
      </c>
      <c r="U471" s="1" t="s">
        <v>9080</v>
      </c>
      <c r="V471" s="1">
        <v>9691271545</v>
      </c>
      <c r="W471" s="1" t="s">
        <v>5624</v>
      </c>
      <c r="X471" s="1" t="s">
        <v>9081</v>
      </c>
      <c r="Y471" s="1" t="s">
        <v>9082</v>
      </c>
      <c r="Z471" s="1" t="s">
        <v>3437</v>
      </c>
      <c r="AA471" s="1" t="s">
        <v>9081</v>
      </c>
      <c r="AB471" s="1" t="s">
        <v>9082</v>
      </c>
      <c r="AC471" s="1" t="s">
        <v>3437</v>
      </c>
      <c r="AD471" s="1">
        <v>7.18</v>
      </c>
      <c r="AE471" s="1" t="s">
        <v>93</v>
      </c>
      <c r="AF471" s="1" t="s">
        <v>9083</v>
      </c>
      <c r="AG471" s="1" t="s">
        <v>9084</v>
      </c>
      <c r="AH471" s="1" t="s">
        <v>161</v>
      </c>
      <c r="AI471" s="1" t="s">
        <v>162</v>
      </c>
      <c r="AJ471" s="1">
        <v>77.9</v>
      </c>
      <c r="AK471" s="1">
        <v>8.2</v>
      </c>
      <c r="AL471" s="1" t="s">
        <v>9085</v>
      </c>
      <c r="AM471" s="1" t="s">
        <v>9086</v>
      </c>
      <c r="AN471" s="1" t="s">
        <v>165</v>
      </c>
      <c r="AO471" s="1" t="s">
        <v>101</v>
      </c>
      <c r="AP471" s="1">
        <v>61.2</v>
      </c>
      <c r="AQ471" s="1"/>
      <c r="AR471" s="1"/>
      <c r="AS471" s="1"/>
      <c r="AT471" s="1"/>
      <c r="AU471" s="1"/>
      <c r="AV471" s="1"/>
      <c r="AW471" s="1"/>
      <c r="AX471" s="1" t="s">
        <v>9087</v>
      </c>
      <c r="AY471" s="1" t="s">
        <v>9088</v>
      </c>
      <c r="AZ471" s="1" t="s">
        <v>1043</v>
      </c>
      <c r="BA471" s="1" t="s">
        <v>284</v>
      </c>
      <c r="BB471" s="1">
        <v>69.7</v>
      </c>
      <c r="BC471" s="1">
        <v>6.97</v>
      </c>
      <c r="BD471" s="1"/>
      <c r="BE471" s="1"/>
      <c r="BF471" s="1"/>
      <c r="BG471" s="1"/>
      <c r="BH471" s="1"/>
      <c r="BI471" s="1"/>
      <c r="BJ471" s="1" t="s">
        <v>364</v>
      </c>
      <c r="BK471" s="1" t="s">
        <v>9089</v>
      </c>
      <c r="BL471" s="1" t="s">
        <v>9090</v>
      </c>
      <c r="BM471" s="1" t="s">
        <v>9091</v>
      </c>
      <c r="BN471" s="1">
        <v>9</v>
      </c>
      <c r="BO471" s="1" t="s">
        <v>9092</v>
      </c>
      <c r="BP471" s="1" t="str">
        <f>HYPERLINK("https://nconnect.nicmar.ac.in/storage/profile/ProfilePhoto_P25700471_756394.jpg","Download")</f>
        <v>0</v>
      </c>
      <c r="BQ471" s="3"/>
      <c r="BR471" s="3"/>
    </row>
    <row r="472" spans="1:70">
      <c r="A472" s="1" t="s">
        <v>70</v>
      </c>
      <c r="B472" s="1" t="s">
        <v>441</v>
      </c>
      <c r="C472" s="1" t="s">
        <v>9093</v>
      </c>
      <c r="D472" s="1" t="s">
        <v>2492</v>
      </c>
      <c r="E472" s="1" t="s">
        <v>4712</v>
      </c>
      <c r="F472" s="1" t="s">
        <v>2072</v>
      </c>
      <c r="G472" s="1" t="s">
        <v>9094</v>
      </c>
      <c r="H472" s="1" t="s">
        <v>9095</v>
      </c>
      <c r="I472" s="1" t="s">
        <v>9096</v>
      </c>
      <c r="J472" s="1">
        <v>7841023889</v>
      </c>
      <c r="K472" s="1" t="s">
        <v>79</v>
      </c>
      <c r="L472" s="1" t="s">
        <v>9097</v>
      </c>
      <c r="M472" s="1" t="s">
        <v>81</v>
      </c>
      <c r="N472" s="1" t="s">
        <v>1140</v>
      </c>
      <c r="O472" s="1"/>
      <c r="P472" s="1" t="s">
        <v>2035</v>
      </c>
      <c r="Q472" s="1" t="s">
        <v>9098</v>
      </c>
      <c r="R472" s="1" t="s">
        <v>9099</v>
      </c>
      <c r="S472" s="1">
        <v>9423058325</v>
      </c>
      <c r="T472" s="1" t="s">
        <v>154</v>
      </c>
      <c r="U472" s="1" t="s">
        <v>9100</v>
      </c>
      <c r="V472" s="1">
        <v>7798204891</v>
      </c>
      <c r="W472" s="1" t="s">
        <v>9101</v>
      </c>
      <c r="X472" s="1" t="s">
        <v>9102</v>
      </c>
      <c r="Y472" s="1" t="s">
        <v>191</v>
      </c>
      <c r="Z472" s="1" t="s">
        <v>92</v>
      </c>
      <c r="AA472" s="1" t="s">
        <v>9103</v>
      </c>
      <c r="AB472" s="1" t="s">
        <v>191</v>
      </c>
      <c r="AC472" s="1" t="s">
        <v>92</v>
      </c>
      <c r="AD472" s="1">
        <v>8.61</v>
      </c>
      <c r="AE472" s="1" t="s">
        <v>93</v>
      </c>
      <c r="AF472" s="1" t="s">
        <v>9104</v>
      </c>
      <c r="AG472" s="1" t="s">
        <v>160</v>
      </c>
      <c r="AH472" s="1" t="s">
        <v>162</v>
      </c>
      <c r="AI472" s="1" t="s">
        <v>195</v>
      </c>
      <c r="AJ472" s="1">
        <v>83.2</v>
      </c>
      <c r="AK472" s="1">
        <v>0</v>
      </c>
      <c r="AL472" s="1" t="s">
        <v>9105</v>
      </c>
      <c r="AM472" s="1" t="s">
        <v>160</v>
      </c>
      <c r="AN472" s="1" t="s">
        <v>101</v>
      </c>
      <c r="AO472" s="1" t="s">
        <v>198</v>
      </c>
      <c r="AP472" s="1">
        <v>66.77</v>
      </c>
      <c r="AQ472" s="1">
        <v>0</v>
      </c>
      <c r="AR472" s="1"/>
      <c r="AS472" s="1"/>
      <c r="AT472" s="1"/>
      <c r="AU472" s="1"/>
      <c r="AV472" s="1"/>
      <c r="AW472" s="1"/>
      <c r="AX472" s="1" t="s">
        <v>361</v>
      </c>
      <c r="AY472" s="1" t="s">
        <v>9106</v>
      </c>
      <c r="AZ472" s="1" t="s">
        <v>201</v>
      </c>
      <c r="BA472" s="1" t="s">
        <v>935</v>
      </c>
      <c r="BB472" s="1">
        <v>72.9</v>
      </c>
      <c r="BC472" s="1">
        <v>8.04</v>
      </c>
      <c r="BD472" s="1"/>
      <c r="BE472" s="1"/>
      <c r="BF472" s="1"/>
      <c r="BG472" s="1"/>
      <c r="BH472" s="1"/>
      <c r="BI472" s="1"/>
      <c r="BJ472" s="1" t="s">
        <v>9107</v>
      </c>
      <c r="BK472" s="1" t="s">
        <v>9108</v>
      </c>
      <c r="BL472" s="1" t="s">
        <v>2215</v>
      </c>
      <c r="BM472" s="1" t="s">
        <v>9109</v>
      </c>
      <c r="BN472" s="1">
        <v>14</v>
      </c>
      <c r="BO472" s="1" t="s">
        <v>9110</v>
      </c>
      <c r="BP472" s="1" t="str">
        <f>HYPERLINK("https://nconnect.nicmar.ac.in/storage/profile/ProfilePhoto_P25700472_563742.jpg","Download")</f>
        <v>0</v>
      </c>
      <c r="BQ472" s="3"/>
      <c r="BR472" s="3"/>
    </row>
    <row r="473" spans="1:70">
      <c r="A473" s="1" t="s">
        <v>70</v>
      </c>
      <c r="B473" s="1" t="s">
        <v>441</v>
      </c>
      <c r="C473" s="1" t="s">
        <v>9111</v>
      </c>
      <c r="D473" s="1" t="s">
        <v>9112</v>
      </c>
      <c r="E473" s="1" t="s">
        <v>9113</v>
      </c>
      <c r="F473" s="1" t="s">
        <v>9114</v>
      </c>
      <c r="G473" s="1" t="s">
        <v>9115</v>
      </c>
      <c r="H473" s="1" t="s">
        <v>9116</v>
      </c>
      <c r="I473" s="1" t="s">
        <v>9117</v>
      </c>
      <c r="J473" s="1">
        <v>8291691754</v>
      </c>
      <c r="K473" s="1" t="s">
        <v>79</v>
      </c>
      <c r="L473" s="1" t="s">
        <v>9118</v>
      </c>
      <c r="M473" s="1" t="s">
        <v>81</v>
      </c>
      <c r="N473" s="1" t="s">
        <v>1448</v>
      </c>
      <c r="O473" s="1"/>
      <c r="P473" s="1" t="s">
        <v>450</v>
      </c>
      <c r="Q473" s="1" t="s">
        <v>9119</v>
      </c>
      <c r="R473" s="1" t="s">
        <v>9120</v>
      </c>
      <c r="S473" s="1">
        <v>9930811145</v>
      </c>
      <c r="T473" s="1" t="s">
        <v>120</v>
      </c>
      <c r="U473" s="1" t="s">
        <v>9121</v>
      </c>
      <c r="V473" s="1">
        <v>9930320469</v>
      </c>
      <c r="W473" s="1" t="s">
        <v>632</v>
      </c>
      <c r="X473" s="1" t="s">
        <v>9122</v>
      </c>
      <c r="Y473" s="1" t="s">
        <v>991</v>
      </c>
      <c r="Z473" s="1" t="s">
        <v>92</v>
      </c>
      <c r="AA473" s="1" t="s">
        <v>9122</v>
      </c>
      <c r="AB473" s="1" t="s">
        <v>991</v>
      </c>
      <c r="AC473" s="1" t="s">
        <v>92</v>
      </c>
      <c r="AD473" s="1">
        <v>7.28</v>
      </c>
      <c r="AE473" s="1" t="s">
        <v>93</v>
      </c>
      <c r="AF473" s="1" t="s">
        <v>9123</v>
      </c>
      <c r="AG473" s="1" t="s">
        <v>160</v>
      </c>
      <c r="AH473" s="1" t="s">
        <v>161</v>
      </c>
      <c r="AI473" s="1" t="s">
        <v>614</v>
      </c>
      <c r="AJ473" s="1">
        <v>73.4</v>
      </c>
      <c r="AK473" s="1"/>
      <c r="AL473" s="1"/>
      <c r="AM473" s="1"/>
      <c r="AN473" s="1"/>
      <c r="AO473" s="1"/>
      <c r="AP473" s="1"/>
      <c r="AQ473" s="1"/>
      <c r="AR473" s="1" t="s">
        <v>98</v>
      </c>
      <c r="AS473" s="1" t="s">
        <v>9124</v>
      </c>
      <c r="AT473" s="1" t="s">
        <v>134</v>
      </c>
      <c r="AU473" s="1" t="s">
        <v>433</v>
      </c>
      <c r="AV473" s="1">
        <v>73.39</v>
      </c>
      <c r="AW473" s="1"/>
      <c r="AX473" s="1" t="s">
        <v>253</v>
      </c>
      <c r="AY473" s="1" t="s">
        <v>9125</v>
      </c>
      <c r="AZ473" s="1" t="s">
        <v>201</v>
      </c>
      <c r="BA473" s="1" t="s">
        <v>105</v>
      </c>
      <c r="BB473" s="1">
        <v>68.04</v>
      </c>
      <c r="BC473" s="1">
        <v>7.59</v>
      </c>
      <c r="BD473" s="1"/>
      <c r="BE473" s="1"/>
      <c r="BF473" s="1"/>
      <c r="BG473" s="1"/>
      <c r="BH473" s="1"/>
      <c r="BI473" s="1"/>
      <c r="BJ473" s="1" t="s">
        <v>6131</v>
      </c>
      <c r="BK473" s="1" t="s">
        <v>9126</v>
      </c>
      <c r="BL473" s="1" t="s">
        <v>7635</v>
      </c>
      <c r="BM473" s="1" t="s">
        <v>9127</v>
      </c>
      <c r="BN473" s="1">
        <v>8</v>
      </c>
      <c r="BO473" s="1"/>
      <c r="BP473" s="1" t="str">
        <f>HYPERLINK("https://nconnect.nicmar.ac.in/storage/profile/ProfilePhoto_P25700473_341952.jpg","Download")</f>
        <v>0</v>
      </c>
      <c r="BQ473" s="3"/>
      <c r="BR473" s="3"/>
    </row>
    <row r="474" spans="1:70">
      <c r="A474" s="1" t="s">
        <v>70</v>
      </c>
      <c r="B474" s="1" t="s">
        <v>441</v>
      </c>
      <c r="C474" s="1" t="s">
        <v>9128</v>
      </c>
      <c r="D474" s="1" t="s">
        <v>9061</v>
      </c>
      <c r="E474" s="1" t="s">
        <v>9129</v>
      </c>
      <c r="F474" s="1" t="s">
        <v>9130</v>
      </c>
      <c r="G474" s="1" t="s">
        <v>9131</v>
      </c>
      <c r="H474" s="1" t="s">
        <v>9132</v>
      </c>
      <c r="I474" s="1" t="s">
        <v>9133</v>
      </c>
      <c r="J474" s="1">
        <v>7028905422</v>
      </c>
      <c r="K474" s="1" t="s">
        <v>79</v>
      </c>
      <c r="L474" s="1" t="s">
        <v>9134</v>
      </c>
      <c r="M474" s="1" t="s">
        <v>81</v>
      </c>
      <c r="N474" s="1" t="s">
        <v>1140</v>
      </c>
      <c r="O474" s="1"/>
      <c r="P474" s="1" t="s">
        <v>472</v>
      </c>
      <c r="Q474" s="1" t="s">
        <v>9135</v>
      </c>
      <c r="R474" s="1" t="s">
        <v>9130</v>
      </c>
      <c r="S474" s="1">
        <v>8862026202</v>
      </c>
      <c r="T474" s="1" t="s">
        <v>820</v>
      </c>
      <c r="U474" s="1" t="s">
        <v>9136</v>
      </c>
      <c r="V474" s="1">
        <v>9561335801</v>
      </c>
      <c r="W474" s="1" t="s">
        <v>9137</v>
      </c>
      <c r="X474" s="1" t="s">
        <v>9138</v>
      </c>
      <c r="Y474" s="1" t="s">
        <v>191</v>
      </c>
      <c r="Z474" s="1" t="s">
        <v>92</v>
      </c>
      <c r="AA474" s="1" t="s">
        <v>9138</v>
      </c>
      <c r="AB474" s="1" t="s">
        <v>191</v>
      </c>
      <c r="AC474" s="1" t="s">
        <v>92</v>
      </c>
      <c r="AD474" s="1">
        <v>9.04</v>
      </c>
      <c r="AE474" s="1" t="s">
        <v>93</v>
      </c>
      <c r="AF474" s="1" t="s">
        <v>9139</v>
      </c>
      <c r="AG474" s="1" t="s">
        <v>160</v>
      </c>
      <c r="AH474" s="1" t="s">
        <v>281</v>
      </c>
      <c r="AI474" s="1" t="s">
        <v>409</v>
      </c>
      <c r="AJ474" s="1">
        <v>76</v>
      </c>
      <c r="AK474" s="1"/>
      <c r="AL474" s="1" t="s">
        <v>9139</v>
      </c>
      <c r="AM474" s="1" t="s">
        <v>160</v>
      </c>
      <c r="AN474" s="1" t="s">
        <v>412</v>
      </c>
      <c r="AO474" s="1" t="s">
        <v>826</v>
      </c>
      <c r="AP474" s="1">
        <v>73.83</v>
      </c>
      <c r="AQ474" s="1"/>
      <c r="AR474" s="1"/>
      <c r="AS474" s="1"/>
      <c r="AT474" s="1"/>
      <c r="AU474" s="1"/>
      <c r="AV474" s="1"/>
      <c r="AW474" s="1"/>
      <c r="AX474" s="1" t="s">
        <v>361</v>
      </c>
      <c r="AY474" s="1" t="s">
        <v>9140</v>
      </c>
      <c r="AZ474" s="1" t="s">
        <v>852</v>
      </c>
      <c r="BA474" s="1" t="s">
        <v>829</v>
      </c>
      <c r="BB474" s="1">
        <v>68.08</v>
      </c>
      <c r="BC474" s="1">
        <v>7.65</v>
      </c>
      <c r="BD474" s="1"/>
      <c r="BE474" s="1"/>
      <c r="BF474" s="1"/>
      <c r="BG474" s="1"/>
      <c r="BH474" s="1"/>
      <c r="BI474" s="1"/>
      <c r="BJ474" s="1" t="s">
        <v>9141</v>
      </c>
      <c r="BK474" s="1"/>
      <c r="BL474" s="1"/>
      <c r="BM474" s="1" t="s">
        <v>9142</v>
      </c>
      <c r="BN474" s="1">
        <v>12</v>
      </c>
      <c r="BO474" s="1"/>
      <c r="BP474" s="1" t="str">
        <f>HYPERLINK("https://nconnect.nicmar.ac.in/storage/profile/ProfilePhoto_P25700474_921674.jpg","Download")</f>
        <v>0</v>
      </c>
      <c r="BQ474" s="3"/>
      <c r="BR474" s="3"/>
    </row>
    <row r="475" spans="1:70">
      <c r="A475" s="1" t="s">
        <v>70</v>
      </c>
      <c r="B475" s="1" t="s">
        <v>441</v>
      </c>
      <c r="C475" s="1" t="s">
        <v>9143</v>
      </c>
      <c r="D475" s="1" t="s">
        <v>3236</v>
      </c>
      <c r="E475" s="1"/>
      <c r="F475" s="1" t="s">
        <v>9144</v>
      </c>
      <c r="G475" s="1" t="s">
        <v>9145</v>
      </c>
      <c r="H475" s="1" t="s">
        <v>9146</v>
      </c>
      <c r="I475" s="1" t="s">
        <v>9147</v>
      </c>
      <c r="J475" s="1">
        <v>7708192164</v>
      </c>
      <c r="K475" s="1" t="s">
        <v>79</v>
      </c>
      <c r="L475" s="1" t="s">
        <v>9148</v>
      </c>
      <c r="M475" s="1" t="s">
        <v>81</v>
      </c>
      <c r="N475" s="1" t="s">
        <v>5779</v>
      </c>
      <c r="O475" s="1"/>
      <c r="P475" s="1" t="s">
        <v>497</v>
      </c>
      <c r="Q475" s="1" t="s">
        <v>9149</v>
      </c>
      <c r="R475" s="1" t="s">
        <v>9150</v>
      </c>
      <c r="S475" s="1">
        <v>9443341744</v>
      </c>
      <c r="T475" s="1" t="s">
        <v>820</v>
      </c>
      <c r="U475" s="1" t="s">
        <v>9151</v>
      </c>
      <c r="V475" s="1">
        <v>9487541744</v>
      </c>
      <c r="W475" s="1" t="s">
        <v>531</v>
      </c>
      <c r="X475" s="1" t="s">
        <v>9152</v>
      </c>
      <c r="Y475" s="1" t="s">
        <v>9153</v>
      </c>
      <c r="Z475" s="1" t="s">
        <v>559</v>
      </c>
      <c r="AA475" s="1" t="s">
        <v>9152</v>
      </c>
      <c r="AB475" s="1" t="s">
        <v>9153</v>
      </c>
      <c r="AC475" s="1" t="s">
        <v>559</v>
      </c>
      <c r="AD475" s="1">
        <v>8.41</v>
      </c>
      <c r="AE475" s="1" t="s">
        <v>93</v>
      </c>
      <c r="AF475" s="1" t="s">
        <v>7272</v>
      </c>
      <c r="AG475" s="1" t="s">
        <v>9154</v>
      </c>
      <c r="AH475" s="1" t="s">
        <v>481</v>
      </c>
      <c r="AI475" s="1" t="s">
        <v>308</v>
      </c>
      <c r="AJ475" s="1">
        <v>86.2</v>
      </c>
      <c r="AK475" s="1"/>
      <c r="AL475" s="1" t="s">
        <v>7272</v>
      </c>
      <c r="AM475" s="1" t="s">
        <v>9154</v>
      </c>
      <c r="AN475" s="1" t="s">
        <v>956</v>
      </c>
      <c r="AO475" s="1" t="s">
        <v>539</v>
      </c>
      <c r="AP475" s="1">
        <v>88.4</v>
      </c>
      <c r="AQ475" s="1"/>
      <c r="AR475" s="1"/>
      <c r="AS475" s="1"/>
      <c r="AT475" s="1"/>
      <c r="AU475" s="1"/>
      <c r="AV475" s="1"/>
      <c r="AW475" s="1"/>
      <c r="AX475" s="1" t="s">
        <v>540</v>
      </c>
      <c r="AY475" s="1" t="s">
        <v>9155</v>
      </c>
      <c r="AZ475" s="1" t="s">
        <v>542</v>
      </c>
      <c r="BA475" s="1" t="s">
        <v>543</v>
      </c>
      <c r="BB475" s="1">
        <v>88.4</v>
      </c>
      <c r="BC475" s="1">
        <v>8.84</v>
      </c>
      <c r="BD475" s="1"/>
      <c r="BE475" s="1"/>
      <c r="BF475" s="1"/>
      <c r="BG475" s="1"/>
      <c r="BH475" s="1"/>
      <c r="BI475" s="1"/>
      <c r="BJ475" s="1" t="s">
        <v>6131</v>
      </c>
      <c r="BK475" s="1"/>
      <c r="BL475" s="1"/>
      <c r="BM475" s="1" t="s">
        <v>9156</v>
      </c>
      <c r="BN475" s="1">
        <v>33</v>
      </c>
      <c r="BO475" s="1" t="s">
        <v>9157</v>
      </c>
      <c r="BP475" s="1" t="str">
        <f>HYPERLINK("https://nconnect.nicmar.ac.in/storage/profile/ProfilePhoto_P25700475_418297.jpg","Download")</f>
        <v>0</v>
      </c>
      <c r="BQ475" s="3"/>
      <c r="BR475" s="3"/>
    </row>
    <row r="476" spans="1:70">
      <c r="A476" s="1" t="s">
        <v>70</v>
      </c>
      <c r="B476" s="1" t="s">
        <v>441</v>
      </c>
      <c r="C476" s="1" t="s">
        <v>9158</v>
      </c>
      <c r="D476" s="1" t="s">
        <v>9159</v>
      </c>
      <c r="E476" s="1"/>
      <c r="F476" s="1" t="s">
        <v>9160</v>
      </c>
      <c r="G476" s="1" t="s">
        <v>9161</v>
      </c>
      <c r="H476" s="1" t="s">
        <v>9162</v>
      </c>
      <c r="I476" s="1" t="s">
        <v>9163</v>
      </c>
      <c r="J476" s="1">
        <v>9678538506</v>
      </c>
      <c r="K476" s="1" t="s">
        <v>79</v>
      </c>
      <c r="L476" s="1" t="s">
        <v>9164</v>
      </c>
      <c r="M476" s="1" t="s">
        <v>81</v>
      </c>
      <c r="N476" s="1" t="s">
        <v>9165</v>
      </c>
      <c r="O476" s="1"/>
      <c r="P476" s="1" t="s">
        <v>472</v>
      </c>
      <c r="Q476" s="1" t="s">
        <v>9166</v>
      </c>
      <c r="R476" s="1" t="s">
        <v>9167</v>
      </c>
      <c r="S476" s="1">
        <v>9613177123</v>
      </c>
      <c r="T476" s="1" t="s">
        <v>4698</v>
      </c>
      <c r="U476" s="1" t="s">
        <v>9168</v>
      </c>
      <c r="V476" s="1">
        <v>9101597034</v>
      </c>
      <c r="W476" s="1" t="s">
        <v>156</v>
      </c>
      <c r="X476" s="1" t="s">
        <v>9169</v>
      </c>
      <c r="Y476" s="1" t="s">
        <v>9170</v>
      </c>
      <c r="Z476" s="1" t="s">
        <v>1533</v>
      </c>
      <c r="AA476" s="1" t="s">
        <v>9169</v>
      </c>
      <c r="AB476" s="1" t="s">
        <v>9170</v>
      </c>
      <c r="AC476" s="1" t="s">
        <v>1533</v>
      </c>
      <c r="AD476" s="1">
        <v>9.31</v>
      </c>
      <c r="AE476" s="1" t="s">
        <v>93</v>
      </c>
      <c r="AF476" s="1" t="s">
        <v>9171</v>
      </c>
      <c r="AG476" s="1" t="s">
        <v>9172</v>
      </c>
      <c r="AH476" s="1" t="s">
        <v>129</v>
      </c>
      <c r="AI476" s="1" t="s">
        <v>1239</v>
      </c>
      <c r="AJ476" s="1">
        <v>87.4</v>
      </c>
      <c r="AK476" s="1">
        <v>9.2</v>
      </c>
      <c r="AL476" s="1" t="s">
        <v>9173</v>
      </c>
      <c r="AM476" s="1" t="s">
        <v>9174</v>
      </c>
      <c r="AN476" s="1" t="s">
        <v>161</v>
      </c>
      <c r="AO476" s="1" t="s">
        <v>162</v>
      </c>
      <c r="AP476" s="1">
        <v>87.4</v>
      </c>
      <c r="AQ476" s="1"/>
      <c r="AR476" s="1"/>
      <c r="AS476" s="1"/>
      <c r="AT476" s="1"/>
      <c r="AU476" s="1"/>
      <c r="AV476" s="1"/>
      <c r="AW476" s="1"/>
      <c r="AX476" s="1" t="s">
        <v>9175</v>
      </c>
      <c r="AY476" s="1" t="s">
        <v>9176</v>
      </c>
      <c r="AZ476" s="1" t="s">
        <v>134</v>
      </c>
      <c r="BA476" s="1" t="s">
        <v>412</v>
      </c>
      <c r="BB476" s="1">
        <v>71.42</v>
      </c>
      <c r="BC476" s="1"/>
      <c r="BD476" s="1"/>
      <c r="BE476" s="1"/>
      <c r="BF476" s="1"/>
      <c r="BG476" s="1"/>
      <c r="BH476" s="1"/>
      <c r="BI476" s="1"/>
      <c r="BJ476" s="1" t="s">
        <v>9177</v>
      </c>
      <c r="BK476" s="1" t="s">
        <v>9178</v>
      </c>
      <c r="BL476" s="1" t="s">
        <v>741</v>
      </c>
      <c r="BM476" s="1" t="s">
        <v>9179</v>
      </c>
      <c r="BN476" s="1">
        <v>8</v>
      </c>
      <c r="BO476" s="1"/>
      <c r="BP476" s="1" t="str">
        <f>HYPERLINK("https://nconnect.nicmar.ac.in/storage/profile/ProfilePhoto_P25700476_725986.jpg","Download")</f>
        <v>0</v>
      </c>
      <c r="BQ476" s="3"/>
      <c r="BR476" s="3"/>
    </row>
    <row r="477" spans="1:70">
      <c r="A477" s="1" t="s">
        <v>70</v>
      </c>
      <c r="B477" s="1" t="s">
        <v>441</v>
      </c>
      <c r="C477" s="1" t="s">
        <v>9180</v>
      </c>
      <c r="D477" s="1" t="s">
        <v>744</v>
      </c>
      <c r="E477" s="1" t="s">
        <v>1113</v>
      </c>
      <c r="F477" s="1" t="s">
        <v>9181</v>
      </c>
      <c r="G477" s="1" t="s">
        <v>9182</v>
      </c>
      <c r="H477" s="1" t="s">
        <v>9183</v>
      </c>
      <c r="I477" s="1" t="s">
        <v>9184</v>
      </c>
      <c r="J477" s="1">
        <v>7030406464</v>
      </c>
      <c r="K477" s="1" t="s">
        <v>79</v>
      </c>
      <c r="L477" s="1" t="s">
        <v>9185</v>
      </c>
      <c r="M477" s="1" t="s">
        <v>81</v>
      </c>
      <c r="N477" s="1" t="s">
        <v>883</v>
      </c>
      <c r="O477" s="1"/>
      <c r="P477" s="1" t="s">
        <v>497</v>
      </c>
      <c r="Q477" s="1" t="s">
        <v>9186</v>
      </c>
      <c r="R477" s="1" t="s">
        <v>1113</v>
      </c>
      <c r="S477" s="1">
        <v>9823661700</v>
      </c>
      <c r="T477" s="1" t="s">
        <v>154</v>
      </c>
      <c r="U477" s="1" t="s">
        <v>9187</v>
      </c>
      <c r="V477" s="1">
        <v>9823661700</v>
      </c>
      <c r="W477" s="1" t="s">
        <v>156</v>
      </c>
      <c r="X477" s="1" t="s">
        <v>9188</v>
      </c>
      <c r="Y477" s="1" t="s">
        <v>890</v>
      </c>
      <c r="Z477" s="1" t="s">
        <v>92</v>
      </c>
      <c r="AA477" s="1" t="s">
        <v>9188</v>
      </c>
      <c r="AB477" s="1" t="s">
        <v>890</v>
      </c>
      <c r="AC477" s="1" t="s">
        <v>92</v>
      </c>
      <c r="AD477" s="1">
        <v>9.22</v>
      </c>
      <c r="AE477" s="1" t="s">
        <v>93</v>
      </c>
      <c r="AF477" s="1" t="s">
        <v>9189</v>
      </c>
      <c r="AG477" s="1" t="s">
        <v>6710</v>
      </c>
      <c r="AH477" s="1" t="s">
        <v>162</v>
      </c>
      <c r="AI477" s="1" t="s">
        <v>195</v>
      </c>
      <c r="AJ477" s="1">
        <v>89.6</v>
      </c>
      <c r="AK477" s="1"/>
      <c r="AL477" s="1"/>
      <c r="AM477" s="1"/>
      <c r="AN477" s="1"/>
      <c r="AO477" s="1"/>
      <c r="AP477" s="1"/>
      <c r="AQ477" s="1"/>
      <c r="AR477" s="1" t="s">
        <v>434</v>
      </c>
      <c r="AS477" s="1" t="s">
        <v>9190</v>
      </c>
      <c r="AT477" s="1" t="s">
        <v>165</v>
      </c>
      <c r="AU477" s="1" t="s">
        <v>170</v>
      </c>
      <c r="AV477" s="1">
        <v>88.21</v>
      </c>
      <c r="AW477" s="1"/>
      <c r="AX477" s="1" t="s">
        <v>361</v>
      </c>
      <c r="AY477" s="1" t="s">
        <v>9191</v>
      </c>
      <c r="AZ477" s="1" t="s">
        <v>363</v>
      </c>
      <c r="BA477" s="1" t="s">
        <v>935</v>
      </c>
      <c r="BB477" s="1">
        <v>74.3</v>
      </c>
      <c r="BC477" s="1">
        <v>8.18</v>
      </c>
      <c r="BD477" s="1"/>
      <c r="BE477" s="1"/>
      <c r="BF477" s="1"/>
      <c r="BG477" s="1"/>
      <c r="BH477" s="1"/>
      <c r="BI477" s="1"/>
      <c r="BJ477" s="1" t="s">
        <v>9192</v>
      </c>
      <c r="BK477" s="1" t="s">
        <v>9193</v>
      </c>
      <c r="BL477" s="1" t="s">
        <v>645</v>
      </c>
      <c r="BM477" s="1" t="s">
        <v>9194</v>
      </c>
      <c r="BN477" s="1">
        <v>25</v>
      </c>
      <c r="BO477" s="1" t="s">
        <v>9195</v>
      </c>
      <c r="BP477" s="1" t="str">
        <f>HYPERLINK("https://nconnect.nicmar.ac.in/storage/profile/ProfilePhoto_P25700477_351924.jpg","Download")</f>
        <v>0</v>
      </c>
      <c r="BQ477" s="3"/>
      <c r="BR477" s="3"/>
    </row>
    <row r="478" spans="1:70">
      <c r="A478" s="1" t="s">
        <v>70</v>
      </c>
      <c r="B478" s="1" t="s">
        <v>441</v>
      </c>
      <c r="C478" s="1" t="s">
        <v>9196</v>
      </c>
      <c r="D478" s="1" t="s">
        <v>9197</v>
      </c>
      <c r="E478" s="1"/>
      <c r="F478" s="1" t="s">
        <v>2220</v>
      </c>
      <c r="G478" s="1" t="s">
        <v>9198</v>
      </c>
      <c r="H478" s="1" t="s">
        <v>9199</v>
      </c>
      <c r="I478" s="1" t="s">
        <v>9200</v>
      </c>
      <c r="J478" s="1">
        <v>8505965550</v>
      </c>
      <c r="K478" s="1" t="s">
        <v>79</v>
      </c>
      <c r="L478" s="1" t="s">
        <v>6386</v>
      </c>
      <c r="M478" s="1" t="s">
        <v>81</v>
      </c>
      <c r="N478" s="1" t="s">
        <v>4289</v>
      </c>
      <c r="O478" s="1"/>
      <c r="P478" s="1" t="s">
        <v>450</v>
      </c>
      <c r="Q478" s="1" t="s">
        <v>9201</v>
      </c>
      <c r="R478" s="1" t="s">
        <v>9202</v>
      </c>
      <c r="S478" s="1">
        <v>8505965550</v>
      </c>
      <c r="T478" s="1" t="s">
        <v>6725</v>
      </c>
      <c r="U478" s="1" t="s">
        <v>9203</v>
      </c>
      <c r="V478" s="1">
        <v>8505965550</v>
      </c>
      <c r="W478" s="1" t="s">
        <v>156</v>
      </c>
      <c r="X478" s="1" t="s">
        <v>9204</v>
      </c>
      <c r="Y478" s="1" t="s">
        <v>9205</v>
      </c>
      <c r="Z478" s="1" t="s">
        <v>1714</v>
      </c>
      <c r="AA478" s="1" t="s">
        <v>9204</v>
      </c>
      <c r="AB478" s="1" t="s">
        <v>9205</v>
      </c>
      <c r="AC478" s="1" t="s">
        <v>1714</v>
      </c>
      <c r="AD478" s="1">
        <v>9.0</v>
      </c>
      <c r="AE478" s="1" t="s">
        <v>93</v>
      </c>
      <c r="AF478" s="1" t="s">
        <v>9206</v>
      </c>
      <c r="AG478" s="1" t="s">
        <v>688</v>
      </c>
      <c r="AH478" s="1" t="s">
        <v>481</v>
      </c>
      <c r="AI478" s="1" t="s">
        <v>308</v>
      </c>
      <c r="AJ478" s="1">
        <v>88</v>
      </c>
      <c r="AK478" s="1"/>
      <c r="AL478" s="1" t="s">
        <v>9206</v>
      </c>
      <c r="AM478" s="1" t="s">
        <v>688</v>
      </c>
      <c r="AN478" s="1" t="s">
        <v>956</v>
      </c>
      <c r="AO478" s="1" t="s">
        <v>828</v>
      </c>
      <c r="AP478" s="1">
        <v>85.5</v>
      </c>
      <c r="AQ478" s="1"/>
      <c r="AR478" s="1"/>
      <c r="AS478" s="1"/>
      <c r="AT478" s="1"/>
      <c r="AU478" s="1"/>
      <c r="AV478" s="1"/>
      <c r="AW478" s="1"/>
      <c r="AX478" s="1" t="s">
        <v>9207</v>
      </c>
      <c r="AY478" s="1" t="s">
        <v>9207</v>
      </c>
      <c r="AZ478" s="1" t="s">
        <v>593</v>
      </c>
      <c r="BA478" s="1" t="s">
        <v>543</v>
      </c>
      <c r="BB478" s="1">
        <v>76</v>
      </c>
      <c r="BC478" s="1">
        <v>7.6</v>
      </c>
      <c r="BD478" s="1"/>
      <c r="BE478" s="1"/>
      <c r="BF478" s="1"/>
      <c r="BG478" s="1"/>
      <c r="BH478" s="1"/>
      <c r="BI478" s="1"/>
      <c r="BJ478" s="1" t="s">
        <v>9208</v>
      </c>
      <c r="BK478" s="1"/>
      <c r="BL478" s="1"/>
      <c r="BM478" s="1" t="s">
        <v>9209</v>
      </c>
      <c r="BN478" s="1">
        <v>21</v>
      </c>
      <c r="BO478" s="1" t="s">
        <v>9210</v>
      </c>
      <c r="BP478" s="1" t="str">
        <f>HYPERLINK("https://nconnect.nicmar.ac.in/storage/profile/ProfilePhoto_P25700478_489325.jpg","Download")</f>
        <v>0</v>
      </c>
      <c r="BQ478" s="3"/>
      <c r="BR478" s="3"/>
    </row>
    <row r="479" spans="1:70">
      <c r="A479" s="1" t="s">
        <v>70</v>
      </c>
      <c r="B479" s="1" t="s">
        <v>441</v>
      </c>
      <c r="C479" s="1" t="s">
        <v>9211</v>
      </c>
      <c r="D479" s="1" t="s">
        <v>9212</v>
      </c>
      <c r="E479" s="1" t="s">
        <v>9213</v>
      </c>
      <c r="F479" s="1" t="s">
        <v>9214</v>
      </c>
      <c r="G479" s="1" t="s">
        <v>9215</v>
      </c>
      <c r="H479" s="1" t="s">
        <v>9216</v>
      </c>
      <c r="I479" s="1" t="s">
        <v>9217</v>
      </c>
      <c r="J479" s="1">
        <v>9137489224</v>
      </c>
      <c r="K479" s="1" t="s">
        <v>79</v>
      </c>
      <c r="L479" s="1" t="s">
        <v>9218</v>
      </c>
      <c r="M479" s="1" t="s">
        <v>81</v>
      </c>
      <c r="N479" s="1" t="s">
        <v>8630</v>
      </c>
      <c r="O479" s="1"/>
      <c r="P479" s="1" t="s">
        <v>2035</v>
      </c>
      <c r="Q479" s="1" t="s">
        <v>9219</v>
      </c>
      <c r="R479" s="1" t="s">
        <v>9214</v>
      </c>
      <c r="S479" s="1">
        <v>8605128946</v>
      </c>
      <c r="T479" s="1" t="s">
        <v>154</v>
      </c>
      <c r="U479" s="1" t="s">
        <v>2559</v>
      </c>
      <c r="V479" s="1">
        <v>7977052725</v>
      </c>
      <c r="W479" s="1" t="s">
        <v>156</v>
      </c>
      <c r="X479" s="1" t="s">
        <v>9220</v>
      </c>
      <c r="Y479" s="1" t="s">
        <v>158</v>
      </c>
      <c r="Z479" s="1" t="s">
        <v>92</v>
      </c>
      <c r="AA479" s="1" t="s">
        <v>9220</v>
      </c>
      <c r="AB479" s="1" t="s">
        <v>158</v>
      </c>
      <c r="AC479" s="1" t="s">
        <v>92</v>
      </c>
      <c r="AD479" s="1">
        <v>8.64</v>
      </c>
      <c r="AE479" s="1" t="s">
        <v>93</v>
      </c>
      <c r="AF479" s="1" t="s">
        <v>9221</v>
      </c>
      <c r="AG479" s="1" t="s">
        <v>9222</v>
      </c>
      <c r="AH479" s="1" t="s">
        <v>162</v>
      </c>
      <c r="AI479" s="1" t="s">
        <v>195</v>
      </c>
      <c r="AJ479" s="1">
        <v>90.2</v>
      </c>
      <c r="AK479" s="1"/>
      <c r="AL479" s="1"/>
      <c r="AM479" s="1"/>
      <c r="AN479" s="1"/>
      <c r="AO479" s="1"/>
      <c r="AP479" s="1"/>
      <c r="AQ479" s="1"/>
      <c r="AR479" s="1" t="s">
        <v>434</v>
      </c>
      <c r="AS479" s="1" t="s">
        <v>1943</v>
      </c>
      <c r="AT479" s="1" t="s">
        <v>225</v>
      </c>
      <c r="AU479" s="1" t="s">
        <v>460</v>
      </c>
      <c r="AV479" s="1">
        <v>83.45</v>
      </c>
      <c r="AW479" s="1"/>
      <c r="AX479" s="1" t="s">
        <v>361</v>
      </c>
      <c r="AY479" s="1" t="s">
        <v>9223</v>
      </c>
      <c r="AZ479" s="1" t="s">
        <v>539</v>
      </c>
      <c r="BA479" s="1" t="s">
        <v>202</v>
      </c>
      <c r="BB479" s="1">
        <v>76.5</v>
      </c>
      <c r="BC479" s="1">
        <v>8.4</v>
      </c>
      <c r="BD479" s="1"/>
      <c r="BE479" s="1"/>
      <c r="BF479" s="1"/>
      <c r="BG479" s="1"/>
      <c r="BH479" s="1"/>
      <c r="BI479" s="1"/>
      <c r="BJ479" s="1" t="s">
        <v>9224</v>
      </c>
      <c r="BK479" s="1" t="s">
        <v>9225</v>
      </c>
      <c r="BL479" s="1" t="s">
        <v>1335</v>
      </c>
      <c r="BM479" s="1" t="s">
        <v>9226</v>
      </c>
      <c r="BN479" s="1">
        <v>28</v>
      </c>
      <c r="BO479" s="1" t="s">
        <v>9227</v>
      </c>
      <c r="BP479" s="1" t="str">
        <f>HYPERLINK("https://nconnect.nicmar.ac.in/storage/profile/ProfilePhoto_P25700479_865294.jpg","Download")</f>
        <v>0</v>
      </c>
      <c r="BQ479" s="3"/>
      <c r="BR479" s="3"/>
    </row>
    <row r="480" spans="1:70">
      <c r="A480" s="1" t="s">
        <v>70</v>
      </c>
      <c r="B480" s="1" t="s">
        <v>441</v>
      </c>
      <c r="C480" s="1" t="s">
        <v>9228</v>
      </c>
      <c r="D480" s="1" t="s">
        <v>744</v>
      </c>
      <c r="E480" s="1" t="s">
        <v>9229</v>
      </c>
      <c r="F480" s="1" t="s">
        <v>9230</v>
      </c>
      <c r="G480" s="1" t="s">
        <v>9231</v>
      </c>
      <c r="H480" s="1" t="s">
        <v>9232</v>
      </c>
      <c r="I480" s="1" t="s">
        <v>9233</v>
      </c>
      <c r="J480" s="1">
        <v>9359507651</v>
      </c>
      <c r="K480" s="1" t="s">
        <v>79</v>
      </c>
      <c r="L480" s="1" t="s">
        <v>9234</v>
      </c>
      <c r="M480" s="1" t="s">
        <v>81</v>
      </c>
      <c r="N480" s="1" t="s">
        <v>605</v>
      </c>
      <c r="O480" s="1"/>
      <c r="P480" s="1" t="s">
        <v>497</v>
      </c>
      <c r="Q480" s="1" t="s">
        <v>9235</v>
      </c>
      <c r="R480" s="1" t="s">
        <v>9229</v>
      </c>
      <c r="S480" s="1">
        <v>9823434100</v>
      </c>
      <c r="T480" s="1" t="s">
        <v>9236</v>
      </c>
      <c r="U480" s="1" t="s">
        <v>3019</v>
      </c>
      <c r="V480" s="1">
        <v>9823615100</v>
      </c>
      <c r="W480" s="1" t="s">
        <v>156</v>
      </c>
      <c r="X480" s="1" t="s">
        <v>9237</v>
      </c>
      <c r="Y480" s="1" t="s">
        <v>5185</v>
      </c>
      <c r="Z480" s="1" t="s">
        <v>92</v>
      </c>
      <c r="AA480" s="1" t="s">
        <v>9237</v>
      </c>
      <c r="AB480" s="1" t="s">
        <v>5185</v>
      </c>
      <c r="AC480" s="1" t="s">
        <v>92</v>
      </c>
      <c r="AD480" s="1">
        <v>9.18</v>
      </c>
      <c r="AE480" s="1" t="s">
        <v>93</v>
      </c>
      <c r="AF480" s="1" t="s">
        <v>9238</v>
      </c>
      <c r="AG480" s="1" t="s">
        <v>8535</v>
      </c>
      <c r="AH480" s="1" t="s">
        <v>165</v>
      </c>
      <c r="AI480" s="1" t="s">
        <v>281</v>
      </c>
      <c r="AJ480" s="1">
        <v>85.4</v>
      </c>
      <c r="AK480" s="1"/>
      <c r="AL480" s="1" t="s">
        <v>9239</v>
      </c>
      <c r="AM480" s="1" t="s">
        <v>8535</v>
      </c>
      <c r="AN480" s="1" t="s">
        <v>359</v>
      </c>
      <c r="AO480" s="1" t="s">
        <v>360</v>
      </c>
      <c r="AP480" s="1">
        <v>61.38</v>
      </c>
      <c r="AQ480" s="1"/>
      <c r="AR480" s="1"/>
      <c r="AS480" s="1"/>
      <c r="AT480" s="1"/>
      <c r="AU480" s="1"/>
      <c r="AV480" s="1"/>
      <c r="AW480" s="1"/>
      <c r="AX480" s="1" t="s">
        <v>1017</v>
      </c>
      <c r="AY480" s="1" t="s">
        <v>8537</v>
      </c>
      <c r="AZ480" s="1" t="s">
        <v>363</v>
      </c>
      <c r="BA480" s="1" t="s">
        <v>829</v>
      </c>
      <c r="BB480" s="1">
        <v>63.9</v>
      </c>
      <c r="BC480" s="1">
        <v>7.14</v>
      </c>
      <c r="BD480" s="1"/>
      <c r="BE480" s="1"/>
      <c r="BF480" s="1"/>
      <c r="BG480" s="1"/>
      <c r="BH480" s="1"/>
      <c r="BI480" s="1"/>
      <c r="BJ480" s="1" t="s">
        <v>7324</v>
      </c>
      <c r="BK480" s="1"/>
      <c r="BL480" s="1"/>
      <c r="BM480" s="1" t="s">
        <v>9240</v>
      </c>
      <c r="BN480" s="1">
        <v>15</v>
      </c>
      <c r="BO480" s="1" t="s">
        <v>4870</v>
      </c>
      <c r="BP480" s="1" t="str">
        <f>HYPERLINK("https://nconnect.nicmar.ac.in/storage/profile/ProfilePhoto_P25700480_918634.jpg","Download")</f>
        <v>0</v>
      </c>
      <c r="BQ480" s="3"/>
      <c r="BR480" s="3"/>
    </row>
    <row r="481" spans="1:70">
      <c r="A481" s="1" t="s">
        <v>70</v>
      </c>
      <c r="B481" s="1" t="s">
        <v>441</v>
      </c>
      <c r="C481" s="1" t="s">
        <v>9241</v>
      </c>
      <c r="D481" s="1" t="s">
        <v>7134</v>
      </c>
      <c r="E481" s="1" t="s">
        <v>4457</v>
      </c>
      <c r="F481" s="1" t="s">
        <v>9242</v>
      </c>
      <c r="G481" s="1" t="s">
        <v>9243</v>
      </c>
      <c r="H481" s="1" t="s">
        <v>9244</v>
      </c>
      <c r="I481" s="1" t="s">
        <v>9245</v>
      </c>
      <c r="J481" s="1">
        <v>9527336651</v>
      </c>
      <c r="K481" s="1" t="s">
        <v>79</v>
      </c>
      <c r="L481" s="1" t="s">
        <v>9246</v>
      </c>
      <c r="M481" s="1" t="s">
        <v>81</v>
      </c>
      <c r="N481" s="1" t="s">
        <v>9247</v>
      </c>
      <c r="O481" s="1"/>
      <c r="P481" s="1" t="s">
        <v>497</v>
      </c>
      <c r="Q481" s="1" t="s">
        <v>9248</v>
      </c>
      <c r="R481" s="1" t="s">
        <v>4457</v>
      </c>
      <c r="S481" s="1">
        <v>9604648313</v>
      </c>
      <c r="T481" s="1" t="s">
        <v>4780</v>
      </c>
      <c r="U481" s="1" t="s">
        <v>2210</v>
      </c>
      <c r="V481" s="1">
        <v>8329367333</v>
      </c>
      <c r="W481" s="1" t="s">
        <v>273</v>
      </c>
      <c r="X481" s="1" t="s">
        <v>9249</v>
      </c>
      <c r="Y481" s="1" t="s">
        <v>991</v>
      </c>
      <c r="Z481" s="1" t="s">
        <v>92</v>
      </c>
      <c r="AA481" s="1" t="s">
        <v>9249</v>
      </c>
      <c r="AB481" s="1" t="s">
        <v>991</v>
      </c>
      <c r="AC481" s="1" t="s">
        <v>92</v>
      </c>
      <c r="AD481" s="1">
        <v>8.95</v>
      </c>
      <c r="AE481" s="1" t="s">
        <v>93</v>
      </c>
      <c r="AF481" s="1" t="s">
        <v>9250</v>
      </c>
      <c r="AG481" s="1" t="s">
        <v>160</v>
      </c>
      <c r="AH481" s="1" t="s">
        <v>161</v>
      </c>
      <c r="AI481" s="1" t="s">
        <v>1089</v>
      </c>
      <c r="AJ481" s="1">
        <v>86.6</v>
      </c>
      <c r="AK481" s="1"/>
      <c r="AL481" s="1" t="s">
        <v>9251</v>
      </c>
      <c r="AM481" s="1" t="s">
        <v>160</v>
      </c>
      <c r="AN481" s="1" t="s">
        <v>165</v>
      </c>
      <c r="AO481" s="1" t="s">
        <v>166</v>
      </c>
      <c r="AP481" s="1">
        <v>63.69</v>
      </c>
      <c r="AQ481" s="1"/>
      <c r="AR481" s="1" t="s">
        <v>434</v>
      </c>
      <c r="AS481" s="1" t="s">
        <v>9252</v>
      </c>
      <c r="AT481" s="1" t="s">
        <v>1043</v>
      </c>
      <c r="AU481" s="1" t="s">
        <v>170</v>
      </c>
      <c r="AV481" s="1">
        <v>87.05</v>
      </c>
      <c r="AW481" s="1"/>
      <c r="AX481" s="1" t="s">
        <v>666</v>
      </c>
      <c r="AY481" s="1" t="s">
        <v>9253</v>
      </c>
      <c r="AZ481" s="1" t="s">
        <v>228</v>
      </c>
      <c r="BA481" s="1" t="s">
        <v>935</v>
      </c>
      <c r="BB481" s="1">
        <v>76.4</v>
      </c>
      <c r="BC481" s="1"/>
      <c r="BD481" s="1"/>
      <c r="BE481" s="1"/>
      <c r="BF481" s="1"/>
      <c r="BG481" s="1"/>
      <c r="BH481" s="1"/>
      <c r="BI481" s="1"/>
      <c r="BJ481" s="1" t="s">
        <v>255</v>
      </c>
      <c r="BK481" s="1" t="s">
        <v>9254</v>
      </c>
      <c r="BL481" s="1" t="s">
        <v>1151</v>
      </c>
      <c r="BM481" s="1" t="s">
        <v>9255</v>
      </c>
      <c r="BN481" s="1">
        <v>16</v>
      </c>
      <c r="BO481" s="1" t="s">
        <v>9256</v>
      </c>
      <c r="BP481" s="1" t="str">
        <f>HYPERLINK("https://nconnect.nicmar.ac.in/storage/profile/ProfilePhoto_P25700481_569471.jpg","Download")</f>
        <v>0</v>
      </c>
      <c r="BQ481" s="3"/>
      <c r="BR481" s="3"/>
    </row>
    <row r="482" spans="1:70">
      <c r="A482" s="1" t="s">
        <v>70</v>
      </c>
      <c r="B482" s="1" t="s">
        <v>441</v>
      </c>
      <c r="C482" s="1" t="s">
        <v>9257</v>
      </c>
      <c r="D482" s="1" t="s">
        <v>1442</v>
      </c>
      <c r="E482" s="1"/>
      <c r="F482" s="1" t="s">
        <v>9258</v>
      </c>
      <c r="G482" s="1" t="s">
        <v>9259</v>
      </c>
      <c r="H482" s="1" t="s">
        <v>9260</v>
      </c>
      <c r="I482" s="1" t="s">
        <v>9261</v>
      </c>
      <c r="J482" s="1">
        <v>9787193939</v>
      </c>
      <c r="K482" s="1" t="s">
        <v>79</v>
      </c>
      <c r="L482" s="1" t="s">
        <v>9262</v>
      </c>
      <c r="M482" s="1" t="s">
        <v>81</v>
      </c>
      <c r="N482" s="1" t="s">
        <v>5779</v>
      </c>
      <c r="O482" s="1"/>
      <c r="P482" s="1" t="s">
        <v>450</v>
      </c>
      <c r="Q482" s="1" t="s">
        <v>9263</v>
      </c>
      <c r="R482" s="1" t="s">
        <v>9264</v>
      </c>
      <c r="S482" s="1">
        <v>9842472734</v>
      </c>
      <c r="T482" s="1" t="s">
        <v>820</v>
      </c>
      <c r="U482" s="1" t="s">
        <v>9265</v>
      </c>
      <c r="V482" s="1">
        <v>9942472734</v>
      </c>
      <c r="W482" s="1" t="s">
        <v>273</v>
      </c>
      <c r="X482" s="1" t="s">
        <v>9266</v>
      </c>
      <c r="Y482" s="1" t="s">
        <v>9001</v>
      </c>
      <c r="Z482" s="1" t="s">
        <v>559</v>
      </c>
      <c r="AA482" s="1" t="s">
        <v>9266</v>
      </c>
      <c r="AB482" s="1" t="s">
        <v>9001</v>
      </c>
      <c r="AC482" s="1" t="s">
        <v>559</v>
      </c>
      <c r="AD482" s="1">
        <v>9.03</v>
      </c>
      <c r="AE482" s="1" t="s">
        <v>93</v>
      </c>
      <c r="AF482" s="1" t="s">
        <v>9002</v>
      </c>
      <c r="AG482" s="1" t="s">
        <v>9267</v>
      </c>
      <c r="AH482" s="1" t="s">
        <v>101</v>
      </c>
      <c r="AI482" s="1" t="s">
        <v>308</v>
      </c>
      <c r="AJ482" s="1">
        <v>69.2</v>
      </c>
      <c r="AK482" s="1"/>
      <c r="AL482" s="1" t="s">
        <v>9002</v>
      </c>
      <c r="AM482" s="1" t="s">
        <v>9267</v>
      </c>
      <c r="AN482" s="1" t="s">
        <v>460</v>
      </c>
      <c r="AO482" s="1" t="s">
        <v>539</v>
      </c>
      <c r="AP482" s="1">
        <v>84.6</v>
      </c>
      <c r="AQ482" s="1"/>
      <c r="AR482" s="1"/>
      <c r="AS482" s="1"/>
      <c r="AT482" s="1"/>
      <c r="AU482" s="1"/>
      <c r="AV482" s="1"/>
      <c r="AW482" s="1"/>
      <c r="AX482" s="1" t="s">
        <v>564</v>
      </c>
      <c r="AY482" s="1" t="s">
        <v>9268</v>
      </c>
      <c r="AZ482" s="1" t="s">
        <v>135</v>
      </c>
      <c r="BA482" s="1" t="s">
        <v>594</v>
      </c>
      <c r="BB482" s="1">
        <v>85</v>
      </c>
      <c r="BC482" s="1"/>
      <c r="BD482" s="1"/>
      <c r="BE482" s="1"/>
      <c r="BF482" s="1"/>
      <c r="BG482" s="1"/>
      <c r="BH482" s="1"/>
      <c r="BI482" s="1"/>
      <c r="BJ482" s="1" t="s">
        <v>9269</v>
      </c>
      <c r="BK482" s="1"/>
      <c r="BL482" s="1"/>
      <c r="BM482" s="1" t="s">
        <v>9270</v>
      </c>
      <c r="BN482" s="1">
        <v>24</v>
      </c>
      <c r="BO482" s="1" t="s">
        <v>9271</v>
      </c>
      <c r="BP482" s="1" t="str">
        <f>HYPERLINK("https://nconnect.nicmar.ac.in/storage/profile/ProfilePhoto_P25700482_765438.jpg","Download")</f>
        <v>0</v>
      </c>
      <c r="BQ482" s="3"/>
      <c r="BR482" s="3"/>
    </row>
    <row r="483" spans="1:70">
      <c r="A483" s="1" t="s">
        <v>70</v>
      </c>
      <c r="B483" s="1" t="s">
        <v>441</v>
      </c>
      <c r="C483" s="1" t="s">
        <v>9272</v>
      </c>
      <c r="D483" s="1" t="s">
        <v>9273</v>
      </c>
      <c r="E483" s="1" t="s">
        <v>9274</v>
      </c>
      <c r="F483" s="1" t="s">
        <v>9275</v>
      </c>
      <c r="G483" s="1" t="s">
        <v>9276</v>
      </c>
      <c r="H483" s="1" t="s">
        <v>9277</v>
      </c>
      <c r="I483" s="1" t="s">
        <v>9278</v>
      </c>
      <c r="J483" s="1">
        <v>7507513437</v>
      </c>
      <c r="K483" s="1" t="s">
        <v>79</v>
      </c>
      <c r="L483" s="1" t="s">
        <v>9279</v>
      </c>
      <c r="M483" s="1" t="s">
        <v>81</v>
      </c>
      <c r="N483" s="1" t="s">
        <v>605</v>
      </c>
      <c r="O483" s="1"/>
      <c r="P483" s="1" t="s">
        <v>497</v>
      </c>
      <c r="Q483" s="1" t="s">
        <v>9280</v>
      </c>
      <c r="R483" s="1" t="s">
        <v>9281</v>
      </c>
      <c r="S483" s="1">
        <v>9823325325</v>
      </c>
      <c r="T483" s="1" t="s">
        <v>377</v>
      </c>
      <c r="U483" s="1" t="s">
        <v>9282</v>
      </c>
      <c r="V483" s="1">
        <v>7499329248</v>
      </c>
      <c r="W483" s="1" t="s">
        <v>273</v>
      </c>
      <c r="X483" s="1" t="s">
        <v>9283</v>
      </c>
      <c r="Y483" s="1" t="s">
        <v>890</v>
      </c>
      <c r="Z483" s="1" t="s">
        <v>92</v>
      </c>
      <c r="AA483" s="1" t="s">
        <v>9283</v>
      </c>
      <c r="AB483" s="1" t="s">
        <v>890</v>
      </c>
      <c r="AC483" s="1" t="s">
        <v>92</v>
      </c>
      <c r="AD483" s="1">
        <v>8.65</v>
      </c>
      <c r="AE483" s="1" t="s">
        <v>93</v>
      </c>
      <c r="AF483" s="1" t="s">
        <v>9284</v>
      </c>
      <c r="AG483" s="1" t="s">
        <v>2755</v>
      </c>
      <c r="AH483" s="1" t="s">
        <v>195</v>
      </c>
      <c r="AI483" s="1" t="s">
        <v>281</v>
      </c>
      <c r="AJ483" s="1">
        <v>84.6</v>
      </c>
      <c r="AK483" s="1"/>
      <c r="AL483" s="1" t="s">
        <v>9285</v>
      </c>
      <c r="AM483" s="1" t="s">
        <v>2755</v>
      </c>
      <c r="AN483" s="1" t="s">
        <v>310</v>
      </c>
      <c r="AO483" s="1" t="s">
        <v>360</v>
      </c>
      <c r="AP483" s="1">
        <v>74.31</v>
      </c>
      <c r="AQ483" s="1"/>
      <c r="AR483" s="1"/>
      <c r="AS483" s="1"/>
      <c r="AT483" s="1"/>
      <c r="AU483" s="1"/>
      <c r="AV483" s="1"/>
      <c r="AW483" s="1"/>
      <c r="AX483" s="1" t="s">
        <v>361</v>
      </c>
      <c r="AY483" s="1" t="s">
        <v>9286</v>
      </c>
      <c r="AZ483" s="1" t="s">
        <v>412</v>
      </c>
      <c r="BA483" s="1" t="s">
        <v>413</v>
      </c>
      <c r="BB483" s="1">
        <v>74.5</v>
      </c>
      <c r="BC483" s="1">
        <v>8.2</v>
      </c>
      <c r="BD483" s="1"/>
      <c r="BE483" s="1"/>
      <c r="BF483" s="1"/>
      <c r="BG483" s="1"/>
      <c r="BH483" s="1"/>
      <c r="BI483" s="1"/>
      <c r="BJ483" s="1" t="s">
        <v>9287</v>
      </c>
      <c r="BK483" s="1" t="s">
        <v>9288</v>
      </c>
      <c r="BL483" s="1" t="s">
        <v>1048</v>
      </c>
      <c r="BM483" s="1" t="s">
        <v>9289</v>
      </c>
      <c r="BN483" s="1">
        <v>13</v>
      </c>
      <c r="BO483" s="1" t="s">
        <v>9290</v>
      </c>
      <c r="BP483" s="1" t="str">
        <f>HYPERLINK("https://nconnect.nicmar.ac.in/storage/profile/ProfilePhoto_P25700483_846325.jpg","Download")</f>
        <v>0</v>
      </c>
      <c r="BQ483" s="3"/>
      <c r="BR483" s="3"/>
    </row>
    <row r="484" spans="1:70">
      <c r="A484" s="1" t="s">
        <v>70</v>
      </c>
      <c r="B484" s="1" t="s">
        <v>441</v>
      </c>
      <c r="C484" s="1" t="s">
        <v>9291</v>
      </c>
      <c r="D484" s="1" t="s">
        <v>9292</v>
      </c>
      <c r="E484" s="1" t="s">
        <v>181</v>
      </c>
      <c r="F484" s="1" t="s">
        <v>9293</v>
      </c>
      <c r="G484" s="1" t="s">
        <v>9294</v>
      </c>
      <c r="H484" s="1" t="s">
        <v>9295</v>
      </c>
      <c r="I484" s="1" t="s">
        <v>9296</v>
      </c>
      <c r="J484" s="1">
        <v>7057521752</v>
      </c>
      <c r="K484" s="1" t="s">
        <v>79</v>
      </c>
      <c r="L484" s="1" t="s">
        <v>9297</v>
      </c>
      <c r="M484" s="1" t="s">
        <v>81</v>
      </c>
      <c r="N484" s="1" t="s">
        <v>1140</v>
      </c>
      <c r="O484" s="1"/>
      <c r="P484" s="1" t="s">
        <v>497</v>
      </c>
      <c r="Q484" s="1" t="s">
        <v>9298</v>
      </c>
      <c r="R484" s="1" t="s">
        <v>181</v>
      </c>
      <c r="S484" s="1">
        <v>9422722731</v>
      </c>
      <c r="T484" s="1" t="s">
        <v>154</v>
      </c>
      <c r="U484" s="1" t="s">
        <v>4660</v>
      </c>
      <c r="V484" s="1">
        <v>9921717790</v>
      </c>
      <c r="W484" s="1" t="s">
        <v>156</v>
      </c>
      <c r="X484" s="1" t="s">
        <v>9299</v>
      </c>
      <c r="Y484" s="1" t="s">
        <v>91</v>
      </c>
      <c r="Z484" s="1" t="s">
        <v>92</v>
      </c>
      <c r="AA484" s="1" t="s">
        <v>9300</v>
      </c>
      <c r="AB484" s="1" t="s">
        <v>91</v>
      </c>
      <c r="AC484" s="1" t="s">
        <v>92</v>
      </c>
      <c r="AD484" s="1">
        <v>7.84</v>
      </c>
      <c r="AE484" s="1" t="s">
        <v>93</v>
      </c>
      <c r="AF484" s="1" t="s">
        <v>9301</v>
      </c>
      <c r="AG484" s="1" t="s">
        <v>160</v>
      </c>
      <c r="AH484" s="1" t="s">
        <v>161</v>
      </c>
      <c r="AI484" s="1" t="s">
        <v>162</v>
      </c>
      <c r="AJ484" s="1">
        <v>86.4</v>
      </c>
      <c r="AK484" s="1"/>
      <c r="AL484" s="1" t="s">
        <v>9302</v>
      </c>
      <c r="AM484" s="1" t="s">
        <v>160</v>
      </c>
      <c r="AN484" s="1" t="s">
        <v>562</v>
      </c>
      <c r="AO484" s="1" t="s">
        <v>166</v>
      </c>
      <c r="AP484" s="1">
        <v>55.38</v>
      </c>
      <c r="AQ484" s="1"/>
      <c r="AR484" s="1" t="s">
        <v>434</v>
      </c>
      <c r="AS484" s="1" t="s">
        <v>9303</v>
      </c>
      <c r="AT484" s="1" t="s">
        <v>1455</v>
      </c>
      <c r="AU484" s="1" t="s">
        <v>170</v>
      </c>
      <c r="AV484" s="1">
        <v>80.74</v>
      </c>
      <c r="AW484" s="1"/>
      <c r="AX484" s="1" t="s">
        <v>102</v>
      </c>
      <c r="AY484" s="1" t="s">
        <v>9304</v>
      </c>
      <c r="AZ484" s="1" t="s">
        <v>436</v>
      </c>
      <c r="BA484" s="1" t="s">
        <v>174</v>
      </c>
      <c r="BB484" s="1">
        <v>77</v>
      </c>
      <c r="BC484" s="1">
        <v>8.2</v>
      </c>
      <c r="BD484" s="1"/>
      <c r="BE484" s="1"/>
      <c r="BF484" s="1"/>
      <c r="BG484" s="1"/>
      <c r="BH484" s="1"/>
      <c r="BI484" s="1"/>
      <c r="BJ484" s="1" t="s">
        <v>3733</v>
      </c>
      <c r="BK484" s="1"/>
      <c r="BL484" s="1"/>
      <c r="BM484" s="1" t="s">
        <v>9305</v>
      </c>
      <c r="BN484" s="1">
        <v>28</v>
      </c>
      <c r="BO484" s="1" t="s">
        <v>9306</v>
      </c>
      <c r="BP484" s="1" t="str">
        <f>HYPERLINK("https://nconnect.nicmar.ac.in/storage/profile/ProfilePhoto_P25700484_254718.jpg","Download")</f>
        <v>0</v>
      </c>
      <c r="BQ484" s="3"/>
      <c r="BR484" s="3"/>
    </row>
    <row r="485" spans="1:70">
      <c r="A485" s="1" t="s">
        <v>70</v>
      </c>
      <c r="B485" s="1" t="s">
        <v>441</v>
      </c>
      <c r="C485" s="1" t="s">
        <v>9307</v>
      </c>
      <c r="D485" s="1" t="s">
        <v>9308</v>
      </c>
      <c r="E485" s="1" t="s">
        <v>2071</v>
      </c>
      <c r="F485" s="1" t="s">
        <v>9309</v>
      </c>
      <c r="G485" s="1" t="s">
        <v>9310</v>
      </c>
      <c r="H485" s="1" t="s">
        <v>9311</v>
      </c>
      <c r="I485" s="1" t="s">
        <v>9312</v>
      </c>
      <c r="J485" s="1">
        <v>9158630126</v>
      </c>
      <c r="K485" s="1" t="s">
        <v>79</v>
      </c>
      <c r="L485" s="1" t="s">
        <v>9313</v>
      </c>
      <c r="M485" s="1" t="s">
        <v>81</v>
      </c>
      <c r="N485" s="1" t="s">
        <v>3587</v>
      </c>
      <c r="O485" s="1"/>
      <c r="P485" s="1" t="s">
        <v>497</v>
      </c>
      <c r="Q485" s="1" t="s">
        <v>9314</v>
      </c>
      <c r="R485" s="1" t="s">
        <v>2071</v>
      </c>
      <c r="S485" s="1">
        <v>9890907602</v>
      </c>
      <c r="T485" s="1" t="s">
        <v>154</v>
      </c>
      <c r="U485" s="1" t="s">
        <v>9315</v>
      </c>
      <c r="V485" s="1">
        <v>7719900971</v>
      </c>
      <c r="W485" s="1" t="s">
        <v>156</v>
      </c>
      <c r="X485" s="1" t="s">
        <v>9316</v>
      </c>
      <c r="Y485" s="1" t="s">
        <v>5034</v>
      </c>
      <c r="Z485" s="1" t="s">
        <v>92</v>
      </c>
      <c r="AA485" s="1" t="s">
        <v>9316</v>
      </c>
      <c r="AB485" s="1" t="s">
        <v>5034</v>
      </c>
      <c r="AC485" s="1" t="s">
        <v>92</v>
      </c>
      <c r="AD485" s="1">
        <v>7.76</v>
      </c>
      <c r="AE485" s="1" t="s">
        <v>93</v>
      </c>
      <c r="AF485" s="1" t="s">
        <v>9317</v>
      </c>
      <c r="AG485" s="1" t="s">
        <v>9318</v>
      </c>
      <c r="AH485" s="1" t="s">
        <v>165</v>
      </c>
      <c r="AI485" s="1" t="s">
        <v>101</v>
      </c>
      <c r="AJ485" s="1">
        <v>90</v>
      </c>
      <c r="AK485" s="1"/>
      <c r="AL485" s="1" t="s">
        <v>9319</v>
      </c>
      <c r="AM485" s="1" t="s">
        <v>9320</v>
      </c>
      <c r="AN485" s="1" t="s">
        <v>9321</v>
      </c>
      <c r="AO485" s="1" t="s">
        <v>173</v>
      </c>
      <c r="AP485" s="1">
        <v>68.92</v>
      </c>
      <c r="AQ485" s="1"/>
      <c r="AR485" s="1"/>
      <c r="AS485" s="1"/>
      <c r="AT485" s="1"/>
      <c r="AU485" s="1"/>
      <c r="AV485" s="1"/>
      <c r="AW485" s="1"/>
      <c r="AX485" s="1" t="s">
        <v>361</v>
      </c>
      <c r="AY485" s="1" t="s">
        <v>9322</v>
      </c>
      <c r="AZ485" s="1" t="s">
        <v>363</v>
      </c>
      <c r="BA485" s="1" t="s">
        <v>202</v>
      </c>
      <c r="BB485" s="1">
        <v>70.1</v>
      </c>
      <c r="BC485" s="1">
        <v>7.76</v>
      </c>
      <c r="BD485" s="1"/>
      <c r="BE485" s="1"/>
      <c r="BF485" s="1"/>
      <c r="BG485" s="1"/>
      <c r="BH485" s="1"/>
      <c r="BI485" s="1"/>
      <c r="BJ485" s="1" t="s">
        <v>9323</v>
      </c>
      <c r="BK485" s="1" t="s">
        <v>9324</v>
      </c>
      <c r="BL485" s="1" t="s">
        <v>1048</v>
      </c>
      <c r="BM485" s="1" t="s">
        <v>9325</v>
      </c>
      <c r="BN485" s="1">
        <v>15</v>
      </c>
      <c r="BO485" s="1"/>
      <c r="BP485" s="1" t="str">
        <f>HYPERLINK("https://nconnect.nicmar.ac.in/storage/profile/ProfilePhoto_P25700485_129836.jpg","Download")</f>
        <v>0</v>
      </c>
      <c r="BQ485" s="3"/>
      <c r="BR485" s="3"/>
    </row>
    <row r="486" spans="1:70">
      <c r="A486" s="1" t="s">
        <v>70</v>
      </c>
      <c r="B486" s="1" t="s">
        <v>441</v>
      </c>
      <c r="C486" s="1" t="s">
        <v>9326</v>
      </c>
      <c r="D486" s="1" t="s">
        <v>9327</v>
      </c>
      <c r="E486" s="1" t="s">
        <v>9328</v>
      </c>
      <c r="F486" s="1" t="s">
        <v>9329</v>
      </c>
      <c r="G486" s="1" t="s">
        <v>9330</v>
      </c>
      <c r="H486" s="1" t="s">
        <v>9331</v>
      </c>
      <c r="I486" s="1" t="s">
        <v>9332</v>
      </c>
      <c r="J486" s="1">
        <v>9156789718</v>
      </c>
      <c r="K486" s="1" t="s">
        <v>79</v>
      </c>
      <c r="L486" s="1" t="s">
        <v>9333</v>
      </c>
      <c r="M486" s="1" t="s">
        <v>81</v>
      </c>
      <c r="N486" s="1" t="s">
        <v>605</v>
      </c>
      <c r="O486" s="1"/>
      <c r="P486" s="1" t="s">
        <v>497</v>
      </c>
      <c r="Q486" s="1" t="s">
        <v>9334</v>
      </c>
      <c r="R486" s="1" t="s">
        <v>9328</v>
      </c>
      <c r="S486" s="1">
        <v>9422049718</v>
      </c>
      <c r="T486" s="1" t="s">
        <v>9335</v>
      </c>
      <c r="U486" s="1" t="s">
        <v>9336</v>
      </c>
      <c r="V486" s="1">
        <v>9604248677</v>
      </c>
      <c r="W486" s="1" t="s">
        <v>156</v>
      </c>
      <c r="X486" s="1" t="s">
        <v>9337</v>
      </c>
      <c r="Y486" s="1" t="s">
        <v>1963</v>
      </c>
      <c r="Z486" s="1" t="s">
        <v>92</v>
      </c>
      <c r="AA486" s="1" t="s">
        <v>9337</v>
      </c>
      <c r="AB486" s="1" t="s">
        <v>1963</v>
      </c>
      <c r="AC486" s="1" t="s">
        <v>92</v>
      </c>
      <c r="AD486" s="1">
        <v>8.62</v>
      </c>
      <c r="AE486" s="1" t="s">
        <v>93</v>
      </c>
      <c r="AF486" s="1" t="s">
        <v>9338</v>
      </c>
      <c r="AG486" s="1" t="s">
        <v>9339</v>
      </c>
      <c r="AH486" s="1" t="s">
        <v>165</v>
      </c>
      <c r="AI486" s="1" t="s">
        <v>101</v>
      </c>
      <c r="AJ486" s="1">
        <v>92.2</v>
      </c>
      <c r="AK486" s="1"/>
      <c r="AL486" s="1" t="s">
        <v>9340</v>
      </c>
      <c r="AM486" s="1" t="s">
        <v>9339</v>
      </c>
      <c r="AN486" s="1" t="s">
        <v>310</v>
      </c>
      <c r="AO486" s="1" t="s">
        <v>173</v>
      </c>
      <c r="AP486" s="1">
        <v>80.77</v>
      </c>
      <c r="AQ486" s="1"/>
      <c r="AR486" s="1"/>
      <c r="AS486" s="1"/>
      <c r="AT486" s="1"/>
      <c r="AU486" s="1"/>
      <c r="AV486" s="1"/>
      <c r="AW486" s="1"/>
      <c r="AX486" s="1" t="s">
        <v>9341</v>
      </c>
      <c r="AY486" s="1" t="s">
        <v>9342</v>
      </c>
      <c r="AZ486" s="1" t="s">
        <v>173</v>
      </c>
      <c r="BA486" s="1" t="s">
        <v>202</v>
      </c>
      <c r="BB486" s="1">
        <v>67</v>
      </c>
      <c r="BC486" s="1"/>
      <c r="BD486" s="1"/>
      <c r="BE486" s="1"/>
      <c r="BF486" s="1"/>
      <c r="BG486" s="1"/>
      <c r="BH486" s="1"/>
      <c r="BI486" s="1"/>
      <c r="BJ486" s="1" t="s">
        <v>9343</v>
      </c>
      <c r="BK486" s="1"/>
      <c r="BL486" s="1"/>
      <c r="BM486" s="1" t="s">
        <v>9344</v>
      </c>
      <c r="BN486" s="1">
        <v>35</v>
      </c>
      <c r="BO486" s="1" t="s">
        <v>9345</v>
      </c>
      <c r="BP486" s="1" t="str">
        <f>HYPERLINK("https://nconnect.nicmar.ac.in/storage/profile/ProfilePhoto_P25700486_729541.jpg","Download")</f>
        <v>0</v>
      </c>
      <c r="BQ486" s="3"/>
      <c r="BR486" s="3"/>
    </row>
    <row r="487" spans="1:70">
      <c r="A487" s="1" t="s">
        <v>70</v>
      </c>
      <c r="B487" s="1" t="s">
        <v>441</v>
      </c>
      <c r="C487" s="1" t="s">
        <v>9346</v>
      </c>
      <c r="D487" s="1" t="s">
        <v>9347</v>
      </c>
      <c r="E487" s="1" t="s">
        <v>9348</v>
      </c>
      <c r="F487" s="1" t="s">
        <v>9349</v>
      </c>
      <c r="G487" s="1" t="s">
        <v>9350</v>
      </c>
      <c r="H487" s="1" t="s">
        <v>9351</v>
      </c>
      <c r="I487" s="1" t="s">
        <v>9352</v>
      </c>
      <c r="J487" s="1">
        <v>9511695706</v>
      </c>
      <c r="K487" s="1" t="s">
        <v>79</v>
      </c>
      <c r="L487" s="1" t="s">
        <v>9353</v>
      </c>
      <c r="M487" s="1" t="s">
        <v>81</v>
      </c>
      <c r="N487" s="1" t="s">
        <v>9354</v>
      </c>
      <c r="O487" s="1"/>
      <c r="P487" s="1" t="s">
        <v>472</v>
      </c>
      <c r="Q487" s="1" t="s">
        <v>9355</v>
      </c>
      <c r="R487" s="1" t="s">
        <v>9348</v>
      </c>
      <c r="S487" s="1">
        <v>9421724330</v>
      </c>
      <c r="T487" s="1" t="s">
        <v>632</v>
      </c>
      <c r="U487" s="1" t="s">
        <v>9356</v>
      </c>
      <c r="V487" s="1">
        <v>7498405538</v>
      </c>
      <c r="W487" s="1" t="s">
        <v>89</v>
      </c>
      <c r="X487" s="1" t="s">
        <v>9357</v>
      </c>
      <c r="Y487" s="1" t="s">
        <v>611</v>
      </c>
      <c r="Z487" s="1" t="s">
        <v>92</v>
      </c>
      <c r="AA487" s="1" t="s">
        <v>9357</v>
      </c>
      <c r="AB487" s="1" t="s">
        <v>611</v>
      </c>
      <c r="AC487" s="1" t="s">
        <v>92</v>
      </c>
      <c r="AD487" s="1">
        <v>8.09</v>
      </c>
      <c r="AE487" s="1" t="s">
        <v>93</v>
      </c>
      <c r="AF487" s="1" t="s">
        <v>9358</v>
      </c>
      <c r="AG487" s="1" t="s">
        <v>9359</v>
      </c>
      <c r="AH487" s="1" t="s">
        <v>96</v>
      </c>
      <c r="AI487" s="1" t="s">
        <v>161</v>
      </c>
      <c r="AJ487" s="1">
        <v>82.8</v>
      </c>
      <c r="AK487" s="1"/>
      <c r="AL487" s="1" t="s">
        <v>9360</v>
      </c>
      <c r="AM487" s="1" t="s">
        <v>2348</v>
      </c>
      <c r="AN487" s="1" t="s">
        <v>162</v>
      </c>
      <c r="AO487" s="1" t="s">
        <v>562</v>
      </c>
      <c r="AP487" s="1">
        <v>70.46</v>
      </c>
      <c r="AQ487" s="1"/>
      <c r="AR487" s="1"/>
      <c r="AS487" s="1"/>
      <c r="AT487" s="1"/>
      <c r="AU487" s="1"/>
      <c r="AV487" s="1"/>
      <c r="AW487" s="1"/>
      <c r="AX487" s="1" t="s">
        <v>6216</v>
      </c>
      <c r="AY487" s="1" t="s">
        <v>9361</v>
      </c>
      <c r="AZ487" s="1" t="s">
        <v>383</v>
      </c>
      <c r="BA487" s="1" t="s">
        <v>436</v>
      </c>
      <c r="BB487" s="1">
        <v>89.77</v>
      </c>
      <c r="BC487" s="1">
        <v>9.83</v>
      </c>
      <c r="BD487" s="1"/>
      <c r="BE487" s="1"/>
      <c r="BF487" s="1"/>
      <c r="BG487" s="1"/>
      <c r="BH487" s="1"/>
      <c r="BI487" s="1"/>
      <c r="BJ487" s="1" t="s">
        <v>9362</v>
      </c>
      <c r="BK487" s="1" t="s">
        <v>9363</v>
      </c>
      <c r="BL487" s="1" t="s">
        <v>2089</v>
      </c>
      <c r="BM487" s="1" t="s">
        <v>9364</v>
      </c>
      <c r="BN487" s="1">
        <v>19</v>
      </c>
      <c r="BO487" s="1" t="s">
        <v>9365</v>
      </c>
      <c r="BP487" s="1" t="str">
        <f>HYPERLINK("https://nconnect.nicmar.ac.in/storage/profile/ProfilePhoto_P25700487_319528.jpg","Download")</f>
        <v>0</v>
      </c>
      <c r="BQ487" s="3"/>
      <c r="BR487" s="3"/>
    </row>
    <row r="488" spans="1:70">
      <c r="A488" s="1" t="s">
        <v>70</v>
      </c>
      <c r="B488" s="1" t="s">
        <v>441</v>
      </c>
      <c r="C488" s="1" t="s">
        <v>9366</v>
      </c>
      <c r="D488" s="1" t="s">
        <v>9367</v>
      </c>
      <c r="E488" s="1" t="s">
        <v>111</v>
      </c>
      <c r="F488" s="1" t="s">
        <v>9368</v>
      </c>
      <c r="G488" s="1" t="s">
        <v>9369</v>
      </c>
      <c r="H488" s="1" t="s">
        <v>9370</v>
      </c>
      <c r="I488" s="1" t="s">
        <v>9371</v>
      </c>
      <c r="J488" s="1">
        <v>8884749505</v>
      </c>
      <c r="K488" s="1" t="s">
        <v>79</v>
      </c>
      <c r="L488" s="1" t="s">
        <v>9372</v>
      </c>
      <c r="M488" s="1" t="s">
        <v>81</v>
      </c>
      <c r="N488" s="1" t="s">
        <v>4422</v>
      </c>
      <c r="O488" s="1"/>
      <c r="P488" s="1" t="s">
        <v>472</v>
      </c>
      <c r="Q488" s="1" t="s">
        <v>9373</v>
      </c>
      <c r="R488" s="1" t="s">
        <v>9374</v>
      </c>
      <c r="S488" s="1">
        <v>9480295749</v>
      </c>
      <c r="T488" s="1" t="s">
        <v>122</v>
      </c>
      <c r="U488" s="1" t="s">
        <v>9375</v>
      </c>
      <c r="V488" s="1">
        <v>9483118399</v>
      </c>
      <c r="W488" s="1" t="s">
        <v>122</v>
      </c>
      <c r="X488" s="1" t="s">
        <v>9376</v>
      </c>
      <c r="Y488" s="1" t="s">
        <v>3030</v>
      </c>
      <c r="Z488" s="1" t="s">
        <v>1187</v>
      </c>
      <c r="AA488" s="1" t="s">
        <v>9376</v>
      </c>
      <c r="AB488" s="1" t="s">
        <v>3030</v>
      </c>
      <c r="AC488" s="1" t="s">
        <v>1187</v>
      </c>
      <c r="AD488" s="1">
        <v>8.64</v>
      </c>
      <c r="AE488" s="1" t="s">
        <v>93</v>
      </c>
      <c r="AF488" s="1" t="s">
        <v>9377</v>
      </c>
      <c r="AG488" s="1" t="s">
        <v>9378</v>
      </c>
      <c r="AH488" s="1" t="s">
        <v>96</v>
      </c>
      <c r="AI488" s="1" t="s">
        <v>1088</v>
      </c>
      <c r="AJ488" s="1">
        <v>89.44</v>
      </c>
      <c r="AK488" s="1"/>
      <c r="AL488" s="1" t="s">
        <v>9379</v>
      </c>
      <c r="AM488" s="1" t="s">
        <v>9380</v>
      </c>
      <c r="AN488" s="1" t="s">
        <v>614</v>
      </c>
      <c r="AO488" s="1" t="s">
        <v>195</v>
      </c>
      <c r="AP488" s="1">
        <v>76.5</v>
      </c>
      <c r="AQ488" s="1"/>
      <c r="AR488" s="1"/>
      <c r="AS488" s="1"/>
      <c r="AT488" s="1"/>
      <c r="AU488" s="1"/>
      <c r="AV488" s="1"/>
      <c r="AW488" s="1"/>
      <c r="AX488" s="1" t="s">
        <v>1194</v>
      </c>
      <c r="AY488" s="1" t="s">
        <v>9381</v>
      </c>
      <c r="AZ488" s="1" t="s">
        <v>5538</v>
      </c>
      <c r="BA488" s="1" t="s">
        <v>436</v>
      </c>
      <c r="BB488" s="1">
        <v>63.4</v>
      </c>
      <c r="BC488" s="1">
        <v>7.09</v>
      </c>
      <c r="BD488" s="1"/>
      <c r="BE488" s="1"/>
      <c r="BF488" s="1"/>
      <c r="BG488" s="1"/>
      <c r="BH488" s="1"/>
      <c r="BI488" s="1"/>
      <c r="BJ488" s="1" t="s">
        <v>9382</v>
      </c>
      <c r="BK488" s="1" t="s">
        <v>9383</v>
      </c>
      <c r="BL488" s="1" t="s">
        <v>9384</v>
      </c>
      <c r="BM488" s="1" t="s">
        <v>9385</v>
      </c>
      <c r="BN488" s="1">
        <v>13</v>
      </c>
      <c r="BO488" s="1" t="s">
        <v>9386</v>
      </c>
      <c r="BP488" s="1" t="str">
        <f>HYPERLINK("https://nconnect.nicmar.ac.in/storage/profile/ProfilePhoto_P25700488_586793.jpg","Download")</f>
        <v>0</v>
      </c>
      <c r="BQ488" s="3"/>
      <c r="BR488" s="3"/>
    </row>
    <row r="489" spans="1:70">
      <c r="A489" s="1" t="s">
        <v>70</v>
      </c>
      <c r="B489" s="1" t="s">
        <v>441</v>
      </c>
      <c r="C489" s="1" t="s">
        <v>9387</v>
      </c>
      <c r="D489" s="1" t="s">
        <v>7800</v>
      </c>
      <c r="E489" s="1" t="s">
        <v>5175</v>
      </c>
      <c r="F489" s="1" t="s">
        <v>9388</v>
      </c>
      <c r="G489" s="1" t="s">
        <v>9389</v>
      </c>
      <c r="H489" s="1" t="s">
        <v>9390</v>
      </c>
      <c r="I489" s="1" t="s">
        <v>9391</v>
      </c>
      <c r="J489" s="1">
        <v>8080830336</v>
      </c>
      <c r="K489" s="1" t="s">
        <v>79</v>
      </c>
      <c r="L489" s="1" t="s">
        <v>9392</v>
      </c>
      <c r="M489" s="1" t="s">
        <v>81</v>
      </c>
      <c r="N489" s="1" t="s">
        <v>605</v>
      </c>
      <c r="O489" s="1"/>
      <c r="P489" s="1" t="s">
        <v>1007</v>
      </c>
      <c r="Q489" s="1" t="s">
        <v>9393</v>
      </c>
      <c r="R489" s="1" t="s">
        <v>5175</v>
      </c>
      <c r="S489" s="1">
        <v>9511671711</v>
      </c>
      <c r="T489" s="1" t="s">
        <v>632</v>
      </c>
      <c r="U489" s="1" t="s">
        <v>9394</v>
      </c>
      <c r="V489" s="1">
        <v>8999342823</v>
      </c>
      <c r="W489" s="1" t="s">
        <v>820</v>
      </c>
      <c r="X489" s="1" t="s">
        <v>9395</v>
      </c>
      <c r="Y489" s="1" t="s">
        <v>1012</v>
      </c>
      <c r="Z489" s="1" t="s">
        <v>92</v>
      </c>
      <c r="AA489" s="1" t="s">
        <v>9395</v>
      </c>
      <c r="AB489" s="1" t="s">
        <v>1012</v>
      </c>
      <c r="AC489" s="1" t="s">
        <v>92</v>
      </c>
      <c r="AD489" s="1">
        <v>8.18</v>
      </c>
      <c r="AE489" s="1" t="s">
        <v>93</v>
      </c>
      <c r="AF489" s="1" t="s">
        <v>6110</v>
      </c>
      <c r="AG489" s="1" t="s">
        <v>688</v>
      </c>
      <c r="AH489" s="1" t="s">
        <v>101</v>
      </c>
      <c r="AI489" s="1" t="s">
        <v>308</v>
      </c>
      <c r="AJ489" s="1">
        <v>78.8</v>
      </c>
      <c r="AK489" s="1">
        <v>0</v>
      </c>
      <c r="AL489" s="1" t="s">
        <v>9396</v>
      </c>
      <c r="AM489" s="1" t="s">
        <v>160</v>
      </c>
      <c r="AN489" s="1" t="s">
        <v>460</v>
      </c>
      <c r="AO489" s="1" t="s">
        <v>436</v>
      </c>
      <c r="AP489" s="1">
        <v>88.83</v>
      </c>
      <c r="AQ489" s="1">
        <v>0</v>
      </c>
      <c r="AR489" s="1"/>
      <c r="AS489" s="1"/>
      <c r="AT489" s="1"/>
      <c r="AU489" s="1"/>
      <c r="AV489" s="1"/>
      <c r="AW489" s="1"/>
      <c r="AX489" s="1" t="s">
        <v>1017</v>
      </c>
      <c r="AY489" s="1" t="s">
        <v>9397</v>
      </c>
      <c r="AZ489" s="1" t="s">
        <v>852</v>
      </c>
      <c r="BA489" s="1" t="s">
        <v>829</v>
      </c>
      <c r="BB489" s="1">
        <v>69.7</v>
      </c>
      <c r="BC489" s="1">
        <v>7.72</v>
      </c>
      <c r="BD489" s="1"/>
      <c r="BE489" s="1"/>
      <c r="BF489" s="1"/>
      <c r="BG489" s="1"/>
      <c r="BH489" s="1"/>
      <c r="BI489" s="1"/>
      <c r="BJ489" s="1" t="s">
        <v>9398</v>
      </c>
      <c r="BK489" s="1"/>
      <c r="BL489" s="1"/>
      <c r="BM489" s="1" t="s">
        <v>9399</v>
      </c>
      <c r="BN489" s="1">
        <v>31</v>
      </c>
      <c r="BO489" s="1" t="s">
        <v>9400</v>
      </c>
      <c r="BP489" s="1" t="str">
        <f>HYPERLINK("https://nconnect.nicmar.ac.in/storage/profile/ProfilePhoto_P25700489_381496.jpg","Download")</f>
        <v>0</v>
      </c>
      <c r="BQ489" s="3"/>
      <c r="BR489" s="3"/>
    </row>
    <row r="490" spans="1:70">
      <c r="A490" s="1" t="s">
        <v>70</v>
      </c>
      <c r="B490" s="1" t="s">
        <v>441</v>
      </c>
      <c r="C490" s="1" t="s">
        <v>9401</v>
      </c>
      <c r="D490" s="1" t="s">
        <v>9402</v>
      </c>
      <c r="E490" s="1" t="s">
        <v>9403</v>
      </c>
      <c r="F490" s="1" t="s">
        <v>9404</v>
      </c>
      <c r="G490" s="1" t="s">
        <v>9405</v>
      </c>
      <c r="H490" s="1" t="s">
        <v>9406</v>
      </c>
      <c r="I490" s="1" t="s">
        <v>9407</v>
      </c>
      <c r="J490" s="1">
        <v>7875865501</v>
      </c>
      <c r="K490" s="1" t="s">
        <v>79</v>
      </c>
      <c r="L490" s="1" t="s">
        <v>9408</v>
      </c>
      <c r="M490" s="1" t="s">
        <v>81</v>
      </c>
      <c r="N490" s="1" t="s">
        <v>605</v>
      </c>
      <c r="O490" s="1"/>
      <c r="P490" s="1"/>
      <c r="Q490" s="1" t="s">
        <v>9409</v>
      </c>
      <c r="R490" s="1" t="s">
        <v>9410</v>
      </c>
      <c r="S490" s="1">
        <v>9860358887</v>
      </c>
      <c r="T490" s="1" t="s">
        <v>820</v>
      </c>
      <c r="U490" s="1" t="s">
        <v>9411</v>
      </c>
      <c r="V490" s="1">
        <v>7218170260</v>
      </c>
      <c r="W490" s="1" t="s">
        <v>156</v>
      </c>
      <c r="X490" s="1" t="s">
        <v>9412</v>
      </c>
      <c r="Y490" s="1" t="s">
        <v>5087</v>
      </c>
      <c r="Z490" s="1" t="s">
        <v>92</v>
      </c>
      <c r="AA490" s="1" t="s">
        <v>9412</v>
      </c>
      <c r="AB490" s="1" t="s">
        <v>5087</v>
      </c>
      <c r="AC490" s="1" t="s">
        <v>92</v>
      </c>
      <c r="AD490" s="1">
        <v>8.98</v>
      </c>
      <c r="AE490" s="1" t="s">
        <v>93</v>
      </c>
      <c r="AF490" s="1" t="s">
        <v>9413</v>
      </c>
      <c r="AG490" s="1" t="s">
        <v>9414</v>
      </c>
      <c r="AH490" s="1" t="s">
        <v>1374</v>
      </c>
      <c r="AI490" s="1" t="s">
        <v>689</v>
      </c>
      <c r="AJ490" s="1">
        <v>87.8</v>
      </c>
      <c r="AK490" s="1">
        <v>9.4</v>
      </c>
      <c r="AL490" s="1" t="s">
        <v>9415</v>
      </c>
      <c r="AM490" s="1" t="s">
        <v>160</v>
      </c>
      <c r="AN490" s="1" t="s">
        <v>169</v>
      </c>
      <c r="AO490" s="1" t="s">
        <v>537</v>
      </c>
      <c r="AP490" s="1">
        <v>72.77</v>
      </c>
      <c r="AQ490" s="1"/>
      <c r="AR490" s="1"/>
      <c r="AS490" s="1"/>
      <c r="AT490" s="1"/>
      <c r="AU490" s="1"/>
      <c r="AV490" s="1"/>
      <c r="AW490" s="1"/>
      <c r="AX490" s="1" t="s">
        <v>410</v>
      </c>
      <c r="AY490" s="1" t="s">
        <v>9416</v>
      </c>
      <c r="AZ490" s="1" t="s">
        <v>201</v>
      </c>
      <c r="BA490" s="1" t="s">
        <v>229</v>
      </c>
      <c r="BB490" s="1">
        <v>88.9</v>
      </c>
      <c r="BC490" s="1">
        <v>8.89</v>
      </c>
      <c r="BD490" s="1"/>
      <c r="BE490" s="1"/>
      <c r="BF490" s="1"/>
      <c r="BG490" s="1"/>
      <c r="BH490" s="1"/>
      <c r="BI490" s="1"/>
      <c r="BJ490" s="1" t="s">
        <v>9417</v>
      </c>
      <c r="BK490" s="1" t="s">
        <v>9418</v>
      </c>
      <c r="BL490" s="1" t="s">
        <v>4165</v>
      </c>
      <c r="BM490" s="1" t="s">
        <v>9419</v>
      </c>
      <c r="BN490" s="1">
        <v>39</v>
      </c>
      <c r="BO490" s="1" t="s">
        <v>9420</v>
      </c>
      <c r="BP490" s="1" t="str">
        <f>HYPERLINK("https://nconnect.nicmar.ac.in/storage/profile/ProfilePhoto_P25700490_978215.jpg","Download")</f>
        <v>0</v>
      </c>
      <c r="BQ490" s="3"/>
      <c r="BR490" s="3"/>
    </row>
    <row r="491" spans="1:70">
      <c r="A491" s="1" t="s">
        <v>70</v>
      </c>
      <c r="B491" s="1" t="s">
        <v>441</v>
      </c>
      <c r="C491" s="1" t="s">
        <v>9421</v>
      </c>
      <c r="D491" s="1" t="s">
        <v>2492</v>
      </c>
      <c r="E491" s="1" t="s">
        <v>9422</v>
      </c>
      <c r="F491" s="1" t="s">
        <v>7168</v>
      </c>
      <c r="G491" s="1" t="s">
        <v>9423</v>
      </c>
      <c r="H491" s="1" t="s">
        <v>9424</v>
      </c>
      <c r="I491" s="1" t="s">
        <v>9425</v>
      </c>
      <c r="J491" s="1">
        <v>8623836346</v>
      </c>
      <c r="K491" s="1" t="s">
        <v>79</v>
      </c>
      <c r="L491" s="1" t="s">
        <v>2303</v>
      </c>
      <c r="M491" s="1" t="s">
        <v>81</v>
      </c>
      <c r="N491" s="1" t="s">
        <v>751</v>
      </c>
      <c r="O491" s="1"/>
      <c r="P491" s="1" t="s">
        <v>497</v>
      </c>
      <c r="Q491" s="1" t="s">
        <v>9426</v>
      </c>
      <c r="R491" s="1" t="s">
        <v>9427</v>
      </c>
      <c r="S491" s="1">
        <v>9850056147</v>
      </c>
      <c r="T491" s="1" t="s">
        <v>9428</v>
      </c>
      <c r="U491" s="1" t="s">
        <v>9429</v>
      </c>
      <c r="V491" s="1">
        <v>7972878952</v>
      </c>
      <c r="W491" s="1" t="s">
        <v>9430</v>
      </c>
      <c r="X491" s="1" t="s">
        <v>9431</v>
      </c>
      <c r="Y491" s="1" t="s">
        <v>191</v>
      </c>
      <c r="Z491" s="1" t="s">
        <v>92</v>
      </c>
      <c r="AA491" s="1" t="s">
        <v>9432</v>
      </c>
      <c r="AB491" s="1" t="s">
        <v>5185</v>
      </c>
      <c r="AC491" s="1" t="s">
        <v>92</v>
      </c>
      <c r="AD491" s="1">
        <v>8.9</v>
      </c>
      <c r="AE491" s="1" t="s">
        <v>93</v>
      </c>
      <c r="AF491" s="1" t="s">
        <v>9433</v>
      </c>
      <c r="AG491" s="1" t="s">
        <v>160</v>
      </c>
      <c r="AH491" s="1" t="s">
        <v>614</v>
      </c>
      <c r="AI491" s="1" t="s">
        <v>562</v>
      </c>
      <c r="AJ491" s="1">
        <v>96.4</v>
      </c>
      <c r="AK491" s="1">
        <v>0</v>
      </c>
      <c r="AL491" s="1"/>
      <c r="AM491" s="1"/>
      <c r="AN491" s="1"/>
      <c r="AO491" s="1"/>
      <c r="AP491" s="1"/>
      <c r="AQ491" s="1"/>
      <c r="AR491" s="1" t="s">
        <v>98</v>
      </c>
      <c r="AS491" s="1" t="s">
        <v>9434</v>
      </c>
      <c r="AT491" s="1" t="s">
        <v>165</v>
      </c>
      <c r="AU491" s="1" t="s">
        <v>170</v>
      </c>
      <c r="AV491" s="1">
        <v>84.68</v>
      </c>
      <c r="AW491" s="1">
        <v>0</v>
      </c>
      <c r="AX491" s="1" t="s">
        <v>9435</v>
      </c>
      <c r="AY491" s="1" t="s">
        <v>9436</v>
      </c>
      <c r="AZ491" s="1" t="s">
        <v>871</v>
      </c>
      <c r="BA491" s="1" t="s">
        <v>229</v>
      </c>
      <c r="BB491" s="1">
        <v>83.9</v>
      </c>
      <c r="BC491" s="1">
        <v>9.14</v>
      </c>
      <c r="BD491" s="1"/>
      <c r="BE491" s="1"/>
      <c r="BF491" s="1"/>
      <c r="BG491" s="1"/>
      <c r="BH491" s="1"/>
      <c r="BI491" s="1"/>
      <c r="BJ491" s="1" t="s">
        <v>9437</v>
      </c>
      <c r="BK491" s="1"/>
      <c r="BL491" s="1"/>
      <c r="BM491" s="1" t="s">
        <v>9438</v>
      </c>
      <c r="BN491" s="1">
        <v>38</v>
      </c>
      <c r="BO491" s="1" t="s">
        <v>9439</v>
      </c>
      <c r="BP491" s="1" t="str">
        <f>HYPERLINK("https://nconnect.nicmar.ac.in/storage/profile/ProfilePhoto_P25700491_473681.jpg","Download")</f>
        <v>0</v>
      </c>
      <c r="BQ491" s="3"/>
      <c r="BR491" s="3"/>
    </row>
    <row r="492" spans="1:70">
      <c r="A492" s="1" t="s">
        <v>70</v>
      </c>
      <c r="B492" s="1" t="s">
        <v>441</v>
      </c>
      <c r="C492" s="1" t="s">
        <v>9440</v>
      </c>
      <c r="D492" s="1" t="s">
        <v>9441</v>
      </c>
      <c r="E492" s="1" t="s">
        <v>999</v>
      </c>
      <c r="F492" s="1" t="s">
        <v>9442</v>
      </c>
      <c r="G492" s="1" t="s">
        <v>9443</v>
      </c>
      <c r="H492" s="1" t="s">
        <v>9444</v>
      </c>
      <c r="I492" s="1" t="s">
        <v>9445</v>
      </c>
      <c r="J492" s="1">
        <v>9284329038</v>
      </c>
      <c r="K492" s="1" t="s">
        <v>79</v>
      </c>
      <c r="L492" s="1" t="s">
        <v>9446</v>
      </c>
      <c r="M492" s="1" t="s">
        <v>81</v>
      </c>
      <c r="N492" s="1" t="s">
        <v>605</v>
      </c>
      <c r="O492" s="1"/>
      <c r="P492" s="1" t="s">
        <v>450</v>
      </c>
      <c r="Q492" s="1" t="s">
        <v>9447</v>
      </c>
      <c r="R492" s="1" t="s">
        <v>999</v>
      </c>
      <c r="S492" s="1">
        <v>9823243636</v>
      </c>
      <c r="T492" s="1" t="s">
        <v>9448</v>
      </c>
      <c r="U492" s="1" t="s">
        <v>9449</v>
      </c>
      <c r="V492" s="1">
        <v>9823244536</v>
      </c>
      <c r="W492" s="1" t="s">
        <v>273</v>
      </c>
      <c r="X492" s="1" t="s">
        <v>9450</v>
      </c>
      <c r="Y492" s="1" t="s">
        <v>4313</v>
      </c>
      <c r="Z492" s="1" t="s">
        <v>92</v>
      </c>
      <c r="AA492" s="1" t="s">
        <v>9450</v>
      </c>
      <c r="AB492" s="1" t="s">
        <v>4313</v>
      </c>
      <c r="AC492" s="1" t="s">
        <v>92</v>
      </c>
      <c r="AD492" s="1">
        <v>8.66</v>
      </c>
      <c r="AE492" s="1" t="s">
        <v>93</v>
      </c>
      <c r="AF492" s="1" t="s">
        <v>9451</v>
      </c>
      <c r="AG492" s="1" t="s">
        <v>307</v>
      </c>
      <c r="AH492" s="1" t="s">
        <v>3131</v>
      </c>
      <c r="AI492" s="1" t="s">
        <v>409</v>
      </c>
      <c r="AJ492" s="1">
        <v>84.8</v>
      </c>
      <c r="AK492" s="1">
        <v>0</v>
      </c>
      <c r="AL492" s="1" t="s">
        <v>9452</v>
      </c>
      <c r="AM492" s="1" t="s">
        <v>5124</v>
      </c>
      <c r="AN492" s="1" t="s">
        <v>201</v>
      </c>
      <c r="AO492" s="1" t="s">
        <v>436</v>
      </c>
      <c r="AP492" s="1">
        <v>87.17</v>
      </c>
      <c r="AQ492" s="1">
        <v>0</v>
      </c>
      <c r="AR492" s="1"/>
      <c r="AS492" s="1"/>
      <c r="AT492" s="1"/>
      <c r="AU492" s="1"/>
      <c r="AV492" s="1"/>
      <c r="AW492" s="1"/>
      <c r="AX492" s="1" t="s">
        <v>666</v>
      </c>
      <c r="AY492" s="1" t="s">
        <v>9453</v>
      </c>
      <c r="AZ492" s="1" t="s">
        <v>852</v>
      </c>
      <c r="BA492" s="1" t="s">
        <v>543</v>
      </c>
      <c r="BB492" s="1">
        <v>74.45</v>
      </c>
      <c r="BC492" s="1">
        <v>8.44</v>
      </c>
      <c r="BD492" s="1"/>
      <c r="BE492" s="1"/>
      <c r="BF492" s="1"/>
      <c r="BG492" s="1"/>
      <c r="BH492" s="1"/>
      <c r="BI492" s="1"/>
      <c r="BJ492" s="1" t="s">
        <v>9454</v>
      </c>
      <c r="BK492" s="1"/>
      <c r="BL492" s="1"/>
      <c r="BM492" s="1" t="s">
        <v>9455</v>
      </c>
      <c r="BN492" s="1">
        <v>13</v>
      </c>
      <c r="BO492" s="1" t="s">
        <v>9456</v>
      </c>
      <c r="BP492" s="1" t="str">
        <f>HYPERLINK("https://nconnect.nicmar.ac.in/storage/profile/ProfilePhoto_P25700492_715349.jpg","Download")</f>
        <v>0</v>
      </c>
      <c r="BQ492" s="3"/>
      <c r="BR492" s="3"/>
    </row>
    <row r="493" spans="1:70">
      <c r="A493" s="1" t="s">
        <v>70</v>
      </c>
      <c r="B493" s="1" t="s">
        <v>441</v>
      </c>
      <c r="C493" s="1" t="s">
        <v>9457</v>
      </c>
      <c r="D493" s="1" t="s">
        <v>3564</v>
      </c>
      <c r="E493" s="1"/>
      <c r="F493" s="1" t="s">
        <v>9403</v>
      </c>
      <c r="G493" s="1" t="s">
        <v>9458</v>
      </c>
      <c r="H493" s="1" t="s">
        <v>9459</v>
      </c>
      <c r="I493" s="1" t="s">
        <v>9460</v>
      </c>
      <c r="J493" s="1">
        <v>9496757593</v>
      </c>
      <c r="K493" s="1" t="s">
        <v>79</v>
      </c>
      <c r="L493" s="1" t="s">
        <v>9461</v>
      </c>
      <c r="M493" s="1" t="s">
        <v>81</v>
      </c>
      <c r="N493" s="1" t="s">
        <v>9462</v>
      </c>
      <c r="O493" s="1"/>
      <c r="P493" s="1" t="s">
        <v>2035</v>
      </c>
      <c r="Q493" s="1" t="s">
        <v>9463</v>
      </c>
      <c r="R493" s="1" t="s">
        <v>9464</v>
      </c>
      <c r="S493" s="1">
        <v>9496731968</v>
      </c>
      <c r="T493" s="1" t="s">
        <v>9465</v>
      </c>
      <c r="U493" s="1" t="s">
        <v>9466</v>
      </c>
      <c r="V493" s="1">
        <v>9656731968</v>
      </c>
      <c r="W493" s="1" t="s">
        <v>156</v>
      </c>
      <c r="X493" s="1" t="s">
        <v>9467</v>
      </c>
      <c r="Y493" s="1" t="s">
        <v>2518</v>
      </c>
      <c r="Z493" s="1" t="s">
        <v>125</v>
      </c>
      <c r="AA493" s="1" t="s">
        <v>9467</v>
      </c>
      <c r="AB493" s="1" t="s">
        <v>2518</v>
      </c>
      <c r="AC493" s="1" t="s">
        <v>125</v>
      </c>
      <c r="AD493" s="1">
        <v>8.74</v>
      </c>
      <c r="AE493" s="1" t="s">
        <v>93</v>
      </c>
      <c r="AF493" s="1" t="s">
        <v>9468</v>
      </c>
      <c r="AG493" s="1" t="s">
        <v>9469</v>
      </c>
      <c r="AH493" s="1" t="s">
        <v>131</v>
      </c>
      <c r="AI493" s="1" t="s">
        <v>614</v>
      </c>
      <c r="AJ493" s="1">
        <v>95</v>
      </c>
      <c r="AK493" s="1">
        <v>10</v>
      </c>
      <c r="AL493" s="1" t="s">
        <v>9468</v>
      </c>
      <c r="AM493" s="1" t="s">
        <v>9469</v>
      </c>
      <c r="AN493" s="1" t="s">
        <v>562</v>
      </c>
      <c r="AO493" s="1" t="s">
        <v>166</v>
      </c>
      <c r="AP493" s="1">
        <v>79.8</v>
      </c>
      <c r="AQ493" s="1">
        <v>8.4</v>
      </c>
      <c r="AR493" s="1"/>
      <c r="AS493" s="1"/>
      <c r="AT493" s="1"/>
      <c r="AU493" s="1"/>
      <c r="AV493" s="1"/>
      <c r="AW493" s="1"/>
      <c r="AX493" s="1" t="s">
        <v>9470</v>
      </c>
      <c r="AY493" s="1" t="s">
        <v>9470</v>
      </c>
      <c r="AZ493" s="1" t="s">
        <v>169</v>
      </c>
      <c r="BA493" s="1" t="s">
        <v>619</v>
      </c>
      <c r="BB493" s="1">
        <v>75.8</v>
      </c>
      <c r="BC493" s="1">
        <v>7.58</v>
      </c>
      <c r="BD493" s="1"/>
      <c r="BE493" s="1"/>
      <c r="BF493" s="1"/>
      <c r="BG493" s="1"/>
      <c r="BH493" s="1"/>
      <c r="BI493" s="1"/>
      <c r="BJ493" s="1" t="s">
        <v>9471</v>
      </c>
      <c r="BK493" s="1" t="s">
        <v>9472</v>
      </c>
      <c r="BL493" s="1" t="s">
        <v>340</v>
      </c>
      <c r="BM493" s="1" t="s">
        <v>9473</v>
      </c>
      <c r="BN493" s="1">
        <v>12</v>
      </c>
      <c r="BO493" s="1" t="s">
        <v>9474</v>
      </c>
      <c r="BP493" s="1" t="str">
        <f>HYPERLINK("https://nconnect.nicmar.ac.in/storage/profile/ProfilePhoto_P25700493_683249.jpg","Download")</f>
        <v>0</v>
      </c>
      <c r="BQ493" s="3"/>
      <c r="BR493" s="3"/>
    </row>
    <row r="494" spans="1:70">
      <c r="A494" s="1" t="s">
        <v>70</v>
      </c>
      <c r="B494" s="1" t="s">
        <v>441</v>
      </c>
      <c r="C494" s="1" t="s">
        <v>9475</v>
      </c>
      <c r="D494" s="1" t="s">
        <v>9476</v>
      </c>
      <c r="E494" s="1"/>
      <c r="F494" s="1" t="s">
        <v>3927</v>
      </c>
      <c r="G494" s="1" t="s">
        <v>9477</v>
      </c>
      <c r="H494" s="1" t="s">
        <v>9478</v>
      </c>
      <c r="I494" s="1" t="s">
        <v>9479</v>
      </c>
      <c r="J494" s="1">
        <v>9496041855</v>
      </c>
      <c r="K494" s="1" t="s">
        <v>79</v>
      </c>
      <c r="L494" s="1" t="s">
        <v>9480</v>
      </c>
      <c r="M494" s="1" t="s">
        <v>81</v>
      </c>
      <c r="N494" s="1" t="s">
        <v>9481</v>
      </c>
      <c r="O494" s="1"/>
      <c r="P494" s="1" t="s">
        <v>450</v>
      </c>
      <c r="Q494" s="1" t="s">
        <v>9482</v>
      </c>
      <c r="R494" s="1" t="s">
        <v>9483</v>
      </c>
      <c r="S494" s="1">
        <v>9446015855</v>
      </c>
      <c r="T494" s="1" t="s">
        <v>120</v>
      </c>
      <c r="U494" s="1" t="s">
        <v>9484</v>
      </c>
      <c r="V494" s="1">
        <v>8547679555</v>
      </c>
      <c r="W494" s="1" t="s">
        <v>120</v>
      </c>
      <c r="X494" s="1" t="s">
        <v>9485</v>
      </c>
      <c r="Y494" s="1" t="s">
        <v>1285</v>
      </c>
      <c r="Z494" s="1" t="s">
        <v>125</v>
      </c>
      <c r="AA494" s="1" t="s">
        <v>9485</v>
      </c>
      <c r="AB494" s="1" t="s">
        <v>1285</v>
      </c>
      <c r="AC494" s="1" t="s">
        <v>125</v>
      </c>
      <c r="AD494" s="1">
        <v>8.74</v>
      </c>
      <c r="AE494" s="1" t="s">
        <v>93</v>
      </c>
      <c r="AF494" s="1" t="s">
        <v>9486</v>
      </c>
      <c r="AG494" s="1" t="s">
        <v>9487</v>
      </c>
      <c r="AH494" s="1" t="s">
        <v>1190</v>
      </c>
      <c r="AI494" s="1" t="s">
        <v>96</v>
      </c>
      <c r="AJ494" s="1">
        <v>89.3</v>
      </c>
      <c r="AK494" s="1">
        <v>9.4</v>
      </c>
      <c r="AL494" s="1" t="s">
        <v>9486</v>
      </c>
      <c r="AM494" s="1" t="s">
        <v>9487</v>
      </c>
      <c r="AN494" s="1" t="s">
        <v>161</v>
      </c>
      <c r="AO494" s="1" t="s">
        <v>162</v>
      </c>
      <c r="AP494" s="1">
        <v>81</v>
      </c>
      <c r="AQ494" s="1"/>
      <c r="AR494" s="1"/>
      <c r="AS494" s="1"/>
      <c r="AT494" s="1"/>
      <c r="AU494" s="1"/>
      <c r="AV494" s="1"/>
      <c r="AW494" s="1"/>
      <c r="AX494" s="1" t="s">
        <v>132</v>
      </c>
      <c r="AY494" s="1" t="s">
        <v>9488</v>
      </c>
      <c r="AZ494" s="1" t="s">
        <v>134</v>
      </c>
      <c r="BA494" s="1" t="s">
        <v>1622</v>
      </c>
      <c r="BB494" s="1">
        <v>64.15</v>
      </c>
      <c r="BC494" s="1">
        <v>6.79</v>
      </c>
      <c r="BD494" s="1"/>
      <c r="BE494" s="1"/>
      <c r="BF494" s="1"/>
      <c r="BG494" s="1"/>
      <c r="BH494" s="1"/>
      <c r="BI494" s="1"/>
      <c r="BJ494" s="1" t="s">
        <v>9489</v>
      </c>
      <c r="BK494" s="1"/>
      <c r="BL494" s="1"/>
      <c r="BM494" s="1" t="s">
        <v>9490</v>
      </c>
      <c r="BN494" s="1">
        <v>18</v>
      </c>
      <c r="BO494" s="1" t="s">
        <v>9491</v>
      </c>
      <c r="BP494" s="1" t="str">
        <f>HYPERLINK("https://nconnect.nicmar.ac.in/storage/profile/ProfilePhoto_P25700494_935762.jpg","Download")</f>
        <v>0</v>
      </c>
      <c r="BQ494" s="3"/>
      <c r="BR494" s="3"/>
    </row>
    <row r="495" spans="1:70">
      <c r="A495" s="1" t="s">
        <v>70</v>
      </c>
      <c r="B495" s="1" t="s">
        <v>441</v>
      </c>
      <c r="C495" s="1" t="s">
        <v>9492</v>
      </c>
      <c r="D495" s="1" t="s">
        <v>1297</v>
      </c>
      <c r="E495" s="1" t="s">
        <v>1442</v>
      </c>
      <c r="F495" s="1" t="s">
        <v>9493</v>
      </c>
      <c r="G495" s="1" t="s">
        <v>9494</v>
      </c>
      <c r="H495" s="1" t="s">
        <v>9495</v>
      </c>
      <c r="I495" s="1" t="s">
        <v>9496</v>
      </c>
      <c r="J495" s="1">
        <v>9637115783</v>
      </c>
      <c r="K495" s="1" t="s">
        <v>79</v>
      </c>
      <c r="L495" s="1" t="s">
        <v>9497</v>
      </c>
      <c r="M495" s="1" t="s">
        <v>81</v>
      </c>
      <c r="N495" s="1" t="s">
        <v>1448</v>
      </c>
      <c r="O495" s="1"/>
      <c r="P495" s="1" t="s">
        <v>450</v>
      </c>
      <c r="Q495" s="1" t="s">
        <v>9498</v>
      </c>
      <c r="R495" s="1" t="s">
        <v>9499</v>
      </c>
      <c r="S495" s="1">
        <v>8888766765</v>
      </c>
      <c r="T495" s="1" t="s">
        <v>2344</v>
      </c>
      <c r="U495" s="1" t="s">
        <v>9500</v>
      </c>
      <c r="V495" s="1">
        <v>9860406011</v>
      </c>
      <c r="W495" s="1" t="s">
        <v>156</v>
      </c>
      <c r="X495" s="1" t="s">
        <v>9501</v>
      </c>
      <c r="Y495" s="1" t="s">
        <v>191</v>
      </c>
      <c r="Z495" s="1" t="s">
        <v>92</v>
      </c>
      <c r="AA495" s="1" t="s">
        <v>9501</v>
      </c>
      <c r="AB495" s="1" t="s">
        <v>191</v>
      </c>
      <c r="AC495" s="1" t="s">
        <v>92</v>
      </c>
      <c r="AD495" s="1">
        <v>7.46</v>
      </c>
      <c r="AE495" s="1" t="s">
        <v>93</v>
      </c>
      <c r="AF495" s="1" t="s">
        <v>9502</v>
      </c>
      <c r="AG495" s="1" t="s">
        <v>9503</v>
      </c>
      <c r="AH495" s="1" t="s">
        <v>2793</v>
      </c>
      <c r="AI495" s="1" t="s">
        <v>165</v>
      </c>
      <c r="AJ495" s="1">
        <v>80.2</v>
      </c>
      <c r="AK495" s="1">
        <v>8.6</v>
      </c>
      <c r="AL495" s="1"/>
      <c r="AM495" s="1"/>
      <c r="AN495" s="1"/>
      <c r="AO495" s="1"/>
      <c r="AP495" s="1"/>
      <c r="AQ495" s="1"/>
      <c r="AR495" s="1" t="s">
        <v>98</v>
      </c>
      <c r="AS495" s="1" t="s">
        <v>9504</v>
      </c>
      <c r="AT495" s="1" t="s">
        <v>5538</v>
      </c>
      <c r="AU495" s="1" t="s">
        <v>460</v>
      </c>
      <c r="AV495" s="1">
        <v>71.79</v>
      </c>
      <c r="AW495" s="1"/>
      <c r="AX495" s="1" t="s">
        <v>9505</v>
      </c>
      <c r="AY495" s="1" t="s">
        <v>9506</v>
      </c>
      <c r="AZ495" s="1" t="s">
        <v>871</v>
      </c>
      <c r="BA495" s="1" t="s">
        <v>9507</v>
      </c>
      <c r="BB495" s="1">
        <v>72.09</v>
      </c>
      <c r="BC495" s="1">
        <v>8.1</v>
      </c>
      <c r="BD495" s="1"/>
      <c r="BE495" s="1"/>
      <c r="BF495" s="1"/>
      <c r="BG495" s="1"/>
      <c r="BH495" s="1"/>
      <c r="BI495" s="1"/>
      <c r="BJ495" s="1" t="s">
        <v>3326</v>
      </c>
      <c r="BK495" s="1" t="s">
        <v>9508</v>
      </c>
      <c r="BL495" s="1" t="s">
        <v>645</v>
      </c>
      <c r="BM495" s="1"/>
      <c r="BN495" s="1"/>
      <c r="BO495" s="1"/>
      <c r="BP495" s="1" t="str">
        <f>HYPERLINK("https://nconnect.nicmar.ac.in/storage/profile/ProfilePhoto_P25700495_845126.jpg","Download")</f>
        <v>0</v>
      </c>
      <c r="BQ495" s="3"/>
      <c r="BR495" s="3"/>
    </row>
    <row r="496" spans="1:70">
      <c r="A496" s="1" t="s">
        <v>70</v>
      </c>
      <c r="B496" s="1" t="s">
        <v>441</v>
      </c>
      <c r="C496" s="1" t="s">
        <v>9509</v>
      </c>
      <c r="D496" s="1" t="s">
        <v>9510</v>
      </c>
      <c r="E496" s="1" t="s">
        <v>6520</v>
      </c>
      <c r="F496" s="1" t="s">
        <v>9511</v>
      </c>
      <c r="G496" s="1" t="s">
        <v>9512</v>
      </c>
      <c r="H496" s="1" t="s">
        <v>9513</v>
      </c>
      <c r="I496" s="1" t="s">
        <v>9514</v>
      </c>
      <c r="J496" s="1">
        <v>7558471099</v>
      </c>
      <c r="K496" s="1" t="s">
        <v>79</v>
      </c>
      <c r="L496" s="1" t="s">
        <v>9515</v>
      </c>
      <c r="M496" s="1" t="s">
        <v>81</v>
      </c>
      <c r="N496" s="1" t="s">
        <v>9516</v>
      </c>
      <c r="O496" s="1"/>
      <c r="P496" s="1"/>
      <c r="Q496" s="1" t="s">
        <v>9517</v>
      </c>
      <c r="R496" s="1" t="s">
        <v>6520</v>
      </c>
      <c r="S496" s="1">
        <v>9421418121</v>
      </c>
      <c r="T496" s="1" t="s">
        <v>906</v>
      </c>
      <c r="U496" s="1" t="s">
        <v>9518</v>
      </c>
      <c r="V496" s="1">
        <v>9405107811</v>
      </c>
      <c r="W496" s="1" t="s">
        <v>89</v>
      </c>
      <c r="X496" s="1" t="s">
        <v>9519</v>
      </c>
      <c r="Y496" s="1" t="s">
        <v>191</v>
      </c>
      <c r="Z496" s="1" t="s">
        <v>92</v>
      </c>
      <c r="AA496" s="1" t="s">
        <v>9520</v>
      </c>
      <c r="AB496" s="1" t="s">
        <v>91</v>
      </c>
      <c r="AC496" s="1" t="s">
        <v>92</v>
      </c>
      <c r="AD496" s="1">
        <v>8.49</v>
      </c>
      <c r="AE496" s="1" t="s">
        <v>93</v>
      </c>
      <c r="AF496" s="1" t="s">
        <v>9521</v>
      </c>
      <c r="AG496" s="1" t="s">
        <v>9522</v>
      </c>
      <c r="AH496" s="1" t="s">
        <v>97</v>
      </c>
      <c r="AI496" s="1" t="s">
        <v>1089</v>
      </c>
      <c r="AJ496" s="1">
        <v>88.2</v>
      </c>
      <c r="AK496" s="1"/>
      <c r="AL496" s="1" t="s">
        <v>9523</v>
      </c>
      <c r="AM496" s="1" t="s">
        <v>9522</v>
      </c>
      <c r="AN496" s="1" t="s">
        <v>1455</v>
      </c>
      <c r="AO496" s="1" t="s">
        <v>198</v>
      </c>
      <c r="AP496" s="1">
        <v>60</v>
      </c>
      <c r="AQ496" s="1"/>
      <c r="AR496" s="1"/>
      <c r="AS496" s="1"/>
      <c r="AT496" s="1"/>
      <c r="AU496" s="1"/>
      <c r="AV496" s="1"/>
      <c r="AW496" s="1"/>
      <c r="AX496" s="1" t="s">
        <v>9524</v>
      </c>
      <c r="AY496" s="1" t="s">
        <v>9525</v>
      </c>
      <c r="AZ496" s="1" t="s">
        <v>201</v>
      </c>
      <c r="BA496" s="1" t="s">
        <v>935</v>
      </c>
      <c r="BB496" s="1">
        <v>72.3</v>
      </c>
      <c r="BC496" s="1">
        <v>7.98</v>
      </c>
      <c r="BD496" s="1"/>
      <c r="BE496" s="1"/>
      <c r="BF496" s="1"/>
      <c r="BG496" s="1"/>
      <c r="BH496" s="1"/>
      <c r="BI496" s="1"/>
      <c r="BJ496" s="1" t="s">
        <v>830</v>
      </c>
      <c r="BK496" s="1" t="s">
        <v>9526</v>
      </c>
      <c r="BL496" s="1" t="s">
        <v>1129</v>
      </c>
      <c r="BM496" s="1" t="s">
        <v>9527</v>
      </c>
      <c r="BN496" s="1">
        <v>8</v>
      </c>
      <c r="BO496" s="1" t="s">
        <v>9528</v>
      </c>
      <c r="BP496" s="1" t="str">
        <f>HYPERLINK("https://nconnect.nicmar.ac.in/storage/profile/ProfilePhoto_P25700496_421673.jpg","Download")</f>
        <v>0</v>
      </c>
      <c r="BQ496" s="3"/>
      <c r="BR496" s="3"/>
    </row>
    <row r="497" spans="1:70">
      <c r="A497" s="1" t="s">
        <v>70</v>
      </c>
      <c r="B497" s="1" t="s">
        <v>441</v>
      </c>
      <c r="C497" s="1" t="s">
        <v>9529</v>
      </c>
      <c r="D497" s="1" t="s">
        <v>343</v>
      </c>
      <c r="E497" s="1"/>
      <c r="F497" s="1" t="s">
        <v>9530</v>
      </c>
      <c r="G497" s="1" t="s">
        <v>9531</v>
      </c>
      <c r="H497" s="1" t="s">
        <v>9532</v>
      </c>
      <c r="I497" s="1" t="s">
        <v>9533</v>
      </c>
      <c r="J497" s="1">
        <v>6303601977</v>
      </c>
      <c r="K497" s="1" t="s">
        <v>79</v>
      </c>
      <c r="L497" s="1" t="s">
        <v>9534</v>
      </c>
      <c r="M497" s="1" t="s">
        <v>81</v>
      </c>
      <c r="N497" s="1" t="s">
        <v>8331</v>
      </c>
      <c r="O497" s="1"/>
      <c r="P497" s="1"/>
      <c r="Q497" s="1" t="s">
        <v>9535</v>
      </c>
      <c r="R497" s="1" t="s">
        <v>9536</v>
      </c>
      <c r="S497" s="1">
        <v>9440414965</v>
      </c>
      <c r="T497" s="1" t="s">
        <v>1595</v>
      </c>
      <c r="U497" s="1" t="s">
        <v>9537</v>
      </c>
      <c r="V497" s="1">
        <v>9182069742</v>
      </c>
      <c r="W497" s="1" t="s">
        <v>531</v>
      </c>
      <c r="X497" s="1" t="s">
        <v>9538</v>
      </c>
      <c r="Y497" s="1" t="s">
        <v>1432</v>
      </c>
      <c r="Z497" s="1" t="s">
        <v>276</v>
      </c>
      <c r="AA497" s="1" t="s">
        <v>9538</v>
      </c>
      <c r="AB497" s="1" t="s">
        <v>1432</v>
      </c>
      <c r="AC497" s="1" t="s">
        <v>276</v>
      </c>
      <c r="AD497" s="1">
        <v>8.26</v>
      </c>
      <c r="AE497" s="1" t="s">
        <v>93</v>
      </c>
      <c r="AF497" s="1" t="s">
        <v>9539</v>
      </c>
      <c r="AG497" s="1" t="s">
        <v>9540</v>
      </c>
      <c r="AH497" s="1" t="s">
        <v>166</v>
      </c>
      <c r="AI497" s="1" t="s">
        <v>308</v>
      </c>
      <c r="AJ497" s="1">
        <v>68.4</v>
      </c>
      <c r="AK497" s="1"/>
      <c r="AL497" s="1" t="s">
        <v>9541</v>
      </c>
      <c r="AM497" s="1" t="s">
        <v>9542</v>
      </c>
      <c r="AN497" s="1" t="s">
        <v>433</v>
      </c>
      <c r="AO497" s="1" t="s">
        <v>173</v>
      </c>
      <c r="AP497" s="1">
        <v>88.9</v>
      </c>
      <c r="AQ497" s="1"/>
      <c r="AR497" s="1"/>
      <c r="AS497" s="1"/>
      <c r="AT497" s="1"/>
      <c r="AU497" s="1"/>
      <c r="AV497" s="1"/>
      <c r="AW497" s="1"/>
      <c r="AX497" s="1" t="s">
        <v>9543</v>
      </c>
      <c r="AY497" s="1" t="s">
        <v>9544</v>
      </c>
      <c r="AZ497" s="1" t="s">
        <v>542</v>
      </c>
      <c r="BA497" s="1" t="s">
        <v>829</v>
      </c>
      <c r="BB497" s="1">
        <v>63</v>
      </c>
      <c r="BC497" s="1">
        <v>7.05</v>
      </c>
      <c r="BD497" s="1"/>
      <c r="BE497" s="1"/>
      <c r="BF497" s="1"/>
      <c r="BG497" s="1"/>
      <c r="BH497" s="1"/>
      <c r="BI497" s="1"/>
      <c r="BJ497" s="1" t="s">
        <v>9545</v>
      </c>
      <c r="BK497" s="1"/>
      <c r="BL497" s="1"/>
      <c r="BM497" s="1" t="s">
        <v>9546</v>
      </c>
      <c r="BN497" s="1">
        <v>24</v>
      </c>
      <c r="BO497" s="1" t="s">
        <v>9547</v>
      </c>
      <c r="BP497" s="1" t="str">
        <f>HYPERLINK("https://nconnect.nicmar.ac.in/storage/profile/ProfilePhoto_P25700497_461735.jpg","Download")</f>
        <v>0</v>
      </c>
      <c r="BQ497" s="3"/>
      <c r="BR497" s="3"/>
    </row>
    <row r="498" spans="1:70">
      <c r="A498" s="1" t="s">
        <v>70</v>
      </c>
      <c r="B498" s="1" t="s">
        <v>441</v>
      </c>
      <c r="C498" s="1" t="s">
        <v>9548</v>
      </c>
      <c r="D498" s="1" t="s">
        <v>3368</v>
      </c>
      <c r="E498" s="1"/>
      <c r="F498" s="1" t="s">
        <v>9549</v>
      </c>
      <c r="G498" s="1" t="s">
        <v>9550</v>
      </c>
      <c r="H498" s="1" t="s">
        <v>9551</v>
      </c>
      <c r="I498" s="1" t="s">
        <v>9552</v>
      </c>
      <c r="J498" s="1">
        <v>7008400781</v>
      </c>
      <c r="K498" s="1" t="s">
        <v>79</v>
      </c>
      <c r="L498" s="1" t="s">
        <v>9553</v>
      </c>
      <c r="M498" s="1" t="s">
        <v>81</v>
      </c>
      <c r="N498" s="1" t="s">
        <v>839</v>
      </c>
      <c r="O498" s="1"/>
      <c r="P498" s="1" t="s">
        <v>472</v>
      </c>
      <c r="Q498" s="1" t="s">
        <v>9554</v>
      </c>
      <c r="R498" s="1" t="s">
        <v>9555</v>
      </c>
      <c r="S498" s="1">
        <v>9668601082</v>
      </c>
      <c r="T498" s="1" t="s">
        <v>9556</v>
      </c>
      <c r="U498" s="1" t="s">
        <v>9557</v>
      </c>
      <c r="V498" s="1">
        <v>9777995200</v>
      </c>
      <c r="W498" s="1" t="s">
        <v>156</v>
      </c>
      <c r="X498" s="1" t="s">
        <v>9558</v>
      </c>
      <c r="Y498" s="1" t="s">
        <v>9559</v>
      </c>
      <c r="Z498" s="1" t="s">
        <v>846</v>
      </c>
      <c r="AA498" s="1" t="s">
        <v>9558</v>
      </c>
      <c r="AB498" s="1" t="s">
        <v>9559</v>
      </c>
      <c r="AC498" s="1" t="s">
        <v>846</v>
      </c>
      <c r="AD498" s="1">
        <v>7.82</v>
      </c>
      <c r="AE498" s="1" t="s">
        <v>93</v>
      </c>
      <c r="AF498" s="1" t="s">
        <v>9560</v>
      </c>
      <c r="AG498" s="1" t="s">
        <v>9561</v>
      </c>
      <c r="AH498" s="1" t="s">
        <v>279</v>
      </c>
      <c r="AI498" s="1" t="s">
        <v>195</v>
      </c>
      <c r="AJ498" s="1">
        <v>95</v>
      </c>
      <c r="AK498" s="1">
        <v>10</v>
      </c>
      <c r="AL498" s="1" t="s">
        <v>9560</v>
      </c>
      <c r="AM498" s="1" t="s">
        <v>9561</v>
      </c>
      <c r="AN498" s="1" t="s">
        <v>166</v>
      </c>
      <c r="AO498" s="1" t="s">
        <v>537</v>
      </c>
      <c r="AP498" s="1">
        <v>61.2</v>
      </c>
      <c r="AQ498" s="1"/>
      <c r="AR498" s="1"/>
      <c r="AS498" s="1"/>
      <c r="AT498" s="1"/>
      <c r="AU498" s="1"/>
      <c r="AV498" s="1"/>
      <c r="AW498" s="1"/>
      <c r="AX498" s="1" t="s">
        <v>9562</v>
      </c>
      <c r="AY498" s="1" t="s">
        <v>9563</v>
      </c>
      <c r="AZ498" s="1" t="s">
        <v>436</v>
      </c>
      <c r="BA498" s="1" t="s">
        <v>543</v>
      </c>
      <c r="BB498" s="1">
        <v>66.9</v>
      </c>
      <c r="BC498" s="1">
        <v>7.19</v>
      </c>
      <c r="BD498" s="1"/>
      <c r="BE498" s="1"/>
      <c r="BF498" s="1"/>
      <c r="BG498" s="1"/>
      <c r="BH498" s="1"/>
      <c r="BI498" s="1"/>
      <c r="BJ498" s="1" t="s">
        <v>9564</v>
      </c>
      <c r="BK498" s="1"/>
      <c r="BL498" s="1"/>
      <c r="BM498" s="1" t="s">
        <v>9565</v>
      </c>
      <c r="BN498" s="1">
        <v>17</v>
      </c>
      <c r="BO498" s="1" t="s">
        <v>9566</v>
      </c>
      <c r="BP498" s="1" t="str">
        <f>HYPERLINK("https://nconnect.nicmar.ac.in/storage/profile/ProfilePhoto_P25700498_498652.jpg","Download")</f>
        <v>0</v>
      </c>
      <c r="BQ498" s="3"/>
      <c r="BR498" s="3"/>
    </row>
    <row r="499" spans="1:70">
      <c r="A499" s="1" t="s">
        <v>70</v>
      </c>
      <c r="B499" s="1" t="s">
        <v>441</v>
      </c>
      <c r="C499" s="1" t="s">
        <v>9567</v>
      </c>
      <c r="D499" s="1" t="s">
        <v>9568</v>
      </c>
      <c r="E499" s="1" t="s">
        <v>1298</v>
      </c>
      <c r="F499" s="1" t="s">
        <v>9569</v>
      </c>
      <c r="G499" s="1" t="s">
        <v>9570</v>
      </c>
      <c r="H499" s="1" t="s">
        <v>9571</v>
      </c>
      <c r="I499" s="1" t="s">
        <v>9572</v>
      </c>
      <c r="J499" s="1">
        <v>9699447311</v>
      </c>
      <c r="K499" s="1" t="s">
        <v>79</v>
      </c>
      <c r="L499" s="1" t="s">
        <v>9573</v>
      </c>
      <c r="M499" s="1" t="s">
        <v>150</v>
      </c>
      <c r="N499" s="1" t="s">
        <v>6499</v>
      </c>
      <c r="O499" s="1"/>
      <c r="P499" s="1" t="s">
        <v>450</v>
      </c>
      <c r="Q499" s="1" t="s">
        <v>9574</v>
      </c>
      <c r="R499" s="1" t="s">
        <v>9575</v>
      </c>
      <c r="S499" s="1">
        <v>9321555715</v>
      </c>
      <c r="T499" s="1" t="s">
        <v>9576</v>
      </c>
      <c r="U499" s="1" t="s">
        <v>9577</v>
      </c>
      <c r="V499" s="1">
        <v>8446346783</v>
      </c>
      <c r="W499" s="1" t="s">
        <v>156</v>
      </c>
      <c r="X499" s="1" t="s">
        <v>9578</v>
      </c>
      <c r="Y499" s="1" t="s">
        <v>4313</v>
      </c>
      <c r="Z499" s="1" t="s">
        <v>92</v>
      </c>
      <c r="AA499" s="1" t="s">
        <v>9578</v>
      </c>
      <c r="AB499" s="1" t="s">
        <v>4313</v>
      </c>
      <c r="AC499" s="1" t="s">
        <v>92</v>
      </c>
      <c r="AD499" s="1">
        <v>7.84</v>
      </c>
      <c r="AE499" s="1" t="s">
        <v>93</v>
      </c>
      <c r="AF499" s="1" t="s">
        <v>9579</v>
      </c>
      <c r="AG499" s="1" t="s">
        <v>9580</v>
      </c>
      <c r="AH499" s="1" t="s">
        <v>128</v>
      </c>
      <c r="AI499" s="1" t="s">
        <v>1190</v>
      </c>
      <c r="AJ499" s="1">
        <v>74.91</v>
      </c>
      <c r="AK499" s="1"/>
      <c r="AL499" s="1" t="s">
        <v>9581</v>
      </c>
      <c r="AM499" s="1" t="s">
        <v>9580</v>
      </c>
      <c r="AN499" s="1" t="s">
        <v>96</v>
      </c>
      <c r="AO499" s="1" t="s">
        <v>161</v>
      </c>
      <c r="AP499" s="1">
        <v>53.23</v>
      </c>
      <c r="AQ499" s="1"/>
      <c r="AR499" s="1" t="s">
        <v>98</v>
      </c>
      <c r="AS499" s="1" t="s">
        <v>9580</v>
      </c>
      <c r="AT499" s="1" t="s">
        <v>100</v>
      </c>
      <c r="AU499" s="1" t="s">
        <v>165</v>
      </c>
      <c r="AV499" s="1">
        <v>75</v>
      </c>
      <c r="AW499" s="1"/>
      <c r="AX499" s="1" t="s">
        <v>666</v>
      </c>
      <c r="AY499" s="1" t="s">
        <v>9580</v>
      </c>
      <c r="AZ499" s="1" t="s">
        <v>225</v>
      </c>
      <c r="BA499" s="1" t="s">
        <v>170</v>
      </c>
      <c r="BB499" s="1">
        <v>67.43</v>
      </c>
      <c r="BC499" s="1">
        <v>7.49</v>
      </c>
      <c r="BD499" s="1"/>
      <c r="BE499" s="1"/>
      <c r="BF499" s="1"/>
      <c r="BG499" s="1"/>
      <c r="BH499" s="1"/>
      <c r="BI499" s="1"/>
      <c r="BJ499" s="1" t="s">
        <v>364</v>
      </c>
      <c r="BK499" s="1" t="s">
        <v>9582</v>
      </c>
      <c r="BL499" s="1" t="s">
        <v>9583</v>
      </c>
      <c r="BM499" s="1" t="s">
        <v>9584</v>
      </c>
      <c r="BN499" s="1">
        <v>9</v>
      </c>
      <c r="BO499" s="1" t="s">
        <v>9585</v>
      </c>
      <c r="BP499" s="1" t="str">
        <f>HYPERLINK("https://nconnect.nicmar.ac.in/storage/profile/ProfilePhoto_P25700499_582613.jpg","Download")</f>
        <v>0</v>
      </c>
      <c r="BQ499" s="3"/>
      <c r="BR499" s="3"/>
    </row>
    <row r="500" spans="1:70">
      <c r="A500" s="1" t="s">
        <v>70</v>
      </c>
      <c r="B500" s="1" t="s">
        <v>441</v>
      </c>
      <c r="C500" s="1" t="s">
        <v>9586</v>
      </c>
      <c r="D500" s="1" t="s">
        <v>9587</v>
      </c>
      <c r="E500" s="1" t="s">
        <v>2203</v>
      </c>
      <c r="F500" s="1" t="s">
        <v>9588</v>
      </c>
      <c r="G500" s="1" t="s">
        <v>9589</v>
      </c>
      <c r="H500" s="1" t="s">
        <v>9590</v>
      </c>
      <c r="I500" s="1" t="s">
        <v>9591</v>
      </c>
      <c r="J500" s="1">
        <v>7083031505</v>
      </c>
      <c r="K500" s="1" t="s">
        <v>148</v>
      </c>
      <c r="L500" s="1" t="s">
        <v>9592</v>
      </c>
      <c r="M500" s="1" t="s">
        <v>81</v>
      </c>
      <c r="N500" s="1" t="s">
        <v>185</v>
      </c>
      <c r="O500" s="1"/>
      <c r="P500" s="1" t="s">
        <v>472</v>
      </c>
      <c r="Q500" s="1" t="s">
        <v>9593</v>
      </c>
      <c r="R500" s="1" t="s">
        <v>9594</v>
      </c>
      <c r="S500" s="1">
        <v>7083031505</v>
      </c>
      <c r="T500" s="1" t="s">
        <v>122</v>
      </c>
      <c r="U500" s="1" t="s">
        <v>9595</v>
      </c>
      <c r="V500" s="1">
        <v>9404325232</v>
      </c>
      <c r="W500" s="1" t="s">
        <v>122</v>
      </c>
      <c r="X500" s="1" t="s">
        <v>9596</v>
      </c>
      <c r="Y500" s="1" t="s">
        <v>1754</v>
      </c>
      <c r="Z500" s="1" t="s">
        <v>92</v>
      </c>
      <c r="AA500" s="1" t="s">
        <v>9596</v>
      </c>
      <c r="AB500" s="1" t="s">
        <v>1754</v>
      </c>
      <c r="AC500" s="1" t="s">
        <v>92</v>
      </c>
      <c r="AD500" s="1" t="s">
        <v>93</v>
      </c>
      <c r="AE500" s="1" t="s">
        <v>93</v>
      </c>
      <c r="AF500" s="1" t="s">
        <v>9597</v>
      </c>
      <c r="AG500" s="1" t="s">
        <v>9598</v>
      </c>
      <c r="AH500" s="1" t="s">
        <v>162</v>
      </c>
      <c r="AI500" s="1" t="s">
        <v>165</v>
      </c>
      <c r="AJ500" s="1">
        <v>89.3</v>
      </c>
      <c r="AK500" s="1">
        <v>9.4</v>
      </c>
      <c r="AL500" s="1" t="s">
        <v>9599</v>
      </c>
      <c r="AM500" s="1" t="s">
        <v>9600</v>
      </c>
      <c r="AN500" s="1" t="s">
        <v>1455</v>
      </c>
      <c r="AO500" s="1" t="s">
        <v>198</v>
      </c>
      <c r="AP500" s="1">
        <v>64.92</v>
      </c>
      <c r="AQ500" s="1"/>
      <c r="AR500" s="1"/>
      <c r="AS500" s="1"/>
      <c r="AT500" s="1"/>
      <c r="AU500" s="1"/>
      <c r="AV500" s="1"/>
      <c r="AW500" s="1"/>
      <c r="AX500" s="1" t="s">
        <v>9601</v>
      </c>
      <c r="AY500" s="1" t="s">
        <v>9602</v>
      </c>
      <c r="AZ500" s="1" t="s">
        <v>201</v>
      </c>
      <c r="BA500" s="1" t="s">
        <v>202</v>
      </c>
      <c r="BB500" s="1">
        <v>64.6</v>
      </c>
      <c r="BC500" s="1">
        <v>6.81</v>
      </c>
      <c r="BD500" s="1"/>
      <c r="BE500" s="1"/>
      <c r="BF500" s="1"/>
      <c r="BG500" s="1"/>
      <c r="BH500" s="1"/>
      <c r="BI500" s="1"/>
      <c r="BJ500" s="1" t="s">
        <v>9603</v>
      </c>
      <c r="BK500" s="1"/>
      <c r="BL500" s="1"/>
      <c r="BM500" s="1"/>
      <c r="BN500" s="1"/>
      <c r="BO500" s="1"/>
      <c r="BP500" s="1" t="str">
        <f>HYPERLINK("https://nconnect.nicmar.ac.in/storage/profile/ProfilePhoto_P25700720_297461.jpg","Download")</f>
        <v>0</v>
      </c>
      <c r="BQ500" s="3"/>
      <c r="BR500" s="3"/>
    </row>
    <row r="501" spans="1:70">
      <c r="A501" s="1" t="s">
        <v>70</v>
      </c>
      <c r="B501" s="1" t="s">
        <v>441</v>
      </c>
      <c r="C501" s="1" t="s">
        <v>9604</v>
      </c>
      <c r="D501" s="1" t="s">
        <v>9605</v>
      </c>
      <c r="E501" s="1"/>
      <c r="F501" s="1" t="s">
        <v>9606</v>
      </c>
      <c r="G501" s="1" t="s">
        <v>9607</v>
      </c>
      <c r="H501" s="1" t="s">
        <v>9608</v>
      </c>
      <c r="I501" s="1" t="s">
        <v>9608</v>
      </c>
      <c r="J501" s="1">
        <v>9999999999</v>
      </c>
      <c r="K501" s="1"/>
      <c r="L501" s="1"/>
      <c r="M501" s="1"/>
      <c r="N501" s="1"/>
      <c r="O501" s="1"/>
      <c r="P501" s="1"/>
      <c r="Q501" s="1"/>
      <c r="R501" s="1"/>
      <c r="S501" s="1"/>
      <c r="T501" s="1"/>
      <c r="U501" s="1"/>
      <c r="V501" s="1"/>
      <c r="W501" s="1"/>
      <c r="X501" s="1"/>
      <c r="Y501" s="1"/>
      <c r="Z501" s="1"/>
      <c r="AA501" s="1"/>
      <c r="AB501" s="1"/>
      <c r="AC501" s="1"/>
      <c r="AD501" s="1" t="s">
        <v>93</v>
      </c>
      <c r="AE501" s="1" t="s">
        <v>93</v>
      </c>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t="s">
        <v>9609</v>
      </c>
      <c r="BQ501" s="3"/>
      <c r="BR501" s="3"/>
    </row>
    <row r="502" spans="1:70">
      <c r="A502" s="1" t="s">
        <v>70</v>
      </c>
      <c r="B502" s="1" t="s">
        <v>441</v>
      </c>
      <c r="C502" s="1" t="s">
        <v>9610</v>
      </c>
      <c r="D502" s="1" t="s">
        <v>9611</v>
      </c>
      <c r="E502" s="1"/>
      <c r="F502" s="1" t="s">
        <v>9612</v>
      </c>
      <c r="G502" s="1" t="s">
        <v>9613</v>
      </c>
      <c r="H502" s="1" t="s">
        <v>9614</v>
      </c>
      <c r="I502" s="1" t="s">
        <v>9615</v>
      </c>
      <c r="J502" s="1">
        <v>8019699355</v>
      </c>
      <c r="K502" s="1" t="s">
        <v>79</v>
      </c>
      <c r="L502" s="1" t="s">
        <v>9616</v>
      </c>
      <c r="M502" s="1" t="s">
        <v>81</v>
      </c>
      <c r="N502" s="1" t="s">
        <v>8331</v>
      </c>
      <c r="O502" s="1"/>
      <c r="P502" s="1" t="s">
        <v>472</v>
      </c>
      <c r="Q502" s="1" t="s">
        <v>9617</v>
      </c>
      <c r="R502" s="1" t="s">
        <v>9618</v>
      </c>
      <c r="S502" s="1">
        <v>8008640029</v>
      </c>
      <c r="T502" s="1" t="s">
        <v>154</v>
      </c>
      <c r="U502" s="1" t="s">
        <v>9619</v>
      </c>
      <c r="V502" s="1">
        <v>9494754174</v>
      </c>
      <c r="W502" s="1" t="s">
        <v>273</v>
      </c>
      <c r="X502" s="1" t="s">
        <v>9620</v>
      </c>
      <c r="Y502" s="1" t="s">
        <v>3482</v>
      </c>
      <c r="Z502" s="1" t="s">
        <v>276</v>
      </c>
      <c r="AA502" s="1" t="s">
        <v>9620</v>
      </c>
      <c r="AB502" s="1" t="s">
        <v>3482</v>
      </c>
      <c r="AC502" s="1" t="s">
        <v>276</v>
      </c>
      <c r="AD502" s="1">
        <v>8.74</v>
      </c>
      <c r="AE502" s="1" t="s">
        <v>93</v>
      </c>
      <c r="AF502" s="1" t="s">
        <v>9621</v>
      </c>
      <c r="AG502" s="1" t="s">
        <v>2310</v>
      </c>
      <c r="AH502" s="1" t="s">
        <v>165</v>
      </c>
      <c r="AI502" s="1" t="s">
        <v>101</v>
      </c>
      <c r="AJ502" s="1">
        <v>98</v>
      </c>
      <c r="AK502" s="1">
        <v>9.8</v>
      </c>
      <c r="AL502" s="1" t="s">
        <v>9622</v>
      </c>
      <c r="AM502" s="1" t="s">
        <v>2312</v>
      </c>
      <c r="AN502" s="1" t="s">
        <v>101</v>
      </c>
      <c r="AO502" s="1" t="s">
        <v>460</v>
      </c>
      <c r="AP502" s="1">
        <v>96.2</v>
      </c>
      <c r="AQ502" s="1">
        <v>9.88</v>
      </c>
      <c r="AR502" s="1"/>
      <c r="AS502" s="1"/>
      <c r="AT502" s="1"/>
      <c r="AU502" s="1"/>
      <c r="AV502" s="1"/>
      <c r="AW502" s="1"/>
      <c r="AX502" s="1" t="s">
        <v>9623</v>
      </c>
      <c r="AY502" s="1" t="s">
        <v>9624</v>
      </c>
      <c r="AZ502" s="1" t="s">
        <v>363</v>
      </c>
      <c r="BA502" s="1" t="s">
        <v>413</v>
      </c>
      <c r="BB502" s="1">
        <v>73.3</v>
      </c>
      <c r="BC502" s="1">
        <v>7.83</v>
      </c>
      <c r="BD502" s="1"/>
      <c r="BE502" s="1"/>
      <c r="BF502" s="1"/>
      <c r="BG502" s="1"/>
      <c r="BH502" s="1"/>
      <c r="BI502" s="1"/>
      <c r="BJ502" s="1" t="s">
        <v>9625</v>
      </c>
      <c r="BK502" s="1" t="s">
        <v>9626</v>
      </c>
      <c r="BL502" s="1" t="s">
        <v>1048</v>
      </c>
      <c r="BM502" s="1" t="s">
        <v>9627</v>
      </c>
      <c r="BN502" s="1">
        <v>12</v>
      </c>
      <c r="BO502" s="1" t="s">
        <v>9628</v>
      </c>
      <c r="BP502" s="1" t="str">
        <f>HYPERLINK("https://nconnect.nicmar.ac.in/storage/profile/ProfilePhoto_P25700500_496237.jpg","Download")</f>
        <v>0</v>
      </c>
      <c r="BQ502" s="3"/>
      <c r="BR502" s="3"/>
    </row>
    <row r="503" spans="1:70">
      <c r="A503" s="1" t="s">
        <v>70</v>
      </c>
      <c r="B503" s="1" t="s">
        <v>441</v>
      </c>
      <c r="C503" s="1" t="s">
        <v>9629</v>
      </c>
      <c r="D503" s="1" t="s">
        <v>9630</v>
      </c>
      <c r="E503" s="1" t="s">
        <v>9631</v>
      </c>
      <c r="F503" s="1" t="s">
        <v>9632</v>
      </c>
      <c r="G503" s="1" t="s">
        <v>9633</v>
      </c>
      <c r="H503" s="1" t="s">
        <v>9634</v>
      </c>
      <c r="I503" s="1" t="s">
        <v>9635</v>
      </c>
      <c r="J503" s="1">
        <v>8790404862</v>
      </c>
      <c r="K503" s="1" t="s">
        <v>79</v>
      </c>
      <c r="L503" s="1" t="s">
        <v>8453</v>
      </c>
      <c r="M503" s="1" t="s">
        <v>81</v>
      </c>
      <c r="N503" s="1" t="s">
        <v>9636</v>
      </c>
      <c r="O503" s="1"/>
      <c r="P503" s="1" t="s">
        <v>497</v>
      </c>
      <c r="Q503" s="1" t="s">
        <v>9637</v>
      </c>
      <c r="R503" s="1" t="s">
        <v>9638</v>
      </c>
      <c r="S503" s="1">
        <v>8341194093</v>
      </c>
      <c r="T503" s="1" t="s">
        <v>9639</v>
      </c>
      <c r="U503" s="1" t="s">
        <v>9640</v>
      </c>
      <c r="V503" s="1">
        <v>9704636806</v>
      </c>
      <c r="W503" s="1" t="s">
        <v>9641</v>
      </c>
      <c r="X503" s="1" t="s">
        <v>9642</v>
      </c>
      <c r="Y503" s="1" t="s">
        <v>3050</v>
      </c>
      <c r="Z503" s="1" t="s">
        <v>456</v>
      </c>
      <c r="AA503" s="1" t="s">
        <v>9642</v>
      </c>
      <c r="AB503" s="1" t="s">
        <v>3050</v>
      </c>
      <c r="AC503" s="1" t="s">
        <v>456</v>
      </c>
      <c r="AD503" s="1">
        <v>7.31</v>
      </c>
      <c r="AE503" s="1" t="s">
        <v>93</v>
      </c>
      <c r="AF503" s="1" t="s">
        <v>9643</v>
      </c>
      <c r="AG503" s="1" t="s">
        <v>2645</v>
      </c>
      <c r="AH503" s="1" t="s">
        <v>165</v>
      </c>
      <c r="AI503" s="1" t="s">
        <v>281</v>
      </c>
      <c r="AJ503" s="1">
        <v>82</v>
      </c>
      <c r="AK503" s="1">
        <v>8.2</v>
      </c>
      <c r="AL503" s="1" t="s">
        <v>3052</v>
      </c>
      <c r="AM503" s="1" t="s">
        <v>3053</v>
      </c>
      <c r="AN503" s="1" t="s">
        <v>101</v>
      </c>
      <c r="AO503" s="1" t="s">
        <v>590</v>
      </c>
      <c r="AP503" s="1">
        <v>65.9</v>
      </c>
      <c r="AQ503" s="1">
        <v>0</v>
      </c>
      <c r="AR503" s="1"/>
      <c r="AS503" s="1"/>
      <c r="AT503" s="1"/>
      <c r="AU503" s="1"/>
      <c r="AV503" s="1"/>
      <c r="AW503" s="1"/>
      <c r="AX503" s="1" t="s">
        <v>9644</v>
      </c>
      <c r="AY503" s="1" t="s">
        <v>9645</v>
      </c>
      <c r="AZ503" s="1" t="s">
        <v>460</v>
      </c>
      <c r="BA503" s="1" t="s">
        <v>8653</v>
      </c>
      <c r="BB503" s="1">
        <v>57.77</v>
      </c>
      <c r="BC503" s="1">
        <v>6.3</v>
      </c>
      <c r="BD503" s="1"/>
      <c r="BE503" s="1"/>
      <c r="BF503" s="1"/>
      <c r="BG503" s="1"/>
      <c r="BH503" s="1"/>
      <c r="BI503" s="1"/>
      <c r="BJ503" s="1" t="s">
        <v>9646</v>
      </c>
      <c r="BK503" s="1"/>
      <c r="BL503" s="1"/>
      <c r="BM503" s="1" t="s">
        <v>9647</v>
      </c>
      <c r="BN503" s="1">
        <v>26</v>
      </c>
      <c r="BO503" s="1" t="s">
        <v>9648</v>
      </c>
      <c r="BP503" s="1" t="str">
        <f>HYPERLINK("https://nconnect.nicmar.ac.in/storage/profile/ProfilePhoto_P25700501_931728.jpg","Download")</f>
        <v>0</v>
      </c>
      <c r="BQ503" s="3"/>
      <c r="BR503" s="3"/>
    </row>
    <row r="504" spans="1:70">
      <c r="A504" s="1" t="s">
        <v>70</v>
      </c>
      <c r="B504" s="1" t="s">
        <v>441</v>
      </c>
      <c r="C504" s="1" t="s">
        <v>9649</v>
      </c>
      <c r="D504" s="1" t="s">
        <v>9650</v>
      </c>
      <c r="E504" s="1" t="s">
        <v>9651</v>
      </c>
      <c r="F504" s="1" t="s">
        <v>9652</v>
      </c>
      <c r="G504" s="1" t="s">
        <v>9653</v>
      </c>
      <c r="H504" s="1" t="s">
        <v>9654</v>
      </c>
      <c r="I504" s="1" t="s">
        <v>9655</v>
      </c>
      <c r="J504" s="1">
        <v>6363192809</v>
      </c>
      <c r="K504" s="1" t="s">
        <v>79</v>
      </c>
      <c r="L504" s="1" t="s">
        <v>9656</v>
      </c>
      <c r="M504" s="1" t="s">
        <v>81</v>
      </c>
      <c r="N504" s="1" t="s">
        <v>1079</v>
      </c>
      <c r="O504" s="1"/>
      <c r="P504" s="1" t="s">
        <v>497</v>
      </c>
      <c r="Q504" s="1" t="s">
        <v>9657</v>
      </c>
      <c r="R504" s="1" t="s">
        <v>9658</v>
      </c>
      <c r="S504" s="1">
        <v>7795257731</v>
      </c>
      <c r="T504" s="1" t="s">
        <v>820</v>
      </c>
      <c r="U504" s="1" t="s">
        <v>9659</v>
      </c>
      <c r="V504" s="1">
        <v>8971620131</v>
      </c>
      <c r="W504" s="1" t="s">
        <v>273</v>
      </c>
      <c r="X504" s="1" t="s">
        <v>9660</v>
      </c>
      <c r="Y504" s="1" t="s">
        <v>4001</v>
      </c>
      <c r="Z504" s="1" t="s">
        <v>1187</v>
      </c>
      <c r="AA504" s="1" t="s">
        <v>9660</v>
      </c>
      <c r="AB504" s="1" t="s">
        <v>4001</v>
      </c>
      <c r="AC504" s="1" t="s">
        <v>1187</v>
      </c>
      <c r="AD504" s="1">
        <v>7.14</v>
      </c>
      <c r="AE504" s="1" t="s">
        <v>93</v>
      </c>
      <c r="AF504" s="1" t="s">
        <v>9661</v>
      </c>
      <c r="AG504" s="1" t="s">
        <v>9662</v>
      </c>
      <c r="AH504" s="1" t="s">
        <v>162</v>
      </c>
      <c r="AI504" s="1" t="s">
        <v>562</v>
      </c>
      <c r="AJ504" s="1">
        <v>79.68</v>
      </c>
      <c r="AK504" s="1"/>
      <c r="AL504" s="1" t="s">
        <v>9663</v>
      </c>
      <c r="AM504" s="1" t="s">
        <v>9662</v>
      </c>
      <c r="AN504" s="1" t="s">
        <v>225</v>
      </c>
      <c r="AO504" s="1" t="s">
        <v>537</v>
      </c>
      <c r="AP504" s="1">
        <v>74.66</v>
      </c>
      <c r="AQ504" s="1"/>
      <c r="AR504" s="1"/>
      <c r="AS504" s="1"/>
      <c r="AT504" s="1"/>
      <c r="AU504" s="1"/>
      <c r="AV504" s="1"/>
      <c r="AW504" s="1"/>
      <c r="AX504" s="1" t="s">
        <v>9664</v>
      </c>
      <c r="AY504" s="1" t="s">
        <v>9665</v>
      </c>
      <c r="AZ504" s="1" t="s">
        <v>104</v>
      </c>
      <c r="BA504" s="1" t="s">
        <v>413</v>
      </c>
      <c r="BB504" s="1">
        <v>66.8</v>
      </c>
      <c r="BC504" s="1">
        <v>7.43</v>
      </c>
      <c r="BD504" s="1"/>
      <c r="BE504" s="1"/>
      <c r="BF504" s="1"/>
      <c r="BG504" s="1"/>
      <c r="BH504" s="1"/>
      <c r="BI504" s="1"/>
      <c r="BJ504" s="1" t="s">
        <v>9666</v>
      </c>
      <c r="BK504" s="1" t="s">
        <v>9667</v>
      </c>
      <c r="BL504" s="1" t="s">
        <v>670</v>
      </c>
      <c r="BM504" s="1" t="s">
        <v>9668</v>
      </c>
      <c r="BN504" s="1">
        <v>42</v>
      </c>
      <c r="BO504" s="1"/>
      <c r="BP504" s="1" t="str">
        <f>HYPERLINK("https://nconnect.nicmar.ac.in/storage/profile/ProfilePhoto_P25700502_714592.jpg","Download")</f>
        <v>0</v>
      </c>
      <c r="BQ504" s="3"/>
      <c r="BR504" s="3"/>
    </row>
    <row r="505" spans="1:70">
      <c r="A505" s="1" t="s">
        <v>70</v>
      </c>
      <c r="B505" s="1" t="s">
        <v>441</v>
      </c>
      <c r="C505" s="1" t="s">
        <v>9669</v>
      </c>
      <c r="D505" s="1" t="s">
        <v>9670</v>
      </c>
      <c r="E505" s="1"/>
      <c r="F505" s="1" t="s">
        <v>4806</v>
      </c>
      <c r="G505" s="1" t="s">
        <v>9671</v>
      </c>
      <c r="H505" s="1" t="s">
        <v>9672</v>
      </c>
      <c r="I505" s="1" t="s">
        <v>9673</v>
      </c>
      <c r="J505" s="1">
        <v>9791895523</v>
      </c>
      <c r="K505" s="1" t="s">
        <v>79</v>
      </c>
      <c r="L505" s="1" t="s">
        <v>9674</v>
      </c>
      <c r="M505" s="1" t="s">
        <v>81</v>
      </c>
      <c r="N505" s="1" t="s">
        <v>2325</v>
      </c>
      <c r="O505" s="1"/>
      <c r="P505" s="1" t="s">
        <v>450</v>
      </c>
      <c r="Q505" s="1" t="s">
        <v>9675</v>
      </c>
      <c r="R505" s="1" t="s">
        <v>9676</v>
      </c>
      <c r="S505" s="1">
        <v>9865525525</v>
      </c>
      <c r="T505" s="1" t="s">
        <v>9677</v>
      </c>
      <c r="U505" s="1" t="s">
        <v>9678</v>
      </c>
      <c r="V505" s="1">
        <v>9597675525</v>
      </c>
      <c r="W505" s="1" t="s">
        <v>9679</v>
      </c>
      <c r="X505" s="1" t="s">
        <v>9680</v>
      </c>
      <c r="Y505" s="1" t="s">
        <v>9681</v>
      </c>
      <c r="Z505" s="1" t="s">
        <v>559</v>
      </c>
      <c r="AA505" s="1" t="s">
        <v>9680</v>
      </c>
      <c r="AB505" s="1" t="s">
        <v>9681</v>
      </c>
      <c r="AC505" s="1" t="s">
        <v>559</v>
      </c>
      <c r="AD505" s="1">
        <v>8.95</v>
      </c>
      <c r="AE505" s="1" t="s">
        <v>93</v>
      </c>
      <c r="AF505" s="1" t="s">
        <v>9682</v>
      </c>
      <c r="AG505" s="1" t="s">
        <v>8620</v>
      </c>
      <c r="AH505" s="1" t="s">
        <v>195</v>
      </c>
      <c r="AI505" s="1" t="s">
        <v>281</v>
      </c>
      <c r="AJ505" s="1">
        <v>92</v>
      </c>
      <c r="AK505" s="1"/>
      <c r="AL505" s="1" t="s">
        <v>9683</v>
      </c>
      <c r="AM505" s="1" t="s">
        <v>8620</v>
      </c>
      <c r="AN505" s="1" t="s">
        <v>281</v>
      </c>
      <c r="AO505" s="1" t="s">
        <v>590</v>
      </c>
      <c r="AP505" s="1">
        <v>86.33</v>
      </c>
      <c r="AQ505" s="1"/>
      <c r="AR505" s="1"/>
      <c r="AS505" s="1"/>
      <c r="AT505" s="1"/>
      <c r="AU505" s="1"/>
      <c r="AV505" s="1"/>
      <c r="AW505" s="1"/>
      <c r="AX505" s="1" t="s">
        <v>564</v>
      </c>
      <c r="AY505" s="1" t="s">
        <v>9684</v>
      </c>
      <c r="AZ505" s="1" t="s">
        <v>170</v>
      </c>
      <c r="BA505" s="1" t="s">
        <v>594</v>
      </c>
      <c r="BB505" s="1">
        <v>78.9</v>
      </c>
      <c r="BC505" s="1"/>
      <c r="BD505" s="1"/>
      <c r="BE505" s="1"/>
      <c r="BF505" s="1"/>
      <c r="BG505" s="1"/>
      <c r="BH505" s="1"/>
      <c r="BI505" s="1"/>
      <c r="BJ505" s="1" t="s">
        <v>9685</v>
      </c>
      <c r="BK505" s="1"/>
      <c r="BL505" s="1"/>
      <c r="BM505" s="1" t="s">
        <v>9686</v>
      </c>
      <c r="BN505" s="1">
        <v>27</v>
      </c>
      <c r="BO505" s="1" t="s">
        <v>9687</v>
      </c>
      <c r="BP505" s="1" t="str">
        <f>HYPERLINK("https://nconnect.nicmar.ac.in/storage/profile/ProfilePhoto_P25700503_618932.jpg","Download")</f>
        <v>0</v>
      </c>
      <c r="BQ505" s="3"/>
      <c r="BR505" s="3"/>
    </row>
    <row r="506" spans="1:70">
      <c r="A506" s="1" t="s">
        <v>70</v>
      </c>
      <c r="B506" s="1" t="s">
        <v>441</v>
      </c>
      <c r="C506" s="1" t="s">
        <v>9688</v>
      </c>
      <c r="D506" s="1" t="s">
        <v>1073</v>
      </c>
      <c r="E506" s="1" t="s">
        <v>4712</v>
      </c>
      <c r="F506" s="1" t="s">
        <v>9689</v>
      </c>
      <c r="G506" s="1" t="s">
        <v>9690</v>
      </c>
      <c r="H506" s="1" t="s">
        <v>9691</v>
      </c>
      <c r="I506" s="1" t="s">
        <v>9692</v>
      </c>
      <c r="J506" s="1">
        <v>8412819597</v>
      </c>
      <c r="K506" s="1" t="s">
        <v>79</v>
      </c>
      <c r="L506" s="1" t="s">
        <v>9693</v>
      </c>
      <c r="M506" s="1" t="s">
        <v>81</v>
      </c>
      <c r="N506" s="1" t="s">
        <v>2147</v>
      </c>
      <c r="O506" s="1"/>
      <c r="P506" s="1" t="s">
        <v>472</v>
      </c>
      <c r="Q506" s="1" t="s">
        <v>9694</v>
      </c>
      <c r="R506" s="1" t="s">
        <v>9695</v>
      </c>
      <c r="S506" s="1">
        <v>8087902210</v>
      </c>
      <c r="T506" s="1" t="s">
        <v>6124</v>
      </c>
      <c r="U506" s="1" t="s">
        <v>9696</v>
      </c>
      <c r="V506" s="1">
        <v>8788501617</v>
      </c>
      <c r="W506" s="1" t="s">
        <v>8925</v>
      </c>
      <c r="X506" s="1" t="s">
        <v>9697</v>
      </c>
      <c r="Y506" s="1" t="s">
        <v>191</v>
      </c>
      <c r="Z506" s="1" t="s">
        <v>92</v>
      </c>
      <c r="AA506" s="1" t="s">
        <v>9698</v>
      </c>
      <c r="AB506" s="1" t="s">
        <v>9699</v>
      </c>
      <c r="AC506" s="1" t="s">
        <v>92</v>
      </c>
      <c r="AD506" s="1">
        <v>8.34</v>
      </c>
      <c r="AE506" s="1" t="s">
        <v>93</v>
      </c>
      <c r="AF506" s="1" t="s">
        <v>9700</v>
      </c>
      <c r="AG506" s="1" t="s">
        <v>9701</v>
      </c>
      <c r="AH506" s="1" t="s">
        <v>161</v>
      </c>
      <c r="AI506" s="1" t="s">
        <v>162</v>
      </c>
      <c r="AJ506" s="1">
        <v>80</v>
      </c>
      <c r="AK506" s="1"/>
      <c r="AL506" s="1" t="s">
        <v>9702</v>
      </c>
      <c r="AM506" s="1" t="s">
        <v>9703</v>
      </c>
      <c r="AN506" s="1" t="s">
        <v>383</v>
      </c>
      <c r="AO506" s="1" t="s">
        <v>101</v>
      </c>
      <c r="AP506" s="1">
        <v>81.23</v>
      </c>
      <c r="AQ506" s="1"/>
      <c r="AR506" s="1"/>
      <c r="AS506" s="1"/>
      <c r="AT506" s="1"/>
      <c r="AU506" s="1"/>
      <c r="AV506" s="1"/>
      <c r="AW506" s="1"/>
      <c r="AX506" s="1" t="s">
        <v>666</v>
      </c>
      <c r="AY506" s="1" t="s">
        <v>9704</v>
      </c>
      <c r="AZ506" s="1" t="s">
        <v>169</v>
      </c>
      <c r="BA506" s="1" t="s">
        <v>229</v>
      </c>
      <c r="BB506" s="1">
        <v>63.94</v>
      </c>
      <c r="BC506" s="1">
        <v>7.02</v>
      </c>
      <c r="BD506" s="1"/>
      <c r="BE506" s="1"/>
      <c r="BF506" s="1"/>
      <c r="BG506" s="1"/>
      <c r="BH506" s="1"/>
      <c r="BI506" s="1"/>
      <c r="BJ506" s="1" t="s">
        <v>9705</v>
      </c>
      <c r="BK506" s="1" t="s">
        <v>9706</v>
      </c>
      <c r="BL506" s="1" t="s">
        <v>1335</v>
      </c>
      <c r="BM506" s="1" t="s">
        <v>9707</v>
      </c>
      <c r="BN506" s="1">
        <v>30</v>
      </c>
      <c r="BO506" s="1"/>
      <c r="BP506" s="1" t="str">
        <f>HYPERLINK("https://nconnect.nicmar.ac.in/storage/profile/ProfilePhoto_P25700504_842731.jpg","Download")</f>
        <v>0</v>
      </c>
      <c r="BQ506" s="3"/>
      <c r="BR506" s="3"/>
    </row>
    <row r="507" spans="1:70">
      <c r="A507" s="1" t="s">
        <v>70</v>
      </c>
      <c r="B507" s="1" t="s">
        <v>441</v>
      </c>
      <c r="C507" s="1" t="s">
        <v>9708</v>
      </c>
      <c r="D507" s="1" t="s">
        <v>9709</v>
      </c>
      <c r="E507" s="1" t="s">
        <v>1113</v>
      </c>
      <c r="F507" s="1" t="s">
        <v>9710</v>
      </c>
      <c r="G507" s="1" t="s">
        <v>9711</v>
      </c>
      <c r="H507" s="1" t="s">
        <v>9712</v>
      </c>
      <c r="I507" s="1" t="s">
        <v>9713</v>
      </c>
      <c r="J507" s="1">
        <v>9403022763</v>
      </c>
      <c r="K507" s="1" t="s">
        <v>79</v>
      </c>
      <c r="L507" s="1" t="s">
        <v>9714</v>
      </c>
      <c r="M507" s="1" t="s">
        <v>81</v>
      </c>
      <c r="N507" s="1" t="s">
        <v>605</v>
      </c>
      <c r="O507" s="1"/>
      <c r="P507" s="1" t="s">
        <v>497</v>
      </c>
      <c r="Q507" s="1" t="s">
        <v>9715</v>
      </c>
      <c r="R507" s="1" t="s">
        <v>9716</v>
      </c>
      <c r="S507" s="1">
        <v>9403022763</v>
      </c>
      <c r="T507" s="1" t="s">
        <v>9717</v>
      </c>
      <c r="U507" s="1" t="s">
        <v>9718</v>
      </c>
      <c r="V507" s="1">
        <v>9834483234</v>
      </c>
      <c r="W507" s="1" t="s">
        <v>156</v>
      </c>
      <c r="X507" s="1" t="s">
        <v>9719</v>
      </c>
      <c r="Y507" s="1" t="s">
        <v>191</v>
      </c>
      <c r="Z507" s="1" t="s">
        <v>92</v>
      </c>
      <c r="AA507" s="1" t="s">
        <v>9719</v>
      </c>
      <c r="AB507" s="1" t="s">
        <v>191</v>
      </c>
      <c r="AC507" s="1" t="s">
        <v>92</v>
      </c>
      <c r="AD507" s="1">
        <v>8.36</v>
      </c>
      <c r="AE507" s="1" t="s">
        <v>93</v>
      </c>
      <c r="AF507" s="1" t="s">
        <v>9720</v>
      </c>
      <c r="AG507" s="1" t="s">
        <v>9721</v>
      </c>
      <c r="AH507" s="1" t="s">
        <v>1577</v>
      </c>
      <c r="AI507" s="1" t="s">
        <v>281</v>
      </c>
      <c r="AJ507" s="1">
        <v>91.83</v>
      </c>
      <c r="AK507" s="1"/>
      <c r="AL507" s="1" t="s">
        <v>9722</v>
      </c>
      <c r="AM507" s="1" t="s">
        <v>9723</v>
      </c>
      <c r="AN507" s="1" t="s">
        <v>101</v>
      </c>
      <c r="AO507" s="1" t="s">
        <v>1019</v>
      </c>
      <c r="AP507" s="1">
        <v>82.15</v>
      </c>
      <c r="AQ507" s="1"/>
      <c r="AR507" s="1"/>
      <c r="AS507" s="1"/>
      <c r="AT507" s="1"/>
      <c r="AU507" s="1"/>
      <c r="AV507" s="1"/>
      <c r="AW507" s="1"/>
      <c r="AX507" s="1" t="s">
        <v>9724</v>
      </c>
      <c r="AY507" s="1" t="s">
        <v>9725</v>
      </c>
      <c r="AZ507" s="1" t="s">
        <v>363</v>
      </c>
      <c r="BA507" s="1" t="s">
        <v>1246</v>
      </c>
      <c r="BB507" s="1">
        <v>72.5</v>
      </c>
      <c r="BC507" s="1">
        <v>8</v>
      </c>
      <c r="BD507" s="1"/>
      <c r="BE507" s="1"/>
      <c r="BF507" s="1"/>
      <c r="BG507" s="1"/>
      <c r="BH507" s="1"/>
      <c r="BI507" s="1"/>
      <c r="BJ507" s="1" t="s">
        <v>364</v>
      </c>
      <c r="BK507" s="1"/>
      <c r="BL507" s="1"/>
      <c r="BM507" s="1" t="s">
        <v>9726</v>
      </c>
      <c r="BN507" s="1">
        <v>40</v>
      </c>
      <c r="BO507" s="1" t="s">
        <v>830</v>
      </c>
      <c r="BP507" s="1" t="str">
        <f>HYPERLINK("https://nconnect.nicmar.ac.in/storage/profile/ProfilePhoto_P25700505_843196.jpg","Download")</f>
        <v>0</v>
      </c>
      <c r="BQ507" s="3"/>
      <c r="BR507" s="3"/>
    </row>
    <row r="508" spans="1:70">
      <c r="A508" s="1" t="s">
        <v>70</v>
      </c>
      <c r="B508" s="1" t="s">
        <v>441</v>
      </c>
      <c r="C508" s="1" t="s">
        <v>9727</v>
      </c>
      <c r="D508" s="1" t="s">
        <v>9728</v>
      </c>
      <c r="E508" s="1"/>
      <c r="F508" s="1" t="s">
        <v>1299</v>
      </c>
      <c r="G508" s="1" t="s">
        <v>9729</v>
      </c>
      <c r="H508" s="1" t="s">
        <v>9730</v>
      </c>
      <c r="I508" s="1" t="s">
        <v>9731</v>
      </c>
      <c r="J508" s="1">
        <v>8578865315</v>
      </c>
      <c r="K508" s="1" t="s">
        <v>79</v>
      </c>
      <c r="L508" s="1" t="s">
        <v>9732</v>
      </c>
      <c r="M508" s="1" t="s">
        <v>81</v>
      </c>
      <c r="N508" s="1" t="s">
        <v>241</v>
      </c>
      <c r="O508" s="1"/>
      <c r="P508" s="1" t="s">
        <v>450</v>
      </c>
      <c r="Q508" s="1" t="s">
        <v>9733</v>
      </c>
      <c r="R508" s="1" t="s">
        <v>9734</v>
      </c>
      <c r="S508" s="1">
        <v>9835925814</v>
      </c>
      <c r="T508" s="1" t="s">
        <v>122</v>
      </c>
      <c r="U508" s="1" t="s">
        <v>9735</v>
      </c>
      <c r="V508" s="1">
        <v>9798313891</v>
      </c>
      <c r="W508" s="1" t="s">
        <v>122</v>
      </c>
      <c r="X508" s="1" t="s">
        <v>9736</v>
      </c>
      <c r="Y508" s="1" t="s">
        <v>191</v>
      </c>
      <c r="Z508" s="1" t="s">
        <v>92</v>
      </c>
      <c r="AA508" s="1" t="s">
        <v>9737</v>
      </c>
      <c r="AB508" s="1" t="s">
        <v>9738</v>
      </c>
      <c r="AC508" s="1" t="s">
        <v>2977</v>
      </c>
      <c r="AD508" s="1">
        <v>8.26</v>
      </c>
      <c r="AE508" s="1" t="s">
        <v>93</v>
      </c>
      <c r="AF508" s="1" t="s">
        <v>9739</v>
      </c>
      <c r="AG508" s="1" t="s">
        <v>758</v>
      </c>
      <c r="AH508" s="1" t="s">
        <v>131</v>
      </c>
      <c r="AI508" s="1" t="s">
        <v>614</v>
      </c>
      <c r="AJ508" s="1">
        <v>64.6</v>
      </c>
      <c r="AK508" s="1">
        <v>6.8</v>
      </c>
      <c r="AL508" s="1" t="s">
        <v>9740</v>
      </c>
      <c r="AM508" s="1" t="s">
        <v>9741</v>
      </c>
      <c r="AN508" s="1" t="s">
        <v>165</v>
      </c>
      <c r="AO508" s="1" t="s">
        <v>433</v>
      </c>
      <c r="AP508" s="1">
        <v>64.8</v>
      </c>
      <c r="AQ508" s="1"/>
      <c r="AR508" s="1"/>
      <c r="AS508" s="1"/>
      <c r="AT508" s="1"/>
      <c r="AU508" s="1"/>
      <c r="AV508" s="1"/>
      <c r="AW508" s="1"/>
      <c r="AX508" s="1" t="s">
        <v>9742</v>
      </c>
      <c r="AY508" s="1" t="s">
        <v>9743</v>
      </c>
      <c r="AZ508" s="1" t="s">
        <v>433</v>
      </c>
      <c r="BA508" s="1" t="s">
        <v>229</v>
      </c>
      <c r="BB508" s="1">
        <v>73.7</v>
      </c>
      <c r="BC508" s="1">
        <v>7.87</v>
      </c>
      <c r="BD508" s="1"/>
      <c r="BE508" s="1"/>
      <c r="BF508" s="1"/>
      <c r="BG508" s="1"/>
      <c r="BH508" s="1"/>
      <c r="BI508" s="1"/>
      <c r="BJ508" s="1" t="s">
        <v>9744</v>
      </c>
      <c r="BK508" s="1" t="s">
        <v>9745</v>
      </c>
      <c r="BL508" s="1" t="s">
        <v>4165</v>
      </c>
      <c r="BM508" s="1" t="s">
        <v>9746</v>
      </c>
      <c r="BN508" s="1">
        <v>12</v>
      </c>
      <c r="BO508" s="1"/>
      <c r="BP508" s="1" t="str">
        <f>HYPERLINK("https://nconnect.nicmar.ac.in/storage/profile/ProfilePhoto_P25700506_716935.jpg","Download")</f>
        <v>0</v>
      </c>
      <c r="BQ508" s="3"/>
      <c r="BR508" s="3"/>
    </row>
    <row r="509" spans="1:70">
      <c r="A509" s="1" t="s">
        <v>70</v>
      </c>
      <c r="B509" s="1" t="s">
        <v>441</v>
      </c>
      <c r="C509" s="1" t="s">
        <v>9747</v>
      </c>
      <c r="D509" s="1" t="s">
        <v>9748</v>
      </c>
      <c r="E509" s="1" t="s">
        <v>2242</v>
      </c>
      <c r="F509" s="1" t="s">
        <v>2914</v>
      </c>
      <c r="G509" s="1" t="s">
        <v>9749</v>
      </c>
      <c r="H509" s="1" t="s">
        <v>9750</v>
      </c>
      <c r="I509" s="1" t="s">
        <v>9751</v>
      </c>
      <c r="J509" s="1">
        <v>8007264118</v>
      </c>
      <c r="K509" s="1" t="s">
        <v>79</v>
      </c>
      <c r="L509" s="1" t="s">
        <v>9752</v>
      </c>
      <c r="M509" s="1" t="s">
        <v>81</v>
      </c>
      <c r="N509" s="1" t="s">
        <v>1140</v>
      </c>
      <c r="O509" s="1"/>
      <c r="P509" s="1" t="s">
        <v>472</v>
      </c>
      <c r="Q509" s="1" t="s">
        <v>9753</v>
      </c>
      <c r="R509" s="1" t="s">
        <v>9754</v>
      </c>
      <c r="S509" s="1">
        <v>9867232754</v>
      </c>
      <c r="T509" s="1" t="s">
        <v>2344</v>
      </c>
      <c r="U509" s="1" t="s">
        <v>9755</v>
      </c>
      <c r="V509" s="1">
        <v>8805149778</v>
      </c>
      <c r="W509" s="1" t="s">
        <v>273</v>
      </c>
      <c r="X509" s="1" t="s">
        <v>9756</v>
      </c>
      <c r="Y509" s="1" t="s">
        <v>991</v>
      </c>
      <c r="Z509" s="1" t="s">
        <v>92</v>
      </c>
      <c r="AA509" s="1" t="s">
        <v>9756</v>
      </c>
      <c r="AB509" s="1" t="s">
        <v>991</v>
      </c>
      <c r="AC509" s="1" t="s">
        <v>92</v>
      </c>
      <c r="AD509" s="1">
        <v>7.79</v>
      </c>
      <c r="AE509" s="1" t="s">
        <v>93</v>
      </c>
      <c r="AF509" s="1" t="s">
        <v>9757</v>
      </c>
      <c r="AG509" s="1" t="s">
        <v>160</v>
      </c>
      <c r="AH509" s="1" t="s">
        <v>96</v>
      </c>
      <c r="AI509" s="1" t="s">
        <v>161</v>
      </c>
      <c r="AJ509" s="1">
        <v>78.6</v>
      </c>
      <c r="AK509" s="1"/>
      <c r="AL509" s="1"/>
      <c r="AM509" s="1"/>
      <c r="AN509" s="1"/>
      <c r="AO509" s="1"/>
      <c r="AP509" s="1"/>
      <c r="AQ509" s="1"/>
      <c r="AR509" s="1" t="s">
        <v>434</v>
      </c>
      <c r="AS509" s="1" t="s">
        <v>9758</v>
      </c>
      <c r="AT509" s="1" t="s">
        <v>161</v>
      </c>
      <c r="AU509" s="1" t="s">
        <v>101</v>
      </c>
      <c r="AV509" s="1">
        <v>72.67</v>
      </c>
      <c r="AW509" s="1"/>
      <c r="AX509" s="1" t="s">
        <v>666</v>
      </c>
      <c r="AY509" s="1" t="s">
        <v>9759</v>
      </c>
      <c r="AZ509" s="1" t="s">
        <v>169</v>
      </c>
      <c r="BA509" s="1" t="s">
        <v>539</v>
      </c>
      <c r="BB509" s="1">
        <v>64.16</v>
      </c>
      <c r="BC509" s="1"/>
      <c r="BD509" s="1"/>
      <c r="BE509" s="1"/>
      <c r="BF509" s="1"/>
      <c r="BG509" s="1"/>
      <c r="BH509" s="1"/>
      <c r="BI509" s="1"/>
      <c r="BJ509" s="1" t="s">
        <v>9760</v>
      </c>
      <c r="BK509" s="1"/>
      <c r="BL509" s="1"/>
      <c r="BM509" s="1" t="s">
        <v>9761</v>
      </c>
      <c r="BN509" s="1">
        <v>9</v>
      </c>
      <c r="BO509" s="1" t="s">
        <v>9762</v>
      </c>
      <c r="BP509" s="1" t="str">
        <f>HYPERLINK("https://nconnect.nicmar.ac.in/storage/profile/ProfilePhoto_P25700507_128367.jpg","Download")</f>
        <v>0</v>
      </c>
      <c r="BQ509" s="3"/>
      <c r="BR509" s="3"/>
    </row>
    <row r="510" spans="1:70">
      <c r="A510" s="1" t="s">
        <v>70</v>
      </c>
      <c r="B510" s="1" t="s">
        <v>441</v>
      </c>
      <c r="C510" s="1" t="s">
        <v>9763</v>
      </c>
      <c r="D510" s="1" t="s">
        <v>9764</v>
      </c>
      <c r="E510" s="1" t="s">
        <v>2374</v>
      </c>
      <c r="F510" s="1" t="s">
        <v>9765</v>
      </c>
      <c r="G510" s="1" t="s">
        <v>9766</v>
      </c>
      <c r="H510" s="1" t="s">
        <v>9767</v>
      </c>
      <c r="I510" s="1" t="s">
        <v>9768</v>
      </c>
      <c r="J510" s="1">
        <v>8686631717</v>
      </c>
      <c r="K510" s="1" t="s">
        <v>79</v>
      </c>
      <c r="L510" s="1" t="s">
        <v>9769</v>
      </c>
      <c r="M510" s="1" t="s">
        <v>81</v>
      </c>
      <c r="N510" s="1" t="s">
        <v>605</v>
      </c>
      <c r="O510" s="1"/>
      <c r="P510" s="1" t="s">
        <v>2035</v>
      </c>
      <c r="Q510" s="1" t="s">
        <v>9770</v>
      </c>
      <c r="R510" s="1" t="s">
        <v>9771</v>
      </c>
      <c r="S510" s="1">
        <v>8329418137</v>
      </c>
      <c r="T510" s="1" t="s">
        <v>120</v>
      </c>
      <c r="U510" s="1" t="s">
        <v>9772</v>
      </c>
      <c r="V510" s="1">
        <v>9767840788</v>
      </c>
      <c r="W510" s="1" t="s">
        <v>156</v>
      </c>
      <c r="X510" s="1" t="s">
        <v>9773</v>
      </c>
      <c r="Y510" s="1" t="s">
        <v>191</v>
      </c>
      <c r="Z510" s="1" t="s">
        <v>92</v>
      </c>
      <c r="AA510" s="1" t="s">
        <v>9773</v>
      </c>
      <c r="AB510" s="1" t="s">
        <v>191</v>
      </c>
      <c r="AC510" s="1" t="s">
        <v>92</v>
      </c>
      <c r="AD510" s="1">
        <v>8.07</v>
      </c>
      <c r="AE510" s="1" t="s">
        <v>93</v>
      </c>
      <c r="AF510" s="1" t="s">
        <v>9774</v>
      </c>
      <c r="AG510" s="1" t="s">
        <v>160</v>
      </c>
      <c r="AH510" s="1" t="s">
        <v>161</v>
      </c>
      <c r="AI510" s="1" t="s">
        <v>162</v>
      </c>
      <c r="AJ510" s="1">
        <v>84.8</v>
      </c>
      <c r="AK510" s="1"/>
      <c r="AL510" s="1"/>
      <c r="AM510" s="1"/>
      <c r="AN510" s="1"/>
      <c r="AO510" s="1"/>
      <c r="AP510" s="1"/>
      <c r="AQ510" s="1"/>
      <c r="AR510" s="1" t="s">
        <v>98</v>
      </c>
      <c r="AS510" s="1" t="s">
        <v>9775</v>
      </c>
      <c r="AT510" s="1" t="s">
        <v>134</v>
      </c>
      <c r="AU510" s="1" t="s">
        <v>433</v>
      </c>
      <c r="AV510" s="1">
        <v>83.45</v>
      </c>
      <c r="AW510" s="1"/>
      <c r="AX510" s="1" t="s">
        <v>361</v>
      </c>
      <c r="AY510" s="1" t="s">
        <v>9776</v>
      </c>
      <c r="AZ510" s="1" t="s">
        <v>201</v>
      </c>
      <c r="BA510" s="1" t="s">
        <v>105</v>
      </c>
      <c r="BB510" s="1">
        <v>80.6</v>
      </c>
      <c r="BC510" s="1">
        <v>8.8</v>
      </c>
      <c r="BD510" s="1"/>
      <c r="BE510" s="1"/>
      <c r="BF510" s="1"/>
      <c r="BG510" s="1"/>
      <c r="BH510" s="1"/>
      <c r="BI510" s="1"/>
      <c r="BJ510" s="1" t="s">
        <v>9777</v>
      </c>
      <c r="BK510" s="1" t="s">
        <v>9778</v>
      </c>
      <c r="BL510" s="1" t="s">
        <v>4165</v>
      </c>
      <c r="BM510" s="1" t="s">
        <v>9779</v>
      </c>
      <c r="BN510" s="1">
        <v>8</v>
      </c>
      <c r="BO510" s="1"/>
      <c r="BP510" s="1" t="str">
        <f>HYPERLINK("https://nconnect.nicmar.ac.in/storage/profile/ProfilePhoto_P25700508_846395.jpg","Download")</f>
        <v>0</v>
      </c>
      <c r="BQ510" s="3"/>
      <c r="BR510" s="3"/>
    </row>
    <row r="511" spans="1:70">
      <c r="A511" s="1" t="s">
        <v>70</v>
      </c>
      <c r="B511" s="1" t="s">
        <v>441</v>
      </c>
      <c r="C511" s="1" t="s">
        <v>9780</v>
      </c>
      <c r="D511" s="1" t="s">
        <v>6593</v>
      </c>
      <c r="E511" s="1" t="s">
        <v>1442</v>
      </c>
      <c r="F511" s="1" t="s">
        <v>9781</v>
      </c>
      <c r="G511" s="1" t="s">
        <v>9782</v>
      </c>
      <c r="H511" s="1" t="s">
        <v>9783</v>
      </c>
      <c r="I511" s="1" t="s">
        <v>9784</v>
      </c>
      <c r="J511" s="1">
        <v>8668742356</v>
      </c>
      <c r="K511" s="1" t="s">
        <v>79</v>
      </c>
      <c r="L511" s="1" t="s">
        <v>9785</v>
      </c>
      <c r="M511" s="1" t="s">
        <v>81</v>
      </c>
      <c r="N511" s="1" t="s">
        <v>605</v>
      </c>
      <c r="O511" s="1"/>
      <c r="P511" s="1" t="s">
        <v>472</v>
      </c>
      <c r="Q511" s="1" t="s">
        <v>9786</v>
      </c>
      <c r="R511" s="1" t="s">
        <v>1442</v>
      </c>
      <c r="S511" s="1">
        <v>9922282544</v>
      </c>
      <c r="T511" s="1" t="s">
        <v>9787</v>
      </c>
      <c r="U511" s="1" t="s">
        <v>9788</v>
      </c>
      <c r="V511" s="1">
        <v>9922282544</v>
      </c>
      <c r="W511" s="1" t="s">
        <v>156</v>
      </c>
      <c r="X511" s="1" t="s">
        <v>9789</v>
      </c>
      <c r="Y511" s="1" t="s">
        <v>191</v>
      </c>
      <c r="Z511" s="1" t="s">
        <v>92</v>
      </c>
      <c r="AA511" s="1" t="s">
        <v>9790</v>
      </c>
      <c r="AB511" s="1" t="s">
        <v>219</v>
      </c>
      <c r="AC511" s="1" t="s">
        <v>92</v>
      </c>
      <c r="AD511" s="1">
        <v>8.54</v>
      </c>
      <c r="AE511" s="1" t="s">
        <v>93</v>
      </c>
      <c r="AF511" s="1" t="s">
        <v>9791</v>
      </c>
      <c r="AG511" s="1" t="s">
        <v>758</v>
      </c>
      <c r="AH511" s="1" t="s">
        <v>130</v>
      </c>
      <c r="AI511" s="1" t="s">
        <v>161</v>
      </c>
      <c r="AJ511" s="1">
        <v>68.4</v>
      </c>
      <c r="AK511" s="1">
        <v>7.2</v>
      </c>
      <c r="AL511" s="1"/>
      <c r="AM511" s="1"/>
      <c r="AN511" s="1"/>
      <c r="AO511" s="1"/>
      <c r="AP511" s="1"/>
      <c r="AQ511" s="1"/>
      <c r="AR511" s="1" t="s">
        <v>98</v>
      </c>
      <c r="AS511" s="1" t="s">
        <v>9792</v>
      </c>
      <c r="AT511" s="1" t="s">
        <v>100</v>
      </c>
      <c r="AU511" s="1" t="s">
        <v>101</v>
      </c>
      <c r="AV511" s="1">
        <v>72.24</v>
      </c>
      <c r="AW511" s="1"/>
      <c r="AX511" s="1" t="s">
        <v>335</v>
      </c>
      <c r="AY511" s="1" t="s">
        <v>9793</v>
      </c>
      <c r="AZ511" s="1" t="s">
        <v>1019</v>
      </c>
      <c r="BA511" s="1" t="s">
        <v>436</v>
      </c>
      <c r="BB511" s="1">
        <v>89.92</v>
      </c>
      <c r="BC511" s="1">
        <v>9.72</v>
      </c>
      <c r="BD511" s="1"/>
      <c r="BE511" s="1"/>
      <c r="BF511" s="1"/>
      <c r="BG511" s="1"/>
      <c r="BH511" s="1"/>
      <c r="BI511" s="1"/>
      <c r="BJ511" s="1" t="s">
        <v>9794</v>
      </c>
      <c r="BK511" s="1" t="s">
        <v>9795</v>
      </c>
      <c r="BL511" s="1" t="s">
        <v>9384</v>
      </c>
      <c r="BM511" s="1" t="s">
        <v>9796</v>
      </c>
      <c r="BN511" s="1">
        <v>16</v>
      </c>
      <c r="BO511" s="1"/>
      <c r="BP511" s="1" t="str">
        <f>HYPERLINK("https://nconnect.nicmar.ac.in/storage/profile/ProfilePhoto_P25700510_528964.jpg","Download")</f>
        <v>0</v>
      </c>
      <c r="BQ511" s="3"/>
      <c r="BR511" s="3"/>
    </row>
    <row r="512" spans="1:70">
      <c r="A512" s="1" t="s">
        <v>70</v>
      </c>
      <c r="B512" s="1" t="s">
        <v>441</v>
      </c>
      <c r="C512" s="1" t="s">
        <v>9797</v>
      </c>
      <c r="D512" s="1" t="s">
        <v>9798</v>
      </c>
      <c r="E512" s="1" t="s">
        <v>8309</v>
      </c>
      <c r="F512" s="1" t="s">
        <v>1847</v>
      </c>
      <c r="G512" s="1" t="s">
        <v>9799</v>
      </c>
      <c r="H512" s="1" t="s">
        <v>9800</v>
      </c>
      <c r="I512" s="1" t="s">
        <v>9801</v>
      </c>
      <c r="J512" s="1">
        <v>7038723267</v>
      </c>
      <c r="K512" s="1" t="s">
        <v>79</v>
      </c>
      <c r="L512" s="1" t="s">
        <v>9802</v>
      </c>
      <c r="M512" s="1" t="s">
        <v>81</v>
      </c>
      <c r="N512" s="1" t="s">
        <v>3587</v>
      </c>
      <c r="O512" s="1"/>
      <c r="P512" s="1" t="s">
        <v>472</v>
      </c>
      <c r="Q512" s="1" t="s">
        <v>9803</v>
      </c>
      <c r="R512" s="1" t="s">
        <v>9804</v>
      </c>
      <c r="S512" s="1">
        <v>9881233297</v>
      </c>
      <c r="T512" s="1" t="s">
        <v>2384</v>
      </c>
      <c r="U512" s="1" t="s">
        <v>6011</v>
      </c>
      <c r="V512" s="1">
        <v>7721811600</v>
      </c>
      <c r="W512" s="1" t="s">
        <v>273</v>
      </c>
      <c r="X512" s="1" t="s">
        <v>9805</v>
      </c>
      <c r="Y512" s="1" t="s">
        <v>5185</v>
      </c>
      <c r="Z512" s="1" t="s">
        <v>92</v>
      </c>
      <c r="AA512" s="1" t="s">
        <v>9805</v>
      </c>
      <c r="AB512" s="1" t="s">
        <v>5185</v>
      </c>
      <c r="AC512" s="1" t="s">
        <v>92</v>
      </c>
      <c r="AD512" s="1">
        <v>8.23</v>
      </c>
      <c r="AE512" s="1" t="s">
        <v>93</v>
      </c>
      <c r="AF512" s="1" t="s">
        <v>9806</v>
      </c>
      <c r="AG512" s="1" t="s">
        <v>307</v>
      </c>
      <c r="AH512" s="1" t="s">
        <v>689</v>
      </c>
      <c r="AI512" s="1" t="s">
        <v>166</v>
      </c>
      <c r="AJ512" s="1">
        <v>63</v>
      </c>
      <c r="AK512" s="1"/>
      <c r="AL512" s="1"/>
      <c r="AM512" s="1"/>
      <c r="AN512" s="1"/>
      <c r="AO512" s="1"/>
      <c r="AP512" s="1"/>
      <c r="AQ512" s="1"/>
      <c r="AR512" s="1" t="s">
        <v>434</v>
      </c>
      <c r="AS512" s="1" t="s">
        <v>9807</v>
      </c>
      <c r="AT512" s="1" t="s">
        <v>1043</v>
      </c>
      <c r="AU512" s="1" t="s">
        <v>436</v>
      </c>
      <c r="AV512" s="1">
        <v>80.74</v>
      </c>
      <c r="AW512" s="1"/>
      <c r="AX512" s="1" t="s">
        <v>361</v>
      </c>
      <c r="AY512" s="1" t="s">
        <v>9808</v>
      </c>
      <c r="AZ512" s="1" t="s">
        <v>593</v>
      </c>
      <c r="BA512" s="1" t="s">
        <v>202</v>
      </c>
      <c r="BB512" s="1">
        <v>67.68</v>
      </c>
      <c r="BC512" s="1">
        <v>7.32</v>
      </c>
      <c r="BD512" s="1"/>
      <c r="BE512" s="1"/>
      <c r="BF512" s="1"/>
      <c r="BG512" s="1"/>
      <c r="BH512" s="1"/>
      <c r="BI512" s="1"/>
      <c r="BJ512" s="1" t="s">
        <v>9809</v>
      </c>
      <c r="BK512" s="1"/>
      <c r="BL512" s="1"/>
      <c r="BM512" s="1" t="s">
        <v>9810</v>
      </c>
      <c r="BN512" s="1">
        <v>39</v>
      </c>
      <c r="BO512" s="1"/>
      <c r="BP512" s="1" t="str">
        <f>HYPERLINK("https://nconnect.nicmar.ac.in/storage/profile/ProfilePhoto_P25700511_196873.jpg","Download")</f>
        <v>0</v>
      </c>
      <c r="BQ512" s="3"/>
      <c r="BR512" s="3"/>
    </row>
    <row r="513" spans="1:70">
      <c r="A513" s="1" t="s">
        <v>70</v>
      </c>
      <c r="B513" s="1" t="s">
        <v>441</v>
      </c>
      <c r="C513" s="1" t="s">
        <v>9811</v>
      </c>
      <c r="D513" s="1" t="s">
        <v>443</v>
      </c>
      <c r="E513" s="1" t="s">
        <v>7853</v>
      </c>
      <c r="F513" s="1" t="s">
        <v>9812</v>
      </c>
      <c r="G513" s="1" t="s">
        <v>9813</v>
      </c>
      <c r="H513" s="1" t="s">
        <v>9814</v>
      </c>
      <c r="I513" s="1" t="s">
        <v>9815</v>
      </c>
      <c r="J513" s="1">
        <v>9902316104</v>
      </c>
      <c r="K513" s="1" t="s">
        <v>79</v>
      </c>
      <c r="L513" s="1" t="s">
        <v>4828</v>
      </c>
      <c r="M513" s="1" t="s">
        <v>81</v>
      </c>
      <c r="N513" s="1" t="s">
        <v>3996</v>
      </c>
      <c r="O513" s="1"/>
      <c r="P513" s="1" t="s">
        <v>497</v>
      </c>
      <c r="Q513" s="1" t="s">
        <v>9816</v>
      </c>
      <c r="R513" s="1" t="s">
        <v>9817</v>
      </c>
      <c r="S513" s="1">
        <v>9035358740</v>
      </c>
      <c r="T513" s="1" t="s">
        <v>9818</v>
      </c>
      <c r="U513" s="1" t="s">
        <v>9819</v>
      </c>
      <c r="V513" s="1">
        <v>9740798983</v>
      </c>
      <c r="W513" s="1" t="s">
        <v>273</v>
      </c>
      <c r="X513" s="1" t="s">
        <v>9820</v>
      </c>
      <c r="Y513" s="1" t="s">
        <v>9821</v>
      </c>
      <c r="Z513" s="1" t="s">
        <v>1187</v>
      </c>
      <c r="AA513" s="1" t="s">
        <v>9820</v>
      </c>
      <c r="AB513" s="1" t="s">
        <v>9821</v>
      </c>
      <c r="AC513" s="1" t="s">
        <v>1187</v>
      </c>
      <c r="AD513" s="1">
        <v>8.29</v>
      </c>
      <c r="AE513" s="1" t="s">
        <v>93</v>
      </c>
      <c r="AF513" s="1" t="s">
        <v>9822</v>
      </c>
      <c r="AG513" s="1" t="s">
        <v>713</v>
      </c>
      <c r="AH513" s="1" t="s">
        <v>7319</v>
      </c>
      <c r="AI513" s="1" t="s">
        <v>481</v>
      </c>
      <c r="AJ513" s="1">
        <v>86.56</v>
      </c>
      <c r="AK513" s="1"/>
      <c r="AL513" s="1" t="s">
        <v>9823</v>
      </c>
      <c r="AM513" s="1" t="s">
        <v>1193</v>
      </c>
      <c r="AN513" s="1" t="s">
        <v>308</v>
      </c>
      <c r="AO513" s="1" t="s">
        <v>590</v>
      </c>
      <c r="AP513" s="1">
        <v>85</v>
      </c>
      <c r="AQ513" s="1"/>
      <c r="AR513" s="1"/>
      <c r="AS513" s="1"/>
      <c r="AT513" s="1"/>
      <c r="AU513" s="1"/>
      <c r="AV513" s="1"/>
      <c r="AW513" s="1"/>
      <c r="AX513" s="1" t="s">
        <v>8118</v>
      </c>
      <c r="AY513" s="1" t="s">
        <v>7742</v>
      </c>
      <c r="AZ513" s="1" t="s">
        <v>228</v>
      </c>
      <c r="BA513" s="1" t="s">
        <v>1379</v>
      </c>
      <c r="BB513" s="1">
        <v>66.1</v>
      </c>
      <c r="BC513" s="1">
        <v>7.36</v>
      </c>
      <c r="BD513" s="1"/>
      <c r="BE513" s="1"/>
      <c r="BF513" s="1"/>
      <c r="BG513" s="1"/>
      <c r="BH513" s="1"/>
      <c r="BI513" s="1"/>
      <c r="BJ513" s="1" t="s">
        <v>9824</v>
      </c>
      <c r="BK513" s="1"/>
      <c r="BL513" s="1"/>
      <c r="BM513" s="1" t="s">
        <v>9825</v>
      </c>
      <c r="BN513" s="1">
        <v>26</v>
      </c>
      <c r="BO513" s="1" t="s">
        <v>9826</v>
      </c>
      <c r="BP513" s="1" t="str">
        <f>HYPERLINK("https://nconnect.nicmar.ac.in/storage/profile/ProfilePhoto_P25700512_136547.jpg","Download")</f>
        <v>0</v>
      </c>
      <c r="BQ513" s="3"/>
      <c r="BR513" s="3"/>
    </row>
    <row r="514" spans="1:70">
      <c r="A514" s="1" t="s">
        <v>70</v>
      </c>
      <c r="B514" s="1" t="s">
        <v>441</v>
      </c>
      <c r="C514" s="1" t="s">
        <v>9827</v>
      </c>
      <c r="D514" s="1" t="s">
        <v>7747</v>
      </c>
      <c r="E514" s="1"/>
      <c r="F514" s="1" t="s">
        <v>1339</v>
      </c>
      <c r="G514" s="1" t="s">
        <v>9828</v>
      </c>
      <c r="H514" s="1" t="s">
        <v>9829</v>
      </c>
      <c r="I514" s="1" t="s">
        <v>9830</v>
      </c>
      <c r="J514" s="1">
        <v>9844434731</v>
      </c>
      <c r="K514" s="1" t="s">
        <v>79</v>
      </c>
      <c r="L514" s="1" t="s">
        <v>9831</v>
      </c>
      <c r="M514" s="1" t="s">
        <v>81</v>
      </c>
      <c r="N514" s="1" t="s">
        <v>9832</v>
      </c>
      <c r="O514" s="1"/>
      <c r="P514" s="1" t="s">
        <v>497</v>
      </c>
      <c r="Q514" s="1" t="s">
        <v>9833</v>
      </c>
      <c r="R514" s="1" t="s">
        <v>9834</v>
      </c>
      <c r="S514" s="1">
        <v>7090443380</v>
      </c>
      <c r="T514" s="1" t="s">
        <v>583</v>
      </c>
      <c r="U514" s="1" t="s">
        <v>9835</v>
      </c>
      <c r="V514" s="1">
        <v>9108558880</v>
      </c>
      <c r="W514" s="1" t="s">
        <v>156</v>
      </c>
      <c r="X514" s="1" t="s">
        <v>9836</v>
      </c>
      <c r="Y514" s="1" t="s">
        <v>3151</v>
      </c>
      <c r="Z514" s="1" t="s">
        <v>1187</v>
      </c>
      <c r="AA514" s="1" t="s">
        <v>9837</v>
      </c>
      <c r="AB514" s="1" t="s">
        <v>9838</v>
      </c>
      <c r="AC514" s="1" t="s">
        <v>1187</v>
      </c>
      <c r="AD514" s="1">
        <v>8.21</v>
      </c>
      <c r="AE514" s="1" t="s">
        <v>93</v>
      </c>
      <c r="AF514" s="1" t="s">
        <v>9839</v>
      </c>
      <c r="AG514" s="1" t="s">
        <v>1920</v>
      </c>
      <c r="AH514" s="1" t="s">
        <v>165</v>
      </c>
      <c r="AI514" s="1" t="s">
        <v>481</v>
      </c>
      <c r="AJ514" s="1">
        <v>83.04</v>
      </c>
      <c r="AK514" s="1"/>
      <c r="AL514" s="1" t="s">
        <v>9840</v>
      </c>
      <c r="AM514" s="1" t="s">
        <v>1193</v>
      </c>
      <c r="AN514" s="1" t="s">
        <v>433</v>
      </c>
      <c r="AO514" s="1" t="s">
        <v>590</v>
      </c>
      <c r="AP514" s="1">
        <v>70.16</v>
      </c>
      <c r="AQ514" s="1"/>
      <c r="AR514" s="1"/>
      <c r="AS514" s="1"/>
      <c r="AT514" s="1"/>
      <c r="AU514" s="1"/>
      <c r="AV514" s="1"/>
      <c r="AW514" s="1"/>
      <c r="AX514" s="1" t="s">
        <v>717</v>
      </c>
      <c r="AY514" s="1" t="s">
        <v>9841</v>
      </c>
      <c r="AZ514" s="1" t="s">
        <v>228</v>
      </c>
      <c r="BA514" s="1" t="s">
        <v>413</v>
      </c>
      <c r="BB514" s="1">
        <v>66.7</v>
      </c>
      <c r="BC514" s="1">
        <v>7.42</v>
      </c>
      <c r="BD514" s="1"/>
      <c r="BE514" s="1"/>
      <c r="BF514" s="1"/>
      <c r="BG514" s="1"/>
      <c r="BH514" s="1"/>
      <c r="BI514" s="1"/>
      <c r="BJ514" s="1" t="s">
        <v>9842</v>
      </c>
      <c r="BK514" s="1"/>
      <c r="BL514" s="1"/>
      <c r="BM514" s="1" t="s">
        <v>9843</v>
      </c>
      <c r="BN514" s="1">
        <v>26</v>
      </c>
      <c r="BO514" s="1" t="s">
        <v>9844</v>
      </c>
      <c r="BP514" s="1" t="str">
        <f>HYPERLINK("https://nconnect.nicmar.ac.in/storage/profile/ProfilePhoto_P25700513_941562.jpg","Download")</f>
        <v>0</v>
      </c>
      <c r="BQ514" s="3"/>
      <c r="BR514" s="3"/>
    </row>
    <row r="515" spans="1:70">
      <c r="A515" s="1" t="s">
        <v>70</v>
      </c>
      <c r="B515" s="1" t="s">
        <v>441</v>
      </c>
      <c r="C515" s="1" t="s">
        <v>9845</v>
      </c>
      <c r="D515" s="1" t="s">
        <v>7656</v>
      </c>
      <c r="E515" s="1"/>
      <c r="F515" s="1" t="s">
        <v>940</v>
      </c>
      <c r="G515" s="1" t="s">
        <v>9846</v>
      </c>
      <c r="H515" s="1" t="s">
        <v>9847</v>
      </c>
      <c r="I515" s="1" t="s">
        <v>9848</v>
      </c>
      <c r="J515" s="1">
        <v>8219340773</v>
      </c>
      <c r="K515" s="1" t="s">
        <v>79</v>
      </c>
      <c r="L515" s="1" t="s">
        <v>9849</v>
      </c>
      <c r="M515" s="1" t="s">
        <v>81</v>
      </c>
      <c r="N515" s="1" t="s">
        <v>241</v>
      </c>
      <c r="O515" s="1"/>
      <c r="P515" s="1" t="s">
        <v>472</v>
      </c>
      <c r="Q515" s="1" t="s">
        <v>9850</v>
      </c>
      <c r="R515" s="1" t="s">
        <v>9851</v>
      </c>
      <c r="S515" s="1">
        <v>8219544128</v>
      </c>
      <c r="T515" s="1" t="s">
        <v>9852</v>
      </c>
      <c r="U515" s="1" t="s">
        <v>9853</v>
      </c>
      <c r="V515" s="1">
        <v>9418016871</v>
      </c>
      <c r="W515" s="1" t="s">
        <v>529</v>
      </c>
      <c r="X515" s="1" t="s">
        <v>9854</v>
      </c>
      <c r="Y515" s="1" t="s">
        <v>3919</v>
      </c>
      <c r="Z515" s="1" t="s">
        <v>2619</v>
      </c>
      <c r="AA515" s="1" t="s">
        <v>9854</v>
      </c>
      <c r="AB515" s="1" t="s">
        <v>3919</v>
      </c>
      <c r="AC515" s="1" t="s">
        <v>2619</v>
      </c>
      <c r="AD515" s="1">
        <v>8.34</v>
      </c>
      <c r="AE515" s="1" t="s">
        <v>93</v>
      </c>
      <c r="AF515" s="1" t="s">
        <v>9855</v>
      </c>
      <c r="AG515" s="1" t="s">
        <v>9856</v>
      </c>
      <c r="AH515" s="1" t="s">
        <v>562</v>
      </c>
      <c r="AI515" s="1" t="s">
        <v>166</v>
      </c>
      <c r="AJ515" s="1">
        <v>65.6</v>
      </c>
      <c r="AK515" s="1"/>
      <c r="AL515" s="1" t="s">
        <v>9857</v>
      </c>
      <c r="AM515" s="1" t="s">
        <v>9858</v>
      </c>
      <c r="AN515" s="1" t="s">
        <v>433</v>
      </c>
      <c r="AO515" s="1" t="s">
        <v>460</v>
      </c>
      <c r="AP515" s="1">
        <v>67</v>
      </c>
      <c r="AQ515" s="1"/>
      <c r="AR515" s="1"/>
      <c r="AS515" s="1"/>
      <c r="AT515" s="1"/>
      <c r="AU515" s="1"/>
      <c r="AV515" s="1"/>
      <c r="AW515" s="1"/>
      <c r="AX515" s="1" t="s">
        <v>9859</v>
      </c>
      <c r="AY515" s="1" t="s">
        <v>9860</v>
      </c>
      <c r="AZ515" s="1" t="s">
        <v>170</v>
      </c>
      <c r="BA515" s="1" t="s">
        <v>1067</v>
      </c>
      <c r="BB515" s="1">
        <v>74.29</v>
      </c>
      <c r="BC515" s="1">
        <v>7.82</v>
      </c>
      <c r="BD515" s="1"/>
      <c r="BE515" s="1"/>
      <c r="BF515" s="1"/>
      <c r="BG515" s="1"/>
      <c r="BH515" s="1"/>
      <c r="BI515" s="1"/>
      <c r="BJ515" s="1" t="s">
        <v>9861</v>
      </c>
      <c r="BK515" s="1"/>
      <c r="BL515" s="1"/>
      <c r="BM515" s="1" t="s">
        <v>9862</v>
      </c>
      <c r="BN515" s="1">
        <v>39</v>
      </c>
      <c r="BO515" s="1" t="s">
        <v>9863</v>
      </c>
      <c r="BP515" s="1" t="str">
        <f>HYPERLINK("https://nconnect.nicmar.ac.in/storage/profile/ProfilePhoto_P25700514_542397.jpg","Download")</f>
        <v>0</v>
      </c>
      <c r="BQ515" s="3"/>
      <c r="BR515" s="3"/>
    </row>
    <row r="516" spans="1:70">
      <c r="A516" s="1" t="s">
        <v>70</v>
      </c>
      <c r="B516" s="1" t="s">
        <v>441</v>
      </c>
      <c r="C516" s="1" t="s">
        <v>9864</v>
      </c>
      <c r="D516" s="1" t="s">
        <v>5174</v>
      </c>
      <c r="E516" s="1" t="s">
        <v>2242</v>
      </c>
      <c r="F516" s="1" t="s">
        <v>9865</v>
      </c>
      <c r="G516" s="1" t="s">
        <v>9866</v>
      </c>
      <c r="H516" s="1" t="s">
        <v>9867</v>
      </c>
      <c r="I516" s="1" t="s">
        <v>9868</v>
      </c>
      <c r="J516" s="1">
        <v>9922596396</v>
      </c>
      <c r="K516" s="1" t="s">
        <v>79</v>
      </c>
      <c r="L516" s="1" t="s">
        <v>349</v>
      </c>
      <c r="M516" s="1" t="s">
        <v>81</v>
      </c>
      <c r="N516" s="1" t="s">
        <v>3587</v>
      </c>
      <c r="O516" s="1"/>
      <c r="P516" s="1" t="s">
        <v>472</v>
      </c>
      <c r="Q516" s="1" t="s">
        <v>9869</v>
      </c>
      <c r="R516" s="1" t="s">
        <v>2242</v>
      </c>
      <c r="S516" s="1">
        <v>9822596346</v>
      </c>
      <c r="T516" s="1" t="s">
        <v>154</v>
      </c>
      <c r="U516" s="1" t="s">
        <v>9870</v>
      </c>
      <c r="V516" s="1">
        <v>9404403646</v>
      </c>
      <c r="W516" s="1" t="s">
        <v>156</v>
      </c>
      <c r="X516" s="1" t="s">
        <v>9871</v>
      </c>
      <c r="Y516" s="1" t="s">
        <v>5185</v>
      </c>
      <c r="Z516" s="1" t="s">
        <v>92</v>
      </c>
      <c r="AA516" s="1" t="s">
        <v>9871</v>
      </c>
      <c r="AB516" s="1" t="s">
        <v>5185</v>
      </c>
      <c r="AC516" s="1" t="s">
        <v>92</v>
      </c>
      <c r="AD516" s="1">
        <v>8.66</v>
      </c>
      <c r="AE516" s="1" t="s">
        <v>93</v>
      </c>
      <c r="AF516" s="1" t="s">
        <v>9872</v>
      </c>
      <c r="AG516" s="1" t="s">
        <v>2755</v>
      </c>
      <c r="AH516" s="1" t="s">
        <v>165</v>
      </c>
      <c r="AI516" s="1" t="s">
        <v>281</v>
      </c>
      <c r="AJ516" s="1">
        <v>87.2</v>
      </c>
      <c r="AK516" s="1">
        <v>0</v>
      </c>
      <c r="AL516" s="1" t="s">
        <v>9873</v>
      </c>
      <c r="AM516" s="1" t="s">
        <v>2755</v>
      </c>
      <c r="AN516" s="1" t="s">
        <v>433</v>
      </c>
      <c r="AO516" s="1" t="s">
        <v>590</v>
      </c>
      <c r="AP516" s="1">
        <v>63.54</v>
      </c>
      <c r="AQ516" s="1">
        <v>0</v>
      </c>
      <c r="AR516" s="1"/>
      <c r="AS516" s="1"/>
      <c r="AT516" s="1"/>
      <c r="AU516" s="1"/>
      <c r="AV516" s="1"/>
      <c r="AW516" s="1"/>
      <c r="AX516" s="1" t="s">
        <v>361</v>
      </c>
      <c r="AY516" s="1" t="s">
        <v>9874</v>
      </c>
      <c r="AZ516" s="1" t="s">
        <v>363</v>
      </c>
      <c r="BA516" s="1" t="s">
        <v>202</v>
      </c>
      <c r="BB516" s="1">
        <v>66</v>
      </c>
      <c r="BC516" s="1">
        <v>7.35</v>
      </c>
      <c r="BD516" s="1"/>
      <c r="BE516" s="1"/>
      <c r="BF516" s="1"/>
      <c r="BG516" s="1"/>
      <c r="BH516" s="1"/>
      <c r="BI516" s="1"/>
      <c r="BJ516" s="1" t="s">
        <v>364</v>
      </c>
      <c r="BK516" s="1"/>
      <c r="BL516" s="1"/>
      <c r="BM516" s="1" t="s">
        <v>9875</v>
      </c>
      <c r="BN516" s="1">
        <v>11</v>
      </c>
      <c r="BO516" s="1"/>
      <c r="BP516" s="1" t="str">
        <f>HYPERLINK("https://nconnect.nicmar.ac.in/storage/profile/ProfilePhoto_P25700515_823165.jpg","Download")</f>
        <v>0</v>
      </c>
      <c r="BQ516" s="3"/>
      <c r="BR516" s="3"/>
    </row>
    <row r="517" spans="1:70">
      <c r="A517" s="1" t="s">
        <v>70</v>
      </c>
      <c r="B517" s="1" t="s">
        <v>441</v>
      </c>
      <c r="C517" s="1" t="s">
        <v>9876</v>
      </c>
      <c r="D517" s="1" t="s">
        <v>744</v>
      </c>
      <c r="E517" s="1" t="s">
        <v>4970</v>
      </c>
      <c r="F517" s="1" t="s">
        <v>9877</v>
      </c>
      <c r="G517" s="1" t="s">
        <v>9878</v>
      </c>
      <c r="H517" s="1" t="s">
        <v>9879</v>
      </c>
      <c r="I517" s="1" t="s">
        <v>9880</v>
      </c>
      <c r="J517" s="1">
        <v>9307621134</v>
      </c>
      <c r="K517" s="1" t="s">
        <v>79</v>
      </c>
      <c r="L517" s="1" t="s">
        <v>9881</v>
      </c>
      <c r="M517" s="1" t="s">
        <v>81</v>
      </c>
      <c r="N517" s="1" t="s">
        <v>605</v>
      </c>
      <c r="O517" s="1"/>
      <c r="P517" s="1" t="s">
        <v>450</v>
      </c>
      <c r="Q517" s="1" t="s">
        <v>9882</v>
      </c>
      <c r="R517" s="1" t="s">
        <v>4970</v>
      </c>
      <c r="S517" s="1">
        <v>9096785329</v>
      </c>
      <c r="T517" s="1" t="s">
        <v>120</v>
      </c>
      <c r="U517" s="1" t="s">
        <v>9883</v>
      </c>
      <c r="V517" s="1">
        <v>8788918431</v>
      </c>
      <c r="W517" s="1" t="s">
        <v>156</v>
      </c>
      <c r="X517" s="1" t="s">
        <v>9884</v>
      </c>
      <c r="Y517" s="1" t="s">
        <v>191</v>
      </c>
      <c r="Z517" s="1" t="s">
        <v>92</v>
      </c>
      <c r="AA517" s="1" t="s">
        <v>9885</v>
      </c>
      <c r="AB517" s="1" t="s">
        <v>3557</v>
      </c>
      <c r="AC517" s="1" t="s">
        <v>92</v>
      </c>
      <c r="AD517" s="1">
        <v>8.96</v>
      </c>
      <c r="AE517" s="1" t="s">
        <v>93</v>
      </c>
      <c r="AF517" s="1" t="s">
        <v>9886</v>
      </c>
      <c r="AG517" s="1" t="s">
        <v>160</v>
      </c>
      <c r="AH517" s="1" t="s">
        <v>161</v>
      </c>
      <c r="AI517" s="1" t="s">
        <v>162</v>
      </c>
      <c r="AJ517" s="1">
        <v>89.2</v>
      </c>
      <c r="AK517" s="1"/>
      <c r="AL517" s="1"/>
      <c r="AM517" s="1"/>
      <c r="AN517" s="1"/>
      <c r="AO517" s="1"/>
      <c r="AP517" s="1"/>
      <c r="AQ517" s="1"/>
      <c r="AR517" s="1" t="s">
        <v>98</v>
      </c>
      <c r="AS517" s="1" t="s">
        <v>9887</v>
      </c>
      <c r="AT517" s="1" t="s">
        <v>1374</v>
      </c>
      <c r="AU517" s="1" t="s">
        <v>433</v>
      </c>
      <c r="AV517" s="1">
        <v>82.36</v>
      </c>
      <c r="AW517" s="1"/>
      <c r="AX517" s="1" t="s">
        <v>361</v>
      </c>
      <c r="AY517" s="1" t="s">
        <v>9888</v>
      </c>
      <c r="AZ517" s="1" t="s">
        <v>201</v>
      </c>
      <c r="BA517" s="1" t="s">
        <v>105</v>
      </c>
      <c r="BB517" s="1">
        <v>83.3</v>
      </c>
      <c r="BC517" s="1">
        <v>9.36</v>
      </c>
      <c r="BD517" s="1"/>
      <c r="BE517" s="1"/>
      <c r="BF517" s="1"/>
      <c r="BG517" s="1"/>
      <c r="BH517" s="1"/>
      <c r="BI517" s="1"/>
      <c r="BJ517" s="1" t="s">
        <v>9889</v>
      </c>
      <c r="BK517" s="1" t="s">
        <v>9890</v>
      </c>
      <c r="BL517" s="1" t="s">
        <v>721</v>
      </c>
      <c r="BM517" s="1" t="s">
        <v>9891</v>
      </c>
      <c r="BN517" s="1">
        <v>8</v>
      </c>
      <c r="BO517" s="1"/>
      <c r="BP517" s="1" t="str">
        <f>HYPERLINK("https://nconnect.nicmar.ac.in/storage/profile/ProfilePhoto_P25700516_637824.jpg","Download")</f>
        <v>0</v>
      </c>
      <c r="BQ517" s="3"/>
      <c r="BR517" s="3"/>
    </row>
    <row r="518" spans="1:70">
      <c r="A518" s="1" t="s">
        <v>70</v>
      </c>
      <c r="B518" s="1" t="s">
        <v>441</v>
      </c>
      <c r="C518" s="1" t="s">
        <v>9892</v>
      </c>
      <c r="D518" s="1" t="s">
        <v>2492</v>
      </c>
      <c r="E518" s="1" t="s">
        <v>9893</v>
      </c>
      <c r="F518" s="1" t="s">
        <v>9894</v>
      </c>
      <c r="G518" s="1" t="s">
        <v>9895</v>
      </c>
      <c r="H518" s="1" t="s">
        <v>9896</v>
      </c>
      <c r="I518" s="1" t="s">
        <v>9897</v>
      </c>
      <c r="J518" s="1">
        <v>9076063062</v>
      </c>
      <c r="K518" s="1" t="s">
        <v>79</v>
      </c>
      <c r="L518" s="1" t="s">
        <v>1591</v>
      </c>
      <c r="M518" s="1" t="s">
        <v>81</v>
      </c>
      <c r="N518" s="1" t="s">
        <v>9898</v>
      </c>
      <c r="O518" s="1"/>
      <c r="P518" s="1" t="s">
        <v>497</v>
      </c>
      <c r="Q518" s="1" t="s">
        <v>9899</v>
      </c>
      <c r="R518" s="1" t="s">
        <v>9900</v>
      </c>
      <c r="S518" s="1">
        <v>9324239435</v>
      </c>
      <c r="T518" s="1" t="s">
        <v>9901</v>
      </c>
      <c r="U518" s="1" t="s">
        <v>9902</v>
      </c>
      <c r="V518" s="1">
        <v>9322753316</v>
      </c>
      <c r="W518" s="1" t="s">
        <v>156</v>
      </c>
      <c r="X518" s="1" t="s">
        <v>9903</v>
      </c>
      <c r="Y518" s="1" t="s">
        <v>991</v>
      </c>
      <c r="Z518" s="1" t="s">
        <v>92</v>
      </c>
      <c r="AA518" s="1" t="s">
        <v>9903</v>
      </c>
      <c r="AB518" s="1" t="s">
        <v>991</v>
      </c>
      <c r="AC518" s="1" t="s">
        <v>92</v>
      </c>
      <c r="AD518" s="1">
        <v>8.23</v>
      </c>
      <c r="AE518" s="1" t="s">
        <v>93</v>
      </c>
      <c r="AF518" s="1" t="s">
        <v>9904</v>
      </c>
      <c r="AG518" s="1" t="s">
        <v>1942</v>
      </c>
      <c r="AH518" s="1" t="s">
        <v>162</v>
      </c>
      <c r="AI518" s="1" t="s">
        <v>195</v>
      </c>
      <c r="AJ518" s="1">
        <v>76.8</v>
      </c>
      <c r="AK518" s="1"/>
      <c r="AL518" s="1" t="s">
        <v>9905</v>
      </c>
      <c r="AM518" s="1" t="s">
        <v>1942</v>
      </c>
      <c r="AN518" s="1" t="s">
        <v>383</v>
      </c>
      <c r="AO518" s="1" t="s">
        <v>198</v>
      </c>
      <c r="AP518" s="1">
        <v>66.31</v>
      </c>
      <c r="AQ518" s="1"/>
      <c r="AR518" s="1"/>
      <c r="AS518" s="1"/>
      <c r="AT518" s="1"/>
      <c r="AU518" s="1"/>
      <c r="AV518" s="1"/>
      <c r="AW518" s="1"/>
      <c r="AX518" s="1" t="s">
        <v>253</v>
      </c>
      <c r="AY518" s="1" t="s">
        <v>9906</v>
      </c>
      <c r="AZ518" s="1" t="s">
        <v>201</v>
      </c>
      <c r="BA518" s="1" t="s">
        <v>915</v>
      </c>
      <c r="BB518" s="1">
        <v>68.56</v>
      </c>
      <c r="BC518" s="1">
        <v>7.76</v>
      </c>
      <c r="BD518" s="1"/>
      <c r="BE518" s="1"/>
      <c r="BF518" s="1"/>
      <c r="BG518" s="1"/>
      <c r="BH518" s="1"/>
      <c r="BI518" s="1"/>
      <c r="BJ518" s="1" t="s">
        <v>9907</v>
      </c>
      <c r="BK518" s="1" t="s">
        <v>9908</v>
      </c>
      <c r="BL518" s="1" t="s">
        <v>569</v>
      </c>
      <c r="BM518" s="1" t="s">
        <v>9909</v>
      </c>
      <c r="BN518" s="1">
        <v>10</v>
      </c>
      <c r="BO518" s="1" t="s">
        <v>9910</v>
      </c>
      <c r="BP518" s="1" t="str">
        <f>HYPERLINK("https://nconnect.nicmar.ac.in/storage/profile/ProfilePhoto_P25700518_691543.jpg","Download")</f>
        <v>0</v>
      </c>
      <c r="BQ518" s="3"/>
      <c r="BR518" s="3"/>
    </row>
    <row r="519" spans="1:70">
      <c r="A519" s="1" t="s">
        <v>70</v>
      </c>
      <c r="B519" s="1" t="s">
        <v>441</v>
      </c>
      <c r="C519" s="1" t="s">
        <v>9911</v>
      </c>
      <c r="D519" s="1" t="s">
        <v>6936</v>
      </c>
      <c r="E519" s="1" t="s">
        <v>9912</v>
      </c>
      <c r="F519" s="1" t="s">
        <v>9913</v>
      </c>
      <c r="G519" s="1" t="s">
        <v>9914</v>
      </c>
      <c r="H519" s="1" t="s">
        <v>9915</v>
      </c>
      <c r="I519" s="1" t="s">
        <v>9916</v>
      </c>
      <c r="J519" s="1">
        <v>9021176308</v>
      </c>
      <c r="K519" s="1" t="s">
        <v>79</v>
      </c>
      <c r="L519" s="1" t="s">
        <v>1256</v>
      </c>
      <c r="M519" s="1" t="s">
        <v>81</v>
      </c>
      <c r="N519" s="1" t="s">
        <v>9917</v>
      </c>
      <c r="O519" s="1"/>
      <c r="P519" s="1" t="s">
        <v>497</v>
      </c>
      <c r="Q519" s="1" t="s">
        <v>9918</v>
      </c>
      <c r="R519" s="1" t="s">
        <v>9912</v>
      </c>
      <c r="S519" s="1">
        <v>8788024171</v>
      </c>
      <c r="T519" s="1" t="s">
        <v>8406</v>
      </c>
      <c r="U519" s="1" t="s">
        <v>9919</v>
      </c>
      <c r="V519" s="1">
        <v>8482965232</v>
      </c>
      <c r="W519" s="1" t="s">
        <v>89</v>
      </c>
      <c r="X519" s="1" t="s">
        <v>9920</v>
      </c>
      <c r="Y519" s="1" t="s">
        <v>191</v>
      </c>
      <c r="Z519" s="1" t="s">
        <v>92</v>
      </c>
      <c r="AA519" s="1" t="s">
        <v>9921</v>
      </c>
      <c r="AB519" s="1" t="s">
        <v>158</v>
      </c>
      <c r="AC519" s="1" t="s">
        <v>92</v>
      </c>
      <c r="AD519" s="1">
        <v>7.25</v>
      </c>
      <c r="AE519" s="1" t="s">
        <v>93</v>
      </c>
      <c r="AF519" s="1" t="s">
        <v>9922</v>
      </c>
      <c r="AG519" s="1" t="s">
        <v>9923</v>
      </c>
      <c r="AH519" s="1" t="s">
        <v>161</v>
      </c>
      <c r="AI519" s="1" t="s">
        <v>162</v>
      </c>
      <c r="AJ519" s="1">
        <v>70.4</v>
      </c>
      <c r="AK519" s="1"/>
      <c r="AL519" s="1"/>
      <c r="AM519" s="1"/>
      <c r="AN519" s="1"/>
      <c r="AO519" s="1"/>
      <c r="AP519" s="1"/>
      <c r="AQ519" s="1"/>
      <c r="AR519" s="1" t="s">
        <v>98</v>
      </c>
      <c r="AS519" s="1" t="s">
        <v>9924</v>
      </c>
      <c r="AT519" s="1" t="s">
        <v>162</v>
      </c>
      <c r="AU519" s="1" t="s">
        <v>433</v>
      </c>
      <c r="AV519" s="1">
        <v>70.61</v>
      </c>
      <c r="AW519" s="1"/>
      <c r="AX519" s="1" t="s">
        <v>4558</v>
      </c>
      <c r="AY519" s="1" t="s">
        <v>9925</v>
      </c>
      <c r="AZ519" s="1" t="s">
        <v>310</v>
      </c>
      <c r="BA519" s="1" t="s">
        <v>105</v>
      </c>
      <c r="BB519" s="1">
        <v>72.86</v>
      </c>
      <c r="BC519" s="1">
        <v>8.71</v>
      </c>
      <c r="BD519" s="1"/>
      <c r="BE519" s="1"/>
      <c r="BF519" s="1"/>
      <c r="BG519" s="1"/>
      <c r="BH519" s="1"/>
      <c r="BI519" s="1"/>
      <c r="BJ519" s="1" t="s">
        <v>9926</v>
      </c>
      <c r="BK519" s="1" t="s">
        <v>9927</v>
      </c>
      <c r="BL519" s="1" t="s">
        <v>1335</v>
      </c>
      <c r="BM519" s="1" t="s">
        <v>9928</v>
      </c>
      <c r="BN519" s="1">
        <v>33</v>
      </c>
      <c r="BO519" s="1" t="s">
        <v>9929</v>
      </c>
      <c r="BP519" s="1" t="str">
        <f>HYPERLINK("https://nconnect.nicmar.ac.in/storage/profile/ProfilePhoto_P25700519_691532.jpg","Download")</f>
        <v>0</v>
      </c>
      <c r="BQ519" s="3"/>
      <c r="BR519" s="3"/>
    </row>
    <row r="520" spans="1:70">
      <c r="A520" s="1" t="s">
        <v>70</v>
      </c>
      <c r="B520" s="1" t="s">
        <v>441</v>
      </c>
      <c r="C520" s="1" t="s">
        <v>9930</v>
      </c>
      <c r="D520" s="1" t="s">
        <v>1156</v>
      </c>
      <c r="E520" s="1" t="s">
        <v>1403</v>
      </c>
      <c r="F520" s="1" t="s">
        <v>1298</v>
      </c>
      <c r="G520" s="1" t="s">
        <v>9931</v>
      </c>
      <c r="H520" s="1" t="s">
        <v>9932</v>
      </c>
      <c r="I520" s="1" t="s">
        <v>9933</v>
      </c>
      <c r="J520" s="1">
        <v>7799077947</v>
      </c>
      <c r="K520" s="1" t="s">
        <v>79</v>
      </c>
      <c r="L520" s="1" t="s">
        <v>2283</v>
      </c>
      <c r="M520" s="1" t="s">
        <v>81</v>
      </c>
      <c r="N520" s="1" t="s">
        <v>9934</v>
      </c>
      <c r="O520" s="1"/>
      <c r="P520" s="1" t="s">
        <v>450</v>
      </c>
      <c r="Q520" s="1" t="s">
        <v>9935</v>
      </c>
      <c r="R520" s="1" t="s">
        <v>9936</v>
      </c>
      <c r="S520" s="1">
        <v>9848182964</v>
      </c>
      <c r="T520" s="1" t="s">
        <v>9937</v>
      </c>
      <c r="U520" s="1" t="s">
        <v>9938</v>
      </c>
      <c r="V520" s="1">
        <v>8341872855</v>
      </c>
      <c r="W520" s="1" t="s">
        <v>156</v>
      </c>
      <c r="X520" s="1" t="s">
        <v>9939</v>
      </c>
      <c r="Y520" s="1" t="s">
        <v>4064</v>
      </c>
      <c r="Z520" s="1" t="s">
        <v>456</v>
      </c>
      <c r="AA520" s="1" t="s">
        <v>9939</v>
      </c>
      <c r="AB520" s="1" t="s">
        <v>4064</v>
      </c>
      <c r="AC520" s="1" t="s">
        <v>456</v>
      </c>
      <c r="AD520" s="1">
        <v>7.79</v>
      </c>
      <c r="AE520" s="1" t="s">
        <v>93</v>
      </c>
      <c r="AF520" s="1" t="s">
        <v>9940</v>
      </c>
      <c r="AG520" s="1" t="s">
        <v>3611</v>
      </c>
      <c r="AH520" s="1" t="s">
        <v>162</v>
      </c>
      <c r="AI520" s="1" t="s">
        <v>195</v>
      </c>
      <c r="AJ520" s="1">
        <v>88.35</v>
      </c>
      <c r="AK520" s="1">
        <v>9.3</v>
      </c>
      <c r="AL520" s="1" t="s">
        <v>9941</v>
      </c>
      <c r="AM520" s="1" t="s">
        <v>9942</v>
      </c>
      <c r="AN520" s="1" t="s">
        <v>165</v>
      </c>
      <c r="AO520" s="1" t="s">
        <v>409</v>
      </c>
      <c r="AP520" s="1">
        <v>92.6</v>
      </c>
      <c r="AQ520" s="1">
        <v>9.26</v>
      </c>
      <c r="AR520" s="1"/>
      <c r="AS520" s="1"/>
      <c r="AT520" s="1"/>
      <c r="AU520" s="1"/>
      <c r="AV520" s="1"/>
      <c r="AW520" s="1"/>
      <c r="AX520" s="1" t="s">
        <v>9943</v>
      </c>
      <c r="AY520" s="1" t="s">
        <v>9944</v>
      </c>
      <c r="AZ520" s="1" t="s">
        <v>310</v>
      </c>
      <c r="BA520" s="1" t="s">
        <v>9945</v>
      </c>
      <c r="BB520" s="1">
        <v>62.7</v>
      </c>
      <c r="BC520" s="1">
        <v>6.77</v>
      </c>
      <c r="BD520" s="1"/>
      <c r="BE520" s="1"/>
      <c r="BF520" s="1"/>
      <c r="BG520" s="1"/>
      <c r="BH520" s="1"/>
      <c r="BI520" s="1"/>
      <c r="BJ520" s="1" t="s">
        <v>9946</v>
      </c>
      <c r="BK520" s="1" t="s">
        <v>9947</v>
      </c>
      <c r="BL520" s="1" t="s">
        <v>645</v>
      </c>
      <c r="BM520" s="1" t="s">
        <v>9948</v>
      </c>
      <c r="BN520" s="1">
        <v>34</v>
      </c>
      <c r="BO520" s="1" t="s">
        <v>9949</v>
      </c>
      <c r="BP520" s="1" t="str">
        <f>HYPERLINK("https://nconnect.nicmar.ac.in/storage/profile/ProfilePhoto_P25700520_925738.jpg","Download")</f>
        <v>0</v>
      </c>
      <c r="BQ520" s="3"/>
      <c r="BR520" s="3"/>
    </row>
    <row r="521" spans="1:70">
      <c r="A521" s="1" t="s">
        <v>70</v>
      </c>
      <c r="B521" s="1" t="s">
        <v>441</v>
      </c>
      <c r="C521" s="1" t="s">
        <v>9950</v>
      </c>
      <c r="D521" s="1" t="s">
        <v>9951</v>
      </c>
      <c r="E521" s="1" t="s">
        <v>9952</v>
      </c>
      <c r="F521" s="1" t="s">
        <v>9953</v>
      </c>
      <c r="G521" s="1" t="s">
        <v>9954</v>
      </c>
      <c r="H521" s="1" t="s">
        <v>9955</v>
      </c>
      <c r="I521" s="1" t="s">
        <v>9956</v>
      </c>
      <c r="J521" s="1">
        <v>9767879369</v>
      </c>
      <c r="K521" s="1" t="s">
        <v>79</v>
      </c>
      <c r="L521" s="1" t="s">
        <v>9957</v>
      </c>
      <c r="M521" s="1" t="s">
        <v>81</v>
      </c>
      <c r="N521" s="1" t="s">
        <v>5374</v>
      </c>
      <c r="O521" s="1"/>
      <c r="P521" s="1" t="s">
        <v>450</v>
      </c>
      <c r="Q521" s="1" t="s">
        <v>9958</v>
      </c>
      <c r="R521" s="1" t="s">
        <v>9959</v>
      </c>
      <c r="S521" s="1">
        <v>9422360231</v>
      </c>
      <c r="T521" s="1" t="s">
        <v>9960</v>
      </c>
      <c r="U521" s="1" t="s">
        <v>9961</v>
      </c>
      <c r="V521" s="1">
        <v>9421931938</v>
      </c>
      <c r="W521" s="1" t="s">
        <v>156</v>
      </c>
      <c r="X521" s="1" t="s">
        <v>9962</v>
      </c>
      <c r="Y521" s="1" t="s">
        <v>7682</v>
      </c>
      <c r="Z521" s="1" t="s">
        <v>92</v>
      </c>
      <c r="AA521" s="1" t="s">
        <v>9962</v>
      </c>
      <c r="AB521" s="1" t="s">
        <v>7682</v>
      </c>
      <c r="AC521" s="1" t="s">
        <v>92</v>
      </c>
      <c r="AD521" s="1">
        <v>7.51</v>
      </c>
      <c r="AE521" s="1" t="s">
        <v>93</v>
      </c>
      <c r="AF521" s="1" t="s">
        <v>9963</v>
      </c>
      <c r="AG521" s="1" t="s">
        <v>9964</v>
      </c>
      <c r="AH521" s="1" t="s">
        <v>131</v>
      </c>
      <c r="AI521" s="1" t="s">
        <v>614</v>
      </c>
      <c r="AJ521" s="1">
        <v>71.2</v>
      </c>
      <c r="AK521" s="1">
        <v>7.8</v>
      </c>
      <c r="AL521" s="1" t="s">
        <v>9965</v>
      </c>
      <c r="AM521" s="1" t="s">
        <v>9966</v>
      </c>
      <c r="AN521" s="1" t="s">
        <v>1374</v>
      </c>
      <c r="AO521" s="1" t="s">
        <v>101</v>
      </c>
      <c r="AP521" s="1">
        <v>60.31</v>
      </c>
      <c r="AQ521" s="1"/>
      <c r="AR521" s="1"/>
      <c r="AS521" s="1"/>
      <c r="AT521" s="1"/>
      <c r="AU521" s="1"/>
      <c r="AV521" s="1"/>
      <c r="AW521" s="1"/>
      <c r="AX521" s="1" t="s">
        <v>361</v>
      </c>
      <c r="AY521" s="1" t="s">
        <v>9967</v>
      </c>
      <c r="AZ521" s="1" t="s">
        <v>1043</v>
      </c>
      <c r="BA521" s="1" t="s">
        <v>174</v>
      </c>
      <c r="BB521" s="1">
        <v>64.1</v>
      </c>
      <c r="BC521" s="1">
        <v>7.16</v>
      </c>
      <c r="BD521" s="1"/>
      <c r="BE521" s="1"/>
      <c r="BF521" s="1"/>
      <c r="BG521" s="1"/>
      <c r="BH521" s="1"/>
      <c r="BI521" s="1"/>
      <c r="BJ521" s="1" t="s">
        <v>3326</v>
      </c>
      <c r="BK521" s="1" t="s">
        <v>9968</v>
      </c>
      <c r="BL521" s="1" t="s">
        <v>645</v>
      </c>
      <c r="BM521" s="1" t="s">
        <v>9969</v>
      </c>
      <c r="BN521" s="1">
        <v>8</v>
      </c>
      <c r="BO521" s="1"/>
      <c r="BP521" s="1" t="str">
        <f>HYPERLINK("https://nconnect.nicmar.ac.in/storage/profile/ProfilePhoto_P25700521_734961.jpg","Download")</f>
        <v>0</v>
      </c>
      <c r="BQ521" s="3"/>
      <c r="BR521" s="3"/>
    </row>
    <row r="522" spans="1:70">
      <c r="A522" s="1" t="s">
        <v>70</v>
      </c>
      <c r="B522" s="1" t="s">
        <v>441</v>
      </c>
      <c r="C522" s="1" t="s">
        <v>9970</v>
      </c>
      <c r="D522" s="1" t="s">
        <v>9971</v>
      </c>
      <c r="E522" s="1"/>
      <c r="F522" s="1" t="s">
        <v>9972</v>
      </c>
      <c r="G522" s="1" t="s">
        <v>9973</v>
      </c>
      <c r="H522" s="1" t="s">
        <v>9974</v>
      </c>
      <c r="I522" s="1" t="s">
        <v>9975</v>
      </c>
      <c r="J522" s="1">
        <v>7001957741</v>
      </c>
      <c r="K522" s="1" t="s">
        <v>79</v>
      </c>
      <c r="L522" s="1" t="s">
        <v>9976</v>
      </c>
      <c r="M522" s="1" t="s">
        <v>81</v>
      </c>
      <c r="N522" s="1" t="s">
        <v>3634</v>
      </c>
      <c r="O522" s="1"/>
      <c r="P522" s="1" t="s">
        <v>497</v>
      </c>
      <c r="Q522" s="1" t="s">
        <v>9977</v>
      </c>
      <c r="R522" s="1" t="s">
        <v>9978</v>
      </c>
      <c r="S522" s="1">
        <v>9475017404</v>
      </c>
      <c r="T522" s="1" t="s">
        <v>9979</v>
      </c>
      <c r="U522" s="1" t="s">
        <v>9980</v>
      </c>
      <c r="V522" s="1">
        <v>9474400329</v>
      </c>
      <c r="W522" s="1" t="s">
        <v>273</v>
      </c>
      <c r="X522" s="1" t="s">
        <v>9981</v>
      </c>
      <c r="Y522" s="1" t="s">
        <v>1210</v>
      </c>
      <c r="Z522" s="1" t="s">
        <v>1211</v>
      </c>
      <c r="AA522" s="1" t="s">
        <v>9981</v>
      </c>
      <c r="AB522" s="1" t="s">
        <v>1210</v>
      </c>
      <c r="AC522" s="1" t="s">
        <v>1211</v>
      </c>
      <c r="AD522" s="1">
        <v>7.48</v>
      </c>
      <c r="AE522" s="1" t="s">
        <v>93</v>
      </c>
      <c r="AF522" s="1" t="s">
        <v>9982</v>
      </c>
      <c r="AG522" s="1" t="s">
        <v>3302</v>
      </c>
      <c r="AH522" s="1" t="s">
        <v>1191</v>
      </c>
      <c r="AI522" s="1" t="s">
        <v>131</v>
      </c>
      <c r="AJ522" s="1">
        <v>84.71</v>
      </c>
      <c r="AK522" s="1"/>
      <c r="AL522" s="1" t="s">
        <v>9983</v>
      </c>
      <c r="AM522" s="1" t="s">
        <v>3305</v>
      </c>
      <c r="AN522" s="1" t="s">
        <v>614</v>
      </c>
      <c r="AO522" s="1" t="s">
        <v>562</v>
      </c>
      <c r="AP522" s="1">
        <v>70.6</v>
      </c>
      <c r="AQ522" s="1"/>
      <c r="AR522" s="1"/>
      <c r="AS522" s="1"/>
      <c r="AT522" s="1"/>
      <c r="AU522" s="1"/>
      <c r="AV522" s="1"/>
      <c r="AW522" s="1"/>
      <c r="AX522" s="1" t="s">
        <v>9984</v>
      </c>
      <c r="AY522" s="1" t="s">
        <v>9985</v>
      </c>
      <c r="AZ522" s="1" t="s">
        <v>383</v>
      </c>
      <c r="BA522" s="1" t="s">
        <v>539</v>
      </c>
      <c r="BB522" s="1">
        <v>69.8</v>
      </c>
      <c r="BC522" s="1"/>
      <c r="BD522" s="1"/>
      <c r="BE522" s="1"/>
      <c r="BF522" s="1"/>
      <c r="BG522" s="1"/>
      <c r="BH522" s="1"/>
      <c r="BI522" s="1"/>
      <c r="BJ522" s="1" t="s">
        <v>9986</v>
      </c>
      <c r="BK522" s="1" t="s">
        <v>9987</v>
      </c>
      <c r="BL522" s="1" t="s">
        <v>7996</v>
      </c>
      <c r="BM522" s="1" t="s">
        <v>9988</v>
      </c>
      <c r="BN522" s="1">
        <v>9</v>
      </c>
      <c r="BO522" s="1" t="s">
        <v>9989</v>
      </c>
      <c r="BP522" s="1" t="str">
        <f>HYPERLINK("https://nconnect.nicmar.ac.in/storage/profile/ProfilePhoto_P25700522_658429.jpg","Download")</f>
        <v>0</v>
      </c>
      <c r="BQ522" s="3"/>
      <c r="BR522" s="3"/>
    </row>
    <row r="523" spans="1:70">
      <c r="A523" s="1" t="s">
        <v>70</v>
      </c>
      <c r="B523" s="1" t="s">
        <v>441</v>
      </c>
      <c r="C523" s="1" t="s">
        <v>9990</v>
      </c>
      <c r="D523" s="1" t="s">
        <v>9991</v>
      </c>
      <c r="E523" s="1"/>
      <c r="F523" s="1" t="s">
        <v>9992</v>
      </c>
      <c r="G523" s="1" t="s">
        <v>9993</v>
      </c>
      <c r="H523" s="1" t="s">
        <v>9994</v>
      </c>
      <c r="I523" s="1" t="s">
        <v>9995</v>
      </c>
      <c r="J523" s="1">
        <v>9495201735</v>
      </c>
      <c r="K523" s="1" t="s">
        <v>79</v>
      </c>
      <c r="L523" s="1" t="s">
        <v>1160</v>
      </c>
      <c r="M523" s="1" t="s">
        <v>81</v>
      </c>
      <c r="N523" s="1" t="s">
        <v>9996</v>
      </c>
      <c r="O523" s="1"/>
      <c r="P523" s="1" t="s">
        <v>450</v>
      </c>
      <c r="Q523" s="1" t="s">
        <v>9997</v>
      </c>
      <c r="R523" s="1" t="s">
        <v>9998</v>
      </c>
      <c r="S523" s="1">
        <v>9447053735</v>
      </c>
      <c r="T523" s="1" t="s">
        <v>120</v>
      </c>
      <c r="U523" s="1" t="s">
        <v>9999</v>
      </c>
      <c r="V523" s="1">
        <v>9497091530</v>
      </c>
      <c r="W523" s="1" t="s">
        <v>122</v>
      </c>
      <c r="X523" s="1" t="s">
        <v>10000</v>
      </c>
      <c r="Y523" s="1" t="s">
        <v>2518</v>
      </c>
      <c r="Z523" s="1" t="s">
        <v>125</v>
      </c>
      <c r="AA523" s="1" t="s">
        <v>10000</v>
      </c>
      <c r="AB523" s="1" t="s">
        <v>2518</v>
      </c>
      <c r="AC523" s="1" t="s">
        <v>125</v>
      </c>
      <c r="AD523" s="1">
        <v>8.69</v>
      </c>
      <c r="AE523" s="1" t="s">
        <v>93</v>
      </c>
      <c r="AF523" s="1" t="s">
        <v>10001</v>
      </c>
      <c r="AG523" s="1" t="s">
        <v>10002</v>
      </c>
      <c r="AH523" s="1" t="s">
        <v>101</v>
      </c>
      <c r="AI523" s="1" t="s">
        <v>308</v>
      </c>
      <c r="AJ523" s="1">
        <v>82.6</v>
      </c>
      <c r="AK523" s="1"/>
      <c r="AL523" s="1" t="s">
        <v>10003</v>
      </c>
      <c r="AM523" s="1" t="s">
        <v>10004</v>
      </c>
      <c r="AN523" s="1" t="s">
        <v>460</v>
      </c>
      <c r="AO523" s="1" t="s">
        <v>539</v>
      </c>
      <c r="AP523" s="1">
        <v>96.9</v>
      </c>
      <c r="AQ523" s="1"/>
      <c r="AR523" s="1"/>
      <c r="AS523" s="1"/>
      <c r="AT523" s="1"/>
      <c r="AU523" s="1"/>
      <c r="AV523" s="1"/>
      <c r="AW523" s="1"/>
      <c r="AX523" s="1" t="s">
        <v>591</v>
      </c>
      <c r="AY523" s="1" t="s">
        <v>10005</v>
      </c>
      <c r="AZ523" s="1" t="s">
        <v>593</v>
      </c>
      <c r="BA523" s="1" t="s">
        <v>543</v>
      </c>
      <c r="BB523" s="1">
        <v>72.17</v>
      </c>
      <c r="BC523" s="1">
        <v>7.36</v>
      </c>
      <c r="BD523" s="1"/>
      <c r="BE523" s="1"/>
      <c r="BF523" s="1"/>
      <c r="BG523" s="1"/>
      <c r="BH523" s="1"/>
      <c r="BI523" s="1"/>
      <c r="BJ523" s="1" t="s">
        <v>10006</v>
      </c>
      <c r="BK523" s="1"/>
      <c r="BL523" s="1"/>
      <c r="BM523" s="1" t="s">
        <v>10007</v>
      </c>
      <c r="BN523" s="1">
        <v>11</v>
      </c>
      <c r="BO523" s="1" t="s">
        <v>10008</v>
      </c>
      <c r="BP523" s="1" t="str">
        <f>HYPERLINK("https://nconnect.nicmar.ac.in/storage/profile/ProfilePhoto_P25700524_859374.jpg","Download")</f>
        <v>0</v>
      </c>
      <c r="BQ523" s="3"/>
      <c r="BR523" s="3"/>
    </row>
    <row r="524" spans="1:70">
      <c r="A524" s="1" t="s">
        <v>70</v>
      </c>
      <c r="B524" s="1" t="s">
        <v>441</v>
      </c>
      <c r="C524" s="1" t="s">
        <v>10009</v>
      </c>
      <c r="D524" s="1" t="s">
        <v>6734</v>
      </c>
      <c r="E524" s="1" t="s">
        <v>4321</v>
      </c>
      <c r="F524" s="1" t="s">
        <v>10010</v>
      </c>
      <c r="G524" s="1" t="s">
        <v>10011</v>
      </c>
      <c r="H524" s="1" t="s">
        <v>10012</v>
      </c>
      <c r="I524" s="1" t="s">
        <v>10013</v>
      </c>
      <c r="J524" s="1">
        <v>9820589566</v>
      </c>
      <c r="K524" s="1" t="s">
        <v>79</v>
      </c>
      <c r="L524" s="1" t="s">
        <v>10014</v>
      </c>
      <c r="M524" s="1" t="s">
        <v>81</v>
      </c>
      <c r="N524" s="1" t="s">
        <v>605</v>
      </c>
      <c r="O524" s="1"/>
      <c r="P524" s="1" t="s">
        <v>450</v>
      </c>
      <c r="Q524" s="1" t="s">
        <v>10015</v>
      </c>
      <c r="R524" s="1" t="s">
        <v>10016</v>
      </c>
      <c r="S524" s="1">
        <v>9833060168</v>
      </c>
      <c r="T524" s="1" t="s">
        <v>820</v>
      </c>
      <c r="U524" s="1" t="s">
        <v>10017</v>
      </c>
      <c r="V524" s="1">
        <v>9769471340</v>
      </c>
      <c r="W524" s="1" t="s">
        <v>156</v>
      </c>
      <c r="X524" s="1" t="s">
        <v>10018</v>
      </c>
      <c r="Y524" s="1" t="s">
        <v>2229</v>
      </c>
      <c r="Z524" s="1" t="s">
        <v>92</v>
      </c>
      <c r="AA524" s="1" t="s">
        <v>10018</v>
      </c>
      <c r="AB524" s="1" t="s">
        <v>2229</v>
      </c>
      <c r="AC524" s="1" t="s">
        <v>92</v>
      </c>
      <c r="AD524" s="1">
        <v>7.83</v>
      </c>
      <c r="AE524" s="1" t="s">
        <v>93</v>
      </c>
      <c r="AF524" s="1" t="s">
        <v>10019</v>
      </c>
      <c r="AG524" s="1" t="s">
        <v>1942</v>
      </c>
      <c r="AH524" s="1" t="s">
        <v>161</v>
      </c>
      <c r="AI524" s="1" t="s">
        <v>162</v>
      </c>
      <c r="AJ524" s="1">
        <v>80.4</v>
      </c>
      <c r="AK524" s="1"/>
      <c r="AL524" s="1" t="s">
        <v>2233</v>
      </c>
      <c r="AM524" s="1" t="s">
        <v>1942</v>
      </c>
      <c r="AN524" s="1" t="s">
        <v>165</v>
      </c>
      <c r="AO524" s="1" t="s">
        <v>166</v>
      </c>
      <c r="AP524" s="1">
        <v>67.23</v>
      </c>
      <c r="AQ524" s="1"/>
      <c r="AR524" s="1"/>
      <c r="AS524" s="1"/>
      <c r="AT524" s="1"/>
      <c r="AU524" s="1"/>
      <c r="AV524" s="1"/>
      <c r="AW524" s="1"/>
      <c r="AX524" s="1" t="s">
        <v>253</v>
      </c>
      <c r="AY524" s="1" t="s">
        <v>10020</v>
      </c>
      <c r="AZ524" s="1" t="s">
        <v>169</v>
      </c>
      <c r="BA524" s="1" t="s">
        <v>284</v>
      </c>
      <c r="BB524" s="1">
        <v>75.27</v>
      </c>
      <c r="BC524" s="1"/>
      <c r="BD524" s="1"/>
      <c r="BE524" s="1"/>
      <c r="BF524" s="1"/>
      <c r="BG524" s="1"/>
      <c r="BH524" s="1"/>
      <c r="BI524" s="1"/>
      <c r="BJ524" s="1" t="s">
        <v>567</v>
      </c>
      <c r="BK524" s="1" t="s">
        <v>10021</v>
      </c>
      <c r="BL524" s="1" t="s">
        <v>138</v>
      </c>
      <c r="BM524" s="1" t="s">
        <v>10022</v>
      </c>
      <c r="BN524" s="1">
        <v>17</v>
      </c>
      <c r="BO524" s="1" t="s">
        <v>10023</v>
      </c>
      <c r="BP524" s="1" t="str">
        <f>HYPERLINK("https://nconnect.nicmar.ac.in/storage/profile/ProfilePhoto_P25700525_376924.jpg","Download")</f>
        <v>0</v>
      </c>
      <c r="BQ524" s="3"/>
      <c r="BR524" s="3"/>
    </row>
    <row r="525" spans="1:70">
      <c r="A525" s="1" t="s">
        <v>70</v>
      </c>
      <c r="B525" s="1" t="s">
        <v>441</v>
      </c>
      <c r="C525" s="1" t="s">
        <v>10024</v>
      </c>
      <c r="D525" s="1" t="s">
        <v>10025</v>
      </c>
      <c r="E525" s="1" t="s">
        <v>4632</v>
      </c>
      <c r="F525" s="1" t="s">
        <v>10026</v>
      </c>
      <c r="G525" s="1" t="s">
        <v>10027</v>
      </c>
      <c r="H525" s="1" t="s">
        <v>10028</v>
      </c>
      <c r="I525" s="1" t="s">
        <v>10029</v>
      </c>
      <c r="J525" s="1">
        <v>9370261603</v>
      </c>
      <c r="K525" s="1" t="s">
        <v>148</v>
      </c>
      <c r="L525" s="1" t="s">
        <v>7858</v>
      </c>
      <c r="M525" s="1" t="s">
        <v>81</v>
      </c>
      <c r="N525" s="1" t="s">
        <v>605</v>
      </c>
      <c r="O525" s="1"/>
      <c r="P525" s="1" t="s">
        <v>450</v>
      </c>
      <c r="Q525" s="1" t="s">
        <v>10030</v>
      </c>
      <c r="R525" s="1" t="s">
        <v>10031</v>
      </c>
      <c r="S525" s="1">
        <v>9370646504</v>
      </c>
      <c r="T525" s="1" t="s">
        <v>6725</v>
      </c>
      <c r="U525" s="1" t="s">
        <v>10032</v>
      </c>
      <c r="V525" s="1">
        <v>9370646504</v>
      </c>
      <c r="W525" s="1" t="s">
        <v>273</v>
      </c>
      <c r="X525" s="1" t="s">
        <v>10033</v>
      </c>
      <c r="Y525" s="1" t="s">
        <v>5087</v>
      </c>
      <c r="Z525" s="1" t="s">
        <v>92</v>
      </c>
      <c r="AA525" s="1" t="s">
        <v>10033</v>
      </c>
      <c r="AB525" s="1" t="s">
        <v>5087</v>
      </c>
      <c r="AC525" s="1" t="s">
        <v>92</v>
      </c>
      <c r="AD525" s="1">
        <v>7.57</v>
      </c>
      <c r="AE525" s="1" t="s">
        <v>93</v>
      </c>
      <c r="AF525" s="1" t="s">
        <v>10034</v>
      </c>
      <c r="AG525" s="1" t="s">
        <v>160</v>
      </c>
      <c r="AH525" s="1" t="s">
        <v>165</v>
      </c>
      <c r="AI525" s="1" t="s">
        <v>308</v>
      </c>
      <c r="AJ525" s="1">
        <v>84.2</v>
      </c>
      <c r="AK525" s="1"/>
      <c r="AL525" s="1" t="s">
        <v>10035</v>
      </c>
      <c r="AM525" s="1" t="s">
        <v>160</v>
      </c>
      <c r="AN525" s="1" t="s">
        <v>433</v>
      </c>
      <c r="AO525" s="1" t="s">
        <v>828</v>
      </c>
      <c r="AP525" s="1">
        <v>92.33</v>
      </c>
      <c r="AQ525" s="1"/>
      <c r="AR525" s="1"/>
      <c r="AS525" s="1"/>
      <c r="AT525" s="1"/>
      <c r="AU525" s="1"/>
      <c r="AV525" s="1"/>
      <c r="AW525" s="1"/>
      <c r="AX525" s="1" t="s">
        <v>361</v>
      </c>
      <c r="AY525" s="1" t="s">
        <v>10036</v>
      </c>
      <c r="AZ525" s="1" t="s">
        <v>436</v>
      </c>
      <c r="BA525" s="1" t="s">
        <v>543</v>
      </c>
      <c r="BB525" s="1">
        <v>66</v>
      </c>
      <c r="BC525" s="1">
        <v>7.35</v>
      </c>
      <c r="BD525" s="1"/>
      <c r="BE525" s="1"/>
      <c r="BF525" s="1"/>
      <c r="BG525" s="1"/>
      <c r="BH525" s="1"/>
      <c r="BI525" s="1"/>
      <c r="BJ525" s="1" t="s">
        <v>1659</v>
      </c>
      <c r="BK525" s="1"/>
      <c r="BL525" s="1"/>
      <c r="BM525" s="1" t="s">
        <v>10037</v>
      </c>
      <c r="BN525" s="1">
        <v>4</v>
      </c>
      <c r="BO525" s="1" t="s">
        <v>10038</v>
      </c>
      <c r="BP525" s="1" t="str">
        <f>HYPERLINK("https://nconnect.nicmar.ac.in/storage/profile/ProfilePhoto_P25700526_147892.jpg","Download")</f>
        <v>0</v>
      </c>
      <c r="BQ525" s="3"/>
      <c r="BR525" s="3"/>
    </row>
    <row r="526" spans="1:70">
      <c r="A526" s="1" t="s">
        <v>70</v>
      </c>
      <c r="B526" s="1" t="s">
        <v>441</v>
      </c>
      <c r="C526" s="1" t="s">
        <v>10039</v>
      </c>
      <c r="D526" s="1" t="s">
        <v>10040</v>
      </c>
      <c r="E526" s="1" t="s">
        <v>659</v>
      </c>
      <c r="F526" s="1" t="s">
        <v>10041</v>
      </c>
      <c r="G526" s="1" t="s">
        <v>10042</v>
      </c>
      <c r="H526" s="1" t="s">
        <v>10043</v>
      </c>
      <c r="I526" s="1" t="s">
        <v>10044</v>
      </c>
      <c r="J526" s="1">
        <v>9014703535</v>
      </c>
      <c r="K526" s="1" t="s">
        <v>148</v>
      </c>
      <c r="L526" s="1" t="s">
        <v>10045</v>
      </c>
      <c r="M526" s="1" t="s">
        <v>81</v>
      </c>
      <c r="N526" s="1" t="s">
        <v>7207</v>
      </c>
      <c r="O526" s="1"/>
      <c r="P526" s="1" t="s">
        <v>497</v>
      </c>
      <c r="Q526" s="1" t="s">
        <v>10046</v>
      </c>
      <c r="R526" s="1" t="s">
        <v>10047</v>
      </c>
      <c r="S526" s="1">
        <v>9985438447</v>
      </c>
      <c r="T526" s="1" t="s">
        <v>529</v>
      </c>
      <c r="U526" s="1" t="s">
        <v>10048</v>
      </c>
      <c r="V526" s="1">
        <v>9642174648</v>
      </c>
      <c r="W526" s="1" t="s">
        <v>1529</v>
      </c>
      <c r="X526" s="1" t="s">
        <v>10049</v>
      </c>
      <c r="Y526" s="1" t="s">
        <v>8981</v>
      </c>
      <c r="Z526" s="1" t="s">
        <v>456</v>
      </c>
      <c r="AA526" s="1" t="s">
        <v>10049</v>
      </c>
      <c r="AB526" s="1" t="s">
        <v>8981</v>
      </c>
      <c r="AC526" s="1" t="s">
        <v>456</v>
      </c>
      <c r="AD526" s="1">
        <v>8.0</v>
      </c>
      <c r="AE526" s="1" t="s">
        <v>93</v>
      </c>
      <c r="AF526" s="1" t="s">
        <v>10050</v>
      </c>
      <c r="AG526" s="1" t="s">
        <v>10051</v>
      </c>
      <c r="AH526" s="1" t="s">
        <v>101</v>
      </c>
      <c r="AI526" s="1" t="s">
        <v>409</v>
      </c>
      <c r="AJ526" s="1">
        <v>85.5</v>
      </c>
      <c r="AK526" s="1">
        <v>9</v>
      </c>
      <c r="AL526" s="1"/>
      <c r="AM526" s="1"/>
      <c r="AN526" s="1"/>
      <c r="AO526" s="1"/>
      <c r="AP526" s="1"/>
      <c r="AQ526" s="1"/>
      <c r="AR526" s="1" t="s">
        <v>434</v>
      </c>
      <c r="AS526" s="1" t="s">
        <v>10052</v>
      </c>
      <c r="AT526" s="1" t="s">
        <v>433</v>
      </c>
      <c r="AU526" s="1" t="s">
        <v>105</v>
      </c>
      <c r="AV526" s="1">
        <v>81.5</v>
      </c>
      <c r="AW526" s="1">
        <v>8.6</v>
      </c>
      <c r="AX526" s="1" t="s">
        <v>4161</v>
      </c>
      <c r="AY526" s="1" t="s">
        <v>10053</v>
      </c>
      <c r="AZ526" s="1" t="s">
        <v>1777</v>
      </c>
      <c r="BA526" s="1" t="s">
        <v>543</v>
      </c>
      <c r="BB526" s="1">
        <v>67.7</v>
      </c>
      <c r="BC526" s="1">
        <v>7.27</v>
      </c>
      <c r="BD526" s="1"/>
      <c r="BE526" s="1"/>
      <c r="BF526" s="1"/>
      <c r="BG526" s="1"/>
      <c r="BH526" s="1"/>
      <c r="BI526" s="1"/>
      <c r="BJ526" s="1" t="s">
        <v>10054</v>
      </c>
      <c r="BK526" s="1"/>
      <c r="BL526" s="1"/>
      <c r="BM526" s="1" t="s">
        <v>10055</v>
      </c>
      <c r="BN526" s="1">
        <v>14</v>
      </c>
      <c r="BO526" s="1"/>
      <c r="BP526" s="1" t="str">
        <f>HYPERLINK("https://nconnect.nicmar.ac.in/storage/profile/ProfilePhoto_P25700527_758192.jpg","Download")</f>
        <v>0</v>
      </c>
      <c r="BQ526" s="3"/>
      <c r="BR526" s="3"/>
    </row>
    <row r="527" spans="1:70">
      <c r="A527" s="1" t="s">
        <v>70</v>
      </c>
      <c r="B527" s="1" t="s">
        <v>441</v>
      </c>
      <c r="C527" s="1" t="s">
        <v>10056</v>
      </c>
      <c r="D527" s="1" t="s">
        <v>4770</v>
      </c>
      <c r="E527" s="1"/>
      <c r="F527" s="1" t="s">
        <v>10057</v>
      </c>
      <c r="G527" s="1" t="s">
        <v>10058</v>
      </c>
      <c r="H527" s="1" t="s">
        <v>10059</v>
      </c>
      <c r="I527" s="1" t="s">
        <v>10060</v>
      </c>
      <c r="J527" s="1">
        <v>8788155243</v>
      </c>
      <c r="K527" s="1" t="s">
        <v>148</v>
      </c>
      <c r="L527" s="1" t="s">
        <v>2637</v>
      </c>
      <c r="M527" s="1" t="s">
        <v>81</v>
      </c>
      <c r="N527" s="1" t="s">
        <v>4289</v>
      </c>
      <c r="O527" s="1"/>
      <c r="P527" s="1"/>
      <c r="Q527" s="1" t="s">
        <v>10061</v>
      </c>
      <c r="R527" s="1" t="s">
        <v>10062</v>
      </c>
      <c r="S527" s="1">
        <v>7876884559</v>
      </c>
      <c r="T527" s="1" t="s">
        <v>120</v>
      </c>
      <c r="U527" s="1" t="s">
        <v>10063</v>
      </c>
      <c r="V527" s="1">
        <v>8975577221</v>
      </c>
      <c r="W527" s="1" t="s">
        <v>273</v>
      </c>
      <c r="X527" s="1" t="s">
        <v>10064</v>
      </c>
      <c r="Y527" s="1" t="s">
        <v>191</v>
      </c>
      <c r="Z527" s="1" t="s">
        <v>92</v>
      </c>
      <c r="AA527" s="1" t="s">
        <v>10064</v>
      </c>
      <c r="AB527" s="1" t="s">
        <v>191</v>
      </c>
      <c r="AC527" s="1" t="s">
        <v>92</v>
      </c>
      <c r="AD527" s="1">
        <v>8.75</v>
      </c>
      <c r="AE527" s="1" t="s">
        <v>93</v>
      </c>
      <c r="AF527" s="1" t="s">
        <v>10065</v>
      </c>
      <c r="AG527" s="1" t="s">
        <v>777</v>
      </c>
      <c r="AH527" s="1" t="s">
        <v>166</v>
      </c>
      <c r="AI527" s="1" t="s">
        <v>308</v>
      </c>
      <c r="AJ527" s="1">
        <v>95.2</v>
      </c>
      <c r="AK527" s="1"/>
      <c r="AL527" s="1" t="s">
        <v>10066</v>
      </c>
      <c r="AM527" s="1" t="s">
        <v>777</v>
      </c>
      <c r="AN527" s="1" t="s">
        <v>956</v>
      </c>
      <c r="AO527" s="1" t="s">
        <v>539</v>
      </c>
      <c r="AP527" s="1">
        <v>80</v>
      </c>
      <c r="AQ527" s="1"/>
      <c r="AR527" s="1"/>
      <c r="AS527" s="1"/>
      <c r="AT527" s="1"/>
      <c r="AU527" s="1"/>
      <c r="AV527" s="1"/>
      <c r="AW527" s="1"/>
      <c r="AX527" s="1" t="s">
        <v>7411</v>
      </c>
      <c r="AY527" s="1" t="s">
        <v>10067</v>
      </c>
      <c r="AZ527" s="1" t="s">
        <v>542</v>
      </c>
      <c r="BA527" s="1" t="s">
        <v>829</v>
      </c>
      <c r="BB527" s="1">
        <v>74.2</v>
      </c>
      <c r="BC527" s="1">
        <v>7.42</v>
      </c>
      <c r="BD527" s="1"/>
      <c r="BE527" s="1"/>
      <c r="BF527" s="1"/>
      <c r="BG527" s="1"/>
      <c r="BH527" s="1"/>
      <c r="BI527" s="1"/>
      <c r="BJ527" s="1" t="s">
        <v>255</v>
      </c>
      <c r="BK527" s="1"/>
      <c r="BL527" s="1"/>
      <c r="BM527" s="1" t="s">
        <v>10068</v>
      </c>
      <c r="BN527" s="1">
        <v>29</v>
      </c>
      <c r="BO527" s="1" t="s">
        <v>10069</v>
      </c>
      <c r="BP527" s="1" t="str">
        <f>HYPERLINK("https://nconnect.nicmar.ac.in/storage/profile/ProfilePhoto_P25700528_814675.jpg","Download")</f>
        <v>0</v>
      </c>
      <c r="BQ527" s="3"/>
      <c r="BR527" s="3"/>
    </row>
    <row r="528" spans="1:70">
      <c r="A528" s="1" t="s">
        <v>70</v>
      </c>
      <c r="B528" s="1" t="s">
        <v>441</v>
      </c>
      <c r="C528" s="1" t="s">
        <v>10070</v>
      </c>
      <c r="D528" s="1" t="s">
        <v>10071</v>
      </c>
      <c r="E528" s="1" t="s">
        <v>392</v>
      </c>
      <c r="F528" s="1" t="s">
        <v>1156</v>
      </c>
      <c r="G528" s="1" t="s">
        <v>10072</v>
      </c>
      <c r="H528" s="1" t="s">
        <v>10073</v>
      </c>
      <c r="I528" s="1" t="s">
        <v>10074</v>
      </c>
      <c r="J528" s="1">
        <v>7038343990</v>
      </c>
      <c r="K528" s="1" t="s">
        <v>148</v>
      </c>
      <c r="L528" s="1" t="s">
        <v>10075</v>
      </c>
      <c r="M528" s="1" t="s">
        <v>81</v>
      </c>
      <c r="N528" s="1" t="s">
        <v>605</v>
      </c>
      <c r="O528" s="1"/>
      <c r="P528" s="1" t="s">
        <v>497</v>
      </c>
      <c r="Q528" s="1" t="s">
        <v>10076</v>
      </c>
      <c r="R528" s="1" t="s">
        <v>10077</v>
      </c>
      <c r="S528" s="1">
        <v>9850396810</v>
      </c>
      <c r="T528" s="1" t="s">
        <v>10078</v>
      </c>
      <c r="U528" s="1" t="s">
        <v>10079</v>
      </c>
      <c r="V528" s="1">
        <v>9921816810</v>
      </c>
      <c r="W528" s="1" t="s">
        <v>6725</v>
      </c>
      <c r="X528" s="1" t="s">
        <v>10080</v>
      </c>
      <c r="Y528" s="1" t="s">
        <v>191</v>
      </c>
      <c r="Z528" s="1" t="s">
        <v>92</v>
      </c>
      <c r="AA528" s="1" t="s">
        <v>10080</v>
      </c>
      <c r="AB528" s="1" t="s">
        <v>191</v>
      </c>
      <c r="AC528" s="1" t="s">
        <v>92</v>
      </c>
      <c r="AD528" s="1">
        <v>9.32</v>
      </c>
      <c r="AE528" s="1" t="s">
        <v>93</v>
      </c>
      <c r="AF528" s="1" t="s">
        <v>9806</v>
      </c>
      <c r="AG528" s="1" t="s">
        <v>307</v>
      </c>
      <c r="AH528" s="1" t="s">
        <v>129</v>
      </c>
      <c r="AI528" s="1" t="s">
        <v>1239</v>
      </c>
      <c r="AJ528" s="1">
        <v>89.3</v>
      </c>
      <c r="AK528" s="1">
        <v>9.4</v>
      </c>
      <c r="AL528" s="1" t="s">
        <v>9806</v>
      </c>
      <c r="AM528" s="1" t="s">
        <v>307</v>
      </c>
      <c r="AN528" s="1" t="s">
        <v>131</v>
      </c>
      <c r="AO528" s="1" t="s">
        <v>614</v>
      </c>
      <c r="AP528" s="1">
        <v>82.2</v>
      </c>
      <c r="AQ528" s="1"/>
      <c r="AR528" s="1"/>
      <c r="AS528" s="1"/>
      <c r="AT528" s="1"/>
      <c r="AU528" s="1"/>
      <c r="AV528" s="1"/>
      <c r="AW528" s="1"/>
      <c r="AX528" s="1" t="s">
        <v>361</v>
      </c>
      <c r="AY528" s="1" t="s">
        <v>10081</v>
      </c>
      <c r="AZ528" s="1" t="s">
        <v>1374</v>
      </c>
      <c r="BA528" s="1" t="s">
        <v>956</v>
      </c>
      <c r="BB528" s="1">
        <v>74.9</v>
      </c>
      <c r="BC528" s="1">
        <v>8.24</v>
      </c>
      <c r="BD528" s="1"/>
      <c r="BE528" s="1"/>
      <c r="BF528" s="1"/>
      <c r="BG528" s="1"/>
      <c r="BH528" s="1"/>
      <c r="BI528" s="1"/>
      <c r="BJ528" s="1" t="s">
        <v>10082</v>
      </c>
      <c r="BK528" s="1" t="s">
        <v>10083</v>
      </c>
      <c r="BL528" s="1" t="s">
        <v>340</v>
      </c>
      <c r="BM528" s="1" t="s">
        <v>10084</v>
      </c>
      <c r="BN528" s="1">
        <v>8</v>
      </c>
      <c r="BO528" s="1" t="s">
        <v>10085</v>
      </c>
      <c r="BP528" s="1" t="str">
        <f>HYPERLINK("https://nconnect.nicmar.ac.in/storage/profile/ProfilePhoto_P25700529_642317.jpg","Download")</f>
        <v>0</v>
      </c>
      <c r="BQ528" s="3"/>
      <c r="BR528" s="3"/>
    </row>
    <row r="529" spans="1:70">
      <c r="A529" s="1" t="s">
        <v>70</v>
      </c>
      <c r="B529" s="1" t="s">
        <v>441</v>
      </c>
      <c r="C529" s="1" t="s">
        <v>10086</v>
      </c>
      <c r="D529" s="1" t="s">
        <v>10087</v>
      </c>
      <c r="E529" s="1" t="s">
        <v>10088</v>
      </c>
      <c r="F529" s="1" t="s">
        <v>10089</v>
      </c>
      <c r="G529" s="1" t="s">
        <v>10090</v>
      </c>
      <c r="H529" s="1" t="s">
        <v>10091</v>
      </c>
      <c r="I529" s="1" t="s">
        <v>10092</v>
      </c>
      <c r="J529" s="1">
        <v>7777971746</v>
      </c>
      <c r="K529" s="1" t="s">
        <v>148</v>
      </c>
      <c r="L529" s="1" t="s">
        <v>10093</v>
      </c>
      <c r="M529" s="1" t="s">
        <v>81</v>
      </c>
      <c r="N529" s="1" t="s">
        <v>7173</v>
      </c>
      <c r="O529" s="1"/>
      <c r="P529" s="1" t="s">
        <v>656</v>
      </c>
      <c r="Q529" s="1" t="s">
        <v>10094</v>
      </c>
      <c r="R529" s="1" t="s">
        <v>10095</v>
      </c>
      <c r="S529" s="1">
        <v>9904020358</v>
      </c>
      <c r="T529" s="1" t="s">
        <v>122</v>
      </c>
      <c r="U529" s="1" t="s">
        <v>10096</v>
      </c>
      <c r="V529" s="1">
        <v>8780051606</v>
      </c>
      <c r="W529" s="1" t="s">
        <v>156</v>
      </c>
      <c r="X529" s="1" t="s">
        <v>10097</v>
      </c>
      <c r="Y529" s="1" t="s">
        <v>10098</v>
      </c>
      <c r="Z529" s="1" t="s">
        <v>662</v>
      </c>
      <c r="AA529" s="1" t="s">
        <v>10097</v>
      </c>
      <c r="AB529" s="1" t="s">
        <v>10098</v>
      </c>
      <c r="AC529" s="1" t="s">
        <v>662</v>
      </c>
      <c r="AD529" s="1">
        <v>7.88</v>
      </c>
      <c r="AE529" s="1" t="s">
        <v>93</v>
      </c>
      <c r="AF529" s="1" t="s">
        <v>10099</v>
      </c>
      <c r="AG529" s="1" t="s">
        <v>10100</v>
      </c>
      <c r="AH529" s="1" t="s">
        <v>166</v>
      </c>
      <c r="AI529" s="1" t="s">
        <v>409</v>
      </c>
      <c r="AJ529" s="1">
        <v>82.66</v>
      </c>
      <c r="AK529" s="1"/>
      <c r="AL529" s="1" t="s">
        <v>10101</v>
      </c>
      <c r="AM529" s="1" t="s">
        <v>10100</v>
      </c>
      <c r="AN529" s="1" t="s">
        <v>433</v>
      </c>
      <c r="AO529" s="1" t="s">
        <v>539</v>
      </c>
      <c r="AP529" s="1">
        <v>88.15</v>
      </c>
      <c r="AQ529" s="1"/>
      <c r="AR529" s="1"/>
      <c r="AS529" s="1"/>
      <c r="AT529" s="1"/>
      <c r="AU529" s="1"/>
      <c r="AV529" s="1"/>
      <c r="AW529" s="1"/>
      <c r="AX529" s="1" t="s">
        <v>5245</v>
      </c>
      <c r="AY529" s="1" t="s">
        <v>10102</v>
      </c>
      <c r="AZ529" s="1" t="s">
        <v>436</v>
      </c>
      <c r="BA529" s="1" t="s">
        <v>543</v>
      </c>
      <c r="BB529" s="1">
        <v>69.9</v>
      </c>
      <c r="BC529" s="1"/>
      <c r="BD529" s="1"/>
      <c r="BE529" s="1"/>
      <c r="BF529" s="1"/>
      <c r="BG529" s="1"/>
      <c r="BH529" s="1"/>
      <c r="BI529" s="1"/>
      <c r="BJ529" s="1" t="s">
        <v>10103</v>
      </c>
      <c r="BK529" s="1"/>
      <c r="BL529" s="1"/>
      <c r="BM529" s="1" t="s">
        <v>10104</v>
      </c>
      <c r="BN529" s="1">
        <v>21</v>
      </c>
      <c r="BO529" s="1"/>
      <c r="BP529" s="1" t="str">
        <f>HYPERLINK("https://nconnect.nicmar.ac.in/storage/profile/ProfilePhoto_P25700530_647152.jpg","Download")</f>
        <v>0</v>
      </c>
      <c r="BQ529" s="3"/>
      <c r="BR529" s="3"/>
    </row>
    <row r="530" spans="1:70">
      <c r="A530" s="1" t="s">
        <v>70</v>
      </c>
      <c r="B530" s="1" t="s">
        <v>441</v>
      </c>
      <c r="C530" s="1" t="s">
        <v>10105</v>
      </c>
      <c r="D530" s="1" t="s">
        <v>10106</v>
      </c>
      <c r="E530" s="1" t="s">
        <v>10107</v>
      </c>
      <c r="F530" s="1" t="s">
        <v>9650</v>
      </c>
      <c r="G530" s="1" t="s">
        <v>10108</v>
      </c>
      <c r="H530" s="1" t="s">
        <v>10109</v>
      </c>
      <c r="I530" s="1" t="s">
        <v>10110</v>
      </c>
      <c r="J530" s="1">
        <v>9890252449</v>
      </c>
      <c r="K530" s="1" t="s">
        <v>148</v>
      </c>
      <c r="L530" s="1" t="s">
        <v>10111</v>
      </c>
      <c r="M530" s="1" t="s">
        <v>81</v>
      </c>
      <c r="N530" s="1" t="s">
        <v>10112</v>
      </c>
      <c r="O530" s="1"/>
      <c r="P530" s="1" t="s">
        <v>450</v>
      </c>
      <c r="Q530" s="1" t="s">
        <v>10113</v>
      </c>
      <c r="R530" s="1" t="s">
        <v>10114</v>
      </c>
      <c r="S530" s="1">
        <v>9890776481</v>
      </c>
      <c r="T530" s="1" t="s">
        <v>820</v>
      </c>
      <c r="U530" s="1" t="s">
        <v>10115</v>
      </c>
      <c r="V530" s="1">
        <v>8329400140</v>
      </c>
      <c r="W530" s="1" t="s">
        <v>531</v>
      </c>
      <c r="X530" s="1" t="s">
        <v>10116</v>
      </c>
      <c r="Y530" s="1" t="s">
        <v>158</v>
      </c>
      <c r="Z530" s="1" t="s">
        <v>92</v>
      </c>
      <c r="AA530" s="1" t="s">
        <v>10116</v>
      </c>
      <c r="AB530" s="1" t="s">
        <v>158</v>
      </c>
      <c r="AC530" s="1" t="s">
        <v>92</v>
      </c>
      <c r="AD530" s="1">
        <v>7.92</v>
      </c>
      <c r="AE530" s="1" t="s">
        <v>93</v>
      </c>
      <c r="AF530" s="1" t="s">
        <v>10117</v>
      </c>
      <c r="AG530" s="1" t="s">
        <v>160</v>
      </c>
      <c r="AH530" s="1" t="s">
        <v>101</v>
      </c>
      <c r="AI530" s="1" t="s">
        <v>409</v>
      </c>
      <c r="AJ530" s="1">
        <v>75.2</v>
      </c>
      <c r="AK530" s="1"/>
      <c r="AL530" s="1" t="s">
        <v>10118</v>
      </c>
      <c r="AM530" s="1" t="s">
        <v>160</v>
      </c>
      <c r="AN530" s="1" t="s">
        <v>310</v>
      </c>
      <c r="AO530" s="1" t="s">
        <v>1169</v>
      </c>
      <c r="AP530" s="1">
        <v>85.5</v>
      </c>
      <c r="AQ530" s="1"/>
      <c r="AR530" s="1"/>
      <c r="AS530" s="1"/>
      <c r="AT530" s="1"/>
      <c r="AU530" s="1"/>
      <c r="AV530" s="1"/>
      <c r="AW530" s="1"/>
      <c r="AX530" s="1" t="s">
        <v>8303</v>
      </c>
      <c r="AY530" s="1" t="s">
        <v>10119</v>
      </c>
      <c r="AZ530" s="1" t="s">
        <v>852</v>
      </c>
      <c r="BA530" s="1" t="s">
        <v>5344</v>
      </c>
      <c r="BB530" s="1">
        <v>68.3</v>
      </c>
      <c r="BC530" s="1">
        <v>7.33</v>
      </c>
      <c r="BD530" s="1"/>
      <c r="BE530" s="1"/>
      <c r="BF530" s="1"/>
      <c r="BG530" s="1"/>
      <c r="BH530" s="1"/>
      <c r="BI530" s="1"/>
      <c r="BJ530" s="1"/>
      <c r="BK530" s="1"/>
      <c r="BL530" s="1"/>
      <c r="BM530" s="1" t="s">
        <v>10120</v>
      </c>
      <c r="BN530" s="1">
        <v>19</v>
      </c>
      <c r="BO530" s="1" t="s">
        <v>10121</v>
      </c>
      <c r="BP530" s="1" t="str">
        <f>HYPERLINK("https://nconnect.nicmar.ac.in/storage/profile/ProfilePhoto_P25700531_843916.jpg","Download")</f>
        <v>0</v>
      </c>
      <c r="BQ530" s="3"/>
      <c r="BR530" s="3"/>
    </row>
    <row r="531" spans="1:70">
      <c r="A531" s="1" t="s">
        <v>70</v>
      </c>
      <c r="B531" s="1" t="s">
        <v>441</v>
      </c>
      <c r="C531" s="1" t="s">
        <v>10122</v>
      </c>
      <c r="D531" s="1" t="s">
        <v>10123</v>
      </c>
      <c r="E531" s="1" t="s">
        <v>10124</v>
      </c>
      <c r="F531" s="1" t="s">
        <v>10125</v>
      </c>
      <c r="G531" s="1" t="s">
        <v>10126</v>
      </c>
      <c r="H531" s="1" t="s">
        <v>10127</v>
      </c>
      <c r="I531" s="1" t="s">
        <v>10128</v>
      </c>
      <c r="J531" s="1">
        <v>8861370552</v>
      </c>
      <c r="K531" s="1" t="s">
        <v>148</v>
      </c>
      <c r="L531" s="1" t="s">
        <v>10129</v>
      </c>
      <c r="M531" s="1" t="s">
        <v>81</v>
      </c>
      <c r="N531" s="1" t="s">
        <v>10130</v>
      </c>
      <c r="O531" s="1"/>
      <c r="P531" s="1" t="s">
        <v>450</v>
      </c>
      <c r="Q531" s="1" t="s">
        <v>10131</v>
      </c>
      <c r="R531" s="1" t="s">
        <v>10132</v>
      </c>
      <c r="S531" s="1">
        <v>9448543807</v>
      </c>
      <c r="T531" s="1" t="s">
        <v>1529</v>
      </c>
      <c r="U531" s="1" t="s">
        <v>10133</v>
      </c>
      <c r="V531" s="1">
        <v>7204840063</v>
      </c>
      <c r="W531" s="1" t="s">
        <v>156</v>
      </c>
      <c r="X531" s="1" t="s">
        <v>10134</v>
      </c>
      <c r="Y531" s="1" t="s">
        <v>3030</v>
      </c>
      <c r="Z531" s="1" t="s">
        <v>1187</v>
      </c>
      <c r="AA531" s="1" t="s">
        <v>10134</v>
      </c>
      <c r="AB531" s="1" t="s">
        <v>3030</v>
      </c>
      <c r="AC531" s="1" t="s">
        <v>1187</v>
      </c>
      <c r="AD531" s="1">
        <v>8.64</v>
      </c>
      <c r="AE531" s="1" t="s">
        <v>93</v>
      </c>
      <c r="AF531" s="1" t="s">
        <v>10135</v>
      </c>
      <c r="AG531" s="1" t="s">
        <v>10136</v>
      </c>
      <c r="AH531" s="1" t="s">
        <v>1577</v>
      </c>
      <c r="AI531" s="1" t="s">
        <v>2003</v>
      </c>
      <c r="AJ531" s="1">
        <v>74.6</v>
      </c>
      <c r="AK531" s="1">
        <v>0</v>
      </c>
      <c r="AL531" s="1" t="s">
        <v>10137</v>
      </c>
      <c r="AM531" s="1" t="s">
        <v>10138</v>
      </c>
      <c r="AN531" s="1" t="s">
        <v>3813</v>
      </c>
      <c r="AO531" s="1" t="s">
        <v>10139</v>
      </c>
      <c r="AP531" s="1">
        <v>86.5</v>
      </c>
      <c r="AQ531" s="1"/>
      <c r="AR531" s="1"/>
      <c r="AS531" s="1"/>
      <c r="AT531" s="1"/>
      <c r="AU531" s="1"/>
      <c r="AV531" s="1"/>
      <c r="AW531" s="1"/>
      <c r="AX531" s="1" t="s">
        <v>10140</v>
      </c>
      <c r="AY531" s="1" t="s">
        <v>10141</v>
      </c>
      <c r="AZ531" s="1" t="s">
        <v>10142</v>
      </c>
      <c r="BA531" s="1" t="s">
        <v>128</v>
      </c>
      <c r="BB531" s="1">
        <v>75</v>
      </c>
      <c r="BC531" s="1">
        <v>8.25</v>
      </c>
      <c r="BD531" s="1" t="s">
        <v>10140</v>
      </c>
      <c r="BE531" s="1" t="s">
        <v>1561</v>
      </c>
      <c r="BF531" s="1" t="s">
        <v>10143</v>
      </c>
      <c r="BG531" s="1" t="s">
        <v>10144</v>
      </c>
      <c r="BH531" s="1">
        <v>69.79</v>
      </c>
      <c r="BI531" s="1"/>
      <c r="BJ531" s="1" t="s">
        <v>10145</v>
      </c>
      <c r="BK531" s="1" t="s">
        <v>10146</v>
      </c>
      <c r="BL531" s="1" t="s">
        <v>10147</v>
      </c>
      <c r="BM531" s="1" t="s">
        <v>10148</v>
      </c>
      <c r="BN531" s="1">
        <v>8</v>
      </c>
      <c r="BO531" s="1" t="s">
        <v>10149</v>
      </c>
      <c r="BP531" s="1" t="str">
        <f>HYPERLINK("https://nconnect.nicmar.ac.in/storage/profile/ProfilePhoto_P25700532_741398.jpg","Download")</f>
        <v>0</v>
      </c>
      <c r="BQ531" s="3"/>
      <c r="BR531" s="3"/>
    </row>
    <row r="532" spans="1:70">
      <c r="A532" s="1" t="s">
        <v>70</v>
      </c>
      <c r="B532" s="1" t="s">
        <v>441</v>
      </c>
      <c r="C532" s="1" t="s">
        <v>10150</v>
      </c>
      <c r="D532" s="1" t="s">
        <v>10151</v>
      </c>
      <c r="E532" s="1" t="s">
        <v>1937</v>
      </c>
      <c r="F532" s="1" t="s">
        <v>10152</v>
      </c>
      <c r="G532" s="1" t="s">
        <v>10153</v>
      </c>
      <c r="H532" s="1" t="s">
        <v>10154</v>
      </c>
      <c r="I532" s="1" t="s">
        <v>10155</v>
      </c>
      <c r="J532" s="1">
        <v>9145752292</v>
      </c>
      <c r="K532" s="1" t="s">
        <v>148</v>
      </c>
      <c r="L532" s="1" t="s">
        <v>5602</v>
      </c>
      <c r="M532" s="1" t="s">
        <v>81</v>
      </c>
      <c r="N532" s="1" t="s">
        <v>1140</v>
      </c>
      <c r="O532" s="1"/>
      <c r="P532" s="1" t="s">
        <v>450</v>
      </c>
      <c r="Q532" s="1" t="s">
        <v>10156</v>
      </c>
      <c r="R532" s="1" t="s">
        <v>10157</v>
      </c>
      <c r="S532" s="1">
        <v>9270415260</v>
      </c>
      <c r="T532" s="1" t="s">
        <v>154</v>
      </c>
      <c r="U532" s="1" t="s">
        <v>10158</v>
      </c>
      <c r="V532" s="1">
        <v>9270415260</v>
      </c>
      <c r="W532" s="1" t="s">
        <v>273</v>
      </c>
      <c r="X532" s="1" t="s">
        <v>10159</v>
      </c>
      <c r="Y532" s="1" t="s">
        <v>405</v>
      </c>
      <c r="Z532" s="1" t="s">
        <v>92</v>
      </c>
      <c r="AA532" s="1" t="s">
        <v>10159</v>
      </c>
      <c r="AB532" s="1" t="s">
        <v>405</v>
      </c>
      <c r="AC532" s="1" t="s">
        <v>92</v>
      </c>
      <c r="AD532" s="1">
        <v>7.41</v>
      </c>
      <c r="AE532" s="1" t="s">
        <v>93</v>
      </c>
      <c r="AF532" s="1" t="s">
        <v>10160</v>
      </c>
      <c r="AG532" s="1" t="s">
        <v>10161</v>
      </c>
      <c r="AH532" s="1" t="s">
        <v>161</v>
      </c>
      <c r="AI532" s="1" t="s">
        <v>614</v>
      </c>
      <c r="AJ532" s="1">
        <v>73.2</v>
      </c>
      <c r="AK532" s="1"/>
      <c r="AL532" s="1"/>
      <c r="AM532" s="1"/>
      <c r="AN532" s="1"/>
      <c r="AO532" s="1"/>
      <c r="AP532" s="1"/>
      <c r="AQ532" s="1"/>
      <c r="AR532" s="1" t="s">
        <v>434</v>
      </c>
      <c r="AS532" s="1" t="s">
        <v>10162</v>
      </c>
      <c r="AT532" s="1" t="s">
        <v>225</v>
      </c>
      <c r="AU532" s="1" t="s">
        <v>412</v>
      </c>
      <c r="AV532" s="1">
        <v>70.13</v>
      </c>
      <c r="AW532" s="1"/>
      <c r="AX532" s="1" t="s">
        <v>976</v>
      </c>
      <c r="AY532" s="1" t="s">
        <v>10163</v>
      </c>
      <c r="AZ532" s="1" t="s">
        <v>1019</v>
      </c>
      <c r="BA532" s="1" t="s">
        <v>935</v>
      </c>
      <c r="BB532" s="1">
        <v>72.21</v>
      </c>
      <c r="BC532" s="1">
        <v>7.13</v>
      </c>
      <c r="BD532" s="1"/>
      <c r="BE532" s="1"/>
      <c r="BF532" s="1"/>
      <c r="BG532" s="1"/>
      <c r="BH532" s="1"/>
      <c r="BI532" s="1"/>
      <c r="BJ532" s="1" t="s">
        <v>10164</v>
      </c>
      <c r="BK532" s="1"/>
      <c r="BL532" s="1"/>
      <c r="BM532" s="1" t="s">
        <v>10165</v>
      </c>
      <c r="BN532" s="1">
        <v>69</v>
      </c>
      <c r="BO532" s="1" t="s">
        <v>10166</v>
      </c>
      <c r="BP532" s="1" t="str">
        <f>HYPERLINK("https://nconnect.nicmar.ac.in/storage/profile/ProfilePhoto_P25700533_726583.jpg","Download")</f>
        <v>0</v>
      </c>
      <c r="BQ532" s="3"/>
      <c r="BR532" s="3"/>
    </row>
    <row r="533" spans="1:70">
      <c r="A533" s="1" t="s">
        <v>70</v>
      </c>
      <c r="B533" s="1" t="s">
        <v>441</v>
      </c>
      <c r="C533" s="1" t="s">
        <v>10167</v>
      </c>
      <c r="D533" s="1" t="s">
        <v>10168</v>
      </c>
      <c r="E533" s="1" t="s">
        <v>10169</v>
      </c>
      <c r="F533" s="1" t="s">
        <v>10170</v>
      </c>
      <c r="G533" s="1" t="s">
        <v>10171</v>
      </c>
      <c r="H533" s="1" t="s">
        <v>10172</v>
      </c>
      <c r="I533" s="1" t="s">
        <v>10173</v>
      </c>
      <c r="J533" s="1">
        <v>8007720746</v>
      </c>
      <c r="K533" s="1" t="s">
        <v>148</v>
      </c>
      <c r="L533" s="1" t="s">
        <v>3726</v>
      </c>
      <c r="M533" s="1" t="s">
        <v>81</v>
      </c>
      <c r="N533" s="1" t="s">
        <v>605</v>
      </c>
      <c r="O533" s="1"/>
      <c r="P533" s="1" t="s">
        <v>1007</v>
      </c>
      <c r="Q533" s="1" t="s">
        <v>10174</v>
      </c>
      <c r="R533" s="1" t="s">
        <v>10175</v>
      </c>
      <c r="S533" s="1">
        <v>9923400172</v>
      </c>
      <c r="T533" s="1" t="s">
        <v>10176</v>
      </c>
      <c r="U533" s="1" t="s">
        <v>10177</v>
      </c>
      <c r="V533" s="1">
        <v>7020796760</v>
      </c>
      <c r="W533" s="1" t="s">
        <v>273</v>
      </c>
      <c r="X533" s="1" t="s">
        <v>10178</v>
      </c>
      <c r="Y533" s="1" t="s">
        <v>611</v>
      </c>
      <c r="Z533" s="1" t="s">
        <v>92</v>
      </c>
      <c r="AA533" s="1" t="s">
        <v>10178</v>
      </c>
      <c r="AB533" s="1" t="s">
        <v>611</v>
      </c>
      <c r="AC533" s="1" t="s">
        <v>92</v>
      </c>
      <c r="AD533" s="1">
        <v>8.49</v>
      </c>
      <c r="AE533" s="1" t="s">
        <v>93</v>
      </c>
      <c r="AF533" s="1" t="s">
        <v>1512</v>
      </c>
      <c r="AG533" s="1" t="s">
        <v>10179</v>
      </c>
      <c r="AH533" s="1" t="s">
        <v>101</v>
      </c>
      <c r="AI533" s="1" t="s">
        <v>308</v>
      </c>
      <c r="AJ533" s="1">
        <v>88.2</v>
      </c>
      <c r="AK533" s="1"/>
      <c r="AL533" s="1" t="s">
        <v>1512</v>
      </c>
      <c r="AM533" s="1" t="s">
        <v>307</v>
      </c>
      <c r="AN533" s="1" t="s">
        <v>433</v>
      </c>
      <c r="AO533" s="1" t="s">
        <v>826</v>
      </c>
      <c r="AP533" s="1">
        <v>85</v>
      </c>
      <c r="AQ533" s="1"/>
      <c r="AR533" s="1"/>
      <c r="AS533" s="1"/>
      <c r="AT533" s="1"/>
      <c r="AU533" s="1"/>
      <c r="AV533" s="1"/>
      <c r="AW533" s="1"/>
      <c r="AX533" s="1" t="s">
        <v>10180</v>
      </c>
      <c r="AY533" s="1" t="s">
        <v>10181</v>
      </c>
      <c r="AZ533" s="1" t="s">
        <v>539</v>
      </c>
      <c r="BA533" s="1" t="s">
        <v>543</v>
      </c>
      <c r="BB533" s="1">
        <v>69.78</v>
      </c>
      <c r="BC533" s="1">
        <v>7.3</v>
      </c>
      <c r="BD533" s="1"/>
      <c r="BE533" s="1"/>
      <c r="BF533" s="1"/>
      <c r="BG533" s="1"/>
      <c r="BH533" s="1"/>
      <c r="BI533" s="1"/>
      <c r="BJ533" s="1" t="s">
        <v>255</v>
      </c>
      <c r="BK533" s="1"/>
      <c r="BL533" s="1"/>
      <c r="BM533" s="1" t="s">
        <v>10182</v>
      </c>
      <c r="BN533" s="1">
        <v>12</v>
      </c>
      <c r="BO533" s="1" t="s">
        <v>10183</v>
      </c>
      <c r="BP533" s="1" t="str">
        <f>HYPERLINK("https://nconnect.nicmar.ac.in/storage/profile/ProfilePhoto_P25700534_342198.jpg","Download")</f>
        <v>0</v>
      </c>
      <c r="BQ533" s="3"/>
      <c r="BR533" s="3"/>
    </row>
    <row r="534" spans="1:70">
      <c r="A534" s="1" t="s">
        <v>70</v>
      </c>
      <c r="B534" s="1" t="s">
        <v>441</v>
      </c>
      <c r="C534" s="1" t="s">
        <v>10184</v>
      </c>
      <c r="D534" s="1" t="s">
        <v>10185</v>
      </c>
      <c r="E534" s="1" t="s">
        <v>490</v>
      </c>
      <c r="F534" s="1" t="s">
        <v>5176</v>
      </c>
      <c r="G534" s="1" t="s">
        <v>10186</v>
      </c>
      <c r="H534" s="1" t="s">
        <v>10187</v>
      </c>
      <c r="I534" s="1" t="s">
        <v>10188</v>
      </c>
      <c r="J534" s="1">
        <v>7738609236</v>
      </c>
      <c r="K534" s="1" t="s">
        <v>148</v>
      </c>
      <c r="L534" s="1" t="s">
        <v>10189</v>
      </c>
      <c r="M534" s="1" t="s">
        <v>81</v>
      </c>
      <c r="N534" s="1" t="s">
        <v>10190</v>
      </c>
      <c r="O534" s="1"/>
      <c r="P534" s="1" t="s">
        <v>450</v>
      </c>
      <c r="Q534" s="1" t="s">
        <v>10191</v>
      </c>
      <c r="R534" s="1" t="s">
        <v>10192</v>
      </c>
      <c r="S534" s="1">
        <v>9869929529</v>
      </c>
      <c r="T534" s="1" t="s">
        <v>632</v>
      </c>
      <c r="U534" s="1" t="s">
        <v>10193</v>
      </c>
      <c r="V534" s="1">
        <v>9969553067</v>
      </c>
      <c r="W534" s="1" t="s">
        <v>89</v>
      </c>
      <c r="X534" s="1" t="s">
        <v>10194</v>
      </c>
      <c r="Y534" s="1" t="s">
        <v>991</v>
      </c>
      <c r="Z534" s="1" t="s">
        <v>92</v>
      </c>
      <c r="AA534" s="1" t="s">
        <v>10194</v>
      </c>
      <c r="AB534" s="1" t="s">
        <v>991</v>
      </c>
      <c r="AC534" s="1" t="s">
        <v>92</v>
      </c>
      <c r="AD534" s="1" t="s">
        <v>93</v>
      </c>
      <c r="AE534" s="1" t="s">
        <v>93</v>
      </c>
      <c r="AF534" s="1" t="s">
        <v>10195</v>
      </c>
      <c r="AG534" s="1" t="s">
        <v>616</v>
      </c>
      <c r="AH534" s="1" t="s">
        <v>101</v>
      </c>
      <c r="AI534" s="1" t="s">
        <v>409</v>
      </c>
      <c r="AJ534" s="1">
        <v>71.6</v>
      </c>
      <c r="AK534" s="1">
        <v>0</v>
      </c>
      <c r="AL534" s="1"/>
      <c r="AM534" s="1"/>
      <c r="AN534" s="1"/>
      <c r="AO534" s="1"/>
      <c r="AP534" s="1"/>
      <c r="AQ534" s="1"/>
      <c r="AR534" s="1" t="s">
        <v>434</v>
      </c>
      <c r="AS534" s="1" t="s">
        <v>10196</v>
      </c>
      <c r="AT534" s="1" t="s">
        <v>310</v>
      </c>
      <c r="AU534" s="1" t="s">
        <v>1378</v>
      </c>
      <c r="AV534" s="1">
        <v>80.21</v>
      </c>
      <c r="AW534" s="1">
        <v>0</v>
      </c>
      <c r="AX534" s="1" t="s">
        <v>666</v>
      </c>
      <c r="AY534" s="1" t="s">
        <v>10197</v>
      </c>
      <c r="AZ534" s="1" t="s">
        <v>1777</v>
      </c>
      <c r="BA534" s="1" t="s">
        <v>543</v>
      </c>
      <c r="BB534" s="1">
        <v>66.87</v>
      </c>
      <c r="BC534" s="1">
        <v>8.05</v>
      </c>
      <c r="BD534" s="1"/>
      <c r="BE534" s="1"/>
      <c r="BF534" s="1"/>
      <c r="BG534" s="1"/>
      <c r="BH534" s="1"/>
      <c r="BI534" s="1"/>
      <c r="BJ534" s="1" t="s">
        <v>10198</v>
      </c>
      <c r="BK534" s="1"/>
      <c r="BL534" s="1"/>
      <c r="BM534" s="1" t="s">
        <v>10199</v>
      </c>
      <c r="BN534" s="1">
        <v>12</v>
      </c>
      <c r="BO534" s="1"/>
      <c r="BP534" s="1" t="str">
        <f>HYPERLINK("https://nconnect.nicmar.ac.in/storage/profile/ProfilePhoto_P25700535_218456.jpg","Download")</f>
        <v>0</v>
      </c>
      <c r="BQ534" s="3"/>
      <c r="BR534" s="3"/>
    </row>
    <row r="535" spans="1:70">
      <c r="A535" s="1" t="s">
        <v>70</v>
      </c>
      <c r="B535" s="1" t="s">
        <v>441</v>
      </c>
      <c r="C535" s="1" t="s">
        <v>10200</v>
      </c>
      <c r="D535" s="1" t="s">
        <v>10201</v>
      </c>
      <c r="E535" s="1"/>
      <c r="F535" s="1" t="s">
        <v>10202</v>
      </c>
      <c r="G535" s="1" t="s">
        <v>10203</v>
      </c>
      <c r="H535" s="1" t="s">
        <v>10204</v>
      </c>
      <c r="I535" s="1" t="s">
        <v>10205</v>
      </c>
      <c r="J535" s="1">
        <v>9560890504</v>
      </c>
      <c r="K535" s="1" t="s">
        <v>148</v>
      </c>
      <c r="L535" s="1" t="s">
        <v>10206</v>
      </c>
      <c r="M535" s="1" t="s">
        <v>81</v>
      </c>
      <c r="N535" s="1" t="s">
        <v>241</v>
      </c>
      <c r="O535" s="1" t="s">
        <v>10207</v>
      </c>
      <c r="P535" s="1" t="s">
        <v>117</v>
      </c>
      <c r="Q535" s="1" t="s">
        <v>10208</v>
      </c>
      <c r="R535" s="1" t="s">
        <v>10209</v>
      </c>
      <c r="S535" s="1">
        <v>9955933782</v>
      </c>
      <c r="T535" s="1" t="s">
        <v>10210</v>
      </c>
      <c r="U535" s="1" t="s">
        <v>10211</v>
      </c>
      <c r="V535" s="1">
        <v>9113156060</v>
      </c>
      <c r="W535" s="1" t="s">
        <v>10212</v>
      </c>
      <c r="X535" s="1" t="s">
        <v>10213</v>
      </c>
      <c r="Y535" s="1" t="s">
        <v>1085</v>
      </c>
      <c r="Z535" s="1" t="s">
        <v>534</v>
      </c>
      <c r="AA535" s="1" t="s">
        <v>10213</v>
      </c>
      <c r="AB535" s="1" t="s">
        <v>1085</v>
      </c>
      <c r="AC535" s="1" t="s">
        <v>534</v>
      </c>
      <c r="AD535" s="1">
        <v>9.13</v>
      </c>
      <c r="AE535" s="1" t="s">
        <v>93</v>
      </c>
      <c r="AF535" s="1" t="s">
        <v>10214</v>
      </c>
      <c r="AG535" s="1" t="s">
        <v>2128</v>
      </c>
      <c r="AH535" s="1" t="s">
        <v>3940</v>
      </c>
      <c r="AI535" s="1" t="s">
        <v>3981</v>
      </c>
      <c r="AJ535" s="1">
        <v>95</v>
      </c>
      <c r="AK535" s="1">
        <v>10</v>
      </c>
      <c r="AL535" s="1" t="s">
        <v>10214</v>
      </c>
      <c r="AM535" s="1" t="s">
        <v>2128</v>
      </c>
      <c r="AN535" s="1" t="s">
        <v>1559</v>
      </c>
      <c r="AO535" s="1" t="s">
        <v>505</v>
      </c>
      <c r="AP535" s="1">
        <v>91</v>
      </c>
      <c r="AQ535" s="1"/>
      <c r="AR535" s="1"/>
      <c r="AS535" s="1"/>
      <c r="AT535" s="1"/>
      <c r="AU535" s="1"/>
      <c r="AV535" s="1"/>
      <c r="AW535" s="1"/>
      <c r="AX535" s="1" t="s">
        <v>10215</v>
      </c>
      <c r="AY535" s="1" t="s">
        <v>10216</v>
      </c>
      <c r="AZ535" s="1" t="s">
        <v>100</v>
      </c>
      <c r="BA535" s="1" t="s">
        <v>173</v>
      </c>
      <c r="BB535" s="1">
        <v>80.42</v>
      </c>
      <c r="BC535" s="1"/>
      <c r="BD535" s="1"/>
      <c r="BE535" s="1"/>
      <c r="BF535" s="1"/>
      <c r="BG535" s="1"/>
      <c r="BH535" s="1"/>
      <c r="BI535" s="1"/>
      <c r="BJ535" s="1" t="s">
        <v>10217</v>
      </c>
      <c r="BK535" s="1"/>
      <c r="BL535" s="1"/>
      <c r="BM535" s="1" t="s">
        <v>10218</v>
      </c>
      <c r="BN535" s="1">
        <v>32</v>
      </c>
      <c r="BO535" s="1" t="s">
        <v>10219</v>
      </c>
      <c r="BP535" s="1" t="str">
        <f>HYPERLINK("https://nconnect.nicmar.ac.in/storage/profile/ProfilePhoto_P25700536_349728.jpg","Download")</f>
        <v>0</v>
      </c>
      <c r="BQ535" s="3"/>
      <c r="BR535" s="3"/>
    </row>
    <row r="536" spans="1:70">
      <c r="A536" s="1" t="s">
        <v>70</v>
      </c>
      <c r="B536" s="1" t="s">
        <v>441</v>
      </c>
      <c r="C536" s="1" t="s">
        <v>10220</v>
      </c>
      <c r="D536" s="1" t="s">
        <v>10221</v>
      </c>
      <c r="E536" s="1"/>
      <c r="F536" s="1" t="s">
        <v>765</v>
      </c>
      <c r="G536" s="1" t="s">
        <v>10222</v>
      </c>
      <c r="H536" s="1" t="s">
        <v>10223</v>
      </c>
      <c r="I536" s="1" t="s">
        <v>10224</v>
      </c>
      <c r="J536" s="1">
        <v>9072871323</v>
      </c>
      <c r="K536" s="1" t="s">
        <v>148</v>
      </c>
      <c r="L536" s="1" t="s">
        <v>903</v>
      </c>
      <c r="M536" s="1" t="s">
        <v>81</v>
      </c>
      <c r="N536" s="1" t="s">
        <v>9462</v>
      </c>
      <c r="O536" s="1"/>
      <c r="P536" s="1" t="s">
        <v>497</v>
      </c>
      <c r="Q536" s="1" t="s">
        <v>10225</v>
      </c>
      <c r="R536" s="1" t="s">
        <v>10226</v>
      </c>
      <c r="S536" s="1">
        <v>9446771323</v>
      </c>
      <c r="T536" s="1" t="s">
        <v>10227</v>
      </c>
      <c r="U536" s="1" t="s">
        <v>10228</v>
      </c>
      <c r="V536" s="1">
        <v>9495082521</v>
      </c>
      <c r="W536" s="1" t="s">
        <v>10229</v>
      </c>
      <c r="X536" s="1" t="s">
        <v>10230</v>
      </c>
      <c r="Y536" s="1" t="s">
        <v>7667</v>
      </c>
      <c r="Z536" s="1" t="s">
        <v>125</v>
      </c>
      <c r="AA536" s="1" t="s">
        <v>10230</v>
      </c>
      <c r="AB536" s="1" t="s">
        <v>7667</v>
      </c>
      <c r="AC536" s="1" t="s">
        <v>125</v>
      </c>
      <c r="AD536" s="1">
        <v>8.82</v>
      </c>
      <c r="AE536" s="1" t="s">
        <v>93</v>
      </c>
      <c r="AF536" s="1" t="s">
        <v>10231</v>
      </c>
      <c r="AG536" s="1" t="s">
        <v>6469</v>
      </c>
      <c r="AH536" s="1" t="s">
        <v>165</v>
      </c>
      <c r="AI536" s="1" t="s">
        <v>166</v>
      </c>
      <c r="AJ536" s="1">
        <v>88.4</v>
      </c>
      <c r="AK536" s="1"/>
      <c r="AL536" s="1" t="s">
        <v>10231</v>
      </c>
      <c r="AM536" s="1" t="s">
        <v>5573</v>
      </c>
      <c r="AN536" s="1" t="s">
        <v>433</v>
      </c>
      <c r="AO536" s="1" t="s">
        <v>173</v>
      </c>
      <c r="AP536" s="1">
        <v>81.25</v>
      </c>
      <c r="AQ536" s="1"/>
      <c r="AR536" s="1"/>
      <c r="AS536" s="1"/>
      <c r="AT536" s="1"/>
      <c r="AU536" s="1"/>
      <c r="AV536" s="1"/>
      <c r="AW536" s="1"/>
      <c r="AX536" s="1" t="s">
        <v>132</v>
      </c>
      <c r="AY536" s="1" t="s">
        <v>10232</v>
      </c>
      <c r="AZ536" s="1" t="s">
        <v>170</v>
      </c>
      <c r="BA536" s="1" t="s">
        <v>1246</v>
      </c>
      <c r="BB536" s="1">
        <v>70.6</v>
      </c>
      <c r="BC536" s="1">
        <v>7.06</v>
      </c>
      <c r="BD536" s="1"/>
      <c r="BE536" s="1"/>
      <c r="BF536" s="1"/>
      <c r="BG536" s="1"/>
      <c r="BH536" s="1"/>
      <c r="BI536" s="1"/>
      <c r="BJ536" s="1" t="s">
        <v>567</v>
      </c>
      <c r="BK536" s="1"/>
      <c r="BL536" s="1"/>
      <c r="BM536" s="1" t="s">
        <v>10233</v>
      </c>
      <c r="BN536" s="1">
        <v>8</v>
      </c>
      <c r="BO536" s="1" t="s">
        <v>10234</v>
      </c>
      <c r="BP536" s="1" t="str">
        <f>HYPERLINK("https://nconnect.nicmar.ac.in/storage/profile/ProfilePhoto_P25700537_596821.jpg","Download")</f>
        <v>0</v>
      </c>
      <c r="BQ536" s="3"/>
      <c r="BR536" s="3"/>
    </row>
    <row r="537" spans="1:70">
      <c r="A537" s="1" t="s">
        <v>70</v>
      </c>
      <c r="B537" s="1" t="s">
        <v>441</v>
      </c>
      <c r="C537" s="1" t="s">
        <v>10235</v>
      </c>
      <c r="D537" s="1" t="s">
        <v>10236</v>
      </c>
      <c r="E537" s="1"/>
      <c r="F537" s="1" t="s">
        <v>765</v>
      </c>
      <c r="G537" s="1" t="s">
        <v>10237</v>
      </c>
      <c r="H537" s="1" t="s">
        <v>10238</v>
      </c>
      <c r="I537" s="1" t="s">
        <v>10239</v>
      </c>
      <c r="J537" s="1">
        <v>8301069860</v>
      </c>
      <c r="K537" s="1" t="s">
        <v>148</v>
      </c>
      <c r="L537" s="1" t="s">
        <v>10240</v>
      </c>
      <c r="M537" s="1" t="s">
        <v>81</v>
      </c>
      <c r="N537" s="1" t="s">
        <v>4915</v>
      </c>
      <c r="O537" s="1"/>
      <c r="P537" s="1" t="s">
        <v>450</v>
      </c>
      <c r="Q537" s="1" t="s">
        <v>10241</v>
      </c>
      <c r="R537" s="1" t="s">
        <v>10242</v>
      </c>
      <c r="S537" s="1">
        <v>9496149860</v>
      </c>
      <c r="T537" s="1" t="s">
        <v>10243</v>
      </c>
      <c r="U537" s="1" t="s">
        <v>10244</v>
      </c>
      <c r="V537" s="1">
        <v>9544329170</v>
      </c>
      <c r="W537" s="1" t="s">
        <v>156</v>
      </c>
      <c r="X537" s="1" t="s">
        <v>10245</v>
      </c>
      <c r="Y537" s="1" t="s">
        <v>5317</v>
      </c>
      <c r="Z537" s="1" t="s">
        <v>125</v>
      </c>
      <c r="AA537" s="1" t="s">
        <v>10245</v>
      </c>
      <c r="AB537" s="1" t="s">
        <v>5317</v>
      </c>
      <c r="AC537" s="1" t="s">
        <v>125</v>
      </c>
      <c r="AD537" s="1">
        <v>8.7</v>
      </c>
      <c r="AE537" s="1" t="s">
        <v>93</v>
      </c>
      <c r="AF537" s="1" t="s">
        <v>10246</v>
      </c>
      <c r="AG537" s="1" t="s">
        <v>307</v>
      </c>
      <c r="AH537" s="1" t="s">
        <v>162</v>
      </c>
      <c r="AI537" s="1" t="s">
        <v>195</v>
      </c>
      <c r="AJ537" s="1">
        <v>95</v>
      </c>
      <c r="AK537" s="1">
        <v>10</v>
      </c>
      <c r="AL537" s="1" t="s">
        <v>10247</v>
      </c>
      <c r="AM537" s="1" t="s">
        <v>10248</v>
      </c>
      <c r="AN537" s="1" t="s">
        <v>101</v>
      </c>
      <c r="AO537" s="1" t="s">
        <v>409</v>
      </c>
      <c r="AP537" s="1">
        <v>90.41</v>
      </c>
      <c r="AQ537" s="1"/>
      <c r="AR537" s="1"/>
      <c r="AS537" s="1"/>
      <c r="AT537" s="1"/>
      <c r="AU537" s="1"/>
      <c r="AV537" s="1"/>
      <c r="AW537" s="1"/>
      <c r="AX537" s="1" t="s">
        <v>132</v>
      </c>
      <c r="AY537" s="1" t="s">
        <v>5975</v>
      </c>
      <c r="AZ537" s="1" t="s">
        <v>1019</v>
      </c>
      <c r="BA537" s="1" t="s">
        <v>202</v>
      </c>
      <c r="BB537" s="1">
        <v>77.2</v>
      </c>
      <c r="BC537" s="1">
        <v>7.72</v>
      </c>
      <c r="BD537" s="1"/>
      <c r="BE537" s="1"/>
      <c r="BF537" s="1"/>
      <c r="BG537" s="1"/>
      <c r="BH537" s="1"/>
      <c r="BI537" s="1"/>
      <c r="BJ537" s="1" t="s">
        <v>10249</v>
      </c>
      <c r="BK537" s="1"/>
      <c r="BL537" s="1"/>
      <c r="BM537" s="1" t="s">
        <v>10250</v>
      </c>
      <c r="BN537" s="1">
        <v>34</v>
      </c>
      <c r="BO537" s="1" t="s">
        <v>10251</v>
      </c>
      <c r="BP537" s="1" t="str">
        <f>HYPERLINK("https://nconnect.nicmar.ac.in/storage/profile/ProfilePhoto_P25700538_648517.jpg","Download")</f>
        <v>0</v>
      </c>
      <c r="BQ537" s="3"/>
      <c r="BR537" s="3"/>
    </row>
    <row r="538" spans="1:70">
      <c r="A538" s="1" t="s">
        <v>70</v>
      </c>
      <c r="B538" s="1" t="s">
        <v>441</v>
      </c>
      <c r="C538" s="1" t="s">
        <v>10252</v>
      </c>
      <c r="D538" s="1" t="s">
        <v>10253</v>
      </c>
      <c r="E538" s="1"/>
      <c r="F538" s="1" t="s">
        <v>10254</v>
      </c>
      <c r="G538" s="1" t="s">
        <v>10255</v>
      </c>
      <c r="H538" s="1" t="s">
        <v>10256</v>
      </c>
      <c r="I538" s="1" t="s">
        <v>10257</v>
      </c>
      <c r="J538" s="1">
        <v>7987506803</v>
      </c>
      <c r="K538" s="1" t="s">
        <v>148</v>
      </c>
      <c r="L538" s="1" t="s">
        <v>10258</v>
      </c>
      <c r="M538" s="1" t="s">
        <v>81</v>
      </c>
      <c r="N538" s="1" t="s">
        <v>10259</v>
      </c>
      <c r="O538" s="1"/>
      <c r="P538" s="1" t="s">
        <v>497</v>
      </c>
      <c r="Q538" s="1" t="s">
        <v>10260</v>
      </c>
      <c r="R538" s="1" t="s">
        <v>10261</v>
      </c>
      <c r="S538" s="1">
        <v>9826698890</v>
      </c>
      <c r="T538" s="1" t="s">
        <v>906</v>
      </c>
      <c r="U538" s="1" t="s">
        <v>10262</v>
      </c>
      <c r="V538" s="1">
        <v>8435027464</v>
      </c>
      <c r="W538" s="1" t="s">
        <v>89</v>
      </c>
      <c r="X538" s="1" t="s">
        <v>10263</v>
      </c>
      <c r="Y538" s="1" t="s">
        <v>191</v>
      </c>
      <c r="Z538" s="1" t="s">
        <v>92</v>
      </c>
      <c r="AA538" s="1" t="s">
        <v>10264</v>
      </c>
      <c r="AB538" s="1" t="s">
        <v>10265</v>
      </c>
      <c r="AC538" s="1" t="s">
        <v>3437</v>
      </c>
      <c r="AD538" s="1">
        <v>8.57</v>
      </c>
      <c r="AE538" s="1" t="s">
        <v>93</v>
      </c>
      <c r="AF538" s="1" t="s">
        <v>10266</v>
      </c>
      <c r="AG538" s="1" t="s">
        <v>758</v>
      </c>
      <c r="AH538" s="1" t="s">
        <v>3439</v>
      </c>
      <c r="AI538" s="1" t="s">
        <v>1239</v>
      </c>
      <c r="AJ538" s="1">
        <v>81.7</v>
      </c>
      <c r="AK538" s="1">
        <v>8.6</v>
      </c>
      <c r="AL538" s="1" t="s">
        <v>10266</v>
      </c>
      <c r="AM538" s="1" t="s">
        <v>758</v>
      </c>
      <c r="AN538" s="1" t="s">
        <v>1088</v>
      </c>
      <c r="AO538" s="1" t="s">
        <v>614</v>
      </c>
      <c r="AP538" s="1">
        <v>64.8</v>
      </c>
      <c r="AQ538" s="1">
        <v>0</v>
      </c>
      <c r="AR538" s="1"/>
      <c r="AS538" s="1"/>
      <c r="AT538" s="1"/>
      <c r="AU538" s="1"/>
      <c r="AV538" s="1"/>
      <c r="AW538" s="1"/>
      <c r="AX538" s="1" t="s">
        <v>361</v>
      </c>
      <c r="AY538" s="1" t="s">
        <v>10267</v>
      </c>
      <c r="AZ538" s="1" t="s">
        <v>225</v>
      </c>
      <c r="BA538" s="1" t="s">
        <v>1378</v>
      </c>
      <c r="BB538" s="1">
        <v>70.5</v>
      </c>
      <c r="BC538" s="1">
        <v>7.8</v>
      </c>
      <c r="BD538" s="1"/>
      <c r="BE538" s="1"/>
      <c r="BF538" s="1"/>
      <c r="BG538" s="1"/>
      <c r="BH538" s="1"/>
      <c r="BI538" s="1"/>
      <c r="BJ538" s="1" t="s">
        <v>10268</v>
      </c>
      <c r="BK538" s="1" t="s">
        <v>10269</v>
      </c>
      <c r="BL538" s="1" t="s">
        <v>1129</v>
      </c>
      <c r="BM538" s="1" t="s">
        <v>10270</v>
      </c>
      <c r="BN538" s="1">
        <v>29</v>
      </c>
      <c r="BO538" s="1" t="s">
        <v>10271</v>
      </c>
      <c r="BP538" s="1" t="str">
        <f>HYPERLINK("https://nconnect.nicmar.ac.in/storage/profile/ProfilePhoto_P25700539_189627.jpg","Download")</f>
        <v>0</v>
      </c>
      <c r="BQ538" s="3"/>
      <c r="BR538" s="3"/>
    </row>
    <row r="539" spans="1:70">
      <c r="A539" s="1" t="s">
        <v>70</v>
      </c>
      <c r="B539" s="1" t="s">
        <v>441</v>
      </c>
      <c r="C539" s="1" t="s">
        <v>10272</v>
      </c>
      <c r="D539" s="1" t="s">
        <v>10273</v>
      </c>
      <c r="E539" s="1" t="s">
        <v>10274</v>
      </c>
      <c r="F539" s="1" t="s">
        <v>10275</v>
      </c>
      <c r="G539" s="1" t="s">
        <v>10276</v>
      </c>
      <c r="H539" s="1" t="s">
        <v>10277</v>
      </c>
      <c r="I539" s="1" t="s">
        <v>10278</v>
      </c>
      <c r="J539" s="1">
        <v>7248976751</v>
      </c>
      <c r="K539" s="1" t="s">
        <v>79</v>
      </c>
      <c r="L539" s="1" t="s">
        <v>9957</v>
      </c>
      <c r="M539" s="1" t="s">
        <v>81</v>
      </c>
      <c r="N539" s="1" t="s">
        <v>3587</v>
      </c>
      <c r="O539" s="1"/>
      <c r="P539" s="1" t="s">
        <v>497</v>
      </c>
      <c r="Q539" s="1" t="s">
        <v>10279</v>
      </c>
      <c r="R539" s="1" t="s">
        <v>10280</v>
      </c>
      <c r="S539" s="1">
        <v>9850209913</v>
      </c>
      <c r="T539" s="1" t="s">
        <v>120</v>
      </c>
      <c r="U539" s="1" t="s">
        <v>10281</v>
      </c>
      <c r="V539" s="1">
        <v>9970937262</v>
      </c>
      <c r="W539" s="1" t="s">
        <v>120</v>
      </c>
      <c r="X539" s="1" t="s">
        <v>10282</v>
      </c>
      <c r="Y539" s="1" t="s">
        <v>191</v>
      </c>
      <c r="Z539" s="1" t="s">
        <v>92</v>
      </c>
      <c r="AA539" s="1" t="s">
        <v>10283</v>
      </c>
      <c r="AB539" s="1" t="s">
        <v>405</v>
      </c>
      <c r="AC539" s="1" t="s">
        <v>92</v>
      </c>
      <c r="AD539" s="1">
        <v>8.75</v>
      </c>
      <c r="AE539" s="1" t="s">
        <v>93</v>
      </c>
      <c r="AF539" s="1" t="s">
        <v>10284</v>
      </c>
      <c r="AG539" s="1" t="s">
        <v>307</v>
      </c>
      <c r="AH539" s="1" t="s">
        <v>161</v>
      </c>
      <c r="AI539" s="1" t="s">
        <v>614</v>
      </c>
      <c r="AJ539" s="1">
        <v>93.1</v>
      </c>
      <c r="AK539" s="1">
        <v>9.8</v>
      </c>
      <c r="AL539" s="1" t="s">
        <v>10285</v>
      </c>
      <c r="AM539" s="1" t="s">
        <v>3677</v>
      </c>
      <c r="AN539" s="1" t="s">
        <v>162</v>
      </c>
      <c r="AO539" s="1" t="s">
        <v>166</v>
      </c>
      <c r="AP539" s="1">
        <v>74.62</v>
      </c>
      <c r="AQ539" s="1"/>
      <c r="AR539" s="1"/>
      <c r="AS539" s="1"/>
      <c r="AT539" s="1"/>
      <c r="AU539" s="1"/>
      <c r="AV539" s="1"/>
      <c r="AW539" s="1"/>
      <c r="AX539" s="1" t="s">
        <v>10286</v>
      </c>
      <c r="AY539" s="1" t="s">
        <v>9416</v>
      </c>
      <c r="AZ539" s="1" t="s">
        <v>1043</v>
      </c>
      <c r="BA539" s="1" t="s">
        <v>619</v>
      </c>
      <c r="BB539" s="1">
        <v>81.8</v>
      </c>
      <c r="BC539" s="1">
        <v>8.18</v>
      </c>
      <c r="BD539" s="1"/>
      <c r="BE539" s="1"/>
      <c r="BF539" s="1"/>
      <c r="BG539" s="1"/>
      <c r="BH539" s="1"/>
      <c r="BI539" s="1"/>
      <c r="BJ539" s="1" t="s">
        <v>10287</v>
      </c>
      <c r="BK539" s="1" t="s">
        <v>10288</v>
      </c>
      <c r="BL539" s="1" t="s">
        <v>569</v>
      </c>
      <c r="BM539" s="1" t="s">
        <v>10289</v>
      </c>
      <c r="BN539" s="1">
        <v>14</v>
      </c>
      <c r="BO539" s="1" t="s">
        <v>10290</v>
      </c>
      <c r="BP539" s="1" t="str">
        <f>HYPERLINK("https://nconnect.nicmar.ac.in/storage/profile/ProfilePhoto_P25700540_731968.jpg","Download")</f>
        <v>0</v>
      </c>
      <c r="BQ539" s="3"/>
      <c r="BR539" s="3"/>
    </row>
    <row r="540" spans="1:70">
      <c r="A540" s="1" t="s">
        <v>70</v>
      </c>
      <c r="B540" s="1" t="s">
        <v>441</v>
      </c>
      <c r="C540" s="1" t="s">
        <v>10291</v>
      </c>
      <c r="D540" s="1" t="s">
        <v>10292</v>
      </c>
      <c r="E540" s="1" t="s">
        <v>1155</v>
      </c>
      <c r="F540" s="1" t="s">
        <v>10293</v>
      </c>
      <c r="G540" s="1" t="s">
        <v>10294</v>
      </c>
      <c r="H540" s="1" t="s">
        <v>10295</v>
      </c>
      <c r="I540" s="1" t="s">
        <v>10296</v>
      </c>
      <c r="J540" s="1">
        <v>8855884281</v>
      </c>
      <c r="K540" s="1" t="s">
        <v>79</v>
      </c>
      <c r="L540" s="1" t="s">
        <v>1666</v>
      </c>
      <c r="M540" s="1" t="s">
        <v>81</v>
      </c>
      <c r="N540" s="1" t="s">
        <v>883</v>
      </c>
      <c r="O540" s="1"/>
      <c r="P540" s="1" t="s">
        <v>497</v>
      </c>
      <c r="Q540" s="1" t="s">
        <v>10297</v>
      </c>
      <c r="R540" s="1" t="s">
        <v>1155</v>
      </c>
      <c r="S540" s="1">
        <v>8668505500</v>
      </c>
      <c r="T540" s="1" t="s">
        <v>4698</v>
      </c>
      <c r="U540" s="1" t="s">
        <v>1103</v>
      </c>
      <c r="V540" s="1">
        <v>9284724442</v>
      </c>
      <c r="W540" s="1" t="s">
        <v>122</v>
      </c>
      <c r="X540" s="1" t="s">
        <v>10298</v>
      </c>
      <c r="Y540" s="1" t="s">
        <v>1754</v>
      </c>
      <c r="Z540" s="1" t="s">
        <v>92</v>
      </c>
      <c r="AA540" s="1" t="s">
        <v>10298</v>
      </c>
      <c r="AB540" s="1" t="s">
        <v>1754</v>
      </c>
      <c r="AC540" s="1" t="s">
        <v>92</v>
      </c>
      <c r="AD540" s="1">
        <v>8.07</v>
      </c>
      <c r="AE540" s="1" t="s">
        <v>93</v>
      </c>
      <c r="AF540" s="1" t="s">
        <v>10299</v>
      </c>
      <c r="AG540" s="1" t="s">
        <v>616</v>
      </c>
      <c r="AH540" s="1" t="s">
        <v>1089</v>
      </c>
      <c r="AI540" s="1" t="s">
        <v>195</v>
      </c>
      <c r="AJ540" s="1">
        <v>81</v>
      </c>
      <c r="AK540" s="1"/>
      <c r="AL540" s="1" t="s">
        <v>10300</v>
      </c>
      <c r="AM540" s="1" t="s">
        <v>616</v>
      </c>
      <c r="AN540" s="1" t="s">
        <v>481</v>
      </c>
      <c r="AO540" s="1" t="s">
        <v>198</v>
      </c>
      <c r="AP540" s="1">
        <v>63.54</v>
      </c>
      <c r="AQ540" s="1"/>
      <c r="AR540" s="1"/>
      <c r="AS540" s="1"/>
      <c r="AT540" s="1"/>
      <c r="AU540" s="1"/>
      <c r="AV540" s="1"/>
      <c r="AW540" s="1"/>
      <c r="AX540" s="1" t="s">
        <v>7883</v>
      </c>
      <c r="AY540" s="1" t="s">
        <v>10301</v>
      </c>
      <c r="AZ540" s="1" t="s">
        <v>201</v>
      </c>
      <c r="BA540" s="1" t="s">
        <v>174</v>
      </c>
      <c r="BB540" s="1">
        <v>70.5</v>
      </c>
      <c r="BC540" s="1">
        <v>7.8</v>
      </c>
      <c r="BD540" s="1"/>
      <c r="BE540" s="1"/>
      <c r="BF540" s="1"/>
      <c r="BG540" s="1"/>
      <c r="BH540" s="1"/>
      <c r="BI540" s="1"/>
      <c r="BJ540" s="1" t="s">
        <v>364</v>
      </c>
      <c r="BK540" s="1"/>
      <c r="BL540" s="1"/>
      <c r="BM540" s="1" t="s">
        <v>10302</v>
      </c>
      <c r="BN540" s="1">
        <v>38</v>
      </c>
      <c r="BO540" s="1" t="s">
        <v>10303</v>
      </c>
      <c r="BP540" s="1" t="str">
        <f>HYPERLINK("https://nconnect.nicmar.ac.in/storage/profile/ProfilePhoto_P25700541_148765.jpg","Download")</f>
        <v>0</v>
      </c>
      <c r="BQ540" s="3"/>
      <c r="BR540" s="3"/>
    </row>
    <row r="541" spans="1:70">
      <c r="A541" s="1" t="s">
        <v>70</v>
      </c>
      <c r="B541" s="1" t="s">
        <v>441</v>
      </c>
      <c r="C541" s="1" t="s">
        <v>10304</v>
      </c>
      <c r="D541" s="1" t="s">
        <v>10305</v>
      </c>
      <c r="E541" s="1" t="s">
        <v>2396</v>
      </c>
      <c r="F541" s="1" t="s">
        <v>1847</v>
      </c>
      <c r="G541" s="1" t="s">
        <v>10306</v>
      </c>
      <c r="H541" s="1" t="s">
        <v>10307</v>
      </c>
      <c r="I541" s="1" t="s">
        <v>10308</v>
      </c>
      <c r="J541" s="1">
        <v>9021666927</v>
      </c>
      <c r="K541" s="1" t="s">
        <v>79</v>
      </c>
      <c r="L541" s="1" t="s">
        <v>8349</v>
      </c>
      <c r="M541" s="1" t="s">
        <v>81</v>
      </c>
      <c r="N541" s="1" t="s">
        <v>605</v>
      </c>
      <c r="O541" s="1"/>
      <c r="P541" s="1" t="s">
        <v>497</v>
      </c>
      <c r="Q541" s="1" t="s">
        <v>10309</v>
      </c>
      <c r="R541" s="1" t="s">
        <v>10310</v>
      </c>
      <c r="S541" s="1">
        <v>9422258357</v>
      </c>
      <c r="T541" s="1" t="s">
        <v>2384</v>
      </c>
      <c r="U541" s="1" t="s">
        <v>10311</v>
      </c>
      <c r="V541" s="1">
        <v>9423972867</v>
      </c>
      <c r="W541" s="1" t="s">
        <v>156</v>
      </c>
      <c r="X541" s="1" t="s">
        <v>10312</v>
      </c>
      <c r="Y541" s="1" t="s">
        <v>890</v>
      </c>
      <c r="Z541" s="1" t="s">
        <v>92</v>
      </c>
      <c r="AA541" s="1" t="s">
        <v>10312</v>
      </c>
      <c r="AB541" s="1" t="s">
        <v>890</v>
      </c>
      <c r="AC541" s="1" t="s">
        <v>92</v>
      </c>
      <c r="AD541" s="1">
        <v>9.05</v>
      </c>
      <c r="AE541" s="1" t="s">
        <v>93</v>
      </c>
      <c r="AF541" s="1" t="s">
        <v>10313</v>
      </c>
      <c r="AG541" s="1" t="s">
        <v>160</v>
      </c>
      <c r="AH541" s="1" t="s">
        <v>165</v>
      </c>
      <c r="AI541" s="1" t="s">
        <v>101</v>
      </c>
      <c r="AJ541" s="1">
        <v>94.8</v>
      </c>
      <c r="AK541" s="1"/>
      <c r="AL541" s="1" t="s">
        <v>10314</v>
      </c>
      <c r="AM541" s="1" t="s">
        <v>160</v>
      </c>
      <c r="AN541" s="1" t="s">
        <v>310</v>
      </c>
      <c r="AO541" s="1" t="s">
        <v>1019</v>
      </c>
      <c r="AP541" s="1">
        <v>79.38</v>
      </c>
      <c r="AQ541" s="1"/>
      <c r="AR541" s="1"/>
      <c r="AS541" s="1"/>
      <c r="AT541" s="1"/>
      <c r="AU541" s="1"/>
      <c r="AV541" s="1"/>
      <c r="AW541" s="1"/>
      <c r="AX541" s="1" t="s">
        <v>361</v>
      </c>
      <c r="AY541" s="1" t="s">
        <v>10315</v>
      </c>
      <c r="AZ541" s="1" t="s">
        <v>363</v>
      </c>
      <c r="BA541" s="1" t="s">
        <v>202</v>
      </c>
      <c r="BB541" s="1">
        <v>74.9</v>
      </c>
      <c r="BC541" s="1">
        <v>7.99</v>
      </c>
      <c r="BD541" s="1"/>
      <c r="BE541" s="1"/>
      <c r="BF541" s="1"/>
      <c r="BG541" s="1"/>
      <c r="BH541" s="1"/>
      <c r="BI541" s="1"/>
      <c r="BJ541" s="1" t="s">
        <v>10316</v>
      </c>
      <c r="BK541" s="1"/>
      <c r="BL541" s="1"/>
      <c r="BM541" s="1" t="s">
        <v>10317</v>
      </c>
      <c r="BN541" s="1">
        <v>47</v>
      </c>
      <c r="BO541" s="1" t="s">
        <v>10318</v>
      </c>
      <c r="BP541" s="1" t="str">
        <f>HYPERLINK("https://nconnect.nicmar.ac.in/storage/profile/ProfilePhoto_P25700542_891354.jpg","Download")</f>
        <v>0</v>
      </c>
      <c r="BQ541" s="3"/>
      <c r="BR541" s="3"/>
    </row>
    <row r="542" spans="1:70">
      <c r="A542" s="1" t="s">
        <v>70</v>
      </c>
      <c r="B542" s="1" t="s">
        <v>441</v>
      </c>
      <c r="C542" s="1" t="s">
        <v>10319</v>
      </c>
      <c r="D542" s="1" t="s">
        <v>10320</v>
      </c>
      <c r="E542" s="1"/>
      <c r="F542" s="1" t="s">
        <v>10321</v>
      </c>
      <c r="G542" s="1" t="s">
        <v>10322</v>
      </c>
      <c r="H542" s="1" t="s">
        <v>10323</v>
      </c>
      <c r="I542" s="1" t="s">
        <v>10324</v>
      </c>
      <c r="J542" s="1">
        <v>9895721858</v>
      </c>
      <c r="K542" s="1" t="s">
        <v>79</v>
      </c>
      <c r="L542" s="1" t="s">
        <v>10325</v>
      </c>
      <c r="M542" s="1" t="s">
        <v>81</v>
      </c>
      <c r="N542" s="1" t="s">
        <v>5198</v>
      </c>
      <c r="O542" s="1"/>
      <c r="P542" s="1" t="s">
        <v>1007</v>
      </c>
      <c r="Q542" s="1" t="s">
        <v>10326</v>
      </c>
      <c r="R542" s="1" t="s">
        <v>10327</v>
      </c>
      <c r="S542" s="1">
        <v>9895379454</v>
      </c>
      <c r="T542" s="1" t="s">
        <v>5069</v>
      </c>
      <c r="U542" s="1" t="s">
        <v>10328</v>
      </c>
      <c r="V542" s="1">
        <v>9895569453</v>
      </c>
      <c r="W542" s="1" t="s">
        <v>5069</v>
      </c>
      <c r="X542" s="1" t="s">
        <v>10329</v>
      </c>
      <c r="Y542" s="1" t="s">
        <v>686</v>
      </c>
      <c r="Z542" s="1" t="s">
        <v>125</v>
      </c>
      <c r="AA542" s="1" t="s">
        <v>10329</v>
      </c>
      <c r="AB542" s="1" t="s">
        <v>686</v>
      </c>
      <c r="AC542" s="1" t="s">
        <v>125</v>
      </c>
      <c r="AD542" s="1">
        <v>9.02</v>
      </c>
      <c r="AE542" s="1" t="s">
        <v>93</v>
      </c>
      <c r="AF542" s="1" t="s">
        <v>10330</v>
      </c>
      <c r="AG542" s="1" t="s">
        <v>758</v>
      </c>
      <c r="AH542" s="1" t="s">
        <v>96</v>
      </c>
      <c r="AI542" s="1" t="s">
        <v>131</v>
      </c>
      <c r="AJ542" s="1">
        <v>95</v>
      </c>
      <c r="AK542" s="1">
        <v>10</v>
      </c>
      <c r="AL542" s="1" t="s">
        <v>10330</v>
      </c>
      <c r="AM542" s="1" t="s">
        <v>758</v>
      </c>
      <c r="AN542" s="1" t="s">
        <v>162</v>
      </c>
      <c r="AO542" s="1" t="s">
        <v>562</v>
      </c>
      <c r="AP542" s="1">
        <v>76</v>
      </c>
      <c r="AQ542" s="1">
        <v>0</v>
      </c>
      <c r="AR542" s="1"/>
      <c r="AS542" s="1"/>
      <c r="AT542" s="1"/>
      <c r="AU542" s="1"/>
      <c r="AV542" s="1"/>
      <c r="AW542" s="1"/>
      <c r="AX542" s="1" t="s">
        <v>7195</v>
      </c>
      <c r="AY542" s="1" t="s">
        <v>10331</v>
      </c>
      <c r="AZ542" s="1" t="s">
        <v>383</v>
      </c>
      <c r="BA542" s="1" t="s">
        <v>2273</v>
      </c>
      <c r="BB542" s="1">
        <v>77.9</v>
      </c>
      <c r="BC542" s="1">
        <v>8.59</v>
      </c>
      <c r="BD542" s="1"/>
      <c r="BE542" s="1"/>
      <c r="BF542" s="1"/>
      <c r="BG542" s="1"/>
      <c r="BH542" s="1"/>
      <c r="BI542" s="1"/>
      <c r="BJ542" s="1" t="s">
        <v>10332</v>
      </c>
      <c r="BK542" s="1" t="s">
        <v>10333</v>
      </c>
      <c r="BL542" s="1" t="s">
        <v>4165</v>
      </c>
      <c r="BM542" s="1" t="s">
        <v>10334</v>
      </c>
      <c r="BN542" s="1">
        <v>9</v>
      </c>
      <c r="BO542" s="1" t="s">
        <v>10335</v>
      </c>
      <c r="BP542" s="1" t="str">
        <f>HYPERLINK("https://nconnect.nicmar.ac.in/storage/profile/ProfilePhoto_P25700543_269387.jpg","Download")</f>
        <v>0</v>
      </c>
      <c r="BQ542" s="3"/>
      <c r="BR542" s="3"/>
    </row>
    <row r="543" spans="1:70">
      <c r="A543" s="1" t="s">
        <v>70</v>
      </c>
      <c r="B543" s="1" t="s">
        <v>441</v>
      </c>
      <c r="C543" s="1" t="s">
        <v>10336</v>
      </c>
      <c r="D543" s="1" t="s">
        <v>10337</v>
      </c>
      <c r="E543" s="1" t="s">
        <v>10338</v>
      </c>
      <c r="F543" s="1" t="s">
        <v>999</v>
      </c>
      <c r="G543" s="1" t="s">
        <v>10339</v>
      </c>
      <c r="H543" s="1" t="s">
        <v>10340</v>
      </c>
      <c r="I543" s="1" t="s">
        <v>10341</v>
      </c>
      <c r="J543" s="1">
        <v>9949296219</v>
      </c>
      <c r="K543" s="1" t="s">
        <v>79</v>
      </c>
      <c r="L543" s="1" t="s">
        <v>10342</v>
      </c>
      <c r="M543" s="1" t="s">
        <v>81</v>
      </c>
      <c r="N543" s="1" t="s">
        <v>10343</v>
      </c>
      <c r="O543" s="1"/>
      <c r="P543" s="1" t="s">
        <v>472</v>
      </c>
      <c r="Q543" s="1" t="s">
        <v>10344</v>
      </c>
      <c r="R543" s="1" t="s">
        <v>10345</v>
      </c>
      <c r="S543" s="1">
        <v>9963214083</v>
      </c>
      <c r="T543" s="1" t="s">
        <v>820</v>
      </c>
      <c r="U543" s="1" t="s">
        <v>10346</v>
      </c>
      <c r="V543" s="1">
        <v>9966388020</v>
      </c>
      <c r="W543" s="1" t="s">
        <v>156</v>
      </c>
      <c r="X543" s="1" t="s">
        <v>10347</v>
      </c>
      <c r="Y543" s="1" t="s">
        <v>711</v>
      </c>
      <c r="Z543" s="1" t="s">
        <v>276</v>
      </c>
      <c r="AA543" s="1" t="s">
        <v>10347</v>
      </c>
      <c r="AB543" s="1" t="s">
        <v>711</v>
      </c>
      <c r="AC543" s="1" t="s">
        <v>276</v>
      </c>
      <c r="AD543" s="1">
        <v>9.34</v>
      </c>
      <c r="AE543" s="1" t="s">
        <v>93</v>
      </c>
      <c r="AF543" s="1" t="s">
        <v>8337</v>
      </c>
      <c r="AG543" s="1" t="s">
        <v>10348</v>
      </c>
      <c r="AH543" s="1" t="s">
        <v>97</v>
      </c>
      <c r="AI543" s="1" t="s">
        <v>1089</v>
      </c>
      <c r="AJ543" s="1">
        <v>98</v>
      </c>
      <c r="AK543" s="1">
        <v>9.8</v>
      </c>
      <c r="AL543" s="1" t="s">
        <v>10349</v>
      </c>
      <c r="AM543" s="1" t="s">
        <v>10350</v>
      </c>
      <c r="AN543" s="1" t="s">
        <v>279</v>
      </c>
      <c r="AO543" s="1" t="s">
        <v>481</v>
      </c>
      <c r="AP543" s="1">
        <v>97.6</v>
      </c>
      <c r="AQ543" s="1"/>
      <c r="AR543" s="1"/>
      <c r="AS543" s="1"/>
      <c r="AT543" s="1"/>
      <c r="AU543" s="1"/>
      <c r="AV543" s="1"/>
      <c r="AW543" s="1"/>
      <c r="AX543" s="1" t="s">
        <v>540</v>
      </c>
      <c r="AY543" s="1" t="s">
        <v>540</v>
      </c>
      <c r="AZ543" s="1" t="s">
        <v>166</v>
      </c>
      <c r="BA543" s="1" t="s">
        <v>619</v>
      </c>
      <c r="BB543" s="1">
        <v>77.2</v>
      </c>
      <c r="BC543" s="1">
        <v>7.72</v>
      </c>
      <c r="BD543" s="1"/>
      <c r="BE543" s="1"/>
      <c r="BF543" s="1"/>
      <c r="BG543" s="1"/>
      <c r="BH543" s="1"/>
      <c r="BI543" s="1"/>
      <c r="BJ543" s="1" t="s">
        <v>10351</v>
      </c>
      <c r="BK543" s="1" t="s">
        <v>10352</v>
      </c>
      <c r="BL543" s="1" t="s">
        <v>138</v>
      </c>
      <c r="BM543" s="1" t="s">
        <v>10353</v>
      </c>
      <c r="BN543" s="1">
        <v>8</v>
      </c>
      <c r="BO543" s="1" t="s">
        <v>10354</v>
      </c>
      <c r="BP543" s="1" t="str">
        <f>HYPERLINK("https://nconnect.nicmar.ac.in/storage/profile/ProfilePhoto_P25700544_418352.jpg","Download")</f>
        <v>0</v>
      </c>
      <c r="BQ543" s="3"/>
      <c r="BR543" s="3"/>
    </row>
    <row r="544" spans="1:70">
      <c r="A544" s="1" t="s">
        <v>70</v>
      </c>
      <c r="B544" s="1" t="s">
        <v>441</v>
      </c>
      <c r="C544" s="1" t="s">
        <v>10355</v>
      </c>
      <c r="D544" s="1" t="s">
        <v>10356</v>
      </c>
      <c r="E544" s="1"/>
      <c r="F544" s="1" t="s">
        <v>10357</v>
      </c>
      <c r="G544" s="1" t="s">
        <v>10358</v>
      </c>
      <c r="H544" s="1" t="s">
        <v>10359</v>
      </c>
      <c r="I544" s="1" t="s">
        <v>10360</v>
      </c>
      <c r="J544" s="1">
        <v>9347790600</v>
      </c>
      <c r="K544" s="1" t="s">
        <v>79</v>
      </c>
      <c r="L544" s="1" t="s">
        <v>10361</v>
      </c>
      <c r="M544" s="1" t="s">
        <v>81</v>
      </c>
      <c r="N544" s="1" t="s">
        <v>1427</v>
      </c>
      <c r="O544" s="1"/>
      <c r="P544" s="1" t="s">
        <v>450</v>
      </c>
      <c r="Q544" s="1" t="s">
        <v>10362</v>
      </c>
      <c r="R544" s="1" t="s">
        <v>10363</v>
      </c>
      <c r="S544" s="1">
        <v>9010536977</v>
      </c>
      <c r="T544" s="1" t="s">
        <v>1490</v>
      </c>
      <c r="U544" s="1" t="s">
        <v>10364</v>
      </c>
      <c r="V544" s="1">
        <v>8712387199</v>
      </c>
      <c r="W544" s="1" t="s">
        <v>1490</v>
      </c>
      <c r="X544" s="1" t="s">
        <v>10365</v>
      </c>
      <c r="Y544" s="1" t="s">
        <v>191</v>
      </c>
      <c r="Z544" s="1" t="s">
        <v>92</v>
      </c>
      <c r="AA544" s="1" t="s">
        <v>10366</v>
      </c>
      <c r="AB544" s="1" t="s">
        <v>10367</v>
      </c>
      <c r="AC544" s="1" t="s">
        <v>276</v>
      </c>
      <c r="AD544" s="1">
        <v>8.56</v>
      </c>
      <c r="AE544" s="1" t="s">
        <v>93</v>
      </c>
      <c r="AF544" s="1" t="s">
        <v>8337</v>
      </c>
      <c r="AG544" s="1" t="s">
        <v>1396</v>
      </c>
      <c r="AH544" s="1" t="s">
        <v>165</v>
      </c>
      <c r="AI544" s="1" t="s">
        <v>281</v>
      </c>
      <c r="AJ544" s="1">
        <v>90</v>
      </c>
      <c r="AK544" s="1">
        <v>9</v>
      </c>
      <c r="AL544" s="1" t="s">
        <v>10368</v>
      </c>
      <c r="AM544" s="1" t="s">
        <v>10369</v>
      </c>
      <c r="AN544" s="1" t="s">
        <v>169</v>
      </c>
      <c r="AO544" s="1" t="s">
        <v>590</v>
      </c>
      <c r="AP544" s="1">
        <v>81.03</v>
      </c>
      <c r="AQ544" s="1">
        <v>8.53</v>
      </c>
      <c r="AR544" s="1"/>
      <c r="AS544" s="1"/>
      <c r="AT544" s="1"/>
      <c r="AU544" s="1"/>
      <c r="AV544" s="1"/>
      <c r="AW544" s="1"/>
      <c r="AX544" s="1" t="s">
        <v>2664</v>
      </c>
      <c r="AY544" s="1" t="s">
        <v>10370</v>
      </c>
      <c r="AZ544" s="1" t="s">
        <v>363</v>
      </c>
      <c r="BA544" s="1" t="s">
        <v>1292</v>
      </c>
      <c r="BB544" s="1">
        <v>73.7</v>
      </c>
      <c r="BC544" s="1">
        <v>8.12</v>
      </c>
      <c r="BD544" s="1"/>
      <c r="BE544" s="1"/>
      <c r="BF544" s="1"/>
      <c r="BG544" s="1"/>
      <c r="BH544" s="1"/>
      <c r="BI544" s="1"/>
      <c r="BJ544" s="1" t="s">
        <v>10371</v>
      </c>
      <c r="BK544" s="1" t="s">
        <v>10372</v>
      </c>
      <c r="BL544" s="1" t="s">
        <v>287</v>
      </c>
      <c r="BM544" s="1" t="s">
        <v>10373</v>
      </c>
      <c r="BN544" s="1">
        <v>14</v>
      </c>
      <c r="BO544" s="1"/>
      <c r="BP544" s="1" t="str">
        <f>HYPERLINK("https://nconnect.nicmar.ac.in/storage/profile/ProfilePhoto_P25700545_567941.jpg","Download")</f>
        <v>0</v>
      </c>
      <c r="BQ544" s="3"/>
      <c r="BR544" s="3"/>
    </row>
    <row r="545" spans="1:70">
      <c r="A545" s="1" t="s">
        <v>70</v>
      </c>
      <c r="B545" s="1" t="s">
        <v>441</v>
      </c>
      <c r="C545" s="1" t="s">
        <v>10374</v>
      </c>
      <c r="D545" s="1" t="s">
        <v>10375</v>
      </c>
      <c r="E545" s="1" t="s">
        <v>10376</v>
      </c>
      <c r="F545" s="1" t="s">
        <v>1298</v>
      </c>
      <c r="G545" s="1" t="s">
        <v>10377</v>
      </c>
      <c r="H545" s="1" t="s">
        <v>10378</v>
      </c>
      <c r="I545" s="1" t="s">
        <v>10379</v>
      </c>
      <c r="J545" s="1">
        <v>7260815833</v>
      </c>
      <c r="K545" s="1" t="s">
        <v>79</v>
      </c>
      <c r="L545" s="1" t="s">
        <v>10380</v>
      </c>
      <c r="M545" s="1" t="s">
        <v>81</v>
      </c>
      <c r="N545" s="1" t="s">
        <v>751</v>
      </c>
      <c r="O545" s="1" t="s">
        <v>10381</v>
      </c>
      <c r="P545" s="1" t="s">
        <v>117</v>
      </c>
      <c r="Q545" s="1" t="s">
        <v>10382</v>
      </c>
      <c r="R545" s="1" t="s">
        <v>10383</v>
      </c>
      <c r="S545" s="1">
        <v>8210560486</v>
      </c>
      <c r="T545" s="1" t="s">
        <v>820</v>
      </c>
      <c r="U545" s="1" t="s">
        <v>10384</v>
      </c>
      <c r="V545" s="1">
        <v>9934148311</v>
      </c>
      <c r="W545" s="1" t="s">
        <v>273</v>
      </c>
      <c r="X545" s="1" t="s">
        <v>10385</v>
      </c>
      <c r="Y545" s="1" t="s">
        <v>2976</v>
      </c>
      <c r="Z545" s="1" t="s">
        <v>2977</v>
      </c>
      <c r="AA545" s="1" t="s">
        <v>10385</v>
      </c>
      <c r="AB545" s="1" t="s">
        <v>2976</v>
      </c>
      <c r="AC545" s="1" t="s">
        <v>2977</v>
      </c>
      <c r="AD545" s="1">
        <v>7.96</v>
      </c>
      <c r="AE545" s="1" t="s">
        <v>93</v>
      </c>
      <c r="AF545" s="1" t="s">
        <v>10386</v>
      </c>
      <c r="AG545" s="1" t="s">
        <v>10387</v>
      </c>
      <c r="AH545" s="1" t="s">
        <v>481</v>
      </c>
      <c r="AI545" s="1" t="s">
        <v>308</v>
      </c>
      <c r="AJ545" s="1">
        <v>85.83</v>
      </c>
      <c r="AK545" s="1">
        <v>9.03</v>
      </c>
      <c r="AL545" s="1" t="s">
        <v>10386</v>
      </c>
      <c r="AM545" s="1" t="s">
        <v>10387</v>
      </c>
      <c r="AN545" s="1" t="s">
        <v>412</v>
      </c>
      <c r="AO545" s="1" t="s">
        <v>539</v>
      </c>
      <c r="AP545" s="1">
        <v>81.33</v>
      </c>
      <c r="AQ545" s="1">
        <v>8.56</v>
      </c>
      <c r="AR545" s="1"/>
      <c r="AS545" s="1"/>
      <c r="AT545" s="1"/>
      <c r="AU545" s="1"/>
      <c r="AV545" s="1"/>
      <c r="AW545" s="1"/>
      <c r="AX545" s="1" t="s">
        <v>10388</v>
      </c>
      <c r="AY545" s="1" t="s">
        <v>10389</v>
      </c>
      <c r="AZ545" s="1" t="s">
        <v>828</v>
      </c>
      <c r="BA545" s="1" t="s">
        <v>829</v>
      </c>
      <c r="BB545" s="1">
        <v>79.16</v>
      </c>
      <c r="BC545" s="1">
        <v>7.92</v>
      </c>
      <c r="BD545" s="1"/>
      <c r="BE545" s="1"/>
      <c r="BF545" s="1"/>
      <c r="BG545" s="1"/>
      <c r="BH545" s="1"/>
      <c r="BI545" s="1"/>
      <c r="BJ545" s="1" t="s">
        <v>10390</v>
      </c>
      <c r="BK545" s="1"/>
      <c r="BL545" s="1"/>
      <c r="BM545" s="1" t="s">
        <v>10391</v>
      </c>
      <c r="BN545" s="1">
        <v>17</v>
      </c>
      <c r="BO545" s="1" t="s">
        <v>10392</v>
      </c>
      <c r="BP545" s="1" t="str">
        <f>HYPERLINK("https://nconnect.nicmar.ac.in/storage/profile/ProfilePhoto_P25700546_862451.jpg","Download")</f>
        <v>0</v>
      </c>
      <c r="BQ545" s="3"/>
      <c r="BR545" s="3"/>
    </row>
    <row r="546" spans="1:70">
      <c r="A546" s="1" t="s">
        <v>70</v>
      </c>
      <c r="B546" s="1" t="s">
        <v>441</v>
      </c>
      <c r="C546" s="1" t="s">
        <v>10393</v>
      </c>
      <c r="D546" s="1" t="s">
        <v>10394</v>
      </c>
      <c r="E546" s="1"/>
      <c r="F546" s="1" t="s">
        <v>10395</v>
      </c>
      <c r="G546" s="1" t="s">
        <v>10396</v>
      </c>
      <c r="H546" s="1" t="s">
        <v>10397</v>
      </c>
      <c r="I546" s="1" t="s">
        <v>10398</v>
      </c>
      <c r="J546" s="1">
        <v>7076151515</v>
      </c>
      <c r="K546" s="1" t="s">
        <v>79</v>
      </c>
      <c r="L546" s="1" t="s">
        <v>10399</v>
      </c>
      <c r="M546" s="1" t="s">
        <v>81</v>
      </c>
      <c r="N546" s="1" t="s">
        <v>10400</v>
      </c>
      <c r="O546" s="1"/>
      <c r="P546" s="1" t="s">
        <v>497</v>
      </c>
      <c r="Q546" s="1" t="s">
        <v>10401</v>
      </c>
      <c r="R546" s="1" t="s">
        <v>10402</v>
      </c>
      <c r="S546" s="1">
        <v>9292151515</v>
      </c>
      <c r="T546" s="1" t="s">
        <v>1595</v>
      </c>
      <c r="U546" s="1" t="s">
        <v>10403</v>
      </c>
      <c r="V546" s="1">
        <v>9963045945</v>
      </c>
      <c r="W546" s="1" t="s">
        <v>531</v>
      </c>
      <c r="X546" s="1" t="s">
        <v>10404</v>
      </c>
      <c r="Y546" s="1" t="s">
        <v>1432</v>
      </c>
      <c r="Z546" s="1" t="s">
        <v>276</v>
      </c>
      <c r="AA546" s="1" t="s">
        <v>10404</v>
      </c>
      <c r="AB546" s="1" t="s">
        <v>1432</v>
      </c>
      <c r="AC546" s="1" t="s">
        <v>276</v>
      </c>
      <c r="AD546" s="1">
        <v>9.18</v>
      </c>
      <c r="AE546" s="1" t="s">
        <v>93</v>
      </c>
      <c r="AF546" s="1" t="s">
        <v>10405</v>
      </c>
      <c r="AG546" s="1" t="s">
        <v>10406</v>
      </c>
      <c r="AH546" s="1" t="s">
        <v>166</v>
      </c>
      <c r="AI546" s="1" t="s">
        <v>308</v>
      </c>
      <c r="AJ546" s="1">
        <v>86.8</v>
      </c>
      <c r="AK546" s="1"/>
      <c r="AL546" s="1" t="s">
        <v>10407</v>
      </c>
      <c r="AM546" s="1" t="s">
        <v>10408</v>
      </c>
      <c r="AN546" s="1" t="s">
        <v>433</v>
      </c>
      <c r="AO546" s="1" t="s">
        <v>539</v>
      </c>
      <c r="AP546" s="1">
        <v>91.1</v>
      </c>
      <c r="AQ546" s="1"/>
      <c r="AR546" s="1"/>
      <c r="AS546" s="1"/>
      <c r="AT546" s="1"/>
      <c r="AU546" s="1"/>
      <c r="AV546" s="1"/>
      <c r="AW546" s="1"/>
      <c r="AX546" s="1" t="s">
        <v>6932</v>
      </c>
      <c r="AY546" s="1" t="s">
        <v>10409</v>
      </c>
      <c r="AZ546" s="1" t="s">
        <v>542</v>
      </c>
      <c r="BA546" s="1" t="s">
        <v>829</v>
      </c>
      <c r="BB546" s="1">
        <v>85.5</v>
      </c>
      <c r="BC546" s="1">
        <v>8.55</v>
      </c>
      <c r="BD546" s="1"/>
      <c r="BE546" s="1"/>
      <c r="BF546" s="1"/>
      <c r="BG546" s="1"/>
      <c r="BH546" s="1"/>
      <c r="BI546" s="1"/>
      <c r="BJ546" s="1" t="s">
        <v>10410</v>
      </c>
      <c r="BK546" s="1"/>
      <c r="BL546" s="1"/>
      <c r="BM546" s="1" t="s">
        <v>10411</v>
      </c>
      <c r="BN546" s="1">
        <v>28</v>
      </c>
      <c r="BO546" s="1" t="s">
        <v>10412</v>
      </c>
      <c r="BP546" s="1" t="str">
        <f>HYPERLINK("https://nconnect.nicmar.ac.in/storage/profile/ProfilePhoto_P25700547_673924.jpg","Download")</f>
        <v>0</v>
      </c>
      <c r="BQ546" s="3"/>
      <c r="BR546" s="3"/>
    </row>
    <row r="547" spans="1:70">
      <c r="A547" s="1" t="s">
        <v>70</v>
      </c>
      <c r="B547" s="1" t="s">
        <v>441</v>
      </c>
      <c r="C547" s="1" t="s">
        <v>10413</v>
      </c>
      <c r="D547" s="1" t="s">
        <v>10414</v>
      </c>
      <c r="E547" s="1" t="s">
        <v>1937</v>
      </c>
      <c r="F547" s="1" t="s">
        <v>10415</v>
      </c>
      <c r="G547" s="1" t="s">
        <v>10416</v>
      </c>
      <c r="H547" s="1" t="s">
        <v>10417</v>
      </c>
      <c r="I547" s="1" t="s">
        <v>10418</v>
      </c>
      <c r="J547" s="1">
        <v>9082488472</v>
      </c>
      <c r="K547" s="1" t="s">
        <v>79</v>
      </c>
      <c r="L547" s="1" t="s">
        <v>4212</v>
      </c>
      <c r="M547" s="1" t="s">
        <v>81</v>
      </c>
      <c r="N547" s="1" t="s">
        <v>605</v>
      </c>
      <c r="O547" s="1"/>
      <c r="P547" s="1" t="s">
        <v>497</v>
      </c>
      <c r="Q547" s="1" t="s">
        <v>10419</v>
      </c>
      <c r="R547" s="1" t="s">
        <v>1937</v>
      </c>
      <c r="S547" s="1">
        <v>9082692343</v>
      </c>
      <c r="T547" s="1" t="s">
        <v>120</v>
      </c>
      <c r="U547" s="1" t="s">
        <v>9411</v>
      </c>
      <c r="V547" s="1">
        <v>9757399588</v>
      </c>
      <c r="W547" s="1" t="s">
        <v>156</v>
      </c>
      <c r="X547" s="1" t="s">
        <v>10420</v>
      </c>
      <c r="Y547" s="1" t="s">
        <v>991</v>
      </c>
      <c r="Z547" s="1" t="s">
        <v>92</v>
      </c>
      <c r="AA547" s="1" t="s">
        <v>10420</v>
      </c>
      <c r="AB547" s="1" t="s">
        <v>991</v>
      </c>
      <c r="AC547" s="1" t="s">
        <v>92</v>
      </c>
      <c r="AD547" s="1">
        <v>8.19</v>
      </c>
      <c r="AE547" s="1" t="s">
        <v>93</v>
      </c>
      <c r="AF547" s="1" t="s">
        <v>10421</v>
      </c>
      <c r="AG547" s="1" t="s">
        <v>160</v>
      </c>
      <c r="AH547" s="1" t="s">
        <v>1089</v>
      </c>
      <c r="AI547" s="1" t="s">
        <v>195</v>
      </c>
      <c r="AJ547" s="1">
        <v>81</v>
      </c>
      <c r="AK547" s="1"/>
      <c r="AL547" s="1" t="s">
        <v>10422</v>
      </c>
      <c r="AM547" s="1" t="s">
        <v>160</v>
      </c>
      <c r="AN547" s="1" t="s">
        <v>1455</v>
      </c>
      <c r="AO547" s="1" t="s">
        <v>198</v>
      </c>
      <c r="AP547" s="1">
        <v>59.38</v>
      </c>
      <c r="AQ547" s="1"/>
      <c r="AR547" s="1" t="s">
        <v>10423</v>
      </c>
      <c r="AS547" s="1" t="s">
        <v>10424</v>
      </c>
      <c r="AT547" s="1" t="s">
        <v>1019</v>
      </c>
      <c r="AU547" s="1" t="s">
        <v>436</v>
      </c>
      <c r="AV547" s="1">
        <v>88.53</v>
      </c>
      <c r="AW547" s="1"/>
      <c r="AX547" s="1" t="s">
        <v>253</v>
      </c>
      <c r="AY547" s="1" t="s">
        <v>10425</v>
      </c>
      <c r="AZ547" s="1" t="s">
        <v>413</v>
      </c>
      <c r="BA547" s="1" t="s">
        <v>413</v>
      </c>
      <c r="BB547" s="1">
        <v>66.28</v>
      </c>
      <c r="BC547" s="1">
        <v>7.3</v>
      </c>
      <c r="BD547" s="1"/>
      <c r="BE547" s="1"/>
      <c r="BF547" s="1"/>
      <c r="BG547" s="1"/>
      <c r="BH547" s="1"/>
      <c r="BI547" s="1"/>
      <c r="BJ547" s="1" t="s">
        <v>10426</v>
      </c>
      <c r="BK547" s="1"/>
      <c r="BL547" s="1"/>
      <c r="BM547" s="1" t="s">
        <v>10427</v>
      </c>
      <c r="BN547" s="1">
        <v>12</v>
      </c>
      <c r="BO547" s="1"/>
      <c r="BP547" s="1" t="str">
        <f>HYPERLINK("https://nconnect.nicmar.ac.in/storage/profile/ProfilePhoto_P25700548_318946.jpg","Download")</f>
        <v>0</v>
      </c>
      <c r="BQ547" s="3"/>
      <c r="BR547" s="3"/>
    </row>
    <row r="548" spans="1:70">
      <c r="A548" s="1" t="s">
        <v>70</v>
      </c>
      <c r="B548" s="1" t="s">
        <v>441</v>
      </c>
      <c r="C548" s="1" t="s">
        <v>10428</v>
      </c>
      <c r="D548" s="1" t="s">
        <v>10429</v>
      </c>
      <c r="E548" s="1"/>
      <c r="F548" s="1" t="s">
        <v>9894</v>
      </c>
      <c r="G548" s="1" t="s">
        <v>10430</v>
      </c>
      <c r="H548" s="1" t="s">
        <v>10431</v>
      </c>
      <c r="I548" s="1" t="s">
        <v>10432</v>
      </c>
      <c r="J548" s="1">
        <v>9829976330</v>
      </c>
      <c r="K548" s="1" t="s">
        <v>79</v>
      </c>
      <c r="L548" s="1" t="s">
        <v>10433</v>
      </c>
      <c r="M548" s="1" t="s">
        <v>81</v>
      </c>
      <c r="N548" s="1" t="s">
        <v>8278</v>
      </c>
      <c r="O548" s="1" t="s">
        <v>10434</v>
      </c>
      <c r="P548" s="1" t="s">
        <v>351</v>
      </c>
      <c r="Q548" s="1" t="s">
        <v>10435</v>
      </c>
      <c r="R548" s="1" t="s">
        <v>10436</v>
      </c>
      <c r="S548" s="1">
        <v>9462561600</v>
      </c>
      <c r="T548" s="1" t="s">
        <v>529</v>
      </c>
      <c r="U548" s="1" t="s">
        <v>10437</v>
      </c>
      <c r="V548" s="1">
        <v>8210374937</v>
      </c>
      <c r="W548" s="1" t="s">
        <v>273</v>
      </c>
      <c r="X548" s="1" t="s">
        <v>10438</v>
      </c>
      <c r="Y548" s="1" t="s">
        <v>2976</v>
      </c>
      <c r="Z548" s="1" t="s">
        <v>2977</v>
      </c>
      <c r="AA548" s="1" t="s">
        <v>10438</v>
      </c>
      <c r="AB548" s="1" t="s">
        <v>2976</v>
      </c>
      <c r="AC548" s="1" t="s">
        <v>2977</v>
      </c>
      <c r="AD548" s="1">
        <v>8.83</v>
      </c>
      <c r="AE548" s="1" t="s">
        <v>93</v>
      </c>
      <c r="AF548" s="1" t="s">
        <v>10439</v>
      </c>
      <c r="AG548" s="1" t="s">
        <v>10440</v>
      </c>
      <c r="AH548" s="1" t="s">
        <v>1088</v>
      </c>
      <c r="AI548" s="1" t="s">
        <v>614</v>
      </c>
      <c r="AJ548" s="1">
        <v>95</v>
      </c>
      <c r="AK548" s="1">
        <v>10</v>
      </c>
      <c r="AL548" s="1" t="s">
        <v>10441</v>
      </c>
      <c r="AM548" s="1" t="s">
        <v>10442</v>
      </c>
      <c r="AN548" s="1" t="s">
        <v>689</v>
      </c>
      <c r="AO548" s="1" t="s">
        <v>166</v>
      </c>
      <c r="AP548" s="1">
        <v>66</v>
      </c>
      <c r="AQ548" s="1"/>
      <c r="AR548" s="1"/>
      <c r="AS548" s="1"/>
      <c r="AT548" s="1"/>
      <c r="AU548" s="1"/>
      <c r="AV548" s="1"/>
      <c r="AW548" s="1"/>
      <c r="AX548" s="1" t="s">
        <v>6985</v>
      </c>
      <c r="AY548" s="1" t="s">
        <v>10443</v>
      </c>
      <c r="AZ548" s="1" t="s">
        <v>169</v>
      </c>
      <c r="BA548" s="1" t="s">
        <v>1378</v>
      </c>
      <c r="BB548" s="1">
        <v>73</v>
      </c>
      <c r="BC548" s="1">
        <v>7.3</v>
      </c>
      <c r="BD548" s="1"/>
      <c r="BE548" s="1"/>
      <c r="BF548" s="1"/>
      <c r="BG548" s="1"/>
      <c r="BH548" s="1"/>
      <c r="BI548" s="1"/>
      <c r="BJ548" s="1" t="s">
        <v>7324</v>
      </c>
      <c r="BK548" s="1" t="s">
        <v>10444</v>
      </c>
      <c r="BL548" s="1" t="s">
        <v>287</v>
      </c>
      <c r="BM548" s="1" t="s">
        <v>10445</v>
      </c>
      <c r="BN548" s="1">
        <v>28</v>
      </c>
      <c r="BO548" s="1" t="s">
        <v>10446</v>
      </c>
      <c r="BP548" s="1" t="str">
        <f>HYPERLINK("https://nconnect.nicmar.ac.in/storage/profile/ProfilePhoto_P25700549_864517.jpg","Download")</f>
        <v>0</v>
      </c>
      <c r="BQ548" s="3"/>
      <c r="BR548" s="3"/>
    </row>
    <row r="549" spans="1:70">
      <c r="A549" s="1" t="s">
        <v>70</v>
      </c>
      <c r="B549" s="1" t="s">
        <v>441</v>
      </c>
      <c r="C549" s="1" t="s">
        <v>10447</v>
      </c>
      <c r="D549" s="1" t="s">
        <v>999</v>
      </c>
      <c r="E549" s="1" t="s">
        <v>10448</v>
      </c>
      <c r="F549" s="1" t="s">
        <v>10449</v>
      </c>
      <c r="G549" s="1" t="s">
        <v>10450</v>
      </c>
      <c r="H549" s="1" t="s">
        <v>10451</v>
      </c>
      <c r="I549" s="1" t="s">
        <v>10452</v>
      </c>
      <c r="J549" s="1">
        <v>7058471744</v>
      </c>
      <c r="K549" s="1" t="s">
        <v>79</v>
      </c>
      <c r="L549" s="1" t="s">
        <v>10453</v>
      </c>
      <c r="M549" s="1" t="s">
        <v>81</v>
      </c>
      <c r="N549" s="1" t="s">
        <v>10454</v>
      </c>
      <c r="O549" s="1"/>
      <c r="P549" s="1" t="s">
        <v>497</v>
      </c>
      <c r="Q549" s="1" t="s">
        <v>10455</v>
      </c>
      <c r="R549" s="1" t="s">
        <v>10456</v>
      </c>
      <c r="S549" s="1">
        <v>9823062444</v>
      </c>
      <c r="T549" s="1" t="s">
        <v>820</v>
      </c>
      <c r="U549" s="1" t="s">
        <v>10457</v>
      </c>
      <c r="V549" s="1">
        <v>9834920243</v>
      </c>
      <c r="W549" s="1" t="s">
        <v>273</v>
      </c>
      <c r="X549" s="1" t="s">
        <v>10458</v>
      </c>
      <c r="Y549" s="1" t="s">
        <v>191</v>
      </c>
      <c r="Z549" s="1" t="s">
        <v>92</v>
      </c>
      <c r="AA549" s="1" t="s">
        <v>10459</v>
      </c>
      <c r="AB549" s="1" t="s">
        <v>219</v>
      </c>
      <c r="AC549" s="1" t="s">
        <v>92</v>
      </c>
      <c r="AD549" s="1">
        <v>8.01</v>
      </c>
      <c r="AE549" s="1" t="s">
        <v>93</v>
      </c>
      <c r="AF549" s="1" t="s">
        <v>10460</v>
      </c>
      <c r="AG549" s="1" t="s">
        <v>2348</v>
      </c>
      <c r="AH549" s="1" t="s">
        <v>101</v>
      </c>
      <c r="AI549" s="1" t="s">
        <v>433</v>
      </c>
      <c r="AJ549" s="1">
        <v>75.8</v>
      </c>
      <c r="AK549" s="1"/>
      <c r="AL549" s="1" t="s">
        <v>10461</v>
      </c>
      <c r="AM549" s="1" t="s">
        <v>10462</v>
      </c>
      <c r="AN549" s="1" t="s">
        <v>1622</v>
      </c>
      <c r="AO549" s="1" t="s">
        <v>436</v>
      </c>
      <c r="AP549" s="1">
        <v>83.4</v>
      </c>
      <c r="AQ549" s="1"/>
      <c r="AR549" s="1"/>
      <c r="AS549" s="1"/>
      <c r="AT549" s="1"/>
      <c r="AU549" s="1"/>
      <c r="AV549" s="1"/>
      <c r="AW549" s="1"/>
      <c r="AX549" s="1" t="s">
        <v>10463</v>
      </c>
      <c r="AY549" s="1" t="s">
        <v>10464</v>
      </c>
      <c r="AZ549" s="1" t="s">
        <v>852</v>
      </c>
      <c r="BA549" s="1" t="s">
        <v>829</v>
      </c>
      <c r="BB549" s="1">
        <v>66.57</v>
      </c>
      <c r="BC549" s="1">
        <v>7.48</v>
      </c>
      <c r="BD549" s="1"/>
      <c r="BE549" s="1"/>
      <c r="BF549" s="1"/>
      <c r="BG549" s="1"/>
      <c r="BH549" s="1"/>
      <c r="BI549" s="1"/>
      <c r="BJ549" s="1" t="s">
        <v>10465</v>
      </c>
      <c r="BK549" s="1"/>
      <c r="BL549" s="1"/>
      <c r="BM549" s="1" t="s">
        <v>10466</v>
      </c>
      <c r="BN549" s="1">
        <v>12</v>
      </c>
      <c r="BO549" s="1" t="s">
        <v>10467</v>
      </c>
      <c r="BP549" s="1" t="str">
        <f>HYPERLINK("https://nconnect.nicmar.ac.in/storage/profile/ProfilePhoto_P25700550_952413.jpg","Download")</f>
        <v>0</v>
      </c>
      <c r="BQ549" s="3"/>
      <c r="BR549" s="3"/>
    </row>
    <row r="550" spans="1:70">
      <c r="A550" s="1" t="s">
        <v>70</v>
      </c>
      <c r="B550" s="1" t="s">
        <v>441</v>
      </c>
      <c r="C550" s="1" t="s">
        <v>10468</v>
      </c>
      <c r="D550" s="1" t="s">
        <v>2374</v>
      </c>
      <c r="E550" s="1" t="s">
        <v>2071</v>
      </c>
      <c r="F550" s="1" t="s">
        <v>10469</v>
      </c>
      <c r="G550" s="1" t="s">
        <v>10470</v>
      </c>
      <c r="H550" s="1" t="s">
        <v>10471</v>
      </c>
      <c r="I550" s="1" t="s">
        <v>10472</v>
      </c>
      <c r="J550" s="1">
        <v>8999282756</v>
      </c>
      <c r="K550" s="1" t="s">
        <v>79</v>
      </c>
      <c r="L550" s="1" t="s">
        <v>2401</v>
      </c>
      <c r="M550" s="1" t="s">
        <v>81</v>
      </c>
      <c r="N550" s="1" t="s">
        <v>10473</v>
      </c>
      <c r="O550" s="1"/>
      <c r="P550" s="1" t="s">
        <v>472</v>
      </c>
      <c r="Q550" s="1" t="s">
        <v>10474</v>
      </c>
      <c r="R550" s="1" t="s">
        <v>10475</v>
      </c>
      <c r="S550" s="1">
        <v>9607402310</v>
      </c>
      <c r="T550" s="1" t="s">
        <v>120</v>
      </c>
      <c r="U550" s="1" t="s">
        <v>10476</v>
      </c>
      <c r="V550" s="1">
        <v>9607402310</v>
      </c>
      <c r="W550" s="1" t="s">
        <v>9852</v>
      </c>
      <c r="X550" s="1" t="s">
        <v>10477</v>
      </c>
      <c r="Y550" s="1" t="s">
        <v>1012</v>
      </c>
      <c r="Z550" s="1" t="s">
        <v>92</v>
      </c>
      <c r="AA550" s="1" t="s">
        <v>10477</v>
      </c>
      <c r="AB550" s="1" t="s">
        <v>1012</v>
      </c>
      <c r="AC550" s="1" t="s">
        <v>92</v>
      </c>
      <c r="AD550" s="1">
        <v>8.42</v>
      </c>
      <c r="AE550" s="1" t="s">
        <v>93</v>
      </c>
      <c r="AF550" s="1" t="s">
        <v>10478</v>
      </c>
      <c r="AG550" s="1" t="s">
        <v>160</v>
      </c>
      <c r="AH550" s="1" t="s">
        <v>10479</v>
      </c>
      <c r="AI550" s="1" t="s">
        <v>281</v>
      </c>
      <c r="AJ550" s="1">
        <v>82.4</v>
      </c>
      <c r="AK550" s="1">
        <v>8.67</v>
      </c>
      <c r="AL550" s="1" t="s">
        <v>10480</v>
      </c>
      <c r="AM550" s="1" t="s">
        <v>975</v>
      </c>
      <c r="AN550" s="1" t="s">
        <v>101</v>
      </c>
      <c r="AO550" s="1" t="s">
        <v>173</v>
      </c>
      <c r="AP550" s="1">
        <v>64.62</v>
      </c>
      <c r="AQ550" s="1">
        <v>6.8</v>
      </c>
      <c r="AR550" s="1"/>
      <c r="AS550" s="1"/>
      <c r="AT550" s="1"/>
      <c r="AU550" s="1"/>
      <c r="AV550" s="1"/>
      <c r="AW550" s="1"/>
      <c r="AX550" s="1" t="s">
        <v>102</v>
      </c>
      <c r="AY550" s="1" t="s">
        <v>10481</v>
      </c>
      <c r="AZ550" s="1" t="s">
        <v>460</v>
      </c>
      <c r="BA550" s="1" t="s">
        <v>1067</v>
      </c>
      <c r="BB550" s="1">
        <v>61.5</v>
      </c>
      <c r="BC550" s="1">
        <v>6.65</v>
      </c>
      <c r="BD550" s="1"/>
      <c r="BE550" s="1"/>
      <c r="BF550" s="1"/>
      <c r="BG550" s="1"/>
      <c r="BH550" s="1"/>
      <c r="BI550" s="1"/>
      <c r="BJ550" s="1" t="s">
        <v>10482</v>
      </c>
      <c r="BK550" s="1"/>
      <c r="BL550" s="1"/>
      <c r="BM550" s="1" t="s">
        <v>10483</v>
      </c>
      <c r="BN550" s="1">
        <v>61</v>
      </c>
      <c r="BO550" s="1"/>
      <c r="BP550" s="1" t="str">
        <f>HYPERLINK("https://nconnect.nicmar.ac.in/storage/profile/ProfilePhoto_P25700551_586341.jpg","Download")</f>
        <v>0</v>
      </c>
      <c r="BQ550" s="3"/>
      <c r="BR550" s="3"/>
    </row>
    <row r="551" spans="1:70">
      <c r="A551" s="1" t="s">
        <v>70</v>
      </c>
      <c r="B551" s="1" t="s">
        <v>441</v>
      </c>
      <c r="C551" s="1" t="s">
        <v>10484</v>
      </c>
      <c r="D551" s="1" t="s">
        <v>10485</v>
      </c>
      <c r="E551" s="1" t="s">
        <v>10486</v>
      </c>
      <c r="F551" s="1" t="s">
        <v>10487</v>
      </c>
      <c r="G551" s="1" t="s">
        <v>10488</v>
      </c>
      <c r="H551" s="1" t="s">
        <v>10489</v>
      </c>
      <c r="I551" s="1" t="s">
        <v>10490</v>
      </c>
      <c r="J551" s="1">
        <v>9763220545</v>
      </c>
      <c r="K551" s="1" t="s">
        <v>79</v>
      </c>
      <c r="L551" s="1" t="s">
        <v>10491</v>
      </c>
      <c r="M551" s="1" t="s">
        <v>81</v>
      </c>
      <c r="N551" s="1" t="s">
        <v>1140</v>
      </c>
      <c r="O551" s="1"/>
      <c r="P551" s="1" t="s">
        <v>1007</v>
      </c>
      <c r="Q551" s="1" t="s">
        <v>10492</v>
      </c>
      <c r="R551" s="1" t="s">
        <v>10493</v>
      </c>
      <c r="S551" s="1">
        <v>7721992367</v>
      </c>
      <c r="T551" s="1" t="s">
        <v>1391</v>
      </c>
      <c r="U551" s="1" t="s">
        <v>10494</v>
      </c>
      <c r="V551" s="1">
        <v>7721992367</v>
      </c>
      <c r="W551" s="1" t="s">
        <v>156</v>
      </c>
      <c r="X551" s="1" t="s">
        <v>10495</v>
      </c>
      <c r="Y551" s="1" t="s">
        <v>304</v>
      </c>
      <c r="Z551" s="1" t="s">
        <v>92</v>
      </c>
      <c r="AA551" s="1" t="s">
        <v>10496</v>
      </c>
      <c r="AB551" s="1" t="s">
        <v>611</v>
      </c>
      <c r="AC551" s="1" t="s">
        <v>92</v>
      </c>
      <c r="AD551" s="1">
        <v>8.02</v>
      </c>
      <c r="AE551" s="1" t="s">
        <v>93</v>
      </c>
      <c r="AF551" s="1" t="s">
        <v>10497</v>
      </c>
      <c r="AG551" s="1" t="s">
        <v>758</v>
      </c>
      <c r="AH551" s="1" t="s">
        <v>96</v>
      </c>
      <c r="AI551" s="1" t="s">
        <v>131</v>
      </c>
      <c r="AJ551" s="1">
        <v>87.4</v>
      </c>
      <c r="AK551" s="1">
        <v>9.2</v>
      </c>
      <c r="AL551" s="1" t="s">
        <v>10498</v>
      </c>
      <c r="AM551" s="1" t="s">
        <v>160</v>
      </c>
      <c r="AN551" s="1" t="s">
        <v>614</v>
      </c>
      <c r="AO551" s="1" t="s">
        <v>562</v>
      </c>
      <c r="AP551" s="1">
        <v>69.69</v>
      </c>
      <c r="AQ551" s="1"/>
      <c r="AR551" s="1"/>
      <c r="AS551" s="1"/>
      <c r="AT551" s="1"/>
      <c r="AU551" s="1"/>
      <c r="AV551" s="1"/>
      <c r="AW551" s="1"/>
      <c r="AX551" s="1" t="s">
        <v>10499</v>
      </c>
      <c r="AY551" s="1" t="s">
        <v>10500</v>
      </c>
      <c r="AZ551" s="1" t="s">
        <v>225</v>
      </c>
      <c r="BA551" s="1" t="s">
        <v>436</v>
      </c>
      <c r="BB551" s="1">
        <v>80.8</v>
      </c>
      <c r="BC551" s="1">
        <v>8.58</v>
      </c>
      <c r="BD551" s="1"/>
      <c r="BE551" s="1"/>
      <c r="BF551" s="1"/>
      <c r="BG551" s="1"/>
      <c r="BH551" s="1"/>
      <c r="BI551" s="1"/>
      <c r="BJ551" s="1" t="s">
        <v>10501</v>
      </c>
      <c r="BK551" s="1" t="s">
        <v>10502</v>
      </c>
      <c r="BL551" s="1" t="s">
        <v>138</v>
      </c>
      <c r="BM551" s="1" t="s">
        <v>10503</v>
      </c>
      <c r="BN551" s="1">
        <v>32</v>
      </c>
      <c r="BO551" s="1" t="s">
        <v>10504</v>
      </c>
      <c r="BP551" s="1" t="str">
        <f>HYPERLINK("https://nconnect.nicmar.ac.in/storage/profile/ProfilePhoto_P25700552_231985.jpg","Download")</f>
        <v>0</v>
      </c>
      <c r="BQ551" s="3"/>
      <c r="BR551" s="3"/>
    </row>
    <row r="552" spans="1:70">
      <c r="A552" s="1" t="s">
        <v>70</v>
      </c>
      <c r="B552" s="1" t="s">
        <v>441</v>
      </c>
      <c r="C552" s="1" t="s">
        <v>10505</v>
      </c>
      <c r="D552" s="1" t="s">
        <v>10506</v>
      </c>
      <c r="E552" s="1" t="s">
        <v>5843</v>
      </c>
      <c r="F552" s="1" t="s">
        <v>10507</v>
      </c>
      <c r="G552" s="1" t="s">
        <v>10508</v>
      </c>
      <c r="H552" s="1" t="s">
        <v>10509</v>
      </c>
      <c r="I552" s="1" t="s">
        <v>10510</v>
      </c>
      <c r="J552" s="1">
        <v>7620091034</v>
      </c>
      <c r="K552" s="1" t="s">
        <v>79</v>
      </c>
      <c r="L552" s="1" t="s">
        <v>10511</v>
      </c>
      <c r="M552" s="1" t="s">
        <v>81</v>
      </c>
      <c r="N552" s="1" t="s">
        <v>883</v>
      </c>
      <c r="O552" s="1"/>
      <c r="P552" s="1" t="s">
        <v>450</v>
      </c>
      <c r="Q552" s="1" t="s">
        <v>10512</v>
      </c>
      <c r="R552" s="1" t="s">
        <v>10513</v>
      </c>
      <c r="S552" s="1">
        <v>9975724685</v>
      </c>
      <c r="T552" s="1" t="s">
        <v>820</v>
      </c>
      <c r="U552" s="1" t="s">
        <v>10514</v>
      </c>
      <c r="V552" s="1">
        <v>9975726186</v>
      </c>
      <c r="W552" s="1" t="s">
        <v>156</v>
      </c>
      <c r="X552" s="1" t="s">
        <v>10515</v>
      </c>
      <c r="Y552" s="1" t="s">
        <v>191</v>
      </c>
      <c r="Z552" s="1" t="s">
        <v>92</v>
      </c>
      <c r="AA552" s="1" t="s">
        <v>10516</v>
      </c>
      <c r="AB552" s="1" t="s">
        <v>219</v>
      </c>
      <c r="AC552" s="1" t="s">
        <v>92</v>
      </c>
      <c r="AD552" s="1">
        <v>8.37</v>
      </c>
      <c r="AE552" s="1" t="s">
        <v>93</v>
      </c>
      <c r="AF552" s="1" t="s">
        <v>10517</v>
      </c>
      <c r="AG552" s="1" t="s">
        <v>10518</v>
      </c>
      <c r="AH552" s="1" t="s">
        <v>101</v>
      </c>
      <c r="AI552" s="1" t="s">
        <v>308</v>
      </c>
      <c r="AJ552" s="1">
        <v>77</v>
      </c>
      <c r="AK552" s="1">
        <v>0</v>
      </c>
      <c r="AL552" s="1" t="s">
        <v>10519</v>
      </c>
      <c r="AM552" s="1" t="s">
        <v>10520</v>
      </c>
      <c r="AN552" s="1" t="s">
        <v>460</v>
      </c>
      <c r="AO552" s="1" t="s">
        <v>828</v>
      </c>
      <c r="AP552" s="1">
        <v>93.5</v>
      </c>
      <c r="AQ552" s="1">
        <v>0</v>
      </c>
      <c r="AR552" s="1"/>
      <c r="AS552" s="1"/>
      <c r="AT552" s="1"/>
      <c r="AU552" s="1"/>
      <c r="AV552" s="1"/>
      <c r="AW552" s="1"/>
      <c r="AX552" s="1" t="s">
        <v>361</v>
      </c>
      <c r="AY552" s="1" t="s">
        <v>10521</v>
      </c>
      <c r="AZ552" s="1" t="s">
        <v>852</v>
      </c>
      <c r="BA552" s="1" t="s">
        <v>829</v>
      </c>
      <c r="BB552" s="1">
        <v>67.19</v>
      </c>
      <c r="BC552" s="1">
        <v>7.55</v>
      </c>
      <c r="BD552" s="1"/>
      <c r="BE552" s="1"/>
      <c r="BF552" s="1"/>
      <c r="BG552" s="1"/>
      <c r="BH552" s="1"/>
      <c r="BI552" s="1"/>
      <c r="BJ552" s="1" t="s">
        <v>830</v>
      </c>
      <c r="BK552" s="1"/>
      <c r="BL552" s="1"/>
      <c r="BM552" s="1" t="s">
        <v>10522</v>
      </c>
      <c r="BN552" s="1">
        <v>12</v>
      </c>
      <c r="BO552" s="1"/>
      <c r="BP552" s="1" t="str">
        <f>HYPERLINK("https://nconnect.nicmar.ac.in/storage/profile/ProfilePhoto_P25700553_372649.jpg","Download")</f>
        <v>0</v>
      </c>
      <c r="BQ552" s="3"/>
      <c r="BR552" s="3"/>
    </row>
    <row r="553" spans="1:70">
      <c r="A553" s="1" t="s">
        <v>70</v>
      </c>
      <c r="B553" s="1" t="s">
        <v>441</v>
      </c>
      <c r="C553" s="1" t="s">
        <v>10523</v>
      </c>
      <c r="D553" s="1" t="s">
        <v>3511</v>
      </c>
      <c r="E553" s="1" t="s">
        <v>1644</v>
      </c>
      <c r="F553" s="1" t="s">
        <v>2072</v>
      </c>
      <c r="G553" s="1" t="s">
        <v>10524</v>
      </c>
      <c r="H553" s="1" t="s">
        <v>10525</v>
      </c>
      <c r="I553" s="1" t="s">
        <v>10526</v>
      </c>
      <c r="J553" s="1">
        <v>7977236149</v>
      </c>
      <c r="K553" s="1" t="s">
        <v>79</v>
      </c>
      <c r="L553" s="1" t="s">
        <v>10527</v>
      </c>
      <c r="M553" s="1" t="s">
        <v>81</v>
      </c>
      <c r="N553" s="1" t="s">
        <v>10528</v>
      </c>
      <c r="O553" s="1"/>
      <c r="P553" s="1" t="s">
        <v>497</v>
      </c>
      <c r="Q553" s="1" t="s">
        <v>10529</v>
      </c>
      <c r="R553" s="1" t="s">
        <v>1644</v>
      </c>
      <c r="S553" s="1">
        <v>9892317564</v>
      </c>
      <c r="T553" s="1" t="s">
        <v>87</v>
      </c>
      <c r="U553" s="1" t="s">
        <v>10530</v>
      </c>
      <c r="V553" s="1">
        <v>8286908857</v>
      </c>
      <c r="W553" s="1" t="s">
        <v>156</v>
      </c>
      <c r="X553" s="1" t="s">
        <v>10531</v>
      </c>
      <c r="Y553" s="1" t="s">
        <v>991</v>
      </c>
      <c r="Z553" s="1" t="s">
        <v>92</v>
      </c>
      <c r="AA553" s="1" t="s">
        <v>10531</v>
      </c>
      <c r="AB553" s="1" t="s">
        <v>991</v>
      </c>
      <c r="AC553" s="1" t="s">
        <v>92</v>
      </c>
      <c r="AD553" s="1" t="s">
        <v>93</v>
      </c>
      <c r="AE553" s="1" t="s">
        <v>93</v>
      </c>
      <c r="AF553" s="1" t="s">
        <v>10532</v>
      </c>
      <c r="AG553" s="1" t="s">
        <v>10533</v>
      </c>
      <c r="AH553" s="1" t="s">
        <v>161</v>
      </c>
      <c r="AI553" s="1" t="s">
        <v>1089</v>
      </c>
      <c r="AJ553" s="1">
        <v>68.6</v>
      </c>
      <c r="AK553" s="1"/>
      <c r="AL553" s="1" t="s">
        <v>10534</v>
      </c>
      <c r="AM553" s="1" t="s">
        <v>10533</v>
      </c>
      <c r="AN553" s="1" t="s">
        <v>165</v>
      </c>
      <c r="AO553" s="1" t="s">
        <v>1455</v>
      </c>
      <c r="AP553" s="1">
        <v>49.69</v>
      </c>
      <c r="AQ553" s="1"/>
      <c r="AR553" s="1" t="s">
        <v>98</v>
      </c>
      <c r="AS553" s="1" t="s">
        <v>10535</v>
      </c>
      <c r="AT553" s="1" t="s">
        <v>101</v>
      </c>
      <c r="AU553" s="1" t="s">
        <v>412</v>
      </c>
      <c r="AV553" s="1">
        <v>71.63</v>
      </c>
      <c r="AW553" s="1"/>
      <c r="AX553" s="1" t="s">
        <v>666</v>
      </c>
      <c r="AY553" s="1" t="s">
        <v>10536</v>
      </c>
      <c r="AZ553" s="1" t="s">
        <v>363</v>
      </c>
      <c r="BA553" s="1" t="s">
        <v>413</v>
      </c>
      <c r="BB553" s="1">
        <v>64.62</v>
      </c>
      <c r="BC553" s="1">
        <v>7.21</v>
      </c>
      <c r="BD553" s="1"/>
      <c r="BE553" s="1"/>
      <c r="BF553" s="1"/>
      <c r="BG553" s="1"/>
      <c r="BH553" s="1"/>
      <c r="BI553" s="1"/>
      <c r="BJ553" s="1" t="s">
        <v>364</v>
      </c>
      <c r="BK553" s="1"/>
      <c r="BL553" s="1"/>
      <c r="BM553" s="1" t="s">
        <v>10537</v>
      </c>
      <c r="BN553" s="1">
        <v>28</v>
      </c>
      <c r="BO553" s="1"/>
      <c r="BP553" s="1" t="str">
        <f>HYPERLINK("https://nconnect.nicmar.ac.in/storage/profile/ProfilePhoto_P25700554_582394.jpg","Download")</f>
        <v>0</v>
      </c>
      <c r="BQ553" s="3"/>
      <c r="BR553" s="3"/>
    </row>
    <row r="554" spans="1:70">
      <c r="A554" s="1" t="s">
        <v>70</v>
      </c>
      <c r="B554" s="1" t="s">
        <v>441</v>
      </c>
      <c r="C554" s="1" t="s">
        <v>10538</v>
      </c>
      <c r="D554" s="1" t="s">
        <v>10539</v>
      </c>
      <c r="E554" s="1" t="s">
        <v>4651</v>
      </c>
      <c r="F554" s="1" t="s">
        <v>10540</v>
      </c>
      <c r="G554" s="1" t="s">
        <v>10541</v>
      </c>
      <c r="H554" s="1" t="s">
        <v>10542</v>
      </c>
      <c r="I554" s="1" t="s">
        <v>10543</v>
      </c>
      <c r="J554" s="1">
        <v>7666925589</v>
      </c>
      <c r="K554" s="1" t="s">
        <v>79</v>
      </c>
      <c r="L554" s="1" t="s">
        <v>5401</v>
      </c>
      <c r="M554" s="1" t="s">
        <v>81</v>
      </c>
      <c r="N554" s="1" t="s">
        <v>4274</v>
      </c>
      <c r="O554" s="1"/>
      <c r="P554" s="1" t="s">
        <v>497</v>
      </c>
      <c r="Q554" s="1" t="s">
        <v>10544</v>
      </c>
      <c r="R554" s="1" t="s">
        <v>10545</v>
      </c>
      <c r="S554" s="1">
        <v>7972595528</v>
      </c>
      <c r="T554" s="1" t="s">
        <v>154</v>
      </c>
      <c r="U554" s="1" t="s">
        <v>10546</v>
      </c>
      <c r="V554" s="1">
        <v>9921316337</v>
      </c>
      <c r="W554" s="1" t="s">
        <v>156</v>
      </c>
      <c r="X554" s="1" t="s">
        <v>10547</v>
      </c>
      <c r="Y554" s="1" t="s">
        <v>191</v>
      </c>
      <c r="Z554" s="1" t="s">
        <v>92</v>
      </c>
      <c r="AA554" s="1" t="s">
        <v>10548</v>
      </c>
      <c r="AB554" s="1" t="s">
        <v>246</v>
      </c>
      <c r="AC554" s="1" t="s">
        <v>92</v>
      </c>
      <c r="AD554" s="1">
        <v>7.89</v>
      </c>
      <c r="AE554" s="1" t="s">
        <v>93</v>
      </c>
      <c r="AF554" s="1" t="s">
        <v>10549</v>
      </c>
      <c r="AG554" s="1" t="s">
        <v>616</v>
      </c>
      <c r="AH554" s="1" t="s">
        <v>165</v>
      </c>
      <c r="AI554" s="1" t="s">
        <v>195</v>
      </c>
      <c r="AJ554" s="1">
        <v>82.4</v>
      </c>
      <c r="AK554" s="1"/>
      <c r="AL554" s="1" t="s">
        <v>10550</v>
      </c>
      <c r="AM554" s="1" t="s">
        <v>616</v>
      </c>
      <c r="AN554" s="1" t="s">
        <v>101</v>
      </c>
      <c r="AO554" s="1" t="s">
        <v>433</v>
      </c>
      <c r="AP554" s="1">
        <v>71.85</v>
      </c>
      <c r="AQ554" s="1"/>
      <c r="AR554" s="1"/>
      <c r="AS554" s="1"/>
      <c r="AT554" s="1"/>
      <c r="AU554" s="1"/>
      <c r="AV554" s="1"/>
      <c r="AW554" s="1"/>
      <c r="AX554" s="1" t="s">
        <v>361</v>
      </c>
      <c r="AY554" s="1" t="s">
        <v>10551</v>
      </c>
      <c r="AZ554" s="1" t="s">
        <v>201</v>
      </c>
      <c r="BA554" s="1" t="s">
        <v>935</v>
      </c>
      <c r="BB554" s="1">
        <v>63.72</v>
      </c>
      <c r="BC554" s="1">
        <v>7.16</v>
      </c>
      <c r="BD554" s="1"/>
      <c r="BE554" s="1"/>
      <c r="BF554" s="1"/>
      <c r="BG554" s="1"/>
      <c r="BH554" s="1"/>
      <c r="BI554" s="1"/>
      <c r="BJ554" s="1" t="s">
        <v>10552</v>
      </c>
      <c r="BK554" s="1" t="s">
        <v>10553</v>
      </c>
      <c r="BL554" s="1" t="s">
        <v>1459</v>
      </c>
      <c r="BM554" s="1" t="s">
        <v>10554</v>
      </c>
      <c r="BN554" s="1">
        <v>8</v>
      </c>
      <c r="BO554" s="1"/>
      <c r="BP554" s="1" t="str">
        <f>HYPERLINK("https://nconnect.nicmar.ac.in/storage/profile/ProfilePhoto_P25700555_613982.jpg","Download")</f>
        <v>0</v>
      </c>
      <c r="BQ554" s="3"/>
      <c r="BR554" s="3"/>
    </row>
    <row r="555" spans="1:70">
      <c r="A555" s="1" t="s">
        <v>70</v>
      </c>
      <c r="B555" s="1" t="s">
        <v>441</v>
      </c>
      <c r="C555" s="1" t="s">
        <v>10555</v>
      </c>
      <c r="D555" s="1" t="s">
        <v>9367</v>
      </c>
      <c r="E555" s="1" t="s">
        <v>10556</v>
      </c>
      <c r="F555" s="1" t="s">
        <v>1156</v>
      </c>
      <c r="G555" s="1" t="s">
        <v>10557</v>
      </c>
      <c r="H555" s="1" t="s">
        <v>10558</v>
      </c>
      <c r="I555" s="1" t="s">
        <v>10559</v>
      </c>
      <c r="J555" s="1">
        <v>9309916810</v>
      </c>
      <c r="K555" s="1" t="s">
        <v>79</v>
      </c>
      <c r="L555" s="1" t="s">
        <v>10560</v>
      </c>
      <c r="M555" s="1" t="s">
        <v>81</v>
      </c>
      <c r="N555" s="1" t="s">
        <v>605</v>
      </c>
      <c r="O555" s="1"/>
      <c r="P555" s="1" t="s">
        <v>1007</v>
      </c>
      <c r="Q555" s="1" t="s">
        <v>10561</v>
      </c>
      <c r="R555" s="1" t="s">
        <v>10562</v>
      </c>
      <c r="S555" s="1">
        <v>7387816810</v>
      </c>
      <c r="T555" s="1" t="s">
        <v>120</v>
      </c>
      <c r="U555" s="1" t="s">
        <v>10563</v>
      </c>
      <c r="V555" s="1">
        <v>8446796810</v>
      </c>
      <c r="W555" s="1" t="s">
        <v>156</v>
      </c>
      <c r="X555" s="1" t="s">
        <v>10564</v>
      </c>
      <c r="Y555" s="1" t="s">
        <v>191</v>
      </c>
      <c r="Z555" s="1" t="s">
        <v>92</v>
      </c>
      <c r="AA555" s="1" t="s">
        <v>10565</v>
      </c>
      <c r="AB555" s="1" t="s">
        <v>304</v>
      </c>
      <c r="AC555" s="1" t="s">
        <v>92</v>
      </c>
      <c r="AD555" s="1">
        <v>8.06</v>
      </c>
      <c r="AE555" s="1" t="s">
        <v>93</v>
      </c>
      <c r="AF555" s="1" t="s">
        <v>10566</v>
      </c>
      <c r="AG555" s="1" t="s">
        <v>10567</v>
      </c>
      <c r="AH555" s="1" t="s">
        <v>279</v>
      </c>
      <c r="AI555" s="1" t="s">
        <v>165</v>
      </c>
      <c r="AJ555" s="1">
        <v>83.4</v>
      </c>
      <c r="AK555" s="1"/>
      <c r="AL555" s="1"/>
      <c r="AM555" s="1"/>
      <c r="AN555" s="1"/>
      <c r="AO555" s="1"/>
      <c r="AP555" s="1"/>
      <c r="AQ555" s="1"/>
      <c r="AR555" s="1" t="s">
        <v>98</v>
      </c>
      <c r="AS555" s="1" t="s">
        <v>10568</v>
      </c>
      <c r="AT555" s="1" t="s">
        <v>383</v>
      </c>
      <c r="AU555" s="1" t="s">
        <v>170</v>
      </c>
      <c r="AV555" s="1">
        <v>86.58</v>
      </c>
      <c r="AW555" s="1"/>
      <c r="AX555" s="1" t="s">
        <v>361</v>
      </c>
      <c r="AY555" s="1" t="s">
        <v>10569</v>
      </c>
      <c r="AZ555" s="1" t="s">
        <v>1019</v>
      </c>
      <c r="BA555" s="1" t="s">
        <v>174</v>
      </c>
      <c r="BB555" s="1">
        <v>80.24</v>
      </c>
      <c r="BC555" s="1">
        <v>8.77</v>
      </c>
      <c r="BD555" s="1"/>
      <c r="BE555" s="1"/>
      <c r="BF555" s="1"/>
      <c r="BG555" s="1"/>
      <c r="BH555" s="1"/>
      <c r="BI555" s="1"/>
      <c r="BJ555" s="1" t="s">
        <v>10570</v>
      </c>
      <c r="BK555" s="1" t="s">
        <v>10571</v>
      </c>
      <c r="BL555" s="1" t="s">
        <v>2434</v>
      </c>
      <c r="BM555" s="1" t="s">
        <v>10572</v>
      </c>
      <c r="BN555" s="1">
        <v>15</v>
      </c>
      <c r="BO555" s="1" t="s">
        <v>10573</v>
      </c>
      <c r="BP555" s="1" t="str">
        <f>HYPERLINK("https://nconnect.nicmar.ac.in/storage/profile/ProfilePhoto_P25700557_162945.jpg","Download")</f>
        <v>0</v>
      </c>
      <c r="BQ555" s="3"/>
      <c r="BR555" s="3"/>
    </row>
    <row r="556" spans="1:70">
      <c r="A556" s="1" t="s">
        <v>70</v>
      </c>
      <c r="B556" s="1" t="s">
        <v>441</v>
      </c>
      <c r="C556" s="1" t="s">
        <v>10574</v>
      </c>
      <c r="D556" s="1" t="s">
        <v>10575</v>
      </c>
      <c r="E556" s="1" t="s">
        <v>208</v>
      </c>
      <c r="F556" s="1" t="s">
        <v>9953</v>
      </c>
      <c r="G556" s="1" t="s">
        <v>10576</v>
      </c>
      <c r="H556" s="1" t="s">
        <v>10577</v>
      </c>
      <c r="I556" s="1" t="s">
        <v>10578</v>
      </c>
      <c r="J556" s="1">
        <v>9518386795</v>
      </c>
      <c r="K556" s="1" t="s">
        <v>79</v>
      </c>
      <c r="L556" s="1" t="s">
        <v>10579</v>
      </c>
      <c r="M556" s="1" t="s">
        <v>81</v>
      </c>
      <c r="N556" s="1" t="s">
        <v>10580</v>
      </c>
      <c r="O556" s="1"/>
      <c r="P556" s="1" t="s">
        <v>472</v>
      </c>
      <c r="Q556" s="1" t="s">
        <v>10581</v>
      </c>
      <c r="R556" s="1" t="s">
        <v>10582</v>
      </c>
      <c r="S556" s="1">
        <v>9165506657</v>
      </c>
      <c r="T556" s="1" t="s">
        <v>10583</v>
      </c>
      <c r="U556" s="1" t="s">
        <v>10584</v>
      </c>
      <c r="V556" s="1">
        <v>8605888772</v>
      </c>
      <c r="W556" s="1" t="s">
        <v>156</v>
      </c>
      <c r="X556" s="1" t="s">
        <v>10585</v>
      </c>
      <c r="Y556" s="1" t="s">
        <v>191</v>
      </c>
      <c r="Z556" s="1" t="s">
        <v>92</v>
      </c>
      <c r="AA556" s="1" t="s">
        <v>10586</v>
      </c>
      <c r="AB556" s="1" t="s">
        <v>405</v>
      </c>
      <c r="AC556" s="1" t="s">
        <v>92</v>
      </c>
      <c r="AD556" s="1">
        <v>7.92</v>
      </c>
      <c r="AE556" s="1" t="s">
        <v>93</v>
      </c>
      <c r="AF556" s="1" t="s">
        <v>10587</v>
      </c>
      <c r="AG556" s="1" t="s">
        <v>10588</v>
      </c>
      <c r="AH556" s="1" t="s">
        <v>1089</v>
      </c>
      <c r="AI556" s="1" t="s">
        <v>195</v>
      </c>
      <c r="AJ556" s="1">
        <v>78.2</v>
      </c>
      <c r="AK556" s="1"/>
      <c r="AL556" s="1" t="s">
        <v>10589</v>
      </c>
      <c r="AM556" s="1" t="s">
        <v>10588</v>
      </c>
      <c r="AN556" s="1" t="s">
        <v>1455</v>
      </c>
      <c r="AO556" s="1" t="s">
        <v>198</v>
      </c>
      <c r="AP556" s="1">
        <v>64.62</v>
      </c>
      <c r="AQ556" s="1"/>
      <c r="AR556" s="1"/>
      <c r="AS556" s="1"/>
      <c r="AT556" s="1"/>
      <c r="AU556" s="1"/>
      <c r="AV556" s="1"/>
      <c r="AW556" s="1"/>
      <c r="AX556" s="1" t="s">
        <v>10590</v>
      </c>
      <c r="AY556" s="1" t="s">
        <v>10588</v>
      </c>
      <c r="AZ556" s="1" t="s">
        <v>201</v>
      </c>
      <c r="BA556" s="1" t="s">
        <v>543</v>
      </c>
      <c r="BB556" s="1">
        <v>57.1</v>
      </c>
      <c r="BC556" s="1">
        <v>6.46</v>
      </c>
      <c r="BD556" s="1"/>
      <c r="BE556" s="1"/>
      <c r="BF556" s="1"/>
      <c r="BG556" s="1"/>
      <c r="BH556" s="1"/>
      <c r="BI556" s="1"/>
      <c r="BJ556" s="1" t="s">
        <v>10591</v>
      </c>
      <c r="BK556" s="1"/>
      <c r="BL556" s="1"/>
      <c r="BM556" s="1" t="s">
        <v>10592</v>
      </c>
      <c r="BN556" s="1">
        <v>42</v>
      </c>
      <c r="BO556" s="1" t="s">
        <v>10593</v>
      </c>
      <c r="BP556" s="1" t="str">
        <f>HYPERLINK("https://nconnect.nicmar.ac.in/storage/profile/ProfilePhoto_P25700558_745321.jpg","Download")</f>
        <v>0</v>
      </c>
      <c r="BQ556" s="3"/>
      <c r="BR556" s="3"/>
    </row>
    <row r="557" spans="1:70">
      <c r="A557" s="1" t="s">
        <v>70</v>
      </c>
      <c r="B557" s="1" t="s">
        <v>441</v>
      </c>
      <c r="C557" s="1" t="s">
        <v>10594</v>
      </c>
      <c r="D557" s="1" t="s">
        <v>6854</v>
      </c>
      <c r="E557" s="1"/>
      <c r="F557" s="1" t="s">
        <v>10595</v>
      </c>
      <c r="G557" s="1" t="s">
        <v>10596</v>
      </c>
      <c r="H557" s="1" t="s">
        <v>10597</v>
      </c>
      <c r="I557" s="1" t="s">
        <v>10598</v>
      </c>
      <c r="J557" s="1">
        <v>9538385011</v>
      </c>
      <c r="K557" s="1" t="s">
        <v>79</v>
      </c>
      <c r="L557" s="1" t="s">
        <v>10599</v>
      </c>
      <c r="M557" s="1" t="s">
        <v>81</v>
      </c>
      <c r="N557" s="1" t="s">
        <v>10600</v>
      </c>
      <c r="O557" s="1" t="s">
        <v>10601</v>
      </c>
      <c r="P557" s="1" t="s">
        <v>117</v>
      </c>
      <c r="Q557" s="1" t="s">
        <v>10602</v>
      </c>
      <c r="R557" s="1" t="s">
        <v>10603</v>
      </c>
      <c r="S557" s="1">
        <v>9686204400</v>
      </c>
      <c r="T557" s="1" t="s">
        <v>820</v>
      </c>
      <c r="U557" s="1" t="s">
        <v>10604</v>
      </c>
      <c r="V557" s="1">
        <v>9036661276</v>
      </c>
      <c r="W557" s="1" t="s">
        <v>531</v>
      </c>
      <c r="X557" s="1" t="s">
        <v>10605</v>
      </c>
      <c r="Y557" s="1" t="s">
        <v>4001</v>
      </c>
      <c r="Z557" s="1" t="s">
        <v>1187</v>
      </c>
      <c r="AA557" s="1" t="s">
        <v>10605</v>
      </c>
      <c r="AB557" s="1" t="s">
        <v>4001</v>
      </c>
      <c r="AC557" s="1" t="s">
        <v>1187</v>
      </c>
      <c r="AD557" s="1">
        <v>9.08</v>
      </c>
      <c r="AE557" s="1" t="s">
        <v>93</v>
      </c>
      <c r="AF557" s="1" t="s">
        <v>10606</v>
      </c>
      <c r="AG557" s="1" t="s">
        <v>758</v>
      </c>
      <c r="AH557" s="1" t="s">
        <v>562</v>
      </c>
      <c r="AI557" s="1" t="s">
        <v>166</v>
      </c>
      <c r="AJ557" s="1">
        <v>86.8</v>
      </c>
      <c r="AK557" s="1"/>
      <c r="AL557" s="1" t="s">
        <v>10607</v>
      </c>
      <c r="AM557" s="1" t="s">
        <v>10608</v>
      </c>
      <c r="AN557" s="1" t="s">
        <v>101</v>
      </c>
      <c r="AO557" s="1" t="s">
        <v>173</v>
      </c>
      <c r="AP557" s="1">
        <v>91.66</v>
      </c>
      <c r="AQ557" s="1"/>
      <c r="AR557" s="1"/>
      <c r="AS557" s="1"/>
      <c r="AT557" s="1"/>
      <c r="AU557" s="1"/>
      <c r="AV557" s="1"/>
      <c r="AW557" s="1"/>
      <c r="AX557" s="1" t="s">
        <v>4201</v>
      </c>
      <c r="AY557" s="1" t="s">
        <v>10609</v>
      </c>
      <c r="AZ557" s="1" t="s">
        <v>228</v>
      </c>
      <c r="BA557" s="1" t="s">
        <v>5344</v>
      </c>
      <c r="BB557" s="1">
        <v>68</v>
      </c>
      <c r="BC557" s="1"/>
      <c r="BD557" s="1"/>
      <c r="BE557" s="1"/>
      <c r="BF557" s="1"/>
      <c r="BG557" s="1"/>
      <c r="BH557" s="1"/>
      <c r="BI557" s="1"/>
      <c r="BJ557" s="1" t="s">
        <v>10610</v>
      </c>
      <c r="BK557" s="1"/>
      <c r="BL557" s="1"/>
      <c r="BM557" s="1" t="s">
        <v>10611</v>
      </c>
      <c r="BN557" s="1">
        <v>33</v>
      </c>
      <c r="BO557" s="1"/>
      <c r="BP557" s="1" t="str">
        <f>HYPERLINK("https://nconnect.nicmar.ac.in/storage/profile/ProfilePhoto_P25700559_513428.jpg","Download")</f>
        <v>0</v>
      </c>
      <c r="BQ557" s="3"/>
      <c r="BR557" s="3"/>
    </row>
    <row r="558" spans="1:70">
      <c r="A558" s="1" t="s">
        <v>70</v>
      </c>
      <c r="B558" s="1" t="s">
        <v>441</v>
      </c>
      <c r="C558" s="1" t="s">
        <v>10612</v>
      </c>
      <c r="D558" s="1" t="s">
        <v>1867</v>
      </c>
      <c r="E558" s="1" t="s">
        <v>2071</v>
      </c>
      <c r="F558" s="1" t="s">
        <v>10613</v>
      </c>
      <c r="G558" s="1" t="s">
        <v>10614</v>
      </c>
      <c r="H558" s="1" t="s">
        <v>10615</v>
      </c>
      <c r="I558" s="1" t="s">
        <v>10616</v>
      </c>
      <c r="J558" s="1">
        <v>8625091424</v>
      </c>
      <c r="K558" s="1" t="s">
        <v>79</v>
      </c>
      <c r="L558" s="1" t="s">
        <v>10617</v>
      </c>
      <c r="M558" s="1" t="s">
        <v>81</v>
      </c>
      <c r="N558" s="1" t="s">
        <v>605</v>
      </c>
      <c r="O558" s="1"/>
      <c r="P558" s="1" t="s">
        <v>472</v>
      </c>
      <c r="Q558" s="1" t="s">
        <v>10618</v>
      </c>
      <c r="R558" s="1" t="s">
        <v>2071</v>
      </c>
      <c r="S558" s="1">
        <v>9822671871</v>
      </c>
      <c r="T558" s="1" t="s">
        <v>6961</v>
      </c>
      <c r="U558" s="1" t="s">
        <v>6521</v>
      </c>
      <c r="V558" s="1">
        <v>9822981871</v>
      </c>
      <c r="W558" s="1" t="s">
        <v>156</v>
      </c>
      <c r="X558" s="1" t="s">
        <v>10619</v>
      </c>
      <c r="Y558" s="1" t="s">
        <v>191</v>
      </c>
      <c r="Z558" s="1" t="s">
        <v>92</v>
      </c>
      <c r="AA558" s="1" t="s">
        <v>10619</v>
      </c>
      <c r="AB558" s="1" t="s">
        <v>191</v>
      </c>
      <c r="AC558" s="1" t="s">
        <v>92</v>
      </c>
      <c r="AD558" s="1">
        <v>8.8</v>
      </c>
      <c r="AE558" s="1" t="s">
        <v>93</v>
      </c>
      <c r="AF558" s="1" t="s">
        <v>10620</v>
      </c>
      <c r="AG558" s="1" t="s">
        <v>307</v>
      </c>
      <c r="AH558" s="1" t="s">
        <v>689</v>
      </c>
      <c r="AI558" s="1" t="s">
        <v>166</v>
      </c>
      <c r="AJ558" s="1">
        <v>93</v>
      </c>
      <c r="AK558" s="1">
        <v>0</v>
      </c>
      <c r="AL558" s="1" t="s">
        <v>10621</v>
      </c>
      <c r="AM558" s="1" t="s">
        <v>307</v>
      </c>
      <c r="AN558" s="1" t="s">
        <v>537</v>
      </c>
      <c r="AO558" s="1" t="s">
        <v>173</v>
      </c>
      <c r="AP558" s="1">
        <v>73.8</v>
      </c>
      <c r="AQ558" s="1">
        <v>0</v>
      </c>
      <c r="AR558" s="1"/>
      <c r="AS558" s="1"/>
      <c r="AT558" s="1"/>
      <c r="AU558" s="1"/>
      <c r="AV558" s="1"/>
      <c r="AW558" s="1"/>
      <c r="AX558" s="1" t="s">
        <v>361</v>
      </c>
      <c r="AY558" s="1" t="s">
        <v>10622</v>
      </c>
      <c r="AZ558" s="1" t="s">
        <v>363</v>
      </c>
      <c r="BA558" s="1" t="s">
        <v>413</v>
      </c>
      <c r="BB558" s="1">
        <v>82.75</v>
      </c>
      <c r="BC558" s="1">
        <v>8.71</v>
      </c>
      <c r="BD558" s="1"/>
      <c r="BE558" s="1"/>
      <c r="BF558" s="1"/>
      <c r="BG558" s="1"/>
      <c r="BH558" s="1"/>
      <c r="BI558" s="1"/>
      <c r="BJ558" s="1" t="s">
        <v>567</v>
      </c>
      <c r="BK558" s="1"/>
      <c r="BL558" s="1"/>
      <c r="BM558" s="1" t="s">
        <v>10623</v>
      </c>
      <c r="BN558" s="1">
        <v>13</v>
      </c>
      <c r="BO558" s="1"/>
      <c r="BP558" s="1" t="str">
        <f>HYPERLINK("https://nconnect.nicmar.ac.in/storage/profile/ProfilePhoto_P25700560_126375.jpg","Download")</f>
        <v>0</v>
      </c>
      <c r="BQ558" s="3"/>
      <c r="BR558" s="3"/>
    </row>
    <row r="559" spans="1:70">
      <c r="A559" s="1" t="s">
        <v>70</v>
      </c>
      <c r="B559" s="1" t="s">
        <v>441</v>
      </c>
      <c r="C559" s="1" t="s">
        <v>10624</v>
      </c>
      <c r="D559" s="1" t="s">
        <v>10625</v>
      </c>
      <c r="E559" s="1"/>
      <c r="F559" s="1" t="s">
        <v>10626</v>
      </c>
      <c r="G559" s="1" t="s">
        <v>10627</v>
      </c>
      <c r="H559" s="1" t="s">
        <v>10628</v>
      </c>
      <c r="I559" s="1" t="s">
        <v>10629</v>
      </c>
      <c r="J559" s="1">
        <v>7569798960</v>
      </c>
      <c r="K559" s="1" t="s">
        <v>79</v>
      </c>
      <c r="L559" s="1" t="s">
        <v>10630</v>
      </c>
      <c r="M559" s="1" t="s">
        <v>81</v>
      </c>
      <c r="N559" s="1" t="s">
        <v>10631</v>
      </c>
      <c r="O559" s="1"/>
      <c r="P559" s="1" t="s">
        <v>450</v>
      </c>
      <c r="Q559" s="1" t="s">
        <v>10632</v>
      </c>
      <c r="R559" s="1" t="s">
        <v>10633</v>
      </c>
      <c r="S559" s="1">
        <v>9676103496</v>
      </c>
      <c r="T559" s="1" t="s">
        <v>529</v>
      </c>
      <c r="U559" s="1" t="s">
        <v>10634</v>
      </c>
      <c r="V559" s="1">
        <v>9908511480</v>
      </c>
      <c r="W559" s="1" t="s">
        <v>531</v>
      </c>
      <c r="X559" s="1" t="s">
        <v>10635</v>
      </c>
      <c r="Y559" s="1" t="s">
        <v>3050</v>
      </c>
      <c r="Z559" s="1" t="s">
        <v>456</v>
      </c>
      <c r="AA559" s="1" t="s">
        <v>10635</v>
      </c>
      <c r="AB559" s="1" t="s">
        <v>3050</v>
      </c>
      <c r="AC559" s="1" t="s">
        <v>456</v>
      </c>
      <c r="AD559" s="1">
        <v>8.54</v>
      </c>
      <c r="AE559" s="1" t="s">
        <v>93</v>
      </c>
      <c r="AF559" s="1" t="s">
        <v>2663</v>
      </c>
      <c r="AG559" s="1" t="s">
        <v>10636</v>
      </c>
      <c r="AH559" s="1" t="s">
        <v>162</v>
      </c>
      <c r="AI559" s="1" t="s">
        <v>195</v>
      </c>
      <c r="AJ559" s="1">
        <v>90</v>
      </c>
      <c r="AK559" s="1">
        <v>9</v>
      </c>
      <c r="AL559" s="1" t="s">
        <v>10637</v>
      </c>
      <c r="AM559" s="1" t="s">
        <v>3053</v>
      </c>
      <c r="AN559" s="1" t="s">
        <v>165</v>
      </c>
      <c r="AO559" s="1" t="s">
        <v>433</v>
      </c>
      <c r="AP559" s="1">
        <v>74.7</v>
      </c>
      <c r="AQ559" s="1"/>
      <c r="AR559" s="1"/>
      <c r="AS559" s="1"/>
      <c r="AT559" s="1"/>
      <c r="AU559" s="1"/>
      <c r="AV559" s="1"/>
      <c r="AW559" s="1"/>
      <c r="AX559" s="1" t="s">
        <v>10638</v>
      </c>
      <c r="AY559" s="1" t="s">
        <v>10638</v>
      </c>
      <c r="AZ559" s="1" t="s">
        <v>201</v>
      </c>
      <c r="BA559" s="1" t="s">
        <v>202</v>
      </c>
      <c r="BB559" s="1">
        <v>70.2</v>
      </c>
      <c r="BC559" s="1">
        <v>7.52</v>
      </c>
      <c r="BD559" s="1"/>
      <c r="BE559" s="1"/>
      <c r="BF559" s="1"/>
      <c r="BG559" s="1"/>
      <c r="BH559" s="1"/>
      <c r="BI559" s="1"/>
      <c r="BJ559" s="1" t="s">
        <v>10639</v>
      </c>
      <c r="BK559" s="1" t="s">
        <v>10640</v>
      </c>
      <c r="BL559" s="1" t="s">
        <v>463</v>
      </c>
      <c r="BM559" s="1" t="s">
        <v>10641</v>
      </c>
      <c r="BN559" s="1">
        <v>28</v>
      </c>
      <c r="BO559" s="1" t="s">
        <v>10642</v>
      </c>
      <c r="BP559" s="1" t="str">
        <f>HYPERLINK("https://nconnect.nicmar.ac.in/storage/profile/ProfilePhoto_P25700561_948516.jpg","Download")</f>
        <v>0</v>
      </c>
      <c r="BQ559" s="3"/>
      <c r="BR559" s="3"/>
    </row>
    <row r="560" spans="1:70">
      <c r="A560" s="1" t="s">
        <v>70</v>
      </c>
      <c r="B560" s="1" t="s">
        <v>441</v>
      </c>
      <c r="C560" s="1" t="s">
        <v>10643</v>
      </c>
      <c r="D560" s="1" t="s">
        <v>10644</v>
      </c>
      <c r="E560" s="1"/>
      <c r="F560" s="1" t="s">
        <v>10645</v>
      </c>
      <c r="G560" s="1" t="s">
        <v>10646</v>
      </c>
      <c r="H560" s="1" t="s">
        <v>10647</v>
      </c>
      <c r="I560" s="1" t="s">
        <v>10648</v>
      </c>
      <c r="J560" s="1">
        <v>7907237288</v>
      </c>
      <c r="K560" s="1" t="s">
        <v>79</v>
      </c>
      <c r="L560" s="1" t="s">
        <v>397</v>
      </c>
      <c r="M560" s="1" t="s">
        <v>81</v>
      </c>
      <c r="N560" s="1" t="s">
        <v>10649</v>
      </c>
      <c r="O560" s="1" t="s">
        <v>10650</v>
      </c>
      <c r="P560" s="1" t="s">
        <v>214</v>
      </c>
      <c r="Q560" s="1" t="s">
        <v>10651</v>
      </c>
      <c r="R560" s="1" t="s">
        <v>10652</v>
      </c>
      <c r="S560" s="1">
        <v>9447272477</v>
      </c>
      <c r="T560" s="1" t="s">
        <v>10653</v>
      </c>
      <c r="U560" s="1" t="s">
        <v>10654</v>
      </c>
      <c r="V560" s="1">
        <v>9074244457</v>
      </c>
      <c r="W560" s="1" t="s">
        <v>531</v>
      </c>
      <c r="X560" s="1" t="s">
        <v>10655</v>
      </c>
      <c r="Y560" s="1" t="s">
        <v>1261</v>
      </c>
      <c r="Z560" s="1" t="s">
        <v>125</v>
      </c>
      <c r="AA560" s="1" t="s">
        <v>10655</v>
      </c>
      <c r="AB560" s="1" t="s">
        <v>1261</v>
      </c>
      <c r="AC560" s="1" t="s">
        <v>125</v>
      </c>
      <c r="AD560" s="1">
        <v>8.57</v>
      </c>
      <c r="AE560" s="1" t="s">
        <v>93</v>
      </c>
      <c r="AF560" s="1" t="s">
        <v>10656</v>
      </c>
      <c r="AG560" s="1" t="s">
        <v>10657</v>
      </c>
      <c r="AH560" s="1" t="s">
        <v>101</v>
      </c>
      <c r="AI560" s="1" t="s">
        <v>308</v>
      </c>
      <c r="AJ560" s="1">
        <v>85.4</v>
      </c>
      <c r="AK560" s="1">
        <v>0</v>
      </c>
      <c r="AL560" s="1" t="s">
        <v>10658</v>
      </c>
      <c r="AM560" s="1" t="s">
        <v>10659</v>
      </c>
      <c r="AN560" s="1" t="s">
        <v>460</v>
      </c>
      <c r="AO560" s="1" t="s">
        <v>539</v>
      </c>
      <c r="AP560" s="1">
        <v>90.66</v>
      </c>
      <c r="AQ560" s="1">
        <v>0</v>
      </c>
      <c r="AR560" s="1"/>
      <c r="AS560" s="1"/>
      <c r="AT560" s="1"/>
      <c r="AU560" s="1"/>
      <c r="AV560" s="1"/>
      <c r="AW560" s="1"/>
      <c r="AX560" s="1" t="s">
        <v>132</v>
      </c>
      <c r="AY560" s="1" t="s">
        <v>10660</v>
      </c>
      <c r="AZ560" s="1" t="s">
        <v>135</v>
      </c>
      <c r="BA560" s="1" t="s">
        <v>543</v>
      </c>
      <c r="BB560" s="1">
        <v>67.19</v>
      </c>
      <c r="BC560" s="1">
        <v>6.93</v>
      </c>
      <c r="BD560" s="1"/>
      <c r="BE560" s="1"/>
      <c r="BF560" s="1"/>
      <c r="BG560" s="1"/>
      <c r="BH560" s="1"/>
      <c r="BI560" s="1"/>
      <c r="BJ560" s="1" t="s">
        <v>10661</v>
      </c>
      <c r="BK560" s="1"/>
      <c r="BL560" s="1"/>
      <c r="BM560" s="1" t="s">
        <v>10662</v>
      </c>
      <c r="BN560" s="1">
        <v>10</v>
      </c>
      <c r="BO560" s="1"/>
      <c r="BP560" s="1" t="str">
        <f>HYPERLINK("https://nconnect.nicmar.ac.in/storage/profile/ProfilePhoto_P25700562_857264.jpg","Download")</f>
        <v>0</v>
      </c>
      <c r="BQ560" s="3"/>
      <c r="BR560" s="3"/>
    </row>
    <row r="561" spans="1:70">
      <c r="A561" s="1" t="s">
        <v>70</v>
      </c>
      <c r="B561" s="1" t="s">
        <v>441</v>
      </c>
      <c r="C561" s="1" t="s">
        <v>10663</v>
      </c>
      <c r="D561" s="1" t="s">
        <v>10664</v>
      </c>
      <c r="E561" s="1"/>
      <c r="F561" s="1" t="s">
        <v>10665</v>
      </c>
      <c r="G561" s="1" t="s">
        <v>10666</v>
      </c>
      <c r="H561" s="1" t="s">
        <v>10667</v>
      </c>
      <c r="I561" s="1" t="s">
        <v>10668</v>
      </c>
      <c r="J561" s="1">
        <v>9207941390</v>
      </c>
      <c r="K561" s="1" t="s">
        <v>79</v>
      </c>
      <c r="L561" s="1" t="s">
        <v>10669</v>
      </c>
      <c r="M561" s="1" t="s">
        <v>81</v>
      </c>
      <c r="N561" s="1" t="s">
        <v>1614</v>
      </c>
      <c r="O561" s="1" t="s">
        <v>152</v>
      </c>
      <c r="P561" s="1" t="s">
        <v>84</v>
      </c>
      <c r="Q561" s="1" t="s">
        <v>10670</v>
      </c>
      <c r="R561" s="1" t="s">
        <v>10671</v>
      </c>
      <c r="S561" s="1">
        <v>9633556651</v>
      </c>
      <c r="T561" s="1" t="s">
        <v>10672</v>
      </c>
      <c r="U561" s="1" t="s">
        <v>10673</v>
      </c>
      <c r="V561" s="1">
        <v>8113069053</v>
      </c>
      <c r="W561" s="1" t="s">
        <v>156</v>
      </c>
      <c r="X561" s="1" t="s">
        <v>10674</v>
      </c>
      <c r="Y561" s="1" t="s">
        <v>686</v>
      </c>
      <c r="Z561" s="1" t="s">
        <v>125</v>
      </c>
      <c r="AA561" s="1" t="s">
        <v>10674</v>
      </c>
      <c r="AB561" s="1" t="s">
        <v>686</v>
      </c>
      <c r="AC561" s="1" t="s">
        <v>125</v>
      </c>
      <c r="AD561" s="1">
        <v>8.64</v>
      </c>
      <c r="AE561" s="1" t="s">
        <v>93</v>
      </c>
      <c r="AF561" s="1" t="s">
        <v>7194</v>
      </c>
      <c r="AG561" s="1" t="s">
        <v>758</v>
      </c>
      <c r="AH561" s="1" t="s">
        <v>1088</v>
      </c>
      <c r="AI561" s="1" t="s">
        <v>614</v>
      </c>
      <c r="AJ561" s="1">
        <v>91.2</v>
      </c>
      <c r="AK561" s="1">
        <v>9.6</v>
      </c>
      <c r="AL561" s="1" t="s">
        <v>7194</v>
      </c>
      <c r="AM561" s="1" t="s">
        <v>758</v>
      </c>
      <c r="AN561" s="1" t="s">
        <v>562</v>
      </c>
      <c r="AO561" s="1" t="s">
        <v>166</v>
      </c>
      <c r="AP561" s="1">
        <v>86.8</v>
      </c>
      <c r="AQ561" s="1"/>
      <c r="AR561" s="1"/>
      <c r="AS561" s="1"/>
      <c r="AT561" s="1"/>
      <c r="AU561" s="1"/>
      <c r="AV561" s="1"/>
      <c r="AW561" s="1"/>
      <c r="AX561" s="1" t="s">
        <v>132</v>
      </c>
      <c r="AY561" s="1" t="s">
        <v>10675</v>
      </c>
      <c r="AZ561" s="1" t="s">
        <v>169</v>
      </c>
      <c r="BA561" s="1" t="s">
        <v>105</v>
      </c>
      <c r="BB561" s="1">
        <v>70.15</v>
      </c>
      <c r="BC561" s="1">
        <v>7.39</v>
      </c>
      <c r="BD561" s="1"/>
      <c r="BE561" s="1"/>
      <c r="BF561" s="1"/>
      <c r="BG561" s="1"/>
      <c r="BH561" s="1"/>
      <c r="BI561" s="1"/>
      <c r="BJ561" s="1" t="s">
        <v>10676</v>
      </c>
      <c r="BK561" s="1" t="s">
        <v>10677</v>
      </c>
      <c r="BL561" s="1" t="s">
        <v>569</v>
      </c>
      <c r="BM561" s="1" t="s">
        <v>10678</v>
      </c>
      <c r="BN561" s="1">
        <v>8</v>
      </c>
      <c r="BO561" s="1" t="s">
        <v>10679</v>
      </c>
      <c r="BP561" s="1" t="str">
        <f>HYPERLINK("https://nconnect.nicmar.ac.in/storage/profile/ProfilePhoto_P25700563_865279.jpg","Download")</f>
        <v>0</v>
      </c>
      <c r="BQ561" s="3"/>
      <c r="BR561" s="3"/>
    </row>
    <row r="562" spans="1:70">
      <c r="A562" s="1" t="s">
        <v>70</v>
      </c>
      <c r="B562" s="1" t="s">
        <v>441</v>
      </c>
      <c r="C562" s="1" t="s">
        <v>10680</v>
      </c>
      <c r="D562" s="1" t="s">
        <v>1587</v>
      </c>
      <c r="E562" s="1" t="s">
        <v>345</v>
      </c>
      <c r="F562" s="1" t="s">
        <v>10681</v>
      </c>
      <c r="G562" s="1" t="s">
        <v>10682</v>
      </c>
      <c r="H562" s="1" t="s">
        <v>10683</v>
      </c>
      <c r="I562" s="1" t="s">
        <v>10684</v>
      </c>
      <c r="J562" s="1">
        <v>9848586176</v>
      </c>
      <c r="K562" s="1" t="s">
        <v>79</v>
      </c>
      <c r="L562" s="1" t="s">
        <v>10685</v>
      </c>
      <c r="M562" s="1" t="s">
        <v>81</v>
      </c>
      <c r="N562" s="1" t="s">
        <v>3045</v>
      </c>
      <c r="O562" s="1"/>
      <c r="P562" s="1" t="s">
        <v>450</v>
      </c>
      <c r="Q562" s="1" t="s">
        <v>10686</v>
      </c>
      <c r="R562" s="1" t="s">
        <v>10687</v>
      </c>
      <c r="S562" s="1">
        <v>9492052475</v>
      </c>
      <c r="T562" s="1" t="s">
        <v>820</v>
      </c>
      <c r="U562" s="1" t="s">
        <v>10688</v>
      </c>
      <c r="V562" s="1">
        <v>6302610848</v>
      </c>
      <c r="W562" s="1" t="s">
        <v>156</v>
      </c>
      <c r="X562" s="1" t="s">
        <v>10689</v>
      </c>
      <c r="Y562" s="1" t="s">
        <v>10690</v>
      </c>
      <c r="Z562" s="1" t="s">
        <v>456</v>
      </c>
      <c r="AA562" s="1" t="s">
        <v>10689</v>
      </c>
      <c r="AB562" s="1" t="s">
        <v>10690</v>
      </c>
      <c r="AC562" s="1" t="s">
        <v>456</v>
      </c>
      <c r="AD562" s="1">
        <v>8.85</v>
      </c>
      <c r="AE562" s="1" t="s">
        <v>93</v>
      </c>
      <c r="AF562" s="1" t="s">
        <v>10691</v>
      </c>
      <c r="AG562" s="1" t="s">
        <v>458</v>
      </c>
      <c r="AH562" s="1" t="s">
        <v>165</v>
      </c>
      <c r="AI562" s="1" t="s">
        <v>281</v>
      </c>
      <c r="AJ562" s="1">
        <v>92.15</v>
      </c>
      <c r="AK562" s="1">
        <v>9.7</v>
      </c>
      <c r="AL562" s="1"/>
      <c r="AM562" s="1"/>
      <c r="AN562" s="1"/>
      <c r="AO562" s="1"/>
      <c r="AP562" s="1"/>
      <c r="AQ562" s="1"/>
      <c r="AR562" s="1" t="s">
        <v>98</v>
      </c>
      <c r="AS562" s="1" t="s">
        <v>10692</v>
      </c>
      <c r="AT562" s="1" t="s">
        <v>101</v>
      </c>
      <c r="AU562" s="1" t="s">
        <v>1169</v>
      </c>
      <c r="AV562" s="1">
        <v>90.2</v>
      </c>
      <c r="AW562" s="1">
        <v>9.52</v>
      </c>
      <c r="AX562" s="1" t="s">
        <v>1798</v>
      </c>
      <c r="AY562" s="1" t="s">
        <v>10693</v>
      </c>
      <c r="AZ562" s="1" t="s">
        <v>593</v>
      </c>
      <c r="BA562" s="1" t="s">
        <v>1219</v>
      </c>
      <c r="BB562" s="1">
        <v>81.2</v>
      </c>
      <c r="BC562" s="1">
        <v>8.62</v>
      </c>
      <c r="BD562" s="1"/>
      <c r="BE562" s="1"/>
      <c r="BF562" s="1"/>
      <c r="BG562" s="1"/>
      <c r="BH562" s="1"/>
      <c r="BI562" s="1"/>
      <c r="BJ562" s="1" t="s">
        <v>10694</v>
      </c>
      <c r="BK562" s="1"/>
      <c r="BL562" s="1"/>
      <c r="BM562" s="1" t="s">
        <v>10695</v>
      </c>
      <c r="BN562" s="1">
        <v>41</v>
      </c>
      <c r="BO562" s="1" t="s">
        <v>10696</v>
      </c>
      <c r="BP562" s="1" t="str">
        <f>HYPERLINK("https://nconnect.nicmar.ac.in/storage/profile/ProfilePhoto_P25700564_238796.jpg","Download")</f>
        <v>0</v>
      </c>
      <c r="BQ562" s="3"/>
      <c r="BR562" s="3"/>
    </row>
    <row r="563" spans="1:70">
      <c r="A563" s="1" t="s">
        <v>70</v>
      </c>
      <c r="B563" s="1" t="s">
        <v>441</v>
      </c>
      <c r="C563" s="1" t="s">
        <v>10697</v>
      </c>
      <c r="D563" s="1" t="s">
        <v>10698</v>
      </c>
      <c r="E563" s="1" t="s">
        <v>10699</v>
      </c>
      <c r="F563" s="1" t="s">
        <v>10700</v>
      </c>
      <c r="G563" s="1" t="s">
        <v>10701</v>
      </c>
      <c r="H563" s="1" t="s">
        <v>10702</v>
      </c>
      <c r="I563" s="1" t="s">
        <v>10703</v>
      </c>
      <c r="J563" s="1">
        <v>8390693396</v>
      </c>
      <c r="K563" s="1" t="s">
        <v>79</v>
      </c>
      <c r="L563" s="1" t="s">
        <v>10704</v>
      </c>
      <c r="M563" s="1" t="s">
        <v>81</v>
      </c>
      <c r="N563" s="1" t="s">
        <v>605</v>
      </c>
      <c r="O563" s="1" t="s">
        <v>10705</v>
      </c>
      <c r="P563" s="1" t="s">
        <v>84</v>
      </c>
      <c r="Q563" s="1" t="s">
        <v>10706</v>
      </c>
      <c r="R563" s="1" t="s">
        <v>745</v>
      </c>
      <c r="S563" s="1">
        <v>9637978741</v>
      </c>
      <c r="T563" s="1" t="s">
        <v>154</v>
      </c>
      <c r="U563" s="1" t="s">
        <v>2676</v>
      </c>
      <c r="V563" s="1">
        <v>9404051759</v>
      </c>
      <c r="W563" s="1" t="s">
        <v>1653</v>
      </c>
      <c r="X563" s="1" t="s">
        <v>10707</v>
      </c>
      <c r="Y563" s="1" t="s">
        <v>379</v>
      </c>
      <c r="Z563" s="1" t="s">
        <v>92</v>
      </c>
      <c r="AA563" s="1" t="s">
        <v>10707</v>
      </c>
      <c r="AB563" s="1" t="s">
        <v>379</v>
      </c>
      <c r="AC563" s="1" t="s">
        <v>92</v>
      </c>
      <c r="AD563" s="1">
        <v>7.53</v>
      </c>
      <c r="AE563" s="1" t="s">
        <v>93</v>
      </c>
      <c r="AF563" s="1" t="s">
        <v>10708</v>
      </c>
      <c r="AG563" s="1" t="s">
        <v>10709</v>
      </c>
      <c r="AH563" s="1" t="s">
        <v>101</v>
      </c>
      <c r="AI563" s="1" t="s">
        <v>409</v>
      </c>
      <c r="AJ563" s="1">
        <v>80.6</v>
      </c>
      <c r="AK563" s="1"/>
      <c r="AL563" s="1"/>
      <c r="AM563" s="1"/>
      <c r="AN563" s="1"/>
      <c r="AO563" s="1"/>
      <c r="AP563" s="1"/>
      <c r="AQ563" s="1"/>
      <c r="AR563" s="1" t="s">
        <v>7492</v>
      </c>
      <c r="AS563" s="1" t="s">
        <v>10710</v>
      </c>
      <c r="AT563" s="1" t="s">
        <v>310</v>
      </c>
      <c r="AU563" s="1" t="s">
        <v>105</v>
      </c>
      <c r="AV563" s="1">
        <v>77.16</v>
      </c>
      <c r="AW563" s="1"/>
      <c r="AX563" s="1" t="s">
        <v>4784</v>
      </c>
      <c r="AY563" s="1" t="s">
        <v>10711</v>
      </c>
      <c r="AZ563" s="1" t="s">
        <v>1864</v>
      </c>
      <c r="BA563" s="1" t="s">
        <v>829</v>
      </c>
      <c r="BB563" s="1">
        <v>66</v>
      </c>
      <c r="BC563" s="1">
        <v>7.35</v>
      </c>
      <c r="BD563" s="1"/>
      <c r="BE563" s="1"/>
      <c r="BF563" s="1"/>
      <c r="BG563" s="1"/>
      <c r="BH563" s="1"/>
      <c r="BI563" s="1"/>
      <c r="BJ563" s="1" t="s">
        <v>10712</v>
      </c>
      <c r="BK563" s="1"/>
      <c r="BL563" s="1"/>
      <c r="BM563" s="1" t="s">
        <v>10713</v>
      </c>
      <c r="BN563" s="1">
        <v>28</v>
      </c>
      <c r="BO563" s="1"/>
      <c r="BP563" s="1" t="str">
        <f>HYPERLINK("https://nconnect.nicmar.ac.in/storage/profile/ProfilePhoto_P25700565_458762.jpg","Download")</f>
        <v>0</v>
      </c>
      <c r="BQ563" s="3"/>
      <c r="BR563" s="3"/>
    </row>
    <row r="564" spans="1:70">
      <c r="A564" s="1" t="s">
        <v>70</v>
      </c>
      <c r="B564" s="1" t="s">
        <v>441</v>
      </c>
      <c r="C564" s="1" t="s">
        <v>10714</v>
      </c>
      <c r="D564" s="1" t="s">
        <v>443</v>
      </c>
      <c r="E564" s="1"/>
      <c r="F564" s="1" t="s">
        <v>1339</v>
      </c>
      <c r="G564" s="1" t="s">
        <v>10715</v>
      </c>
      <c r="H564" s="1" t="s">
        <v>10716</v>
      </c>
      <c r="I564" s="1" t="s">
        <v>10717</v>
      </c>
      <c r="J564" s="1">
        <v>9495192895</v>
      </c>
      <c r="K564" s="1" t="s">
        <v>79</v>
      </c>
      <c r="L564" s="1" t="s">
        <v>10718</v>
      </c>
      <c r="M564" s="1" t="s">
        <v>81</v>
      </c>
      <c r="N564" s="1" t="s">
        <v>10719</v>
      </c>
      <c r="O564" s="1"/>
      <c r="P564" s="1" t="s">
        <v>472</v>
      </c>
      <c r="Q564" s="1" t="s">
        <v>10720</v>
      </c>
      <c r="R564" s="1" t="s">
        <v>10721</v>
      </c>
      <c r="S564" s="1">
        <v>9745444533</v>
      </c>
      <c r="T564" s="1" t="s">
        <v>10722</v>
      </c>
      <c r="U564" s="1" t="s">
        <v>10723</v>
      </c>
      <c r="V564" s="1">
        <v>9400490160</v>
      </c>
      <c r="W564" s="1" t="s">
        <v>122</v>
      </c>
      <c r="X564" s="1" t="s">
        <v>10724</v>
      </c>
      <c r="Y564" s="1" t="s">
        <v>3209</v>
      </c>
      <c r="Z564" s="1" t="s">
        <v>125</v>
      </c>
      <c r="AA564" s="1" t="s">
        <v>10724</v>
      </c>
      <c r="AB564" s="1" t="s">
        <v>3209</v>
      </c>
      <c r="AC564" s="1" t="s">
        <v>125</v>
      </c>
      <c r="AD564" s="1">
        <v>9.21</v>
      </c>
      <c r="AE564" s="1" t="s">
        <v>93</v>
      </c>
      <c r="AF564" s="1" t="s">
        <v>10725</v>
      </c>
      <c r="AG564" s="1" t="s">
        <v>10726</v>
      </c>
      <c r="AH564" s="1" t="s">
        <v>1239</v>
      </c>
      <c r="AI564" s="1" t="s">
        <v>131</v>
      </c>
      <c r="AJ564" s="1">
        <v>95</v>
      </c>
      <c r="AK564" s="1">
        <v>10</v>
      </c>
      <c r="AL564" s="1" t="s">
        <v>10725</v>
      </c>
      <c r="AM564" s="1" t="s">
        <v>10726</v>
      </c>
      <c r="AN564" s="1" t="s">
        <v>131</v>
      </c>
      <c r="AO564" s="1" t="s">
        <v>562</v>
      </c>
      <c r="AP564" s="1">
        <v>86.4</v>
      </c>
      <c r="AQ564" s="1"/>
      <c r="AR564" s="1"/>
      <c r="AS564" s="1"/>
      <c r="AT564" s="1"/>
      <c r="AU564" s="1"/>
      <c r="AV564" s="1"/>
      <c r="AW564" s="1"/>
      <c r="AX564" s="1" t="s">
        <v>10727</v>
      </c>
      <c r="AY564" s="1" t="s">
        <v>10728</v>
      </c>
      <c r="AZ564" s="1" t="s">
        <v>225</v>
      </c>
      <c r="BA564" s="1" t="s">
        <v>542</v>
      </c>
      <c r="BB564" s="1">
        <v>80.55</v>
      </c>
      <c r="BC564" s="1">
        <v>8.43</v>
      </c>
      <c r="BD564" s="1"/>
      <c r="BE564" s="1"/>
      <c r="BF564" s="1"/>
      <c r="BG564" s="1"/>
      <c r="BH564" s="1"/>
      <c r="BI564" s="1"/>
      <c r="BJ564" s="1" t="s">
        <v>786</v>
      </c>
      <c r="BK564" s="1" t="s">
        <v>10729</v>
      </c>
      <c r="BL564" s="1" t="s">
        <v>4165</v>
      </c>
      <c r="BM564" s="1" t="s">
        <v>10730</v>
      </c>
      <c r="BN564" s="1">
        <v>10</v>
      </c>
      <c r="BO564" s="1" t="s">
        <v>10731</v>
      </c>
      <c r="BP564" s="1" t="str">
        <f>HYPERLINK("https://nconnect.nicmar.ac.in/storage/profile/ProfilePhoto_P25700566_326841.jpg","Download")</f>
        <v>0</v>
      </c>
      <c r="BQ564" s="3"/>
      <c r="BR564" s="3"/>
    </row>
    <row r="565" spans="1:70">
      <c r="A565" s="1" t="s">
        <v>70</v>
      </c>
      <c r="B565" s="1" t="s">
        <v>441</v>
      </c>
      <c r="C565" s="1" t="s">
        <v>10732</v>
      </c>
      <c r="D565" s="1" t="s">
        <v>10733</v>
      </c>
      <c r="E565" s="1" t="s">
        <v>2242</v>
      </c>
      <c r="F565" s="1" t="s">
        <v>1156</v>
      </c>
      <c r="G565" s="1" t="s">
        <v>10734</v>
      </c>
      <c r="H565" s="1" t="s">
        <v>10735</v>
      </c>
      <c r="I565" s="1" t="s">
        <v>10736</v>
      </c>
      <c r="J565" s="1">
        <v>8879859575</v>
      </c>
      <c r="K565" s="1" t="s">
        <v>79</v>
      </c>
      <c r="L565" s="1" t="s">
        <v>10737</v>
      </c>
      <c r="M565" s="1" t="s">
        <v>81</v>
      </c>
      <c r="N565" s="1" t="s">
        <v>1140</v>
      </c>
      <c r="O565" s="1"/>
      <c r="P565" s="1" t="s">
        <v>472</v>
      </c>
      <c r="Q565" s="1" t="s">
        <v>10738</v>
      </c>
      <c r="R565" s="1" t="s">
        <v>10739</v>
      </c>
      <c r="S565" s="1">
        <v>9930919401</v>
      </c>
      <c r="T565" s="1" t="s">
        <v>10740</v>
      </c>
      <c r="U565" s="1" t="s">
        <v>10741</v>
      </c>
      <c r="V565" s="1">
        <v>9930919401</v>
      </c>
      <c r="W565" s="1" t="s">
        <v>156</v>
      </c>
      <c r="X565" s="1" t="s">
        <v>10742</v>
      </c>
      <c r="Y565" s="1" t="s">
        <v>1857</v>
      </c>
      <c r="Z565" s="1" t="s">
        <v>92</v>
      </c>
      <c r="AA565" s="1" t="s">
        <v>10742</v>
      </c>
      <c r="AB565" s="1" t="s">
        <v>1857</v>
      </c>
      <c r="AC565" s="1" t="s">
        <v>92</v>
      </c>
      <c r="AD565" s="1">
        <v>8.72</v>
      </c>
      <c r="AE565" s="1" t="s">
        <v>93</v>
      </c>
      <c r="AF565" s="1" t="s">
        <v>10743</v>
      </c>
      <c r="AG565" s="1" t="s">
        <v>10744</v>
      </c>
      <c r="AH565" s="1" t="s">
        <v>279</v>
      </c>
      <c r="AI565" s="1" t="s">
        <v>165</v>
      </c>
      <c r="AJ565" s="1">
        <v>70.3</v>
      </c>
      <c r="AK565" s="1">
        <v>7.4</v>
      </c>
      <c r="AL565" s="1"/>
      <c r="AM565" s="1"/>
      <c r="AN565" s="1"/>
      <c r="AO565" s="1"/>
      <c r="AP565" s="1"/>
      <c r="AQ565" s="1"/>
      <c r="AR565" s="1" t="s">
        <v>10745</v>
      </c>
      <c r="AS565" s="1" t="s">
        <v>10746</v>
      </c>
      <c r="AT565" s="1" t="s">
        <v>225</v>
      </c>
      <c r="AU565" s="1" t="s">
        <v>170</v>
      </c>
      <c r="AV565" s="1">
        <v>77.53</v>
      </c>
      <c r="AW565" s="1">
        <v>0</v>
      </c>
      <c r="AX565" s="1" t="s">
        <v>666</v>
      </c>
      <c r="AY565" s="1" t="s">
        <v>10747</v>
      </c>
      <c r="AZ565" s="1" t="s">
        <v>1148</v>
      </c>
      <c r="BA565" s="1" t="s">
        <v>229</v>
      </c>
      <c r="BB565" s="1">
        <v>69.99</v>
      </c>
      <c r="BC565" s="1">
        <v>7.73</v>
      </c>
      <c r="BD565" s="1"/>
      <c r="BE565" s="1"/>
      <c r="BF565" s="1"/>
      <c r="BG565" s="1"/>
      <c r="BH565" s="1"/>
      <c r="BI565" s="1"/>
      <c r="BJ565" s="1" t="s">
        <v>364</v>
      </c>
      <c r="BK565" s="1" t="s">
        <v>10748</v>
      </c>
      <c r="BL565" s="1" t="s">
        <v>2434</v>
      </c>
      <c r="BM565" s="1" t="s">
        <v>10749</v>
      </c>
      <c r="BN565" s="1">
        <v>14</v>
      </c>
      <c r="BO565" s="1"/>
      <c r="BP565" s="1" t="str">
        <f>HYPERLINK("https://nconnect.nicmar.ac.in/storage/profile/ProfilePhoto_P25700567_194573.jpg","Download")</f>
        <v>0</v>
      </c>
      <c r="BQ565" s="3"/>
      <c r="BR565" s="3"/>
    </row>
    <row r="566" spans="1:70">
      <c r="A566" s="1" t="s">
        <v>70</v>
      </c>
      <c r="B566" s="1" t="s">
        <v>441</v>
      </c>
      <c r="C566" s="1" t="s">
        <v>10750</v>
      </c>
      <c r="D566" s="1" t="s">
        <v>3060</v>
      </c>
      <c r="E566" s="1" t="s">
        <v>344</v>
      </c>
      <c r="F566" s="1" t="s">
        <v>10751</v>
      </c>
      <c r="G566" s="1" t="s">
        <v>10752</v>
      </c>
      <c r="H566" s="1" t="s">
        <v>10753</v>
      </c>
      <c r="I566" s="1" t="s">
        <v>10754</v>
      </c>
      <c r="J566" s="1">
        <v>9146582585</v>
      </c>
      <c r="K566" s="1" t="s">
        <v>148</v>
      </c>
      <c r="L566" s="1" t="s">
        <v>10755</v>
      </c>
      <c r="M566" s="1" t="s">
        <v>81</v>
      </c>
      <c r="N566" s="1" t="s">
        <v>5476</v>
      </c>
      <c r="O566" s="1"/>
      <c r="P566" s="1" t="s">
        <v>472</v>
      </c>
      <c r="Q566" s="1" t="s">
        <v>10756</v>
      </c>
      <c r="R566" s="1" t="s">
        <v>10757</v>
      </c>
      <c r="S566" s="1">
        <v>9823540890</v>
      </c>
      <c r="T566" s="1" t="s">
        <v>122</v>
      </c>
      <c r="U566" s="1" t="s">
        <v>10758</v>
      </c>
      <c r="V566" s="1">
        <v>8275006396</v>
      </c>
      <c r="W566" s="1" t="s">
        <v>156</v>
      </c>
      <c r="X566" s="1" t="s">
        <v>10759</v>
      </c>
      <c r="Y566" s="1" t="s">
        <v>1122</v>
      </c>
      <c r="Z566" s="1" t="s">
        <v>92</v>
      </c>
      <c r="AA566" s="1" t="s">
        <v>10759</v>
      </c>
      <c r="AB566" s="1" t="s">
        <v>1122</v>
      </c>
      <c r="AC566" s="1" t="s">
        <v>92</v>
      </c>
      <c r="AD566" s="1">
        <v>7.02</v>
      </c>
      <c r="AE566" s="1" t="s">
        <v>93</v>
      </c>
      <c r="AF566" s="1" t="s">
        <v>10760</v>
      </c>
      <c r="AG566" s="1" t="s">
        <v>160</v>
      </c>
      <c r="AH566" s="1" t="s">
        <v>4602</v>
      </c>
      <c r="AI566" s="1" t="s">
        <v>1089</v>
      </c>
      <c r="AJ566" s="1">
        <v>92.2</v>
      </c>
      <c r="AK566" s="1"/>
      <c r="AL566" s="1" t="s">
        <v>1125</v>
      </c>
      <c r="AM566" s="1" t="s">
        <v>160</v>
      </c>
      <c r="AN566" s="1" t="s">
        <v>162</v>
      </c>
      <c r="AO566" s="1" t="s">
        <v>1455</v>
      </c>
      <c r="AP566" s="1">
        <v>63.38</v>
      </c>
      <c r="AQ566" s="1"/>
      <c r="AR566" s="1"/>
      <c r="AS566" s="1"/>
      <c r="AT566" s="1"/>
      <c r="AU566" s="1"/>
      <c r="AV566" s="1"/>
      <c r="AW566" s="1"/>
      <c r="AX566" s="1" t="s">
        <v>10761</v>
      </c>
      <c r="AY566" s="1" t="s">
        <v>10762</v>
      </c>
      <c r="AZ566" s="1" t="s">
        <v>1043</v>
      </c>
      <c r="BA566" s="1" t="s">
        <v>174</v>
      </c>
      <c r="BB566" s="1">
        <v>62.5</v>
      </c>
      <c r="BC566" s="1">
        <v>7</v>
      </c>
      <c r="BD566" s="1"/>
      <c r="BE566" s="1"/>
      <c r="BF566" s="1"/>
      <c r="BG566" s="1"/>
      <c r="BH566" s="1"/>
      <c r="BI566" s="1"/>
      <c r="BJ566" s="1" t="s">
        <v>10763</v>
      </c>
      <c r="BK566" s="1" t="s">
        <v>10764</v>
      </c>
      <c r="BL566" s="1" t="s">
        <v>1048</v>
      </c>
      <c r="BM566" s="1" t="s">
        <v>10765</v>
      </c>
      <c r="BN566" s="1">
        <v>8</v>
      </c>
      <c r="BO566" s="1" t="s">
        <v>10766</v>
      </c>
      <c r="BP566" s="1" t="str">
        <f>HYPERLINK("https://nconnect.nicmar.ac.in/storage/profile/ProfilePhoto_P25700568_126738.jpg","Download")</f>
        <v>0</v>
      </c>
      <c r="BQ566" s="3"/>
      <c r="BR566" s="3"/>
    </row>
    <row r="567" spans="1:70">
      <c r="A567" s="1" t="s">
        <v>70</v>
      </c>
      <c r="B567" s="1" t="s">
        <v>441</v>
      </c>
      <c r="C567" s="1" t="s">
        <v>10767</v>
      </c>
      <c r="D567" s="1" t="s">
        <v>10768</v>
      </c>
      <c r="E567" s="1"/>
      <c r="F567" s="1" t="s">
        <v>520</v>
      </c>
      <c r="G567" s="1" t="s">
        <v>10769</v>
      </c>
      <c r="H567" s="1" t="s">
        <v>10770</v>
      </c>
      <c r="I567" s="1" t="s">
        <v>10771</v>
      </c>
      <c r="J567" s="1">
        <v>7003225673</v>
      </c>
      <c r="K567" s="1" t="s">
        <v>79</v>
      </c>
      <c r="L567" s="1" t="s">
        <v>10772</v>
      </c>
      <c r="M567" s="1" t="s">
        <v>81</v>
      </c>
      <c r="N567" s="1" t="s">
        <v>10773</v>
      </c>
      <c r="O567" s="1"/>
      <c r="P567" s="1" t="s">
        <v>497</v>
      </c>
      <c r="Q567" s="1" t="s">
        <v>10774</v>
      </c>
      <c r="R567" s="1" t="s">
        <v>10775</v>
      </c>
      <c r="S567" s="1">
        <v>9088855877</v>
      </c>
      <c r="T567" s="1" t="s">
        <v>216</v>
      </c>
      <c r="U567" s="1" t="s">
        <v>10776</v>
      </c>
      <c r="V567" s="1">
        <v>9088855877</v>
      </c>
      <c r="W567" s="1" t="s">
        <v>6564</v>
      </c>
      <c r="X567" s="1" t="s">
        <v>10777</v>
      </c>
      <c r="Y567" s="1" t="s">
        <v>10778</v>
      </c>
      <c r="Z567" s="1" t="s">
        <v>1211</v>
      </c>
      <c r="AA567" s="1" t="s">
        <v>10777</v>
      </c>
      <c r="AB567" s="1" t="s">
        <v>10778</v>
      </c>
      <c r="AC567" s="1" t="s">
        <v>1211</v>
      </c>
      <c r="AD567" s="1">
        <v>9.34</v>
      </c>
      <c r="AE567" s="1" t="s">
        <v>93</v>
      </c>
      <c r="AF567" s="1" t="s">
        <v>10779</v>
      </c>
      <c r="AG567" s="1" t="s">
        <v>10780</v>
      </c>
      <c r="AH567" s="1" t="s">
        <v>1191</v>
      </c>
      <c r="AI567" s="1" t="s">
        <v>131</v>
      </c>
      <c r="AJ567" s="1">
        <v>93.83</v>
      </c>
      <c r="AK567" s="1"/>
      <c r="AL567" s="1" t="s">
        <v>10779</v>
      </c>
      <c r="AM567" s="1" t="s">
        <v>10780</v>
      </c>
      <c r="AN567" s="1" t="s">
        <v>279</v>
      </c>
      <c r="AO567" s="1" t="s">
        <v>562</v>
      </c>
      <c r="AP567" s="1">
        <v>88.33</v>
      </c>
      <c r="AQ567" s="1"/>
      <c r="AR567" s="1"/>
      <c r="AS567" s="1"/>
      <c r="AT567" s="1"/>
      <c r="AU567" s="1"/>
      <c r="AV567" s="1"/>
      <c r="AW567" s="1"/>
      <c r="AX567" s="1" t="s">
        <v>1194</v>
      </c>
      <c r="AY567" s="1" t="s">
        <v>10781</v>
      </c>
      <c r="AZ567" s="1" t="s">
        <v>1043</v>
      </c>
      <c r="BA567" s="1" t="s">
        <v>105</v>
      </c>
      <c r="BB567" s="1">
        <v>73.6</v>
      </c>
      <c r="BC567" s="1">
        <v>8.11</v>
      </c>
      <c r="BD567" s="1"/>
      <c r="BE567" s="1"/>
      <c r="BF567" s="1"/>
      <c r="BG567" s="1"/>
      <c r="BH567" s="1"/>
      <c r="BI567" s="1"/>
      <c r="BJ567" s="1" t="s">
        <v>364</v>
      </c>
      <c r="BK567" s="1" t="s">
        <v>10782</v>
      </c>
      <c r="BL567" s="1" t="s">
        <v>9384</v>
      </c>
      <c r="BM567" s="1" t="s">
        <v>10783</v>
      </c>
      <c r="BN567" s="1">
        <v>8</v>
      </c>
      <c r="BO567" s="1"/>
      <c r="BP567" s="1" t="str">
        <f>HYPERLINK("https://nconnect.nicmar.ac.in/storage/profile/ProfilePhoto_P25700569_579436.jpg","Download")</f>
        <v>0</v>
      </c>
      <c r="BQ567" s="3"/>
      <c r="BR567" s="3"/>
    </row>
    <row r="568" spans="1:70">
      <c r="A568" s="1" t="s">
        <v>70</v>
      </c>
      <c r="B568" s="1" t="s">
        <v>441</v>
      </c>
      <c r="C568" s="1" t="s">
        <v>10784</v>
      </c>
      <c r="D568" s="1" t="s">
        <v>1156</v>
      </c>
      <c r="E568" s="1" t="s">
        <v>9798</v>
      </c>
      <c r="F568" s="1" t="s">
        <v>4651</v>
      </c>
      <c r="G568" s="1" t="s">
        <v>10785</v>
      </c>
      <c r="H568" s="1" t="s">
        <v>10786</v>
      </c>
      <c r="I568" s="1" t="s">
        <v>10787</v>
      </c>
      <c r="J568" s="1">
        <v>7887430542</v>
      </c>
      <c r="K568" s="1" t="s">
        <v>79</v>
      </c>
      <c r="L568" s="1" t="s">
        <v>10788</v>
      </c>
      <c r="M568" s="1" t="s">
        <v>81</v>
      </c>
      <c r="N568" s="1" t="s">
        <v>605</v>
      </c>
      <c r="O568" s="1"/>
      <c r="P568" s="1"/>
      <c r="Q568" s="1" t="s">
        <v>10789</v>
      </c>
      <c r="R568" s="1" t="s">
        <v>10790</v>
      </c>
      <c r="S568" s="1">
        <v>9325066663</v>
      </c>
      <c r="T568" s="1" t="s">
        <v>7701</v>
      </c>
      <c r="U568" s="1" t="s">
        <v>10791</v>
      </c>
      <c r="V568" s="1">
        <v>9168899240</v>
      </c>
      <c r="W568" s="1" t="s">
        <v>156</v>
      </c>
      <c r="X568" s="1" t="s">
        <v>10792</v>
      </c>
      <c r="Y568" s="1" t="s">
        <v>7897</v>
      </c>
      <c r="Z568" s="1" t="s">
        <v>92</v>
      </c>
      <c r="AA568" s="1" t="s">
        <v>10792</v>
      </c>
      <c r="AB568" s="1" t="s">
        <v>7897</v>
      </c>
      <c r="AC568" s="1" t="s">
        <v>92</v>
      </c>
      <c r="AD568" s="1">
        <v>6.66</v>
      </c>
      <c r="AE568" s="1" t="s">
        <v>93</v>
      </c>
      <c r="AF568" s="1" t="s">
        <v>10793</v>
      </c>
      <c r="AG568" s="1" t="s">
        <v>3677</v>
      </c>
      <c r="AH568" s="1" t="s">
        <v>161</v>
      </c>
      <c r="AI568" s="1" t="s">
        <v>162</v>
      </c>
      <c r="AJ568" s="1">
        <v>77.6</v>
      </c>
      <c r="AK568" s="1"/>
      <c r="AL568" s="1" t="s">
        <v>10794</v>
      </c>
      <c r="AM568" s="1" t="s">
        <v>160</v>
      </c>
      <c r="AN568" s="1" t="s">
        <v>508</v>
      </c>
      <c r="AO568" s="1" t="s">
        <v>1455</v>
      </c>
      <c r="AP568" s="1">
        <v>62.62</v>
      </c>
      <c r="AQ568" s="1"/>
      <c r="AR568" s="1" t="s">
        <v>98</v>
      </c>
      <c r="AS568" s="1" t="s">
        <v>10795</v>
      </c>
      <c r="AT568" s="1" t="s">
        <v>433</v>
      </c>
      <c r="AU568" s="1" t="s">
        <v>436</v>
      </c>
      <c r="AV568" s="1">
        <v>77.37</v>
      </c>
      <c r="AW568" s="1"/>
      <c r="AX568" s="1" t="s">
        <v>10796</v>
      </c>
      <c r="AY568" s="1" t="s">
        <v>10797</v>
      </c>
      <c r="AZ568" s="1" t="s">
        <v>828</v>
      </c>
      <c r="BA568" s="1" t="s">
        <v>1067</v>
      </c>
      <c r="BB568" s="1">
        <v>68.77</v>
      </c>
      <c r="BC568" s="1">
        <v>7.47</v>
      </c>
      <c r="BD568" s="1"/>
      <c r="BE568" s="1"/>
      <c r="BF568" s="1"/>
      <c r="BG568" s="1"/>
      <c r="BH568" s="1"/>
      <c r="BI568" s="1"/>
      <c r="BJ568" s="1" t="s">
        <v>364</v>
      </c>
      <c r="BK568" s="1"/>
      <c r="BL568" s="1"/>
      <c r="BM568" s="1" t="s">
        <v>10798</v>
      </c>
      <c r="BN568" s="1">
        <v>8</v>
      </c>
      <c r="BO568" s="1"/>
      <c r="BP568" s="1" t="str">
        <f>HYPERLINK("https://nconnect.nicmar.ac.in/storage/profile/ProfilePhoto_P25700570_237541.jpg","Download")</f>
        <v>0</v>
      </c>
      <c r="BQ568" s="3"/>
      <c r="BR568" s="3"/>
    </row>
    <row r="569" spans="1:70">
      <c r="A569" s="1" t="s">
        <v>70</v>
      </c>
      <c r="B569" s="1" t="s">
        <v>441</v>
      </c>
      <c r="C569" s="1" t="s">
        <v>10799</v>
      </c>
      <c r="D569" s="1" t="s">
        <v>2070</v>
      </c>
      <c r="E569" s="1" t="s">
        <v>10800</v>
      </c>
      <c r="F569" s="1" t="s">
        <v>10801</v>
      </c>
      <c r="G569" s="1" t="s">
        <v>10802</v>
      </c>
      <c r="H569" s="1" t="s">
        <v>10803</v>
      </c>
      <c r="I569" s="1" t="s">
        <v>10804</v>
      </c>
      <c r="J569" s="1">
        <v>9156028208</v>
      </c>
      <c r="K569" s="1" t="s">
        <v>79</v>
      </c>
      <c r="L569" s="1" t="s">
        <v>10805</v>
      </c>
      <c r="M569" s="1" t="s">
        <v>81</v>
      </c>
      <c r="N569" s="1" t="s">
        <v>6051</v>
      </c>
      <c r="O569" s="1"/>
      <c r="P569" s="1" t="s">
        <v>472</v>
      </c>
      <c r="Q569" s="1" t="s">
        <v>10806</v>
      </c>
      <c r="R569" s="1" t="s">
        <v>10807</v>
      </c>
      <c r="S569" s="1">
        <v>9503626399</v>
      </c>
      <c r="T569" s="1" t="s">
        <v>820</v>
      </c>
      <c r="U569" s="1" t="s">
        <v>10808</v>
      </c>
      <c r="V569" s="1">
        <v>9309591763</v>
      </c>
      <c r="W569" s="1" t="s">
        <v>531</v>
      </c>
      <c r="X569" s="1" t="s">
        <v>10809</v>
      </c>
      <c r="Y569" s="1" t="s">
        <v>219</v>
      </c>
      <c r="Z569" s="1" t="s">
        <v>92</v>
      </c>
      <c r="AA569" s="1" t="s">
        <v>10809</v>
      </c>
      <c r="AB569" s="1" t="s">
        <v>219</v>
      </c>
      <c r="AC569" s="1" t="s">
        <v>92</v>
      </c>
      <c r="AD569" s="1">
        <v>7.69</v>
      </c>
      <c r="AE569" s="1" t="s">
        <v>93</v>
      </c>
      <c r="AF569" s="1" t="s">
        <v>10810</v>
      </c>
      <c r="AG569" s="1" t="s">
        <v>10811</v>
      </c>
      <c r="AH569" s="1" t="s">
        <v>165</v>
      </c>
      <c r="AI569" s="1" t="s">
        <v>166</v>
      </c>
      <c r="AJ569" s="1">
        <v>79.8</v>
      </c>
      <c r="AK569" s="1"/>
      <c r="AL569" s="1"/>
      <c r="AM569" s="1"/>
      <c r="AN569" s="1"/>
      <c r="AO569" s="1"/>
      <c r="AP569" s="1"/>
      <c r="AQ569" s="1"/>
      <c r="AR569" s="1" t="s">
        <v>434</v>
      </c>
      <c r="AS569" s="1" t="s">
        <v>10812</v>
      </c>
      <c r="AT569" s="1" t="s">
        <v>1043</v>
      </c>
      <c r="AU569" s="1" t="s">
        <v>436</v>
      </c>
      <c r="AV569" s="1">
        <v>88.89</v>
      </c>
      <c r="AW569" s="1"/>
      <c r="AX569" s="1" t="s">
        <v>8965</v>
      </c>
      <c r="AY569" s="1" t="s">
        <v>10813</v>
      </c>
      <c r="AZ569" s="1" t="s">
        <v>852</v>
      </c>
      <c r="BA569" s="1" t="s">
        <v>1067</v>
      </c>
      <c r="BB569" s="1">
        <v>70.8</v>
      </c>
      <c r="BC569" s="1">
        <v>7.08</v>
      </c>
      <c r="BD569" s="1"/>
      <c r="BE569" s="1"/>
      <c r="BF569" s="1"/>
      <c r="BG569" s="1"/>
      <c r="BH569" s="1"/>
      <c r="BI569" s="1"/>
      <c r="BJ569" s="1" t="s">
        <v>567</v>
      </c>
      <c r="BK569" s="1"/>
      <c r="BL569" s="1"/>
      <c r="BM569" s="1" t="s">
        <v>10814</v>
      </c>
      <c r="BN569" s="1">
        <v>23</v>
      </c>
      <c r="BO569" s="1" t="s">
        <v>10815</v>
      </c>
      <c r="BP569" s="1" t="str">
        <f>HYPERLINK("https://nconnect.nicmar.ac.in/storage/profile/ProfilePhoto_P25700571_859736.jpg","Download")</f>
        <v>0</v>
      </c>
      <c r="BQ569" s="3"/>
      <c r="BR569" s="3"/>
    </row>
    <row r="570" spans="1:70">
      <c r="A570" s="1" t="s">
        <v>70</v>
      </c>
      <c r="B570" s="1" t="s">
        <v>441</v>
      </c>
      <c r="C570" s="1" t="s">
        <v>10816</v>
      </c>
      <c r="D570" s="1" t="s">
        <v>1112</v>
      </c>
      <c r="E570" s="1" t="s">
        <v>2071</v>
      </c>
      <c r="F570" s="1" t="s">
        <v>10817</v>
      </c>
      <c r="G570" s="1" t="s">
        <v>10818</v>
      </c>
      <c r="H570" s="1" t="s">
        <v>10819</v>
      </c>
      <c r="I570" s="1" t="s">
        <v>10820</v>
      </c>
      <c r="J570" s="1">
        <v>8369748070</v>
      </c>
      <c r="K570" s="1" t="s">
        <v>79</v>
      </c>
      <c r="L570" s="1" t="s">
        <v>2749</v>
      </c>
      <c r="M570" s="1" t="s">
        <v>81</v>
      </c>
      <c r="N570" s="1" t="s">
        <v>3587</v>
      </c>
      <c r="O570" s="1"/>
      <c r="P570" s="1" t="s">
        <v>450</v>
      </c>
      <c r="Q570" s="1" t="s">
        <v>10821</v>
      </c>
      <c r="R570" s="1" t="s">
        <v>2071</v>
      </c>
      <c r="S570" s="1">
        <v>9867615280</v>
      </c>
      <c r="T570" s="1" t="s">
        <v>5643</v>
      </c>
      <c r="U570" s="1" t="s">
        <v>5084</v>
      </c>
      <c r="V570" s="1">
        <v>9769419594</v>
      </c>
      <c r="W570" s="1" t="s">
        <v>156</v>
      </c>
      <c r="X570" s="1" t="s">
        <v>10822</v>
      </c>
      <c r="Y570" s="1" t="s">
        <v>2229</v>
      </c>
      <c r="Z570" s="1" t="s">
        <v>92</v>
      </c>
      <c r="AA570" s="1" t="s">
        <v>10822</v>
      </c>
      <c r="AB570" s="1" t="s">
        <v>2229</v>
      </c>
      <c r="AC570" s="1" t="s">
        <v>92</v>
      </c>
      <c r="AD570" s="1">
        <v>8.54</v>
      </c>
      <c r="AE570" s="1" t="s">
        <v>93</v>
      </c>
      <c r="AF570" s="1" t="s">
        <v>10823</v>
      </c>
      <c r="AG570" s="1" t="s">
        <v>160</v>
      </c>
      <c r="AH570" s="1" t="s">
        <v>161</v>
      </c>
      <c r="AI570" s="1" t="s">
        <v>162</v>
      </c>
      <c r="AJ570" s="1">
        <v>85.4</v>
      </c>
      <c r="AK570" s="1"/>
      <c r="AL570" s="1"/>
      <c r="AM570" s="1"/>
      <c r="AN570" s="1"/>
      <c r="AO570" s="1"/>
      <c r="AP570" s="1"/>
      <c r="AQ570" s="1"/>
      <c r="AR570" s="1" t="s">
        <v>10824</v>
      </c>
      <c r="AS570" s="1" t="s">
        <v>10825</v>
      </c>
      <c r="AT570" s="1" t="s">
        <v>134</v>
      </c>
      <c r="AU570" s="1" t="s">
        <v>433</v>
      </c>
      <c r="AV570" s="1">
        <v>69.64</v>
      </c>
      <c r="AW570" s="1"/>
      <c r="AX570" s="1" t="s">
        <v>666</v>
      </c>
      <c r="AY570" s="1" t="s">
        <v>10826</v>
      </c>
      <c r="AZ570" s="1" t="s">
        <v>201</v>
      </c>
      <c r="BA570" s="1" t="s">
        <v>105</v>
      </c>
      <c r="BB570" s="1">
        <v>69.08</v>
      </c>
      <c r="BC570" s="1">
        <v>7.75</v>
      </c>
      <c r="BD570" s="1"/>
      <c r="BE570" s="1"/>
      <c r="BF570" s="1"/>
      <c r="BG570" s="1"/>
      <c r="BH570" s="1"/>
      <c r="BI570" s="1"/>
      <c r="BJ570" s="1" t="s">
        <v>3545</v>
      </c>
      <c r="BK570" s="1" t="s">
        <v>10827</v>
      </c>
      <c r="BL570" s="1" t="s">
        <v>10828</v>
      </c>
      <c r="BM570" s="1" t="s">
        <v>10829</v>
      </c>
      <c r="BN570" s="1">
        <v>21</v>
      </c>
      <c r="BO570" s="1" t="s">
        <v>10830</v>
      </c>
      <c r="BP570" s="1" t="str">
        <f>HYPERLINK("https://nconnect.nicmar.ac.in/storage/profile/ProfilePhoto_P25700572_925681.jpg","Download")</f>
        <v>0</v>
      </c>
      <c r="BQ570" s="3"/>
      <c r="BR570" s="3"/>
    </row>
    <row r="571" spans="1:70">
      <c r="A571" s="1" t="s">
        <v>70</v>
      </c>
      <c r="B571" s="1" t="s">
        <v>441</v>
      </c>
      <c r="C571" s="1" t="s">
        <v>10831</v>
      </c>
      <c r="D571" s="1" t="s">
        <v>3564</v>
      </c>
      <c r="E571" s="1" t="s">
        <v>4321</v>
      </c>
      <c r="F571" s="1" t="s">
        <v>10832</v>
      </c>
      <c r="G571" s="1" t="s">
        <v>10833</v>
      </c>
      <c r="H571" s="1" t="s">
        <v>10834</v>
      </c>
      <c r="I571" s="1" t="s">
        <v>10835</v>
      </c>
      <c r="J571" s="1">
        <v>7558352506</v>
      </c>
      <c r="K571" s="1" t="s">
        <v>79</v>
      </c>
      <c r="L571" s="1" t="s">
        <v>8294</v>
      </c>
      <c r="M571" s="1" t="s">
        <v>81</v>
      </c>
      <c r="N571" s="1" t="s">
        <v>1079</v>
      </c>
      <c r="O571" s="1"/>
      <c r="P571" s="1" t="s">
        <v>497</v>
      </c>
      <c r="Q571" s="1" t="s">
        <v>10836</v>
      </c>
      <c r="R571" s="1" t="s">
        <v>10837</v>
      </c>
      <c r="S571" s="1">
        <v>9307965330</v>
      </c>
      <c r="T571" s="1" t="s">
        <v>754</v>
      </c>
      <c r="U571" s="1" t="s">
        <v>10838</v>
      </c>
      <c r="V571" s="1">
        <v>9307965330</v>
      </c>
      <c r="W571" s="1" t="s">
        <v>273</v>
      </c>
      <c r="X571" s="1" t="s">
        <v>10839</v>
      </c>
      <c r="Y571" s="1" t="s">
        <v>191</v>
      </c>
      <c r="Z571" s="1" t="s">
        <v>92</v>
      </c>
      <c r="AA571" s="1" t="s">
        <v>10840</v>
      </c>
      <c r="AB571" s="1" t="s">
        <v>5087</v>
      </c>
      <c r="AC571" s="1" t="s">
        <v>92</v>
      </c>
      <c r="AD571" s="1" t="s">
        <v>93</v>
      </c>
      <c r="AE571" s="1" t="s">
        <v>93</v>
      </c>
      <c r="AF571" s="1" t="s">
        <v>954</v>
      </c>
      <c r="AG571" s="1" t="s">
        <v>777</v>
      </c>
      <c r="AH571" s="1" t="s">
        <v>165</v>
      </c>
      <c r="AI571" s="1" t="s">
        <v>101</v>
      </c>
      <c r="AJ571" s="1">
        <v>75</v>
      </c>
      <c r="AK571" s="1"/>
      <c r="AL571" s="1" t="s">
        <v>10841</v>
      </c>
      <c r="AM571" s="1" t="s">
        <v>7017</v>
      </c>
      <c r="AN571" s="1" t="s">
        <v>201</v>
      </c>
      <c r="AO571" s="1" t="s">
        <v>1019</v>
      </c>
      <c r="AP571" s="1">
        <v>61</v>
      </c>
      <c r="AQ571" s="1"/>
      <c r="AR571" s="1"/>
      <c r="AS571" s="1"/>
      <c r="AT571" s="1"/>
      <c r="AU571" s="1"/>
      <c r="AV571" s="1"/>
      <c r="AW571" s="1"/>
      <c r="AX571" s="1" t="s">
        <v>10842</v>
      </c>
      <c r="AY571" s="1" t="s">
        <v>10843</v>
      </c>
      <c r="AZ571" s="1" t="s">
        <v>828</v>
      </c>
      <c r="BA571" s="1" t="s">
        <v>829</v>
      </c>
      <c r="BB571" s="1">
        <v>73</v>
      </c>
      <c r="BC571" s="1"/>
      <c r="BD571" s="1"/>
      <c r="BE571" s="1"/>
      <c r="BF571" s="1"/>
      <c r="BG571" s="1"/>
      <c r="BH571" s="1"/>
      <c r="BI571" s="1"/>
      <c r="BJ571" s="1" t="s">
        <v>1822</v>
      </c>
      <c r="BK571" s="1"/>
      <c r="BL571" s="1"/>
      <c r="BM571" s="1" t="s">
        <v>10844</v>
      </c>
      <c r="BN571" s="1">
        <v>1</v>
      </c>
      <c r="BO571" s="1"/>
      <c r="BP571" s="1" t="str">
        <f>HYPERLINK("https://nconnect.nicmar.ac.in/storage/profile/ProfilePhoto_P25700573_289415.jpg","Download")</f>
        <v>0</v>
      </c>
      <c r="BQ571" s="3"/>
      <c r="BR571" s="3"/>
    </row>
    <row r="572" spans="1:70">
      <c r="A572" s="1" t="s">
        <v>70</v>
      </c>
      <c r="B572" s="1" t="s">
        <v>441</v>
      </c>
      <c r="C572" s="1" t="s">
        <v>10845</v>
      </c>
      <c r="D572" s="1" t="s">
        <v>10846</v>
      </c>
      <c r="E572" s="1"/>
      <c r="F572" s="1" t="s">
        <v>4014</v>
      </c>
      <c r="G572" s="1" t="s">
        <v>10847</v>
      </c>
      <c r="H572" s="1" t="s">
        <v>10848</v>
      </c>
      <c r="I572" s="1" t="s">
        <v>10849</v>
      </c>
      <c r="J572" s="1">
        <v>9945972444</v>
      </c>
      <c r="K572" s="1" t="s">
        <v>79</v>
      </c>
      <c r="L572" s="1" t="s">
        <v>10850</v>
      </c>
      <c r="M572" s="1" t="s">
        <v>81</v>
      </c>
      <c r="N572" s="1" t="s">
        <v>10851</v>
      </c>
      <c r="O572" s="1"/>
      <c r="P572" s="1" t="s">
        <v>450</v>
      </c>
      <c r="Q572" s="1" t="s">
        <v>10852</v>
      </c>
      <c r="R572" s="1" t="s">
        <v>10853</v>
      </c>
      <c r="S572" s="1">
        <v>9845139778</v>
      </c>
      <c r="T572" s="1" t="s">
        <v>906</v>
      </c>
      <c r="U572" s="1" t="s">
        <v>10854</v>
      </c>
      <c r="V572" s="1">
        <v>9902359778</v>
      </c>
      <c r="W572" s="1" t="s">
        <v>156</v>
      </c>
      <c r="X572" s="1" t="s">
        <v>10855</v>
      </c>
      <c r="Y572" s="1" t="s">
        <v>3151</v>
      </c>
      <c r="Z572" s="1" t="s">
        <v>1187</v>
      </c>
      <c r="AA572" s="1" t="s">
        <v>10855</v>
      </c>
      <c r="AB572" s="1" t="s">
        <v>3151</v>
      </c>
      <c r="AC572" s="1" t="s">
        <v>1187</v>
      </c>
      <c r="AD572" s="1">
        <v>9.31</v>
      </c>
      <c r="AE572" s="1" t="s">
        <v>93</v>
      </c>
      <c r="AF572" s="1" t="s">
        <v>10856</v>
      </c>
      <c r="AG572" s="1" t="s">
        <v>307</v>
      </c>
      <c r="AH572" s="1" t="s">
        <v>165</v>
      </c>
      <c r="AI572" s="1" t="s">
        <v>166</v>
      </c>
      <c r="AJ572" s="1">
        <v>94</v>
      </c>
      <c r="AK572" s="1"/>
      <c r="AL572" s="1" t="s">
        <v>10857</v>
      </c>
      <c r="AM572" s="1" t="s">
        <v>10858</v>
      </c>
      <c r="AN572" s="1" t="s">
        <v>433</v>
      </c>
      <c r="AO572" s="1" t="s">
        <v>173</v>
      </c>
      <c r="AP572" s="1">
        <v>90.67</v>
      </c>
      <c r="AQ572" s="1"/>
      <c r="AR572" s="1"/>
      <c r="AS572" s="1"/>
      <c r="AT572" s="1"/>
      <c r="AU572" s="1"/>
      <c r="AV572" s="1"/>
      <c r="AW572" s="1"/>
      <c r="AX572" s="1" t="s">
        <v>1194</v>
      </c>
      <c r="AY572" s="1" t="s">
        <v>10859</v>
      </c>
      <c r="AZ572" s="1" t="s">
        <v>228</v>
      </c>
      <c r="BA572" s="1" t="s">
        <v>202</v>
      </c>
      <c r="BB572" s="1">
        <v>77</v>
      </c>
      <c r="BC572" s="1">
        <v>8.45</v>
      </c>
      <c r="BD572" s="1"/>
      <c r="BE572" s="1"/>
      <c r="BF572" s="1"/>
      <c r="BG572" s="1"/>
      <c r="BH572" s="1"/>
      <c r="BI572" s="1"/>
      <c r="BJ572" s="1" t="s">
        <v>10860</v>
      </c>
      <c r="BK572" s="1"/>
      <c r="BL572" s="1"/>
      <c r="BM572" s="1" t="s">
        <v>10861</v>
      </c>
      <c r="BN572" s="1">
        <v>63</v>
      </c>
      <c r="BO572" s="1" t="s">
        <v>10862</v>
      </c>
      <c r="BP572" s="1" t="str">
        <f>HYPERLINK("https://nconnect.nicmar.ac.in/storage/profile/ProfilePhoto_P25700574_937814.jpg","Download")</f>
        <v>0</v>
      </c>
      <c r="BQ572" s="3"/>
      <c r="BR572" s="3"/>
    </row>
    <row r="573" spans="1:70">
      <c r="A573" s="1" t="s">
        <v>70</v>
      </c>
      <c r="B573" s="1" t="s">
        <v>441</v>
      </c>
      <c r="C573" s="1" t="s">
        <v>10863</v>
      </c>
      <c r="D573" s="1" t="s">
        <v>1867</v>
      </c>
      <c r="E573" s="1" t="s">
        <v>10864</v>
      </c>
      <c r="F573" s="1" t="s">
        <v>10865</v>
      </c>
      <c r="G573" s="1" t="s">
        <v>10866</v>
      </c>
      <c r="H573" s="1" t="s">
        <v>10867</v>
      </c>
      <c r="I573" s="1" t="s">
        <v>10868</v>
      </c>
      <c r="J573" s="1">
        <v>8600868357</v>
      </c>
      <c r="K573" s="1" t="s">
        <v>79</v>
      </c>
      <c r="L573" s="1" t="s">
        <v>10869</v>
      </c>
      <c r="M573" s="1" t="s">
        <v>81</v>
      </c>
      <c r="N573" s="1" t="s">
        <v>10870</v>
      </c>
      <c r="O573" s="1"/>
      <c r="P573" s="1" t="s">
        <v>497</v>
      </c>
      <c r="Q573" s="1" t="s">
        <v>10871</v>
      </c>
      <c r="R573" s="1" t="s">
        <v>10864</v>
      </c>
      <c r="S573" s="1">
        <v>9766268452</v>
      </c>
      <c r="T573" s="1" t="s">
        <v>122</v>
      </c>
      <c r="U573" s="1" t="s">
        <v>10872</v>
      </c>
      <c r="V573" s="1">
        <v>9766268452</v>
      </c>
      <c r="W573" s="1" t="s">
        <v>156</v>
      </c>
      <c r="X573" s="1" t="s">
        <v>10873</v>
      </c>
      <c r="Y573" s="1" t="s">
        <v>158</v>
      </c>
      <c r="Z573" s="1" t="s">
        <v>92</v>
      </c>
      <c r="AA573" s="1" t="s">
        <v>10873</v>
      </c>
      <c r="AB573" s="1" t="s">
        <v>158</v>
      </c>
      <c r="AC573" s="1" t="s">
        <v>92</v>
      </c>
      <c r="AD573" s="1">
        <v>7.57</v>
      </c>
      <c r="AE573" s="1" t="s">
        <v>93</v>
      </c>
      <c r="AF573" s="1" t="s">
        <v>10874</v>
      </c>
      <c r="AG573" s="1" t="s">
        <v>10875</v>
      </c>
      <c r="AH573" s="1" t="s">
        <v>162</v>
      </c>
      <c r="AI573" s="1" t="s">
        <v>165</v>
      </c>
      <c r="AJ573" s="1">
        <v>78.6</v>
      </c>
      <c r="AK573" s="1"/>
      <c r="AL573" s="1" t="s">
        <v>10876</v>
      </c>
      <c r="AM573" s="1" t="s">
        <v>10875</v>
      </c>
      <c r="AN573" s="1" t="s">
        <v>169</v>
      </c>
      <c r="AO573" s="1" t="s">
        <v>308</v>
      </c>
      <c r="AP573" s="1">
        <v>73.54</v>
      </c>
      <c r="AQ573" s="1"/>
      <c r="AR573" s="1"/>
      <c r="AS573" s="1"/>
      <c r="AT573" s="1"/>
      <c r="AU573" s="1"/>
      <c r="AV573" s="1"/>
      <c r="AW573" s="1"/>
      <c r="AX573" s="1" t="s">
        <v>437</v>
      </c>
      <c r="AY573" s="1" t="s">
        <v>10877</v>
      </c>
      <c r="AZ573" s="1" t="s">
        <v>201</v>
      </c>
      <c r="BA573" s="1" t="s">
        <v>174</v>
      </c>
      <c r="BB573" s="1">
        <v>70.43</v>
      </c>
      <c r="BC573" s="1">
        <v>8.32</v>
      </c>
      <c r="BD573" s="1"/>
      <c r="BE573" s="1"/>
      <c r="BF573" s="1"/>
      <c r="BG573" s="1"/>
      <c r="BH573" s="1"/>
      <c r="BI573" s="1"/>
      <c r="BJ573" s="1" t="s">
        <v>10878</v>
      </c>
      <c r="BK573" s="1"/>
      <c r="BL573" s="1"/>
      <c r="BM573" s="1" t="s">
        <v>10879</v>
      </c>
      <c r="BN573" s="1">
        <v>41</v>
      </c>
      <c r="BO573" s="1"/>
      <c r="BP573" s="1" t="str">
        <f>HYPERLINK("https://nconnect.nicmar.ac.in/storage/profile/ProfilePhoto_P25700575_561478.jpg","Download")</f>
        <v>0</v>
      </c>
      <c r="BQ573" s="3"/>
      <c r="BR573" s="3"/>
    </row>
    <row r="574" spans="1:70">
      <c r="A574" s="1" t="s">
        <v>70</v>
      </c>
      <c r="B574" s="1" t="s">
        <v>441</v>
      </c>
      <c r="C574" s="1" t="s">
        <v>10880</v>
      </c>
      <c r="D574" s="1" t="s">
        <v>5994</v>
      </c>
      <c r="E574" s="1" t="s">
        <v>9765</v>
      </c>
      <c r="F574" s="1" t="s">
        <v>10881</v>
      </c>
      <c r="G574" s="1" t="s">
        <v>10882</v>
      </c>
      <c r="H574" s="1" t="s">
        <v>10883</v>
      </c>
      <c r="I574" s="1" t="s">
        <v>10884</v>
      </c>
      <c r="J574" s="1">
        <v>7058974553</v>
      </c>
      <c r="K574" s="1" t="s">
        <v>79</v>
      </c>
      <c r="L574" s="1" t="s">
        <v>10361</v>
      </c>
      <c r="M574" s="1" t="s">
        <v>81</v>
      </c>
      <c r="N574" s="1" t="s">
        <v>1140</v>
      </c>
      <c r="O574" s="1"/>
      <c r="P574" s="1" t="s">
        <v>450</v>
      </c>
      <c r="Q574" s="1" t="s">
        <v>10885</v>
      </c>
      <c r="R574" s="1" t="s">
        <v>10886</v>
      </c>
      <c r="S574" s="1">
        <v>8805424938</v>
      </c>
      <c r="T574" s="1" t="s">
        <v>820</v>
      </c>
      <c r="U574" s="1" t="s">
        <v>10887</v>
      </c>
      <c r="V574" s="1">
        <v>8530017722</v>
      </c>
      <c r="W574" s="1" t="s">
        <v>156</v>
      </c>
      <c r="X574" s="1" t="s">
        <v>10888</v>
      </c>
      <c r="Y574" s="1" t="s">
        <v>191</v>
      </c>
      <c r="Z574" s="1" t="s">
        <v>92</v>
      </c>
      <c r="AA574" s="1" t="s">
        <v>10888</v>
      </c>
      <c r="AB574" s="1" t="s">
        <v>191</v>
      </c>
      <c r="AC574" s="1" t="s">
        <v>92</v>
      </c>
      <c r="AD574" s="1">
        <v>7.82</v>
      </c>
      <c r="AE574" s="1" t="s">
        <v>93</v>
      </c>
      <c r="AF574" s="1" t="s">
        <v>10889</v>
      </c>
      <c r="AG574" s="1" t="s">
        <v>307</v>
      </c>
      <c r="AH574" s="1" t="s">
        <v>481</v>
      </c>
      <c r="AI574" s="1" t="s">
        <v>198</v>
      </c>
      <c r="AJ574" s="1">
        <v>80.6</v>
      </c>
      <c r="AK574" s="1"/>
      <c r="AL574" s="1" t="s">
        <v>10890</v>
      </c>
      <c r="AM574" s="1" t="s">
        <v>10891</v>
      </c>
      <c r="AN574" s="1" t="s">
        <v>433</v>
      </c>
      <c r="AO574" s="1" t="s">
        <v>826</v>
      </c>
      <c r="AP574" s="1">
        <v>83</v>
      </c>
      <c r="AQ574" s="1"/>
      <c r="AR574" s="1"/>
      <c r="AS574" s="1"/>
      <c r="AT574" s="1"/>
      <c r="AU574" s="1"/>
      <c r="AV574" s="1"/>
      <c r="AW574" s="1"/>
      <c r="AX574" s="1" t="s">
        <v>361</v>
      </c>
      <c r="AY574" s="1" t="s">
        <v>10892</v>
      </c>
      <c r="AZ574" s="1" t="s">
        <v>852</v>
      </c>
      <c r="BA574" s="1" t="s">
        <v>829</v>
      </c>
      <c r="BB574" s="1">
        <v>66.1</v>
      </c>
      <c r="BC574" s="1">
        <v>7.36</v>
      </c>
      <c r="BD574" s="1"/>
      <c r="BE574" s="1"/>
      <c r="BF574" s="1"/>
      <c r="BG574" s="1"/>
      <c r="BH574" s="1"/>
      <c r="BI574" s="1"/>
      <c r="BJ574" s="1" t="s">
        <v>567</v>
      </c>
      <c r="BK574" s="1"/>
      <c r="BL574" s="1"/>
      <c r="BM574" s="1" t="s">
        <v>10893</v>
      </c>
      <c r="BN574" s="1">
        <v>13</v>
      </c>
      <c r="BO574" s="1" t="s">
        <v>10894</v>
      </c>
      <c r="BP574" s="1" t="str">
        <f>HYPERLINK("https://nconnect.nicmar.ac.in/storage/profile/ProfilePhoto_P25700576_435176.jpg","Download")</f>
        <v>0</v>
      </c>
      <c r="BQ574" s="3"/>
      <c r="BR574" s="3"/>
    </row>
    <row r="575" spans="1:70">
      <c r="A575" s="1" t="s">
        <v>70</v>
      </c>
      <c r="B575" s="1" t="s">
        <v>441</v>
      </c>
      <c r="C575" s="1" t="s">
        <v>10895</v>
      </c>
      <c r="D575" s="1" t="s">
        <v>10896</v>
      </c>
      <c r="E575" s="1" t="s">
        <v>6854</v>
      </c>
      <c r="F575" s="1" t="s">
        <v>10897</v>
      </c>
      <c r="G575" s="1" t="s">
        <v>10898</v>
      </c>
      <c r="H575" s="1" t="s">
        <v>10899</v>
      </c>
      <c r="I575" s="1" t="s">
        <v>10900</v>
      </c>
      <c r="J575" s="1">
        <v>7378390992</v>
      </c>
      <c r="K575" s="1" t="s">
        <v>79</v>
      </c>
      <c r="L575" s="1" t="s">
        <v>10901</v>
      </c>
      <c r="M575" s="1" t="s">
        <v>81</v>
      </c>
      <c r="N575" s="1" t="s">
        <v>883</v>
      </c>
      <c r="O575" s="1"/>
      <c r="P575" s="1" t="s">
        <v>450</v>
      </c>
      <c r="Q575" s="1" t="s">
        <v>10902</v>
      </c>
      <c r="R575" s="1" t="s">
        <v>10903</v>
      </c>
      <c r="S575" s="1">
        <v>9403014432</v>
      </c>
      <c r="T575" s="1" t="s">
        <v>529</v>
      </c>
      <c r="U575" s="1" t="s">
        <v>10904</v>
      </c>
      <c r="V575" s="1">
        <v>9403014429</v>
      </c>
      <c r="W575" s="1" t="s">
        <v>89</v>
      </c>
      <c r="X575" s="1" t="s">
        <v>10905</v>
      </c>
      <c r="Y575" s="1" t="s">
        <v>405</v>
      </c>
      <c r="Z575" s="1" t="s">
        <v>92</v>
      </c>
      <c r="AA575" s="1" t="s">
        <v>10905</v>
      </c>
      <c r="AB575" s="1" t="s">
        <v>405</v>
      </c>
      <c r="AC575" s="1" t="s">
        <v>92</v>
      </c>
      <c r="AD575" s="1">
        <v>8.28</v>
      </c>
      <c r="AE575" s="1" t="s">
        <v>93</v>
      </c>
      <c r="AF575" s="1" t="s">
        <v>10906</v>
      </c>
      <c r="AG575" s="1" t="s">
        <v>5278</v>
      </c>
      <c r="AH575" s="1" t="s">
        <v>778</v>
      </c>
      <c r="AI575" s="1" t="s">
        <v>166</v>
      </c>
      <c r="AJ575" s="1">
        <v>92.6</v>
      </c>
      <c r="AK575" s="1">
        <v>0</v>
      </c>
      <c r="AL575" s="1" t="s">
        <v>10907</v>
      </c>
      <c r="AM575" s="1" t="s">
        <v>5278</v>
      </c>
      <c r="AN575" s="1" t="s">
        <v>169</v>
      </c>
      <c r="AO575" s="1" t="s">
        <v>173</v>
      </c>
      <c r="AP575" s="1">
        <v>76</v>
      </c>
      <c r="AQ575" s="1">
        <v>0</v>
      </c>
      <c r="AR575" s="1"/>
      <c r="AS575" s="1"/>
      <c r="AT575" s="1"/>
      <c r="AU575" s="1"/>
      <c r="AV575" s="1"/>
      <c r="AW575" s="1"/>
      <c r="AX575" s="1" t="s">
        <v>410</v>
      </c>
      <c r="AY575" s="1" t="s">
        <v>10908</v>
      </c>
      <c r="AZ575" s="1" t="s">
        <v>1148</v>
      </c>
      <c r="BA575" s="1" t="s">
        <v>202</v>
      </c>
      <c r="BB575" s="1">
        <v>83.5</v>
      </c>
      <c r="BC575" s="1">
        <v>8.35</v>
      </c>
      <c r="BD575" s="1"/>
      <c r="BE575" s="1"/>
      <c r="BF575" s="1"/>
      <c r="BG575" s="1"/>
      <c r="BH575" s="1"/>
      <c r="BI575" s="1"/>
      <c r="BJ575" s="1" t="s">
        <v>10909</v>
      </c>
      <c r="BK575" s="1"/>
      <c r="BL575" s="1"/>
      <c r="BM575" s="1" t="s">
        <v>10910</v>
      </c>
      <c r="BN575" s="1">
        <v>36</v>
      </c>
      <c r="BO575" s="1"/>
      <c r="BP575" s="1" t="str">
        <f>HYPERLINK("https://nconnect.nicmar.ac.in/storage/profile/ProfilePhoto_P25700577_523498.jpg","Download")</f>
        <v>0</v>
      </c>
      <c r="BQ575" s="3"/>
      <c r="BR575" s="3"/>
    </row>
    <row r="576" spans="1:70">
      <c r="A576" s="1" t="s">
        <v>70</v>
      </c>
      <c r="B576" s="1" t="s">
        <v>441</v>
      </c>
      <c r="C576" s="1" t="s">
        <v>10911</v>
      </c>
      <c r="D576" s="1" t="s">
        <v>10912</v>
      </c>
      <c r="E576" s="1" t="s">
        <v>2396</v>
      </c>
      <c r="F576" s="1" t="s">
        <v>3120</v>
      </c>
      <c r="G576" s="1" t="s">
        <v>10913</v>
      </c>
      <c r="H576" s="1" t="s">
        <v>10914</v>
      </c>
      <c r="I576" s="1" t="s">
        <v>10915</v>
      </c>
      <c r="J576" s="1">
        <v>9356706658</v>
      </c>
      <c r="K576" s="1" t="s">
        <v>148</v>
      </c>
      <c r="L576" s="1" t="s">
        <v>10916</v>
      </c>
      <c r="M576" s="1" t="s">
        <v>81</v>
      </c>
      <c r="N576" s="1" t="s">
        <v>605</v>
      </c>
      <c r="O576" s="1"/>
      <c r="P576" s="1" t="s">
        <v>497</v>
      </c>
      <c r="Q576" s="1" t="s">
        <v>10917</v>
      </c>
      <c r="R576" s="1" t="s">
        <v>10918</v>
      </c>
      <c r="S576" s="1">
        <v>9822306522</v>
      </c>
      <c r="T576" s="1" t="s">
        <v>154</v>
      </c>
      <c r="U576" s="1" t="s">
        <v>10919</v>
      </c>
      <c r="V576" s="1">
        <v>9028232927</v>
      </c>
      <c r="W576" s="1" t="s">
        <v>531</v>
      </c>
      <c r="X576" s="1" t="s">
        <v>10920</v>
      </c>
      <c r="Y576" s="1" t="s">
        <v>328</v>
      </c>
      <c r="Z576" s="1" t="s">
        <v>92</v>
      </c>
      <c r="AA576" s="1" t="s">
        <v>10920</v>
      </c>
      <c r="AB576" s="1" t="s">
        <v>328</v>
      </c>
      <c r="AC576" s="1" t="s">
        <v>92</v>
      </c>
      <c r="AD576" s="1">
        <v>8.13</v>
      </c>
      <c r="AE576" s="1" t="s">
        <v>93</v>
      </c>
      <c r="AF576" s="1" t="s">
        <v>10921</v>
      </c>
      <c r="AG576" s="1" t="s">
        <v>10922</v>
      </c>
      <c r="AH576" s="1" t="s">
        <v>162</v>
      </c>
      <c r="AI576" s="1" t="s">
        <v>433</v>
      </c>
      <c r="AJ576" s="1">
        <v>82.8</v>
      </c>
      <c r="AK576" s="1"/>
      <c r="AL576" s="1" t="s">
        <v>10923</v>
      </c>
      <c r="AM576" s="1" t="s">
        <v>6694</v>
      </c>
      <c r="AN576" s="1" t="s">
        <v>310</v>
      </c>
      <c r="AO576" s="1" t="s">
        <v>539</v>
      </c>
      <c r="AP576" s="1">
        <v>90.33</v>
      </c>
      <c r="AQ576" s="1"/>
      <c r="AR576" s="1"/>
      <c r="AS576" s="1"/>
      <c r="AT576" s="1"/>
      <c r="AU576" s="1"/>
      <c r="AV576" s="1"/>
      <c r="AW576" s="1"/>
      <c r="AX576" s="1" t="s">
        <v>361</v>
      </c>
      <c r="AY576" s="1" t="s">
        <v>10924</v>
      </c>
      <c r="AZ576" s="1" t="s">
        <v>852</v>
      </c>
      <c r="BA576" s="1" t="s">
        <v>829</v>
      </c>
      <c r="BB576" s="1">
        <v>71.4</v>
      </c>
      <c r="BC576" s="1">
        <v>7.86</v>
      </c>
      <c r="BD576" s="1"/>
      <c r="BE576" s="1"/>
      <c r="BF576" s="1"/>
      <c r="BG576" s="1"/>
      <c r="BH576" s="1"/>
      <c r="BI576" s="1"/>
      <c r="BJ576" s="1" t="s">
        <v>10925</v>
      </c>
      <c r="BK576" s="1"/>
      <c r="BL576" s="1"/>
      <c r="BM576" s="1" t="s">
        <v>10926</v>
      </c>
      <c r="BN576" s="1">
        <v>32</v>
      </c>
      <c r="BO576" s="1"/>
      <c r="BP576" s="1" t="str">
        <f>HYPERLINK("https://nconnect.nicmar.ac.in/storage/profile/ProfilePhoto_P25700578_347951.jpg","Download")</f>
        <v>0</v>
      </c>
      <c r="BQ576" s="3"/>
      <c r="BR576" s="3"/>
    </row>
    <row r="577" spans="1:70">
      <c r="A577" s="1" t="s">
        <v>70</v>
      </c>
      <c r="B577" s="1" t="s">
        <v>441</v>
      </c>
      <c r="C577" s="1" t="s">
        <v>10927</v>
      </c>
      <c r="D577" s="1" t="s">
        <v>10928</v>
      </c>
      <c r="E577" s="1"/>
      <c r="F577" s="1" t="s">
        <v>10929</v>
      </c>
      <c r="G577" s="1" t="s">
        <v>10930</v>
      </c>
      <c r="H577" s="1" t="s">
        <v>10931</v>
      </c>
      <c r="I577" s="1" t="s">
        <v>10932</v>
      </c>
      <c r="J577" s="1">
        <v>9538487535</v>
      </c>
      <c r="K577" s="1" t="s">
        <v>148</v>
      </c>
      <c r="L577" s="1" t="s">
        <v>10933</v>
      </c>
      <c r="M577" s="1" t="s">
        <v>81</v>
      </c>
      <c r="N577" s="1" t="s">
        <v>10934</v>
      </c>
      <c r="O577" s="1"/>
      <c r="P577" s="1" t="s">
        <v>450</v>
      </c>
      <c r="Q577" s="1" t="s">
        <v>10935</v>
      </c>
      <c r="R577" s="1" t="s">
        <v>10936</v>
      </c>
      <c r="S577" s="1">
        <v>9844309756</v>
      </c>
      <c r="T577" s="1" t="s">
        <v>10937</v>
      </c>
      <c r="U577" s="1" t="s">
        <v>10938</v>
      </c>
      <c r="V577" s="1">
        <v>8088735595</v>
      </c>
      <c r="W577" s="1" t="s">
        <v>531</v>
      </c>
      <c r="X577" s="1" t="s">
        <v>10939</v>
      </c>
      <c r="Y577" s="1" t="s">
        <v>3151</v>
      </c>
      <c r="Z577" s="1" t="s">
        <v>1187</v>
      </c>
      <c r="AA577" s="1" t="s">
        <v>10939</v>
      </c>
      <c r="AB577" s="1" t="s">
        <v>3151</v>
      </c>
      <c r="AC577" s="1" t="s">
        <v>1187</v>
      </c>
      <c r="AD577" s="1">
        <v>8.68</v>
      </c>
      <c r="AE577" s="1" t="s">
        <v>93</v>
      </c>
      <c r="AF577" s="1" t="s">
        <v>10940</v>
      </c>
      <c r="AG577" s="1" t="s">
        <v>307</v>
      </c>
      <c r="AH577" s="1" t="s">
        <v>3439</v>
      </c>
      <c r="AI577" s="1" t="s">
        <v>1239</v>
      </c>
      <c r="AJ577" s="1">
        <v>85.5</v>
      </c>
      <c r="AK577" s="1">
        <v>9</v>
      </c>
      <c r="AL577" s="1" t="s">
        <v>10940</v>
      </c>
      <c r="AM577" s="1" t="s">
        <v>307</v>
      </c>
      <c r="AN577" s="1" t="s">
        <v>1088</v>
      </c>
      <c r="AO577" s="1" t="s">
        <v>614</v>
      </c>
      <c r="AP577" s="1">
        <v>78.6</v>
      </c>
      <c r="AQ577" s="1"/>
      <c r="AR577" s="1"/>
      <c r="AS577" s="1"/>
      <c r="AT577" s="1"/>
      <c r="AU577" s="1"/>
      <c r="AV577" s="1"/>
      <c r="AW577" s="1"/>
      <c r="AX577" s="1" t="s">
        <v>10941</v>
      </c>
      <c r="AY577" s="1" t="s">
        <v>10942</v>
      </c>
      <c r="AZ577" s="1" t="s">
        <v>134</v>
      </c>
      <c r="BA577" s="1" t="s">
        <v>436</v>
      </c>
      <c r="BB577" s="1">
        <v>62</v>
      </c>
      <c r="BC577" s="1">
        <v>6.95</v>
      </c>
      <c r="BD577" s="1"/>
      <c r="BE577" s="1"/>
      <c r="BF577" s="1"/>
      <c r="BG577" s="1"/>
      <c r="BH577" s="1"/>
      <c r="BI577" s="1"/>
      <c r="BJ577" s="1" t="s">
        <v>10943</v>
      </c>
      <c r="BK577" s="1" t="s">
        <v>10944</v>
      </c>
      <c r="BL577" s="1" t="s">
        <v>10828</v>
      </c>
      <c r="BM577" s="1" t="s">
        <v>10945</v>
      </c>
      <c r="BN577" s="1">
        <v>34</v>
      </c>
      <c r="BO577" s="1"/>
      <c r="BP577" s="1" t="str">
        <f>HYPERLINK("https://nconnect.nicmar.ac.in/storage/profile/ProfilePhoto_P25700579_237859.jpg","Download")</f>
        <v>0</v>
      </c>
      <c r="BQ577" s="3"/>
      <c r="BR577" s="3"/>
    </row>
    <row r="578" spans="1:70">
      <c r="A578" s="1" t="s">
        <v>70</v>
      </c>
      <c r="B578" s="1" t="s">
        <v>441</v>
      </c>
      <c r="C578" s="1" t="s">
        <v>10946</v>
      </c>
      <c r="D578" s="1" t="s">
        <v>10947</v>
      </c>
      <c r="E578" s="1" t="s">
        <v>10948</v>
      </c>
      <c r="F578" s="1" t="s">
        <v>10949</v>
      </c>
      <c r="G578" s="1" t="s">
        <v>10950</v>
      </c>
      <c r="H578" s="1" t="s">
        <v>10951</v>
      </c>
      <c r="I578" s="1" t="s">
        <v>10952</v>
      </c>
      <c r="J578" s="1">
        <v>7558618682</v>
      </c>
      <c r="K578" s="1" t="s">
        <v>79</v>
      </c>
      <c r="L578" s="1" t="s">
        <v>10953</v>
      </c>
      <c r="M578" s="1" t="s">
        <v>81</v>
      </c>
      <c r="N578" s="1" t="s">
        <v>4976</v>
      </c>
      <c r="O578" s="1" t="s">
        <v>83</v>
      </c>
      <c r="P578" s="1" t="s">
        <v>450</v>
      </c>
      <c r="Q578" s="1" t="s">
        <v>10954</v>
      </c>
      <c r="R578" s="1" t="s">
        <v>10948</v>
      </c>
      <c r="S578" s="1">
        <v>9271359295</v>
      </c>
      <c r="T578" s="1" t="s">
        <v>10955</v>
      </c>
      <c r="U578" s="1" t="s">
        <v>10956</v>
      </c>
      <c r="V578" s="1">
        <v>8830255877</v>
      </c>
      <c r="W578" s="1" t="s">
        <v>122</v>
      </c>
      <c r="X578" s="1" t="s">
        <v>10957</v>
      </c>
      <c r="Y578" s="1" t="s">
        <v>5663</v>
      </c>
      <c r="Z578" s="1" t="s">
        <v>92</v>
      </c>
      <c r="AA578" s="1" t="s">
        <v>10957</v>
      </c>
      <c r="AB578" s="1" t="s">
        <v>5663</v>
      </c>
      <c r="AC578" s="1" t="s">
        <v>92</v>
      </c>
      <c r="AD578" s="1">
        <v>8.13</v>
      </c>
      <c r="AE578" s="1" t="s">
        <v>93</v>
      </c>
      <c r="AF578" s="1" t="s">
        <v>10958</v>
      </c>
      <c r="AG578" s="1" t="s">
        <v>160</v>
      </c>
      <c r="AH578" s="1" t="s">
        <v>281</v>
      </c>
      <c r="AI578" s="1" t="s">
        <v>409</v>
      </c>
      <c r="AJ578" s="1">
        <v>71.4</v>
      </c>
      <c r="AK578" s="1"/>
      <c r="AL578" s="1" t="s">
        <v>5002</v>
      </c>
      <c r="AM578" s="1" t="s">
        <v>160</v>
      </c>
      <c r="AN578" s="1" t="s">
        <v>409</v>
      </c>
      <c r="AO578" s="1" t="s">
        <v>1169</v>
      </c>
      <c r="AP578" s="1">
        <v>85.33</v>
      </c>
      <c r="AQ578" s="1"/>
      <c r="AR578" s="1"/>
      <c r="AS578" s="1"/>
      <c r="AT578" s="1"/>
      <c r="AU578" s="1"/>
      <c r="AV578" s="1"/>
      <c r="AW578" s="1"/>
      <c r="AX578" s="1" t="s">
        <v>102</v>
      </c>
      <c r="AY578" s="1" t="s">
        <v>10959</v>
      </c>
      <c r="AZ578" s="1" t="s">
        <v>542</v>
      </c>
      <c r="BA578" s="1" t="s">
        <v>1379</v>
      </c>
      <c r="BB578" s="1">
        <v>62.7</v>
      </c>
      <c r="BC578" s="1">
        <v>6.77</v>
      </c>
      <c r="BD578" s="1"/>
      <c r="BE578" s="1"/>
      <c r="BF578" s="1"/>
      <c r="BG578" s="1"/>
      <c r="BH578" s="1"/>
      <c r="BI578" s="1"/>
      <c r="BJ578" s="1" t="s">
        <v>10960</v>
      </c>
      <c r="BK578" s="1"/>
      <c r="BL578" s="1"/>
      <c r="BM578" s="1" t="s">
        <v>10961</v>
      </c>
      <c r="BN578" s="1">
        <v>21</v>
      </c>
      <c r="BO578" s="1" t="s">
        <v>10962</v>
      </c>
      <c r="BP578" s="1" t="str">
        <f>HYPERLINK("https://nconnect.nicmar.ac.in/storage/profile/ProfilePhoto_P25700580_295186.jpg","Download")</f>
        <v>0</v>
      </c>
      <c r="BQ578" s="3"/>
      <c r="BR578" s="3"/>
    </row>
    <row r="579" spans="1:70">
      <c r="A579" s="1" t="s">
        <v>70</v>
      </c>
      <c r="B579" s="1" t="s">
        <v>441</v>
      </c>
      <c r="C579" s="1" t="s">
        <v>10963</v>
      </c>
      <c r="D579" s="1" t="s">
        <v>10964</v>
      </c>
      <c r="E579" s="1" t="s">
        <v>10965</v>
      </c>
      <c r="F579" s="1" t="s">
        <v>10966</v>
      </c>
      <c r="G579" s="1" t="s">
        <v>10967</v>
      </c>
      <c r="H579" s="1" t="s">
        <v>10968</v>
      </c>
      <c r="I579" s="1" t="s">
        <v>10969</v>
      </c>
      <c r="J579" s="1">
        <v>8999391739</v>
      </c>
      <c r="K579" s="1" t="s">
        <v>148</v>
      </c>
      <c r="L579" s="1" t="s">
        <v>10970</v>
      </c>
      <c r="M579" s="1" t="s">
        <v>81</v>
      </c>
      <c r="N579" s="1" t="s">
        <v>10971</v>
      </c>
      <c r="O579" s="1"/>
      <c r="P579" s="1" t="s">
        <v>472</v>
      </c>
      <c r="Q579" s="1" t="s">
        <v>10972</v>
      </c>
      <c r="R579" s="1" t="s">
        <v>10973</v>
      </c>
      <c r="S579" s="1">
        <v>8484086900</v>
      </c>
      <c r="T579" s="1" t="s">
        <v>820</v>
      </c>
      <c r="U579" s="1" t="s">
        <v>10974</v>
      </c>
      <c r="V579" s="1">
        <v>9096360330</v>
      </c>
      <c r="W579" s="1" t="s">
        <v>156</v>
      </c>
      <c r="X579" s="1" t="s">
        <v>10975</v>
      </c>
      <c r="Y579" s="1" t="s">
        <v>1012</v>
      </c>
      <c r="Z579" s="1" t="s">
        <v>92</v>
      </c>
      <c r="AA579" s="1" t="s">
        <v>10975</v>
      </c>
      <c r="AB579" s="1" t="s">
        <v>1012</v>
      </c>
      <c r="AC579" s="1" t="s">
        <v>92</v>
      </c>
      <c r="AD579" s="1">
        <v>8.23</v>
      </c>
      <c r="AE579" s="1" t="s">
        <v>93</v>
      </c>
      <c r="AF579" s="1" t="s">
        <v>10976</v>
      </c>
      <c r="AG579" s="1" t="s">
        <v>2680</v>
      </c>
      <c r="AH579" s="1" t="s">
        <v>281</v>
      </c>
      <c r="AI579" s="1" t="s">
        <v>409</v>
      </c>
      <c r="AJ579" s="1">
        <v>86.4</v>
      </c>
      <c r="AK579" s="1"/>
      <c r="AL579" s="1"/>
      <c r="AM579" s="1"/>
      <c r="AN579" s="1"/>
      <c r="AO579" s="1"/>
      <c r="AP579" s="1"/>
      <c r="AQ579" s="1"/>
      <c r="AR579" s="1" t="s">
        <v>98</v>
      </c>
      <c r="AS579" s="1" t="s">
        <v>10977</v>
      </c>
      <c r="AT579" s="1" t="s">
        <v>201</v>
      </c>
      <c r="AU579" s="1" t="s">
        <v>1378</v>
      </c>
      <c r="AV579" s="1">
        <v>81.42</v>
      </c>
      <c r="AW579" s="1"/>
      <c r="AX579" s="1" t="s">
        <v>10978</v>
      </c>
      <c r="AY579" s="1" t="s">
        <v>10979</v>
      </c>
      <c r="AZ579" s="1" t="s">
        <v>105</v>
      </c>
      <c r="BA579" s="1" t="s">
        <v>1379</v>
      </c>
      <c r="BB579" s="1">
        <v>64</v>
      </c>
      <c r="BC579" s="1">
        <v>6.9</v>
      </c>
      <c r="BD579" s="1"/>
      <c r="BE579" s="1"/>
      <c r="BF579" s="1"/>
      <c r="BG579" s="1"/>
      <c r="BH579" s="1"/>
      <c r="BI579" s="1"/>
      <c r="BJ579" s="1" t="s">
        <v>10980</v>
      </c>
      <c r="BK579" s="1"/>
      <c r="BL579" s="1"/>
      <c r="BM579" s="1" t="s">
        <v>10981</v>
      </c>
      <c r="BN579" s="1">
        <v>8</v>
      </c>
      <c r="BO579" s="1" t="s">
        <v>10982</v>
      </c>
      <c r="BP579" s="1" t="str">
        <f>HYPERLINK("https://nconnect.nicmar.ac.in/storage/profile/ProfilePhoto_P25700581_985367.jpg","Download")</f>
        <v>0</v>
      </c>
      <c r="BQ579" s="3"/>
      <c r="BR579" s="3"/>
    </row>
    <row r="580" spans="1:70">
      <c r="A580" s="1" t="s">
        <v>70</v>
      </c>
      <c r="B580" s="1" t="s">
        <v>441</v>
      </c>
      <c r="C580" s="1" t="s">
        <v>10983</v>
      </c>
      <c r="D580" s="1" t="s">
        <v>6222</v>
      </c>
      <c r="E580" s="1" t="s">
        <v>10984</v>
      </c>
      <c r="F580" s="1" t="s">
        <v>10985</v>
      </c>
      <c r="G580" s="1" t="s">
        <v>10986</v>
      </c>
      <c r="H580" s="1" t="s">
        <v>10987</v>
      </c>
      <c r="I580" s="1" t="s">
        <v>10988</v>
      </c>
      <c r="J580" s="1">
        <v>8849148767</v>
      </c>
      <c r="K580" s="1" t="s">
        <v>79</v>
      </c>
      <c r="L580" s="1" t="s">
        <v>4975</v>
      </c>
      <c r="M580" s="1" t="s">
        <v>81</v>
      </c>
      <c r="N580" s="1" t="s">
        <v>5239</v>
      </c>
      <c r="O580" s="1"/>
      <c r="P580" s="1" t="s">
        <v>472</v>
      </c>
      <c r="Q580" s="1" t="s">
        <v>10989</v>
      </c>
      <c r="R580" s="1" t="s">
        <v>10984</v>
      </c>
      <c r="S580" s="1">
        <v>9428489738</v>
      </c>
      <c r="T580" s="1" t="s">
        <v>6725</v>
      </c>
      <c r="U580" s="1" t="s">
        <v>10990</v>
      </c>
      <c r="V580" s="1">
        <v>7383888802</v>
      </c>
      <c r="W580" s="1" t="s">
        <v>156</v>
      </c>
      <c r="X580" s="1" t="s">
        <v>10991</v>
      </c>
      <c r="Y580" s="1" t="s">
        <v>1166</v>
      </c>
      <c r="Z580" s="1" t="s">
        <v>92</v>
      </c>
      <c r="AA580" s="1" t="s">
        <v>10991</v>
      </c>
      <c r="AB580" s="1" t="s">
        <v>1166</v>
      </c>
      <c r="AC580" s="1" t="s">
        <v>92</v>
      </c>
      <c r="AD580" s="1">
        <v>8.44</v>
      </c>
      <c r="AE580" s="1" t="s">
        <v>93</v>
      </c>
      <c r="AF580" s="1" t="s">
        <v>10992</v>
      </c>
      <c r="AG580" s="1" t="s">
        <v>10993</v>
      </c>
      <c r="AH580" s="1" t="s">
        <v>1089</v>
      </c>
      <c r="AI580" s="1" t="s">
        <v>195</v>
      </c>
      <c r="AJ580" s="1">
        <v>81.7</v>
      </c>
      <c r="AK580" s="1">
        <v>8.6</v>
      </c>
      <c r="AL580" s="1" t="s">
        <v>10994</v>
      </c>
      <c r="AM580" s="1" t="s">
        <v>10993</v>
      </c>
      <c r="AN580" s="1" t="s">
        <v>562</v>
      </c>
      <c r="AO580" s="1" t="s">
        <v>308</v>
      </c>
      <c r="AP580" s="1">
        <v>68.8</v>
      </c>
      <c r="AQ580" s="1"/>
      <c r="AR580" s="1"/>
      <c r="AS580" s="1"/>
      <c r="AT580" s="1"/>
      <c r="AU580" s="1"/>
      <c r="AV580" s="1"/>
      <c r="AW580" s="1"/>
      <c r="AX580" s="1" t="s">
        <v>4558</v>
      </c>
      <c r="AY580" s="1" t="s">
        <v>10995</v>
      </c>
      <c r="AZ580" s="1" t="s">
        <v>201</v>
      </c>
      <c r="BA580" s="1" t="s">
        <v>174</v>
      </c>
      <c r="BB580" s="1">
        <v>85.14</v>
      </c>
      <c r="BC580" s="1">
        <v>9.69</v>
      </c>
      <c r="BD580" s="1"/>
      <c r="BE580" s="1"/>
      <c r="BF580" s="1"/>
      <c r="BG580" s="1"/>
      <c r="BH580" s="1"/>
      <c r="BI580" s="1"/>
      <c r="BJ580" s="1" t="s">
        <v>364</v>
      </c>
      <c r="BK580" s="1" t="s">
        <v>10996</v>
      </c>
      <c r="BL580" s="1" t="s">
        <v>2569</v>
      </c>
      <c r="BM580" s="1" t="s">
        <v>10997</v>
      </c>
      <c r="BN580" s="1">
        <v>12</v>
      </c>
      <c r="BO580" s="1"/>
      <c r="BP580" s="1" t="str">
        <f>HYPERLINK("https://nconnect.nicmar.ac.in/storage/profile/ProfilePhoto_P25700582_791845.jpg","Download")</f>
        <v>0</v>
      </c>
      <c r="BQ580" s="3"/>
      <c r="BR580" s="3"/>
    </row>
    <row r="581" spans="1:70">
      <c r="A581" s="1" t="s">
        <v>70</v>
      </c>
      <c r="B581" s="1" t="s">
        <v>441</v>
      </c>
      <c r="C581" s="1" t="s">
        <v>10998</v>
      </c>
      <c r="D581" s="1" t="s">
        <v>367</v>
      </c>
      <c r="E581" s="1" t="s">
        <v>5234</v>
      </c>
      <c r="F581" s="1" t="s">
        <v>10999</v>
      </c>
      <c r="G581" s="1" t="s">
        <v>11000</v>
      </c>
      <c r="H581" s="1" t="s">
        <v>11001</v>
      </c>
      <c r="I581" s="1" t="s">
        <v>11002</v>
      </c>
      <c r="J581" s="1">
        <v>9130974324</v>
      </c>
      <c r="K581" s="1" t="s">
        <v>79</v>
      </c>
      <c r="L581" s="1" t="s">
        <v>5658</v>
      </c>
      <c r="M581" s="1" t="s">
        <v>81</v>
      </c>
      <c r="N581" s="1" t="s">
        <v>883</v>
      </c>
      <c r="O581" s="1"/>
      <c r="P581" s="1" t="s">
        <v>450</v>
      </c>
      <c r="Q581" s="1" t="s">
        <v>11003</v>
      </c>
      <c r="R581" s="1" t="s">
        <v>5234</v>
      </c>
      <c r="S581" s="1">
        <v>9011512929</v>
      </c>
      <c r="T581" s="1" t="s">
        <v>820</v>
      </c>
      <c r="U581" s="1" t="s">
        <v>11004</v>
      </c>
      <c r="V581" s="1">
        <v>7776907979</v>
      </c>
      <c r="W581" s="1" t="s">
        <v>820</v>
      </c>
      <c r="X581" s="1" t="s">
        <v>11005</v>
      </c>
      <c r="Y581" s="1" t="s">
        <v>3557</v>
      </c>
      <c r="Z581" s="1" t="s">
        <v>92</v>
      </c>
      <c r="AA581" s="1" t="s">
        <v>11005</v>
      </c>
      <c r="AB581" s="1" t="s">
        <v>3557</v>
      </c>
      <c r="AC581" s="1" t="s">
        <v>92</v>
      </c>
      <c r="AD581" s="1" t="s">
        <v>93</v>
      </c>
      <c r="AE581" s="1" t="s">
        <v>93</v>
      </c>
      <c r="AF581" s="1" t="s">
        <v>11006</v>
      </c>
      <c r="AG581" s="1" t="s">
        <v>11007</v>
      </c>
      <c r="AH581" s="1" t="s">
        <v>165</v>
      </c>
      <c r="AI581" s="1" t="s">
        <v>281</v>
      </c>
      <c r="AJ581" s="1">
        <v>85</v>
      </c>
      <c r="AK581" s="1"/>
      <c r="AL581" s="1" t="s">
        <v>11008</v>
      </c>
      <c r="AM581" s="1" t="s">
        <v>11007</v>
      </c>
      <c r="AN581" s="1" t="s">
        <v>433</v>
      </c>
      <c r="AO581" s="1" t="s">
        <v>360</v>
      </c>
      <c r="AP581" s="1">
        <v>69.23</v>
      </c>
      <c r="AQ581" s="1"/>
      <c r="AR581" s="1"/>
      <c r="AS581" s="1"/>
      <c r="AT581" s="1"/>
      <c r="AU581" s="1"/>
      <c r="AV581" s="1"/>
      <c r="AW581" s="1"/>
      <c r="AX581" s="1" t="s">
        <v>361</v>
      </c>
      <c r="AY581" s="1" t="s">
        <v>11009</v>
      </c>
      <c r="AZ581" s="1" t="s">
        <v>363</v>
      </c>
      <c r="BA581" s="1" t="s">
        <v>7725</v>
      </c>
      <c r="BB581" s="1">
        <v>65.9</v>
      </c>
      <c r="BC581" s="1">
        <v>7.34</v>
      </c>
      <c r="BD581" s="1"/>
      <c r="BE581" s="1"/>
      <c r="BF581" s="1"/>
      <c r="BG581" s="1"/>
      <c r="BH581" s="1"/>
      <c r="BI581" s="1"/>
      <c r="BJ581" s="1" t="s">
        <v>11010</v>
      </c>
      <c r="BK581" s="1"/>
      <c r="BL581" s="1"/>
      <c r="BM581" s="1" t="s">
        <v>11011</v>
      </c>
      <c r="BN581" s="1">
        <v>60</v>
      </c>
      <c r="BO581" s="1"/>
      <c r="BP581" s="1" t="str">
        <f>HYPERLINK("https://nconnect.nicmar.ac.in/storage/profile/ProfilePhoto_P25700583_527169.jpg","Download")</f>
        <v>0</v>
      </c>
      <c r="BQ581" s="3"/>
      <c r="BR581" s="3"/>
    </row>
    <row r="582" spans="1:70">
      <c r="A582" s="1" t="s">
        <v>70</v>
      </c>
      <c r="B582" s="1" t="s">
        <v>441</v>
      </c>
      <c r="C582" s="1" t="s">
        <v>11012</v>
      </c>
      <c r="D582" s="1" t="s">
        <v>11013</v>
      </c>
      <c r="E582" s="1" t="s">
        <v>1938</v>
      </c>
      <c r="F582" s="1" t="s">
        <v>11014</v>
      </c>
      <c r="G582" s="1" t="s">
        <v>11015</v>
      </c>
      <c r="H582" s="1" t="s">
        <v>11016</v>
      </c>
      <c r="I582" s="1" t="s">
        <v>11017</v>
      </c>
      <c r="J582" s="1">
        <v>6360851156</v>
      </c>
      <c r="K582" s="1" t="s">
        <v>79</v>
      </c>
      <c r="L582" s="1" t="s">
        <v>11018</v>
      </c>
      <c r="M582" s="1" t="s">
        <v>81</v>
      </c>
      <c r="N582" s="1" t="s">
        <v>11019</v>
      </c>
      <c r="O582" s="1"/>
      <c r="P582" s="1" t="s">
        <v>497</v>
      </c>
      <c r="Q582" s="1" t="s">
        <v>11020</v>
      </c>
      <c r="R582" s="1" t="s">
        <v>11021</v>
      </c>
      <c r="S582" s="1">
        <v>9964110480</v>
      </c>
      <c r="T582" s="1" t="s">
        <v>11022</v>
      </c>
      <c r="U582" s="1" t="s">
        <v>11023</v>
      </c>
      <c r="V582" s="1">
        <v>9449551923</v>
      </c>
      <c r="W582" s="1" t="s">
        <v>156</v>
      </c>
      <c r="X582" s="1" t="s">
        <v>11024</v>
      </c>
      <c r="Y582" s="1" t="s">
        <v>4428</v>
      </c>
      <c r="Z582" s="1" t="s">
        <v>1187</v>
      </c>
      <c r="AA582" s="1" t="s">
        <v>11024</v>
      </c>
      <c r="AB582" s="1" t="s">
        <v>4428</v>
      </c>
      <c r="AC582" s="1" t="s">
        <v>1187</v>
      </c>
      <c r="AD582" s="1">
        <v>7.98</v>
      </c>
      <c r="AE582" s="1" t="s">
        <v>93</v>
      </c>
      <c r="AF582" s="1" t="s">
        <v>11025</v>
      </c>
      <c r="AG582" s="1" t="s">
        <v>11026</v>
      </c>
      <c r="AH582" s="1" t="s">
        <v>614</v>
      </c>
      <c r="AI582" s="1" t="s">
        <v>689</v>
      </c>
      <c r="AJ582" s="1">
        <v>64</v>
      </c>
      <c r="AK582" s="1"/>
      <c r="AL582" s="1"/>
      <c r="AM582" s="1"/>
      <c r="AN582" s="1"/>
      <c r="AO582" s="1"/>
      <c r="AP582" s="1"/>
      <c r="AQ582" s="1"/>
      <c r="AR582" s="1" t="s">
        <v>98</v>
      </c>
      <c r="AS582" s="1" t="s">
        <v>11027</v>
      </c>
      <c r="AT582" s="1" t="s">
        <v>5538</v>
      </c>
      <c r="AU582" s="1" t="s">
        <v>1622</v>
      </c>
      <c r="AV582" s="1">
        <v>68.7</v>
      </c>
      <c r="AW582" s="1"/>
      <c r="AX582" s="1" t="s">
        <v>1194</v>
      </c>
      <c r="AY582" s="1" t="s">
        <v>11028</v>
      </c>
      <c r="AZ582" s="1" t="s">
        <v>170</v>
      </c>
      <c r="BA582" s="1" t="s">
        <v>7725</v>
      </c>
      <c r="BB582" s="1">
        <v>70.3</v>
      </c>
      <c r="BC582" s="1">
        <v>7.78</v>
      </c>
      <c r="BD582" s="1"/>
      <c r="BE582" s="1"/>
      <c r="BF582" s="1"/>
      <c r="BG582" s="1"/>
      <c r="BH582" s="1"/>
      <c r="BI582" s="1"/>
      <c r="BJ582" s="1" t="s">
        <v>11029</v>
      </c>
      <c r="BK582" s="1"/>
      <c r="BL582" s="1"/>
      <c r="BM582" s="1" t="s">
        <v>11030</v>
      </c>
      <c r="BN582" s="1">
        <v>20</v>
      </c>
      <c r="BO582" s="1" t="s">
        <v>11031</v>
      </c>
      <c r="BP582" s="1" t="str">
        <f>HYPERLINK("https://nconnect.nicmar.ac.in/storage/profile/ProfilePhoto_P25700585_357829.jpg","Download")</f>
        <v>0</v>
      </c>
      <c r="BQ582" s="3"/>
      <c r="BR582" s="3"/>
    </row>
    <row r="583" spans="1:70">
      <c r="A583" s="1" t="s">
        <v>70</v>
      </c>
      <c r="B583" s="1" t="s">
        <v>441</v>
      </c>
      <c r="C583" s="1" t="s">
        <v>11032</v>
      </c>
      <c r="D583" s="1" t="s">
        <v>11033</v>
      </c>
      <c r="E583" s="1" t="s">
        <v>2439</v>
      </c>
      <c r="F583" s="1" t="s">
        <v>11034</v>
      </c>
      <c r="G583" s="1" t="s">
        <v>11035</v>
      </c>
      <c r="H583" s="1" t="s">
        <v>11036</v>
      </c>
      <c r="I583" s="1" t="s">
        <v>11037</v>
      </c>
      <c r="J583" s="1">
        <v>8767204123</v>
      </c>
      <c r="K583" s="1" t="s">
        <v>148</v>
      </c>
      <c r="L583" s="1" t="s">
        <v>9185</v>
      </c>
      <c r="M583" s="1" t="s">
        <v>81</v>
      </c>
      <c r="N583" s="1" t="s">
        <v>883</v>
      </c>
      <c r="O583" s="1"/>
      <c r="P583" s="1" t="s">
        <v>450</v>
      </c>
      <c r="Q583" s="1" t="s">
        <v>11038</v>
      </c>
      <c r="R583" s="1" t="s">
        <v>11039</v>
      </c>
      <c r="S583" s="1">
        <v>9167759199</v>
      </c>
      <c r="T583" s="1" t="s">
        <v>120</v>
      </c>
      <c r="U583" s="1" t="s">
        <v>11040</v>
      </c>
      <c r="V583" s="1">
        <v>9167759198</v>
      </c>
      <c r="W583" s="1" t="s">
        <v>89</v>
      </c>
      <c r="X583" s="1" t="s">
        <v>11041</v>
      </c>
      <c r="Y583" s="1" t="s">
        <v>191</v>
      </c>
      <c r="Z583" s="1" t="s">
        <v>92</v>
      </c>
      <c r="AA583" s="1" t="s">
        <v>11042</v>
      </c>
      <c r="AB583" s="1" t="s">
        <v>2229</v>
      </c>
      <c r="AC583" s="1" t="s">
        <v>92</v>
      </c>
      <c r="AD583" s="1">
        <v>8.08</v>
      </c>
      <c r="AE583" s="1" t="s">
        <v>93</v>
      </c>
      <c r="AF583" s="1" t="s">
        <v>11043</v>
      </c>
      <c r="AG583" s="1" t="s">
        <v>7354</v>
      </c>
      <c r="AH583" s="1" t="s">
        <v>162</v>
      </c>
      <c r="AI583" s="1" t="s">
        <v>195</v>
      </c>
      <c r="AJ583" s="1">
        <v>95</v>
      </c>
      <c r="AK583" s="1"/>
      <c r="AL583" s="1" t="s">
        <v>11044</v>
      </c>
      <c r="AM583" s="1" t="s">
        <v>7354</v>
      </c>
      <c r="AN583" s="1" t="s">
        <v>165</v>
      </c>
      <c r="AO583" s="1" t="s">
        <v>198</v>
      </c>
      <c r="AP583" s="1">
        <v>73.23</v>
      </c>
      <c r="AQ583" s="1"/>
      <c r="AR583" s="1"/>
      <c r="AS583" s="1"/>
      <c r="AT583" s="1"/>
      <c r="AU583" s="1"/>
      <c r="AV583" s="1"/>
      <c r="AW583" s="1"/>
      <c r="AX583" s="1" t="s">
        <v>253</v>
      </c>
      <c r="AY583" s="1" t="s">
        <v>11045</v>
      </c>
      <c r="AZ583" s="1" t="s">
        <v>310</v>
      </c>
      <c r="BA583" s="1" t="s">
        <v>413</v>
      </c>
      <c r="BB583" s="1">
        <v>74.01</v>
      </c>
      <c r="BC583" s="1">
        <v>8.38</v>
      </c>
      <c r="BD583" s="1"/>
      <c r="BE583" s="1"/>
      <c r="BF583" s="1"/>
      <c r="BG583" s="1"/>
      <c r="BH583" s="1"/>
      <c r="BI583" s="1"/>
      <c r="BJ583" s="1" t="s">
        <v>11046</v>
      </c>
      <c r="BK583" s="1"/>
      <c r="BL583" s="1"/>
      <c r="BM583" s="1" t="s">
        <v>11047</v>
      </c>
      <c r="BN583" s="1">
        <v>23</v>
      </c>
      <c r="BO583" s="1" t="s">
        <v>11048</v>
      </c>
      <c r="BP583" s="1" t="str">
        <f>HYPERLINK("https://nconnect.nicmar.ac.in/storage/profile/ProfilePhoto_P25700586_826451.jpg","Download")</f>
        <v>0</v>
      </c>
      <c r="BQ583" s="3"/>
      <c r="BR583" s="3"/>
    </row>
    <row r="584" spans="1:70">
      <c r="A584" s="1" t="s">
        <v>70</v>
      </c>
      <c r="B584" s="1" t="s">
        <v>441</v>
      </c>
      <c r="C584" s="1" t="s">
        <v>11049</v>
      </c>
      <c r="D584" s="1" t="s">
        <v>11050</v>
      </c>
      <c r="E584" s="1" t="s">
        <v>11051</v>
      </c>
      <c r="F584" s="1" t="s">
        <v>3120</v>
      </c>
      <c r="G584" s="1" t="s">
        <v>11052</v>
      </c>
      <c r="H584" s="1" t="s">
        <v>11053</v>
      </c>
      <c r="I584" s="1" t="s">
        <v>11054</v>
      </c>
      <c r="J584" s="1">
        <v>8788278658</v>
      </c>
      <c r="K584" s="1" t="s">
        <v>79</v>
      </c>
      <c r="L584" s="1" t="s">
        <v>11055</v>
      </c>
      <c r="M584" s="1" t="s">
        <v>81</v>
      </c>
      <c r="N584" s="1" t="s">
        <v>1058</v>
      </c>
      <c r="O584" s="1"/>
      <c r="P584" s="1" t="s">
        <v>497</v>
      </c>
      <c r="Q584" s="1" t="s">
        <v>11056</v>
      </c>
      <c r="R584" s="1" t="s">
        <v>11057</v>
      </c>
      <c r="S584" s="1">
        <v>9822923991</v>
      </c>
      <c r="T584" s="1" t="s">
        <v>154</v>
      </c>
      <c r="U584" s="1" t="s">
        <v>11058</v>
      </c>
      <c r="V584" s="1">
        <v>9404509307</v>
      </c>
      <c r="W584" s="1" t="s">
        <v>156</v>
      </c>
      <c r="X584" s="1" t="s">
        <v>11059</v>
      </c>
      <c r="Y584" s="1" t="s">
        <v>328</v>
      </c>
      <c r="Z584" s="1" t="s">
        <v>92</v>
      </c>
      <c r="AA584" s="1" t="s">
        <v>11059</v>
      </c>
      <c r="AB584" s="1" t="s">
        <v>328</v>
      </c>
      <c r="AC584" s="1" t="s">
        <v>92</v>
      </c>
      <c r="AD584" s="1">
        <v>8.01</v>
      </c>
      <c r="AE584" s="1" t="s">
        <v>93</v>
      </c>
      <c r="AF584" s="1" t="s">
        <v>11060</v>
      </c>
      <c r="AG584" s="1" t="s">
        <v>160</v>
      </c>
      <c r="AH584" s="1" t="s">
        <v>165</v>
      </c>
      <c r="AI584" s="1" t="s">
        <v>281</v>
      </c>
      <c r="AJ584" s="1">
        <v>75.8</v>
      </c>
      <c r="AK584" s="1"/>
      <c r="AL584" s="1" t="s">
        <v>11061</v>
      </c>
      <c r="AM584" s="1" t="s">
        <v>160</v>
      </c>
      <c r="AN584" s="1" t="s">
        <v>198</v>
      </c>
      <c r="AO584" s="1" t="s">
        <v>360</v>
      </c>
      <c r="AP584" s="1">
        <v>73.85</v>
      </c>
      <c r="AQ584" s="1"/>
      <c r="AR584" s="1"/>
      <c r="AS584" s="1"/>
      <c r="AT584" s="1"/>
      <c r="AU584" s="1"/>
      <c r="AV584" s="1"/>
      <c r="AW584" s="1"/>
      <c r="AX584" s="1" t="s">
        <v>11062</v>
      </c>
      <c r="AY584" s="1" t="s">
        <v>11063</v>
      </c>
      <c r="AZ584" s="1" t="s">
        <v>460</v>
      </c>
      <c r="BA584" s="1" t="s">
        <v>202</v>
      </c>
      <c r="BB584" s="1">
        <v>68.9</v>
      </c>
      <c r="BC584" s="1">
        <v>7.64</v>
      </c>
      <c r="BD584" s="1"/>
      <c r="BE584" s="1"/>
      <c r="BF584" s="1"/>
      <c r="BG584" s="1"/>
      <c r="BH584" s="1"/>
      <c r="BI584" s="1"/>
      <c r="BJ584" s="1" t="s">
        <v>11064</v>
      </c>
      <c r="BK584" s="1"/>
      <c r="BL584" s="1"/>
      <c r="BM584" s="1" t="s">
        <v>11065</v>
      </c>
      <c r="BN584" s="1">
        <v>42</v>
      </c>
      <c r="BO584" s="1"/>
      <c r="BP584" s="1" t="str">
        <f>HYPERLINK("https://nconnect.nicmar.ac.in/storage/profile/ProfilePhoto_P25700587_216584.jpg","Download")</f>
        <v>0</v>
      </c>
      <c r="BQ584" s="3"/>
      <c r="BR584" s="3"/>
    </row>
    <row r="585" spans="1:70">
      <c r="A585" s="1" t="s">
        <v>70</v>
      </c>
      <c r="B585" s="1" t="s">
        <v>441</v>
      </c>
      <c r="C585" s="1" t="s">
        <v>11066</v>
      </c>
      <c r="D585" s="1" t="s">
        <v>11067</v>
      </c>
      <c r="E585" s="1"/>
      <c r="F585" s="1" t="s">
        <v>11068</v>
      </c>
      <c r="G585" s="1" t="s">
        <v>11069</v>
      </c>
      <c r="H585" s="1" t="s">
        <v>11070</v>
      </c>
      <c r="I585" s="1" t="s">
        <v>11071</v>
      </c>
      <c r="J585" s="1">
        <v>9686028662</v>
      </c>
      <c r="K585" s="1" t="s">
        <v>148</v>
      </c>
      <c r="L585" s="1" t="s">
        <v>11072</v>
      </c>
      <c r="M585" s="1" t="s">
        <v>81</v>
      </c>
      <c r="N585" s="1" t="s">
        <v>4194</v>
      </c>
      <c r="O585" s="1"/>
      <c r="P585" s="1" t="s">
        <v>472</v>
      </c>
      <c r="Q585" s="1" t="s">
        <v>11073</v>
      </c>
      <c r="R585" s="1" t="s">
        <v>11074</v>
      </c>
      <c r="S585" s="1">
        <v>9844658446</v>
      </c>
      <c r="T585" s="1" t="s">
        <v>2972</v>
      </c>
      <c r="U585" s="1" t="s">
        <v>11075</v>
      </c>
      <c r="V585" s="1">
        <v>9900314017</v>
      </c>
      <c r="W585" s="1" t="s">
        <v>89</v>
      </c>
      <c r="X585" s="1" t="s">
        <v>11076</v>
      </c>
      <c r="Y585" s="1" t="s">
        <v>3151</v>
      </c>
      <c r="Z585" s="1" t="s">
        <v>1187</v>
      </c>
      <c r="AA585" s="1" t="s">
        <v>11076</v>
      </c>
      <c r="AB585" s="1" t="s">
        <v>3151</v>
      </c>
      <c r="AC585" s="1" t="s">
        <v>1187</v>
      </c>
      <c r="AD585" s="1">
        <v>9.1</v>
      </c>
      <c r="AE585" s="1" t="s">
        <v>93</v>
      </c>
      <c r="AF585" s="1" t="s">
        <v>11077</v>
      </c>
      <c r="AG585" s="1" t="s">
        <v>307</v>
      </c>
      <c r="AH585" s="1" t="s">
        <v>162</v>
      </c>
      <c r="AI585" s="1" t="s">
        <v>165</v>
      </c>
      <c r="AJ585" s="1">
        <v>85.5</v>
      </c>
      <c r="AK585" s="1">
        <v>9</v>
      </c>
      <c r="AL585" s="1" t="s">
        <v>11078</v>
      </c>
      <c r="AM585" s="1" t="s">
        <v>11079</v>
      </c>
      <c r="AN585" s="1" t="s">
        <v>101</v>
      </c>
      <c r="AO585" s="1" t="s">
        <v>537</v>
      </c>
      <c r="AP585" s="1">
        <v>79</v>
      </c>
      <c r="AQ585" s="1"/>
      <c r="AR585" s="1"/>
      <c r="AS585" s="1"/>
      <c r="AT585" s="1"/>
      <c r="AU585" s="1"/>
      <c r="AV585" s="1"/>
      <c r="AW585" s="1"/>
      <c r="AX585" s="1" t="s">
        <v>4201</v>
      </c>
      <c r="AY585" s="1" t="s">
        <v>11080</v>
      </c>
      <c r="AZ585" s="1" t="s">
        <v>201</v>
      </c>
      <c r="BA585" s="1" t="s">
        <v>1067</v>
      </c>
      <c r="BB585" s="1">
        <v>68.8</v>
      </c>
      <c r="BC585" s="1">
        <v>7.63</v>
      </c>
      <c r="BD585" s="1"/>
      <c r="BE585" s="1"/>
      <c r="BF585" s="1"/>
      <c r="BG585" s="1"/>
      <c r="BH585" s="1"/>
      <c r="BI585" s="1"/>
      <c r="BJ585" s="1" t="s">
        <v>11081</v>
      </c>
      <c r="BK585" s="1" t="s">
        <v>11082</v>
      </c>
      <c r="BL585" s="1" t="s">
        <v>10828</v>
      </c>
      <c r="BM585" s="1" t="s">
        <v>11083</v>
      </c>
      <c r="BN585" s="1">
        <v>24</v>
      </c>
      <c r="BO585" s="1" t="s">
        <v>11084</v>
      </c>
      <c r="BP585" s="1" t="str">
        <f>HYPERLINK("https://nconnect.nicmar.ac.in/storage/profile/ProfilePhoto_P25700588_849236.jpg","Download")</f>
        <v>0</v>
      </c>
      <c r="BQ585" s="3"/>
      <c r="BR585" s="3"/>
    </row>
    <row r="586" spans="1:70">
      <c r="A586" s="1" t="s">
        <v>70</v>
      </c>
      <c r="B586" s="1" t="s">
        <v>441</v>
      </c>
      <c r="C586" s="1" t="s">
        <v>11085</v>
      </c>
      <c r="D586" s="1" t="s">
        <v>3511</v>
      </c>
      <c r="E586" s="1"/>
      <c r="F586" s="1" t="s">
        <v>11086</v>
      </c>
      <c r="G586" s="1" t="s">
        <v>11087</v>
      </c>
      <c r="H586" s="1" t="s">
        <v>11088</v>
      </c>
      <c r="I586" s="1" t="s">
        <v>11089</v>
      </c>
      <c r="J586" s="1">
        <v>8890169699</v>
      </c>
      <c r="K586" s="1" t="s">
        <v>79</v>
      </c>
      <c r="L586" s="1" t="s">
        <v>11090</v>
      </c>
      <c r="M586" s="1" t="s">
        <v>81</v>
      </c>
      <c r="N586" s="1" t="s">
        <v>2054</v>
      </c>
      <c r="O586" s="1" t="s">
        <v>11091</v>
      </c>
      <c r="P586" s="1" t="s">
        <v>117</v>
      </c>
      <c r="Q586" s="1" t="s">
        <v>11092</v>
      </c>
      <c r="R586" s="1" t="s">
        <v>11093</v>
      </c>
      <c r="S586" s="1">
        <v>8619349481</v>
      </c>
      <c r="T586" s="1" t="s">
        <v>120</v>
      </c>
      <c r="U586" s="1" t="s">
        <v>11094</v>
      </c>
      <c r="V586" s="1">
        <v>9413764080</v>
      </c>
      <c r="W586" s="1" t="s">
        <v>89</v>
      </c>
      <c r="X586" s="1" t="s">
        <v>11095</v>
      </c>
      <c r="Y586" s="1" t="s">
        <v>8170</v>
      </c>
      <c r="Z586" s="1" t="s">
        <v>2126</v>
      </c>
      <c r="AA586" s="1" t="s">
        <v>11095</v>
      </c>
      <c r="AB586" s="1" t="s">
        <v>8170</v>
      </c>
      <c r="AC586" s="1" t="s">
        <v>2126</v>
      </c>
      <c r="AD586" s="1">
        <v>8.24</v>
      </c>
      <c r="AE586" s="1" t="s">
        <v>93</v>
      </c>
      <c r="AF586" s="1" t="s">
        <v>11096</v>
      </c>
      <c r="AG586" s="1" t="s">
        <v>11097</v>
      </c>
      <c r="AH586" s="1" t="s">
        <v>131</v>
      </c>
      <c r="AI586" s="1" t="s">
        <v>614</v>
      </c>
      <c r="AJ586" s="1">
        <v>89.3</v>
      </c>
      <c r="AK586" s="1">
        <v>9.4</v>
      </c>
      <c r="AL586" s="1" t="s">
        <v>11098</v>
      </c>
      <c r="AM586" s="1" t="s">
        <v>11099</v>
      </c>
      <c r="AN586" s="1" t="s">
        <v>562</v>
      </c>
      <c r="AO586" s="1" t="s">
        <v>166</v>
      </c>
      <c r="AP586" s="1">
        <v>68.8</v>
      </c>
      <c r="AQ586" s="1"/>
      <c r="AR586" s="1"/>
      <c r="AS586" s="1"/>
      <c r="AT586" s="1"/>
      <c r="AU586" s="1"/>
      <c r="AV586" s="1"/>
      <c r="AW586" s="1"/>
      <c r="AX586" s="1" t="s">
        <v>3790</v>
      </c>
      <c r="AY586" s="1" t="s">
        <v>11100</v>
      </c>
      <c r="AZ586" s="1" t="s">
        <v>169</v>
      </c>
      <c r="BA586" s="1" t="s">
        <v>1378</v>
      </c>
      <c r="BB586" s="1">
        <v>84.6</v>
      </c>
      <c r="BC586" s="1">
        <v>8.46</v>
      </c>
      <c r="BD586" s="1"/>
      <c r="BE586" s="1"/>
      <c r="BF586" s="1"/>
      <c r="BG586" s="1"/>
      <c r="BH586" s="1"/>
      <c r="BI586" s="1"/>
      <c r="BJ586" s="1" t="s">
        <v>11101</v>
      </c>
      <c r="BK586" s="1" t="s">
        <v>11102</v>
      </c>
      <c r="BL586" s="1" t="s">
        <v>1048</v>
      </c>
      <c r="BM586" s="1" t="s">
        <v>11103</v>
      </c>
      <c r="BN586" s="1">
        <v>25</v>
      </c>
      <c r="BO586" s="1"/>
      <c r="BP586" s="1" t="str">
        <f>HYPERLINK("https://nconnect.nicmar.ac.in/storage/profile/ProfilePhoto_P25700589_315784.jpg","Download")</f>
        <v>0</v>
      </c>
      <c r="BQ586" s="3"/>
      <c r="BR586" s="3"/>
    </row>
    <row r="587" spans="1:70">
      <c r="A587" s="1" t="s">
        <v>70</v>
      </c>
      <c r="B587" s="1" t="s">
        <v>441</v>
      </c>
      <c r="C587" s="1" t="s">
        <v>11104</v>
      </c>
      <c r="D587" s="1" t="s">
        <v>9367</v>
      </c>
      <c r="E587" s="1" t="s">
        <v>1298</v>
      </c>
      <c r="F587" s="1" t="s">
        <v>3927</v>
      </c>
      <c r="G587" s="1" t="s">
        <v>11105</v>
      </c>
      <c r="H587" s="1" t="s">
        <v>11106</v>
      </c>
      <c r="I587" s="1" t="s">
        <v>11107</v>
      </c>
      <c r="J587" s="1">
        <v>9778888438</v>
      </c>
      <c r="K587" s="1" t="s">
        <v>79</v>
      </c>
      <c r="L587" s="1" t="s">
        <v>11108</v>
      </c>
      <c r="M587" s="1" t="s">
        <v>81</v>
      </c>
      <c r="N587" s="1" t="s">
        <v>839</v>
      </c>
      <c r="O587" s="1"/>
      <c r="P587" s="1" t="s">
        <v>1007</v>
      </c>
      <c r="Q587" s="1" t="s">
        <v>11109</v>
      </c>
      <c r="R587" s="1" t="s">
        <v>11110</v>
      </c>
      <c r="S587" s="1">
        <v>9556882551</v>
      </c>
      <c r="T587" s="1" t="s">
        <v>87</v>
      </c>
      <c r="U587" s="1" t="s">
        <v>11111</v>
      </c>
      <c r="V587" s="1">
        <v>9348985862</v>
      </c>
      <c r="W587" s="1" t="s">
        <v>156</v>
      </c>
      <c r="X587" s="1" t="s">
        <v>11112</v>
      </c>
      <c r="Y587" s="1" t="s">
        <v>11113</v>
      </c>
      <c r="Z587" s="1" t="s">
        <v>846</v>
      </c>
      <c r="AA587" s="1" t="s">
        <v>11112</v>
      </c>
      <c r="AB587" s="1" t="s">
        <v>11113</v>
      </c>
      <c r="AC587" s="1" t="s">
        <v>846</v>
      </c>
      <c r="AD587" s="1">
        <v>8.54</v>
      </c>
      <c r="AE587" s="1" t="s">
        <v>93</v>
      </c>
      <c r="AF587" s="1" t="s">
        <v>11114</v>
      </c>
      <c r="AG587" s="1" t="s">
        <v>11115</v>
      </c>
      <c r="AH587" s="1" t="s">
        <v>131</v>
      </c>
      <c r="AI587" s="1" t="s">
        <v>614</v>
      </c>
      <c r="AJ587" s="1">
        <v>91.2</v>
      </c>
      <c r="AK587" s="1">
        <v>9.6</v>
      </c>
      <c r="AL587" s="1" t="s">
        <v>11114</v>
      </c>
      <c r="AM587" s="1" t="s">
        <v>11115</v>
      </c>
      <c r="AN587" s="1" t="s">
        <v>562</v>
      </c>
      <c r="AO587" s="1" t="s">
        <v>101</v>
      </c>
      <c r="AP587" s="1">
        <v>80.6</v>
      </c>
      <c r="AQ587" s="1"/>
      <c r="AR587" s="1"/>
      <c r="AS587" s="1"/>
      <c r="AT587" s="1"/>
      <c r="AU587" s="1"/>
      <c r="AV587" s="1"/>
      <c r="AW587" s="1"/>
      <c r="AX587" s="1" t="s">
        <v>4451</v>
      </c>
      <c r="AY587" s="1" t="s">
        <v>11116</v>
      </c>
      <c r="AZ587" s="1" t="s">
        <v>173</v>
      </c>
      <c r="BA587" s="1" t="s">
        <v>1219</v>
      </c>
      <c r="BB587" s="1">
        <v>65.8</v>
      </c>
      <c r="BC587" s="1">
        <v>7.08</v>
      </c>
      <c r="BD587" s="1"/>
      <c r="BE587" s="1"/>
      <c r="BF587" s="1"/>
      <c r="BG587" s="1"/>
      <c r="BH587" s="1"/>
      <c r="BI587" s="1"/>
      <c r="BJ587" s="1" t="s">
        <v>567</v>
      </c>
      <c r="BK587" s="1"/>
      <c r="BL587" s="1"/>
      <c r="BM587" s="1" t="s">
        <v>11117</v>
      </c>
      <c r="BN587" s="1">
        <v>13</v>
      </c>
      <c r="BO587" s="1" t="s">
        <v>11118</v>
      </c>
      <c r="BP587" s="1" t="str">
        <f>HYPERLINK("https://nconnect.nicmar.ac.in/storage/profile/ProfilePhoto_P25700590_136924.jpg","Download")</f>
        <v>0</v>
      </c>
      <c r="BQ587" s="3"/>
      <c r="BR587" s="3"/>
    </row>
    <row r="588" spans="1:70">
      <c r="A588" s="1" t="s">
        <v>70</v>
      </c>
      <c r="B588" s="1" t="s">
        <v>441</v>
      </c>
      <c r="C588" s="1" t="s">
        <v>11119</v>
      </c>
      <c r="D588" s="1" t="s">
        <v>11120</v>
      </c>
      <c r="E588" s="1" t="s">
        <v>11121</v>
      </c>
      <c r="F588" s="1" t="s">
        <v>11122</v>
      </c>
      <c r="G588" s="1" t="s">
        <v>11123</v>
      </c>
      <c r="H588" s="1" t="s">
        <v>11124</v>
      </c>
      <c r="I588" s="1" t="s">
        <v>11125</v>
      </c>
      <c r="J588" s="1">
        <v>7058619818</v>
      </c>
      <c r="K588" s="1" t="s">
        <v>79</v>
      </c>
      <c r="L588" s="1" t="s">
        <v>11126</v>
      </c>
      <c r="M588" s="1" t="s">
        <v>81</v>
      </c>
      <c r="N588" s="1" t="s">
        <v>11127</v>
      </c>
      <c r="O588" s="1"/>
      <c r="P588" s="1" t="s">
        <v>450</v>
      </c>
      <c r="Q588" s="1" t="s">
        <v>11128</v>
      </c>
      <c r="R588" s="1" t="s">
        <v>11129</v>
      </c>
      <c r="S588" s="1">
        <v>8806477198</v>
      </c>
      <c r="T588" s="1" t="s">
        <v>11130</v>
      </c>
      <c r="U588" s="1" t="s">
        <v>11131</v>
      </c>
      <c r="V588" s="1">
        <v>7058375013</v>
      </c>
      <c r="W588" s="1" t="s">
        <v>11132</v>
      </c>
      <c r="X588" s="1" t="s">
        <v>11133</v>
      </c>
      <c r="Y588" s="1" t="s">
        <v>1963</v>
      </c>
      <c r="Z588" s="1" t="s">
        <v>92</v>
      </c>
      <c r="AA588" s="1" t="s">
        <v>11133</v>
      </c>
      <c r="AB588" s="1" t="s">
        <v>1963</v>
      </c>
      <c r="AC588" s="1" t="s">
        <v>92</v>
      </c>
      <c r="AD588" s="1">
        <v>8.54</v>
      </c>
      <c r="AE588" s="1" t="s">
        <v>93</v>
      </c>
      <c r="AF588" s="1" t="s">
        <v>11134</v>
      </c>
      <c r="AG588" s="1" t="s">
        <v>160</v>
      </c>
      <c r="AH588" s="1" t="s">
        <v>162</v>
      </c>
      <c r="AI588" s="1" t="s">
        <v>383</v>
      </c>
      <c r="AJ588" s="1">
        <v>90.8</v>
      </c>
      <c r="AK588" s="1">
        <v>0</v>
      </c>
      <c r="AL588" s="1" t="s">
        <v>11135</v>
      </c>
      <c r="AM588" s="1" t="s">
        <v>160</v>
      </c>
      <c r="AN588" s="1" t="s">
        <v>101</v>
      </c>
      <c r="AO588" s="1" t="s">
        <v>198</v>
      </c>
      <c r="AP588" s="1">
        <v>58</v>
      </c>
      <c r="AQ588" s="1">
        <v>0</v>
      </c>
      <c r="AR588" s="1" t="s">
        <v>98</v>
      </c>
      <c r="AS588" s="1" t="s">
        <v>11136</v>
      </c>
      <c r="AT588" s="1" t="s">
        <v>433</v>
      </c>
      <c r="AU588" s="1" t="s">
        <v>436</v>
      </c>
      <c r="AV588" s="1">
        <v>87.47</v>
      </c>
      <c r="AW588" s="1">
        <v>0</v>
      </c>
      <c r="AX588" s="1" t="s">
        <v>3731</v>
      </c>
      <c r="AY588" s="1" t="s">
        <v>11137</v>
      </c>
      <c r="AZ588" s="1" t="s">
        <v>852</v>
      </c>
      <c r="BA588" s="1" t="s">
        <v>202</v>
      </c>
      <c r="BB588" s="1">
        <v>70.5</v>
      </c>
      <c r="BC588" s="1">
        <v>7.8</v>
      </c>
      <c r="BD588" s="1"/>
      <c r="BE588" s="1"/>
      <c r="BF588" s="1"/>
      <c r="BG588" s="1"/>
      <c r="BH588" s="1"/>
      <c r="BI588" s="1"/>
      <c r="BJ588" s="1" t="s">
        <v>11138</v>
      </c>
      <c r="BK588" s="1" t="s">
        <v>11139</v>
      </c>
      <c r="BL588" s="1" t="s">
        <v>670</v>
      </c>
      <c r="BM588" s="1" t="s">
        <v>11140</v>
      </c>
      <c r="BN588" s="1">
        <v>30</v>
      </c>
      <c r="BO588" s="1"/>
      <c r="BP588" s="1" t="str">
        <f>HYPERLINK("https://nconnect.nicmar.ac.in/storage/profile/ProfilePhoto_P25700591_413927.jpg","Download")</f>
        <v>0</v>
      </c>
      <c r="BQ588" s="3"/>
      <c r="BR588" s="3"/>
    </row>
    <row r="589" spans="1:70">
      <c r="A589" s="1" t="s">
        <v>70</v>
      </c>
      <c r="B589" s="1" t="s">
        <v>441</v>
      </c>
      <c r="C589" s="1" t="s">
        <v>11141</v>
      </c>
      <c r="D589" s="1" t="s">
        <v>11142</v>
      </c>
      <c r="E589" s="1"/>
      <c r="F589" s="1" t="s">
        <v>520</v>
      </c>
      <c r="G589" s="1" t="s">
        <v>11143</v>
      </c>
      <c r="H589" s="1" t="s">
        <v>11144</v>
      </c>
      <c r="I589" s="1" t="s">
        <v>11145</v>
      </c>
      <c r="J589" s="1">
        <v>7876584754</v>
      </c>
      <c r="K589" s="1" t="s">
        <v>79</v>
      </c>
      <c r="L589" s="1" t="s">
        <v>11146</v>
      </c>
      <c r="M589" s="1" t="s">
        <v>81</v>
      </c>
      <c r="N589" s="1" t="s">
        <v>4861</v>
      </c>
      <c r="O589" s="1"/>
      <c r="P589" s="1" t="s">
        <v>472</v>
      </c>
      <c r="Q589" s="1" t="s">
        <v>11147</v>
      </c>
      <c r="R589" s="1" t="s">
        <v>11148</v>
      </c>
      <c r="S589" s="1">
        <v>9418893004</v>
      </c>
      <c r="T589" s="1" t="s">
        <v>1553</v>
      </c>
      <c r="U589" s="1" t="s">
        <v>11149</v>
      </c>
      <c r="V589" s="1">
        <v>9418421722</v>
      </c>
      <c r="W589" s="1" t="s">
        <v>11150</v>
      </c>
      <c r="X589" s="1" t="s">
        <v>11151</v>
      </c>
      <c r="Y589" s="1" t="s">
        <v>191</v>
      </c>
      <c r="Z589" s="1" t="s">
        <v>92</v>
      </c>
      <c r="AA589" s="1" t="s">
        <v>11152</v>
      </c>
      <c r="AB589" s="1" t="s">
        <v>2618</v>
      </c>
      <c r="AC589" s="1" t="s">
        <v>2619</v>
      </c>
      <c r="AD589" s="1">
        <v>8.62</v>
      </c>
      <c r="AE589" s="1" t="s">
        <v>93</v>
      </c>
      <c r="AF589" s="1" t="s">
        <v>11153</v>
      </c>
      <c r="AG589" s="1" t="s">
        <v>2128</v>
      </c>
      <c r="AH589" s="1" t="s">
        <v>162</v>
      </c>
      <c r="AI589" s="1" t="s">
        <v>165</v>
      </c>
      <c r="AJ589" s="1">
        <v>91.2</v>
      </c>
      <c r="AK589" s="1">
        <v>9.6</v>
      </c>
      <c r="AL589" s="1" t="s">
        <v>11153</v>
      </c>
      <c r="AM589" s="1" t="s">
        <v>2128</v>
      </c>
      <c r="AN589" s="1" t="s">
        <v>481</v>
      </c>
      <c r="AO589" s="1" t="s">
        <v>308</v>
      </c>
      <c r="AP589" s="1">
        <v>83.2</v>
      </c>
      <c r="AQ589" s="1">
        <v>8.7</v>
      </c>
      <c r="AR589" s="1"/>
      <c r="AS589" s="1"/>
      <c r="AT589" s="1"/>
      <c r="AU589" s="1"/>
      <c r="AV589" s="1"/>
      <c r="AW589" s="1"/>
      <c r="AX589" s="1" t="s">
        <v>11154</v>
      </c>
      <c r="AY589" s="1" t="s">
        <v>11155</v>
      </c>
      <c r="AZ589" s="1" t="s">
        <v>201</v>
      </c>
      <c r="BA589" s="1" t="s">
        <v>935</v>
      </c>
      <c r="BB589" s="1">
        <v>64.98</v>
      </c>
      <c r="BC589" s="1">
        <v>6.84</v>
      </c>
      <c r="BD589" s="1"/>
      <c r="BE589" s="1"/>
      <c r="BF589" s="1"/>
      <c r="BG589" s="1"/>
      <c r="BH589" s="1"/>
      <c r="BI589" s="1"/>
      <c r="BJ589" s="1" t="s">
        <v>567</v>
      </c>
      <c r="BK589" s="1"/>
      <c r="BL589" s="1"/>
      <c r="BM589" s="1" t="s">
        <v>11156</v>
      </c>
      <c r="BN589" s="1">
        <v>30</v>
      </c>
      <c r="BO589" s="1"/>
      <c r="BP589" s="1" t="str">
        <f>HYPERLINK("https://nconnect.nicmar.ac.in/storage/profile/ProfilePhoto_P25700592_416579.jpg","Download")</f>
        <v>0</v>
      </c>
      <c r="BQ589" s="3"/>
      <c r="BR589" s="3"/>
    </row>
    <row r="590" spans="1:70">
      <c r="A590" s="1" t="s">
        <v>70</v>
      </c>
      <c r="B590" s="1" t="s">
        <v>441</v>
      </c>
      <c r="C590" s="1" t="s">
        <v>11157</v>
      </c>
      <c r="D590" s="1" t="s">
        <v>11158</v>
      </c>
      <c r="E590" s="1" t="s">
        <v>5755</v>
      </c>
      <c r="F590" s="1" t="s">
        <v>11159</v>
      </c>
      <c r="G590" s="1" t="s">
        <v>11160</v>
      </c>
      <c r="H590" s="1" t="s">
        <v>11161</v>
      </c>
      <c r="I590" s="1" t="s">
        <v>11162</v>
      </c>
      <c r="J590" s="1">
        <v>9403058818</v>
      </c>
      <c r="K590" s="1" t="s">
        <v>79</v>
      </c>
      <c r="L590" s="1" t="s">
        <v>9592</v>
      </c>
      <c r="M590" s="1" t="s">
        <v>81</v>
      </c>
      <c r="N590" s="1" t="s">
        <v>11163</v>
      </c>
      <c r="O590" s="1"/>
      <c r="P590" s="1" t="s">
        <v>497</v>
      </c>
      <c r="Q590" s="1" t="s">
        <v>11164</v>
      </c>
      <c r="R590" s="1" t="s">
        <v>11165</v>
      </c>
      <c r="S590" s="1">
        <v>1234567890</v>
      </c>
      <c r="T590" s="1" t="s">
        <v>93</v>
      </c>
      <c r="U590" s="1" t="s">
        <v>11166</v>
      </c>
      <c r="V590" s="1">
        <v>9423778073</v>
      </c>
      <c r="W590" s="1" t="s">
        <v>11167</v>
      </c>
      <c r="X590" s="1" t="s">
        <v>11168</v>
      </c>
      <c r="Y590" s="1" t="s">
        <v>191</v>
      </c>
      <c r="Z590" s="1" t="s">
        <v>92</v>
      </c>
      <c r="AA590" s="1" t="s">
        <v>11168</v>
      </c>
      <c r="AB590" s="1" t="s">
        <v>191</v>
      </c>
      <c r="AC590" s="1" t="s">
        <v>92</v>
      </c>
      <c r="AD590" s="1">
        <v>8.64</v>
      </c>
      <c r="AE590" s="1" t="s">
        <v>93</v>
      </c>
      <c r="AF590" s="1" t="s">
        <v>11169</v>
      </c>
      <c r="AG590" s="1" t="s">
        <v>11170</v>
      </c>
      <c r="AH590" s="1" t="s">
        <v>129</v>
      </c>
      <c r="AI590" s="1" t="s">
        <v>166</v>
      </c>
      <c r="AJ590" s="1">
        <v>79.8</v>
      </c>
      <c r="AK590" s="1">
        <v>7.98</v>
      </c>
      <c r="AL590" s="1" t="s">
        <v>11171</v>
      </c>
      <c r="AM590" s="1" t="s">
        <v>11170</v>
      </c>
      <c r="AN590" s="1" t="s">
        <v>166</v>
      </c>
      <c r="AO590" s="1" t="s">
        <v>173</v>
      </c>
      <c r="AP590" s="1">
        <v>73.85</v>
      </c>
      <c r="AQ590" s="1">
        <v>7.38</v>
      </c>
      <c r="AR590" s="1"/>
      <c r="AS590" s="1"/>
      <c r="AT590" s="1"/>
      <c r="AU590" s="1"/>
      <c r="AV590" s="1"/>
      <c r="AW590" s="1"/>
      <c r="AX590" s="1" t="s">
        <v>9524</v>
      </c>
      <c r="AY590" s="1" t="s">
        <v>11172</v>
      </c>
      <c r="AZ590" s="1" t="s">
        <v>590</v>
      </c>
      <c r="BA590" s="1" t="s">
        <v>829</v>
      </c>
      <c r="BB590" s="1">
        <v>67.64</v>
      </c>
      <c r="BC590" s="1">
        <v>7.12</v>
      </c>
      <c r="BD590" s="1"/>
      <c r="BE590" s="1"/>
      <c r="BF590" s="1"/>
      <c r="BG590" s="1"/>
      <c r="BH590" s="1"/>
      <c r="BI590" s="1"/>
      <c r="BJ590" s="1" t="s">
        <v>11173</v>
      </c>
      <c r="BK590" s="1"/>
      <c r="BL590" s="1"/>
      <c r="BM590" s="1" t="s">
        <v>11174</v>
      </c>
      <c r="BN590" s="1">
        <v>26</v>
      </c>
      <c r="BO590" s="1" t="s">
        <v>11175</v>
      </c>
      <c r="BP590" s="1" t="str">
        <f>HYPERLINK("https://nconnect.nicmar.ac.in/storage/profile/ProfilePhoto_P25700593_914835.jpg","Download")</f>
        <v>0</v>
      </c>
      <c r="BQ590" s="3"/>
      <c r="BR590" s="3"/>
    </row>
    <row r="591" spans="1:70">
      <c r="A591" s="1" t="s">
        <v>70</v>
      </c>
      <c r="B591" s="1" t="s">
        <v>441</v>
      </c>
      <c r="C591" s="1" t="s">
        <v>11176</v>
      </c>
      <c r="D591" s="1" t="s">
        <v>11177</v>
      </c>
      <c r="E591" s="1"/>
      <c r="F591" s="1" t="s">
        <v>11178</v>
      </c>
      <c r="G591" s="1" t="s">
        <v>11179</v>
      </c>
      <c r="H591" s="1" t="s">
        <v>11180</v>
      </c>
      <c r="I591" s="1" t="s">
        <v>11181</v>
      </c>
      <c r="J591" s="1">
        <v>8827043777</v>
      </c>
      <c r="K591" s="1" t="s">
        <v>148</v>
      </c>
      <c r="L591" s="1" t="s">
        <v>11182</v>
      </c>
      <c r="M591" s="1" t="s">
        <v>81</v>
      </c>
      <c r="N591" s="1" t="s">
        <v>4289</v>
      </c>
      <c r="O591" s="1"/>
      <c r="P591" s="1" t="s">
        <v>450</v>
      </c>
      <c r="Q591" s="1" t="s">
        <v>11183</v>
      </c>
      <c r="R591" s="1" t="s">
        <v>11184</v>
      </c>
      <c r="S591" s="1">
        <v>9425224720</v>
      </c>
      <c r="T591" s="1" t="s">
        <v>906</v>
      </c>
      <c r="U591" s="1" t="s">
        <v>11185</v>
      </c>
      <c r="V591" s="1">
        <v>9589902131</v>
      </c>
      <c r="W591" s="1" t="s">
        <v>156</v>
      </c>
      <c r="X591" s="1" t="s">
        <v>11186</v>
      </c>
      <c r="Y591" s="1" t="s">
        <v>11187</v>
      </c>
      <c r="Z591" s="1" t="s">
        <v>2955</v>
      </c>
      <c r="AA591" s="1" t="s">
        <v>11186</v>
      </c>
      <c r="AB591" s="1" t="s">
        <v>11187</v>
      </c>
      <c r="AC591" s="1" t="s">
        <v>2955</v>
      </c>
      <c r="AD591" s="1">
        <v>8.05</v>
      </c>
      <c r="AE591" s="1" t="s">
        <v>93</v>
      </c>
      <c r="AF591" s="1" t="s">
        <v>11188</v>
      </c>
      <c r="AG591" s="1" t="s">
        <v>688</v>
      </c>
      <c r="AH591" s="1" t="s">
        <v>1088</v>
      </c>
      <c r="AI591" s="1" t="s">
        <v>614</v>
      </c>
      <c r="AJ591" s="1">
        <v>91.2</v>
      </c>
      <c r="AK591" s="1">
        <v>9.6</v>
      </c>
      <c r="AL591" s="1" t="s">
        <v>11188</v>
      </c>
      <c r="AM591" s="1" t="s">
        <v>688</v>
      </c>
      <c r="AN591" s="1" t="s">
        <v>689</v>
      </c>
      <c r="AO591" s="1" t="s">
        <v>166</v>
      </c>
      <c r="AP591" s="1">
        <v>71.8</v>
      </c>
      <c r="AQ591" s="1"/>
      <c r="AR591" s="1"/>
      <c r="AS591" s="1"/>
      <c r="AT591" s="1"/>
      <c r="AU591" s="1"/>
      <c r="AV591" s="1"/>
      <c r="AW591" s="1"/>
      <c r="AX591" s="1" t="s">
        <v>410</v>
      </c>
      <c r="AY591" s="1" t="s">
        <v>11189</v>
      </c>
      <c r="AZ591" s="1" t="s">
        <v>1043</v>
      </c>
      <c r="BA591" s="1" t="s">
        <v>229</v>
      </c>
      <c r="BB591" s="1">
        <v>66.3</v>
      </c>
      <c r="BC591" s="1">
        <v>7.38</v>
      </c>
      <c r="BD591" s="1"/>
      <c r="BE591" s="1"/>
      <c r="BF591" s="1"/>
      <c r="BG591" s="1"/>
      <c r="BH591" s="1"/>
      <c r="BI591" s="1"/>
      <c r="BJ591" s="1" t="s">
        <v>11190</v>
      </c>
      <c r="BK591" s="1" t="s">
        <v>11191</v>
      </c>
      <c r="BL591" s="1" t="s">
        <v>2066</v>
      </c>
      <c r="BM591" s="1" t="s">
        <v>11192</v>
      </c>
      <c r="BN591" s="1">
        <v>36</v>
      </c>
      <c r="BO591" s="1"/>
      <c r="BP591" s="1" t="str">
        <f>HYPERLINK("https://nconnect.nicmar.ac.in/storage/profile/ProfilePhoto_P25700594_156829.jpg","Download")</f>
        <v>0</v>
      </c>
      <c r="BQ591" s="3"/>
      <c r="BR591" s="3"/>
    </row>
    <row r="592" spans="1:70">
      <c r="A592" s="1" t="s">
        <v>70</v>
      </c>
      <c r="B592" s="1" t="s">
        <v>441</v>
      </c>
      <c r="C592" s="1" t="s">
        <v>11193</v>
      </c>
      <c r="D592" s="1" t="s">
        <v>11194</v>
      </c>
      <c r="E592" s="1" t="s">
        <v>2071</v>
      </c>
      <c r="F592" s="1" t="s">
        <v>11195</v>
      </c>
      <c r="G592" s="1" t="s">
        <v>11196</v>
      </c>
      <c r="H592" s="1" t="s">
        <v>11197</v>
      </c>
      <c r="I592" s="1" t="s">
        <v>11198</v>
      </c>
      <c r="J592" s="1">
        <v>9975404883</v>
      </c>
      <c r="K592" s="1" t="s">
        <v>148</v>
      </c>
      <c r="L592" s="1" t="s">
        <v>5658</v>
      </c>
      <c r="M592" s="1" t="s">
        <v>81</v>
      </c>
      <c r="N592" s="1" t="s">
        <v>11199</v>
      </c>
      <c r="O592" s="1"/>
      <c r="P592" s="1" t="s">
        <v>497</v>
      </c>
      <c r="Q592" s="1" t="s">
        <v>11200</v>
      </c>
      <c r="R592" s="1" t="s">
        <v>11201</v>
      </c>
      <c r="S592" s="1">
        <v>9975403456</v>
      </c>
      <c r="T592" s="1" t="s">
        <v>5031</v>
      </c>
      <c r="U592" s="1" t="s">
        <v>11202</v>
      </c>
      <c r="V592" s="1">
        <v>9881348474</v>
      </c>
      <c r="W592" s="1" t="s">
        <v>89</v>
      </c>
      <c r="X592" s="1" t="s">
        <v>11203</v>
      </c>
      <c r="Y592" s="1" t="s">
        <v>11204</v>
      </c>
      <c r="Z592" s="1" t="s">
        <v>6544</v>
      </c>
      <c r="AA592" s="1" t="s">
        <v>11203</v>
      </c>
      <c r="AB592" s="1" t="s">
        <v>11204</v>
      </c>
      <c r="AC592" s="1" t="s">
        <v>6544</v>
      </c>
      <c r="AD592" s="1">
        <v>8.46</v>
      </c>
      <c r="AE592" s="1" t="s">
        <v>93</v>
      </c>
      <c r="AF592" s="1" t="s">
        <v>11205</v>
      </c>
      <c r="AG592" s="1" t="s">
        <v>11206</v>
      </c>
      <c r="AH592" s="1" t="s">
        <v>165</v>
      </c>
      <c r="AI592" s="1" t="s">
        <v>101</v>
      </c>
      <c r="AJ592" s="1">
        <v>82.66</v>
      </c>
      <c r="AK592" s="1"/>
      <c r="AL592" s="1" t="s">
        <v>11207</v>
      </c>
      <c r="AM592" s="1" t="s">
        <v>11206</v>
      </c>
      <c r="AN592" s="1" t="s">
        <v>433</v>
      </c>
      <c r="AO592" s="1" t="s">
        <v>460</v>
      </c>
      <c r="AP592" s="1">
        <v>67.17</v>
      </c>
      <c r="AQ592" s="1"/>
      <c r="AR592" s="1"/>
      <c r="AS592" s="1"/>
      <c r="AT592" s="1"/>
      <c r="AU592" s="1"/>
      <c r="AV592" s="1"/>
      <c r="AW592" s="1"/>
      <c r="AX592" s="1" t="s">
        <v>11208</v>
      </c>
      <c r="AY592" s="1" t="s">
        <v>11209</v>
      </c>
      <c r="AZ592" s="1" t="s">
        <v>1019</v>
      </c>
      <c r="BA592" s="1" t="s">
        <v>1246</v>
      </c>
      <c r="BB592" s="1">
        <v>79</v>
      </c>
      <c r="BC592" s="1">
        <v>8.65</v>
      </c>
      <c r="BD592" s="1"/>
      <c r="BE592" s="1"/>
      <c r="BF592" s="1"/>
      <c r="BG592" s="1"/>
      <c r="BH592" s="1"/>
      <c r="BI592" s="1"/>
      <c r="BJ592" s="1" t="s">
        <v>8460</v>
      </c>
      <c r="BK592" s="1"/>
      <c r="BL592" s="1"/>
      <c r="BM592" s="1" t="s">
        <v>11210</v>
      </c>
      <c r="BN592" s="1">
        <v>16</v>
      </c>
      <c r="BO592" s="1" t="s">
        <v>11211</v>
      </c>
      <c r="BP592" s="1" t="str">
        <f>HYPERLINK("https://nconnect.nicmar.ac.in/storage/profile/ProfilePhoto_P25700595_861492.jpg","Download")</f>
        <v>0</v>
      </c>
      <c r="BQ592" s="3"/>
      <c r="BR592" s="3"/>
    </row>
    <row r="593" spans="1:70">
      <c r="A593" s="1" t="s">
        <v>70</v>
      </c>
      <c r="B593" s="1" t="s">
        <v>441</v>
      </c>
      <c r="C593" s="1" t="s">
        <v>11212</v>
      </c>
      <c r="D593" s="1" t="s">
        <v>11213</v>
      </c>
      <c r="E593" s="1" t="s">
        <v>5486</v>
      </c>
      <c r="F593" s="1" t="s">
        <v>7434</v>
      </c>
      <c r="G593" s="1" t="s">
        <v>11214</v>
      </c>
      <c r="H593" s="1" t="s">
        <v>11215</v>
      </c>
      <c r="I593" s="1" t="s">
        <v>11216</v>
      </c>
      <c r="J593" s="1">
        <v>9922401880</v>
      </c>
      <c r="K593" s="1" t="s">
        <v>148</v>
      </c>
      <c r="L593" s="1" t="s">
        <v>2361</v>
      </c>
      <c r="M593" s="1" t="s">
        <v>81</v>
      </c>
      <c r="N593" s="1" t="s">
        <v>10870</v>
      </c>
      <c r="O593" s="1"/>
      <c r="P593" s="1" t="s">
        <v>472</v>
      </c>
      <c r="Q593" s="1" t="s">
        <v>11217</v>
      </c>
      <c r="R593" s="1" t="s">
        <v>11218</v>
      </c>
      <c r="S593" s="1">
        <v>7230953999</v>
      </c>
      <c r="T593" s="1" t="s">
        <v>632</v>
      </c>
      <c r="U593" s="1" t="s">
        <v>11219</v>
      </c>
      <c r="V593" s="1">
        <v>7231953999</v>
      </c>
      <c r="W593" s="1" t="s">
        <v>89</v>
      </c>
      <c r="X593" s="1" t="s">
        <v>11220</v>
      </c>
      <c r="Y593" s="1" t="s">
        <v>191</v>
      </c>
      <c r="Z593" s="1" t="s">
        <v>92</v>
      </c>
      <c r="AA593" s="1" t="s">
        <v>11220</v>
      </c>
      <c r="AB593" s="1" t="s">
        <v>191</v>
      </c>
      <c r="AC593" s="1" t="s">
        <v>92</v>
      </c>
      <c r="AD593" s="1">
        <v>8.87</v>
      </c>
      <c r="AE593" s="1" t="s">
        <v>93</v>
      </c>
      <c r="AF593" s="1" t="s">
        <v>11221</v>
      </c>
      <c r="AG593" s="1" t="s">
        <v>11222</v>
      </c>
      <c r="AH593" s="1" t="s">
        <v>161</v>
      </c>
      <c r="AI593" s="1" t="s">
        <v>1089</v>
      </c>
      <c r="AJ593" s="1">
        <v>91.2</v>
      </c>
      <c r="AK593" s="1"/>
      <c r="AL593" s="1" t="s">
        <v>11223</v>
      </c>
      <c r="AM593" s="1" t="s">
        <v>307</v>
      </c>
      <c r="AN593" s="1" t="s">
        <v>689</v>
      </c>
      <c r="AO593" s="1" t="s">
        <v>166</v>
      </c>
      <c r="AP593" s="1">
        <v>79.4</v>
      </c>
      <c r="AQ593" s="1"/>
      <c r="AR593" s="1"/>
      <c r="AS593" s="1"/>
      <c r="AT593" s="1"/>
      <c r="AU593" s="1"/>
      <c r="AV593" s="1"/>
      <c r="AW593" s="1"/>
      <c r="AX593" s="1" t="s">
        <v>361</v>
      </c>
      <c r="AY593" s="1" t="s">
        <v>11224</v>
      </c>
      <c r="AZ593" s="1" t="s">
        <v>1043</v>
      </c>
      <c r="BA593" s="1" t="s">
        <v>566</v>
      </c>
      <c r="BB593" s="1">
        <v>84.93</v>
      </c>
      <c r="BC593" s="1">
        <v>9.54</v>
      </c>
      <c r="BD593" s="1"/>
      <c r="BE593" s="1"/>
      <c r="BF593" s="1"/>
      <c r="BG593" s="1"/>
      <c r="BH593" s="1"/>
      <c r="BI593" s="1"/>
      <c r="BJ593" s="1" t="s">
        <v>11225</v>
      </c>
      <c r="BK593" s="1" t="s">
        <v>11226</v>
      </c>
      <c r="BL593" s="1" t="s">
        <v>569</v>
      </c>
      <c r="BM593" s="1" t="s">
        <v>11227</v>
      </c>
      <c r="BN593" s="1">
        <v>35</v>
      </c>
      <c r="BO593" s="1" t="s">
        <v>11228</v>
      </c>
      <c r="BP593" s="1" t="str">
        <f>HYPERLINK("https://nconnect.nicmar.ac.in/storage/profile/ProfilePhoto_P25700596_394516.jpg","Download")</f>
        <v>0</v>
      </c>
      <c r="BQ593" s="3"/>
      <c r="BR593" s="3"/>
    </row>
    <row r="594" spans="1:70">
      <c r="A594" s="1" t="s">
        <v>70</v>
      </c>
      <c r="B594" s="1" t="s">
        <v>441</v>
      </c>
      <c r="C594" s="1" t="s">
        <v>11229</v>
      </c>
      <c r="D594" s="1" t="s">
        <v>11230</v>
      </c>
      <c r="E594" s="1" t="s">
        <v>11231</v>
      </c>
      <c r="F594" s="1" t="s">
        <v>11232</v>
      </c>
      <c r="G594" s="1" t="s">
        <v>11233</v>
      </c>
      <c r="H594" s="1" t="s">
        <v>11234</v>
      </c>
      <c r="I594" s="1" t="s">
        <v>11235</v>
      </c>
      <c r="J594" s="1">
        <v>9606531866</v>
      </c>
      <c r="K594" s="1" t="s">
        <v>148</v>
      </c>
      <c r="L594" s="1" t="s">
        <v>11236</v>
      </c>
      <c r="M594" s="1" t="s">
        <v>81</v>
      </c>
      <c r="N594" s="1" t="s">
        <v>1180</v>
      </c>
      <c r="O594" s="1"/>
      <c r="P594" s="1" t="s">
        <v>497</v>
      </c>
      <c r="Q594" s="1" t="s">
        <v>11237</v>
      </c>
      <c r="R594" s="1" t="s">
        <v>11231</v>
      </c>
      <c r="S594" s="1">
        <v>9342951866</v>
      </c>
      <c r="T594" s="1" t="s">
        <v>11238</v>
      </c>
      <c r="U594" s="1" t="s">
        <v>11239</v>
      </c>
      <c r="V594" s="1">
        <v>9535198077</v>
      </c>
      <c r="W594" s="1" t="s">
        <v>89</v>
      </c>
      <c r="X594" s="1" t="s">
        <v>11240</v>
      </c>
      <c r="Y594" s="1" t="s">
        <v>4001</v>
      </c>
      <c r="Z594" s="1" t="s">
        <v>1187</v>
      </c>
      <c r="AA594" s="1" t="s">
        <v>11240</v>
      </c>
      <c r="AB594" s="1" t="s">
        <v>4001</v>
      </c>
      <c r="AC594" s="1" t="s">
        <v>1187</v>
      </c>
      <c r="AD594" s="1">
        <v>8.49</v>
      </c>
      <c r="AE594" s="1" t="s">
        <v>93</v>
      </c>
      <c r="AF594" s="1" t="s">
        <v>11241</v>
      </c>
      <c r="AG594" s="1" t="s">
        <v>11242</v>
      </c>
      <c r="AH594" s="1" t="s">
        <v>161</v>
      </c>
      <c r="AI594" s="1" t="s">
        <v>614</v>
      </c>
      <c r="AJ594" s="1">
        <v>89.44</v>
      </c>
      <c r="AK594" s="1"/>
      <c r="AL594" s="1" t="s">
        <v>11243</v>
      </c>
      <c r="AM594" s="1" t="s">
        <v>11244</v>
      </c>
      <c r="AN594" s="1" t="s">
        <v>165</v>
      </c>
      <c r="AO594" s="1" t="s">
        <v>166</v>
      </c>
      <c r="AP594" s="1">
        <v>75</v>
      </c>
      <c r="AQ594" s="1"/>
      <c r="AR594" s="1"/>
      <c r="AS594" s="1"/>
      <c r="AT594" s="1"/>
      <c r="AU594" s="1"/>
      <c r="AV594" s="1"/>
      <c r="AW594" s="1"/>
      <c r="AX594" s="1" t="s">
        <v>717</v>
      </c>
      <c r="AY594" s="1" t="s">
        <v>11245</v>
      </c>
      <c r="AZ594" s="1" t="s">
        <v>101</v>
      </c>
      <c r="BA594" s="1" t="s">
        <v>229</v>
      </c>
      <c r="BB594" s="1">
        <v>71.3</v>
      </c>
      <c r="BC594" s="1">
        <v>7.88</v>
      </c>
      <c r="BD594" s="1"/>
      <c r="BE594" s="1"/>
      <c r="BF594" s="1"/>
      <c r="BG594" s="1"/>
      <c r="BH594" s="1"/>
      <c r="BI594" s="1"/>
      <c r="BJ594" s="1" t="s">
        <v>11246</v>
      </c>
      <c r="BK594" s="1" t="s">
        <v>11247</v>
      </c>
      <c r="BL594" s="1" t="s">
        <v>1335</v>
      </c>
      <c r="BM594" s="1" t="s">
        <v>11248</v>
      </c>
      <c r="BN594" s="1">
        <v>26</v>
      </c>
      <c r="BO594" s="1" t="s">
        <v>11249</v>
      </c>
      <c r="BP594" s="1" t="str">
        <f>HYPERLINK("https://nconnect.nicmar.ac.in/storage/profile/ProfilePhoto_P25700597_285793.jpg","Download")</f>
        <v>0</v>
      </c>
      <c r="BQ594" s="3"/>
      <c r="BR594" s="3"/>
    </row>
    <row r="595" spans="1:70">
      <c r="A595" s="1" t="s">
        <v>70</v>
      </c>
      <c r="B595" s="1" t="s">
        <v>441</v>
      </c>
      <c r="C595" s="1" t="s">
        <v>11250</v>
      </c>
      <c r="D595" s="1" t="s">
        <v>11251</v>
      </c>
      <c r="E595" s="1" t="s">
        <v>1053</v>
      </c>
      <c r="F595" s="1" t="s">
        <v>11252</v>
      </c>
      <c r="G595" s="1" t="s">
        <v>11253</v>
      </c>
      <c r="H595" s="1" t="s">
        <v>11254</v>
      </c>
      <c r="I595" s="1" t="s">
        <v>11255</v>
      </c>
      <c r="J595" s="1">
        <v>9822359165</v>
      </c>
      <c r="K595" s="1" t="s">
        <v>79</v>
      </c>
      <c r="L595" s="1" t="s">
        <v>6034</v>
      </c>
      <c r="M595" s="1" t="s">
        <v>81</v>
      </c>
      <c r="N595" s="1" t="s">
        <v>883</v>
      </c>
      <c r="O595" s="1"/>
      <c r="P595" s="1" t="s">
        <v>450</v>
      </c>
      <c r="Q595" s="1" t="s">
        <v>11256</v>
      </c>
      <c r="R595" s="1" t="s">
        <v>1053</v>
      </c>
      <c r="S595" s="1">
        <v>9960745082</v>
      </c>
      <c r="T595" s="1" t="s">
        <v>11257</v>
      </c>
      <c r="U595" s="1" t="s">
        <v>1103</v>
      </c>
      <c r="V595" s="1">
        <v>9890658542</v>
      </c>
      <c r="W595" s="1" t="s">
        <v>2344</v>
      </c>
      <c r="X595" s="1" t="s">
        <v>11258</v>
      </c>
      <c r="Y595" s="1" t="s">
        <v>379</v>
      </c>
      <c r="Z595" s="1" t="s">
        <v>92</v>
      </c>
      <c r="AA595" s="1" t="s">
        <v>11258</v>
      </c>
      <c r="AB595" s="1" t="s">
        <v>379</v>
      </c>
      <c r="AC595" s="1" t="s">
        <v>92</v>
      </c>
      <c r="AD595" s="1">
        <v>8.41</v>
      </c>
      <c r="AE595" s="1" t="s">
        <v>93</v>
      </c>
      <c r="AF595" s="1" t="s">
        <v>11259</v>
      </c>
      <c r="AG595" s="1" t="s">
        <v>11260</v>
      </c>
      <c r="AH595" s="1" t="s">
        <v>96</v>
      </c>
      <c r="AI595" s="1" t="s">
        <v>97</v>
      </c>
      <c r="AJ595" s="1">
        <v>89.8</v>
      </c>
      <c r="AK595" s="1"/>
      <c r="AL595" s="1" t="s">
        <v>11261</v>
      </c>
      <c r="AM595" s="1" t="s">
        <v>11262</v>
      </c>
      <c r="AN595" s="1" t="s">
        <v>162</v>
      </c>
      <c r="AO595" s="1" t="s">
        <v>508</v>
      </c>
      <c r="AP595" s="1">
        <v>64.77</v>
      </c>
      <c r="AQ595" s="1"/>
      <c r="AR595" s="1"/>
      <c r="AS595" s="1"/>
      <c r="AT595" s="1"/>
      <c r="AU595" s="1"/>
      <c r="AV595" s="1"/>
      <c r="AW595" s="1"/>
      <c r="AX595" s="1" t="s">
        <v>11263</v>
      </c>
      <c r="AY595" s="1" t="s">
        <v>11264</v>
      </c>
      <c r="AZ595" s="1" t="s">
        <v>383</v>
      </c>
      <c r="BA595" s="1" t="s">
        <v>2273</v>
      </c>
      <c r="BB595" s="1">
        <v>77.6</v>
      </c>
      <c r="BC595" s="1">
        <v>8.26</v>
      </c>
      <c r="BD595" s="1"/>
      <c r="BE595" s="1"/>
      <c r="BF595" s="1"/>
      <c r="BG595" s="1"/>
      <c r="BH595" s="1"/>
      <c r="BI595" s="1"/>
      <c r="BJ595" s="1" t="s">
        <v>1659</v>
      </c>
      <c r="BK595" s="1"/>
      <c r="BL595" s="1"/>
      <c r="BM595" s="1"/>
      <c r="BN595" s="1"/>
      <c r="BO595" s="1"/>
      <c r="BP595" s="1" t="str">
        <f>HYPERLINK("https://nconnect.nicmar.ac.in/storage/profile/ProfilePhoto_P25700598_387159.jpg","Download")</f>
        <v>0</v>
      </c>
      <c r="BQ595" s="3"/>
      <c r="BR595" s="3"/>
    </row>
    <row r="596" spans="1:70">
      <c r="A596" s="1" t="s">
        <v>70</v>
      </c>
      <c r="B596" s="1" t="s">
        <v>441</v>
      </c>
      <c r="C596" s="1" t="s">
        <v>11265</v>
      </c>
      <c r="D596" s="1" t="s">
        <v>11266</v>
      </c>
      <c r="E596" s="1"/>
      <c r="F596" s="1" t="s">
        <v>3565</v>
      </c>
      <c r="G596" s="1" t="s">
        <v>11267</v>
      </c>
      <c r="H596" s="1" t="s">
        <v>11268</v>
      </c>
      <c r="I596" s="1" t="s">
        <v>11269</v>
      </c>
      <c r="J596" s="1">
        <v>9778364400</v>
      </c>
      <c r="K596" s="1" t="s">
        <v>148</v>
      </c>
      <c r="L596" s="1" t="s">
        <v>4039</v>
      </c>
      <c r="M596" s="1" t="s">
        <v>81</v>
      </c>
      <c r="N596" s="1" t="s">
        <v>11270</v>
      </c>
      <c r="O596" s="1"/>
      <c r="P596" s="1" t="s">
        <v>1007</v>
      </c>
      <c r="Q596" s="1" t="s">
        <v>11271</v>
      </c>
      <c r="R596" s="1" t="s">
        <v>11272</v>
      </c>
      <c r="S596" s="1">
        <v>9434777343</v>
      </c>
      <c r="T596" s="1" t="s">
        <v>632</v>
      </c>
      <c r="U596" s="1" t="s">
        <v>11273</v>
      </c>
      <c r="V596" s="1">
        <v>9434986538</v>
      </c>
      <c r="W596" s="1" t="s">
        <v>122</v>
      </c>
      <c r="X596" s="1" t="s">
        <v>11274</v>
      </c>
      <c r="Y596" s="1" t="s">
        <v>191</v>
      </c>
      <c r="Z596" s="1" t="s">
        <v>92</v>
      </c>
      <c r="AA596" s="1" t="s">
        <v>11275</v>
      </c>
      <c r="AB596" s="1" t="s">
        <v>11276</v>
      </c>
      <c r="AC596" s="1" t="s">
        <v>1211</v>
      </c>
      <c r="AD596" s="1">
        <v>9.0</v>
      </c>
      <c r="AE596" s="1" t="s">
        <v>93</v>
      </c>
      <c r="AF596" s="1" t="s">
        <v>11277</v>
      </c>
      <c r="AG596" s="1" t="s">
        <v>11278</v>
      </c>
      <c r="AH596" s="1" t="s">
        <v>162</v>
      </c>
      <c r="AI596" s="1" t="s">
        <v>165</v>
      </c>
      <c r="AJ596" s="1">
        <v>95</v>
      </c>
      <c r="AK596" s="1">
        <v>10</v>
      </c>
      <c r="AL596" s="1" t="s">
        <v>11277</v>
      </c>
      <c r="AM596" s="1" t="s">
        <v>11278</v>
      </c>
      <c r="AN596" s="1" t="s">
        <v>166</v>
      </c>
      <c r="AO596" s="1" t="s">
        <v>308</v>
      </c>
      <c r="AP596" s="1">
        <v>76.66</v>
      </c>
      <c r="AQ596" s="1"/>
      <c r="AR596" s="1"/>
      <c r="AS596" s="1"/>
      <c r="AT596" s="1"/>
      <c r="AU596" s="1"/>
      <c r="AV596" s="1"/>
      <c r="AW596" s="1"/>
      <c r="AX596" s="1" t="s">
        <v>1536</v>
      </c>
      <c r="AY596" s="1" t="s">
        <v>11279</v>
      </c>
      <c r="AZ596" s="1" t="s">
        <v>170</v>
      </c>
      <c r="BA596" s="1" t="s">
        <v>1379</v>
      </c>
      <c r="BB596" s="1">
        <v>73.1</v>
      </c>
      <c r="BC596" s="1">
        <v>7.31</v>
      </c>
      <c r="BD596" s="1"/>
      <c r="BE596" s="1"/>
      <c r="BF596" s="1"/>
      <c r="BG596" s="1"/>
      <c r="BH596" s="1"/>
      <c r="BI596" s="1"/>
      <c r="BJ596" s="1" t="s">
        <v>11280</v>
      </c>
      <c r="BK596" s="1"/>
      <c r="BL596" s="1"/>
      <c r="BM596" s="1" t="s">
        <v>11281</v>
      </c>
      <c r="BN596" s="1">
        <v>33</v>
      </c>
      <c r="BO596" s="1"/>
      <c r="BP596" s="1" t="str">
        <f>HYPERLINK("https://nconnect.nicmar.ac.in/storage/profile/ProfilePhoto_P25700599_658143.jpg","Download")</f>
        <v>0</v>
      </c>
      <c r="BQ596" s="3"/>
      <c r="BR596" s="3"/>
    </row>
    <row r="597" spans="1:70">
      <c r="A597" s="1" t="s">
        <v>70</v>
      </c>
      <c r="B597" s="1" t="s">
        <v>441</v>
      </c>
      <c r="C597" s="1" t="s">
        <v>11282</v>
      </c>
      <c r="D597" s="1" t="s">
        <v>11283</v>
      </c>
      <c r="E597" s="1" t="s">
        <v>11284</v>
      </c>
      <c r="F597" s="1" t="s">
        <v>857</v>
      </c>
      <c r="G597" s="1" t="s">
        <v>11285</v>
      </c>
      <c r="H597" s="1" t="s">
        <v>11286</v>
      </c>
      <c r="I597" s="1" t="s">
        <v>11287</v>
      </c>
      <c r="J597" s="1">
        <v>7337288598</v>
      </c>
      <c r="K597" s="1" t="s">
        <v>79</v>
      </c>
      <c r="L597" s="1" t="s">
        <v>11288</v>
      </c>
      <c r="M597" s="1" t="s">
        <v>81</v>
      </c>
      <c r="N597" s="1" t="s">
        <v>3102</v>
      </c>
      <c r="O597" s="1"/>
      <c r="P597" s="1" t="s">
        <v>497</v>
      </c>
      <c r="Q597" s="1" t="s">
        <v>11289</v>
      </c>
      <c r="R597" s="1" t="s">
        <v>11290</v>
      </c>
      <c r="S597" s="1">
        <v>7337288598</v>
      </c>
      <c r="T597" s="1" t="s">
        <v>11291</v>
      </c>
      <c r="U597" s="1" t="s">
        <v>11292</v>
      </c>
      <c r="V597" s="1">
        <v>9396420765</v>
      </c>
      <c r="W597" s="1" t="s">
        <v>531</v>
      </c>
      <c r="X597" s="1" t="s">
        <v>11293</v>
      </c>
      <c r="Y597" s="1" t="s">
        <v>11294</v>
      </c>
      <c r="Z597" s="1" t="s">
        <v>276</v>
      </c>
      <c r="AA597" s="1" t="s">
        <v>11293</v>
      </c>
      <c r="AB597" s="1" t="s">
        <v>11294</v>
      </c>
      <c r="AC597" s="1" t="s">
        <v>276</v>
      </c>
      <c r="AD597" s="1">
        <v>8.51</v>
      </c>
      <c r="AE597" s="1" t="s">
        <v>93</v>
      </c>
      <c r="AF597" s="1" t="s">
        <v>11295</v>
      </c>
      <c r="AG597" s="1" t="s">
        <v>1396</v>
      </c>
      <c r="AH597" s="1" t="s">
        <v>134</v>
      </c>
      <c r="AI597" s="1" t="s">
        <v>562</v>
      </c>
      <c r="AJ597" s="1">
        <v>93</v>
      </c>
      <c r="AK597" s="1">
        <v>9.3</v>
      </c>
      <c r="AL597" s="1" t="s">
        <v>11296</v>
      </c>
      <c r="AM597" s="1" t="s">
        <v>1398</v>
      </c>
      <c r="AN597" s="1" t="s">
        <v>225</v>
      </c>
      <c r="AO597" s="1" t="s">
        <v>537</v>
      </c>
      <c r="AP597" s="1">
        <v>86.01</v>
      </c>
      <c r="AQ597" s="1">
        <v>8.61</v>
      </c>
      <c r="AR597" s="1"/>
      <c r="AS597" s="1"/>
      <c r="AT597" s="1"/>
      <c r="AU597" s="1"/>
      <c r="AV597" s="1"/>
      <c r="AW597" s="1"/>
      <c r="AX597" s="1" t="s">
        <v>7253</v>
      </c>
      <c r="AY597" s="1" t="s">
        <v>11297</v>
      </c>
      <c r="AZ597" s="1" t="s">
        <v>201</v>
      </c>
      <c r="BA597" s="1" t="s">
        <v>935</v>
      </c>
      <c r="BB597" s="1">
        <v>63.5</v>
      </c>
      <c r="BC597" s="1">
        <v>6.85</v>
      </c>
      <c r="BD597" s="1"/>
      <c r="BE597" s="1"/>
      <c r="BF597" s="1"/>
      <c r="BG597" s="1"/>
      <c r="BH597" s="1"/>
      <c r="BI597" s="1"/>
      <c r="BJ597" s="1" t="s">
        <v>11298</v>
      </c>
      <c r="BK597" s="1"/>
      <c r="BL597" s="1"/>
      <c r="BM597" s="1" t="s">
        <v>11299</v>
      </c>
      <c r="BN597" s="1">
        <v>14</v>
      </c>
      <c r="BO597" s="1"/>
      <c r="BP597" s="1" t="str">
        <f>HYPERLINK("https://nconnect.nicmar.ac.in/storage/profile/ProfilePhoto_P25700600_762981.jpg","Download")</f>
        <v>0</v>
      </c>
      <c r="BQ597" s="3"/>
      <c r="BR597" s="3"/>
    </row>
    <row r="598" spans="1:70">
      <c r="A598" s="1" t="s">
        <v>70</v>
      </c>
      <c r="B598" s="1" t="s">
        <v>441</v>
      </c>
      <c r="C598" s="1" t="s">
        <v>11300</v>
      </c>
      <c r="D598" s="1" t="s">
        <v>11301</v>
      </c>
      <c r="E598" s="1"/>
      <c r="F598" s="1" t="s">
        <v>11302</v>
      </c>
      <c r="G598" s="1" t="s">
        <v>11303</v>
      </c>
      <c r="H598" s="1" t="s">
        <v>11304</v>
      </c>
      <c r="I598" s="1" t="s">
        <v>11305</v>
      </c>
      <c r="J598" s="1">
        <v>9315683290</v>
      </c>
      <c r="K598" s="1" t="s">
        <v>79</v>
      </c>
      <c r="L598" s="1" t="s">
        <v>11306</v>
      </c>
      <c r="M598" s="1" t="s">
        <v>81</v>
      </c>
      <c r="N598" s="1" t="s">
        <v>1079</v>
      </c>
      <c r="O598" s="1"/>
      <c r="P598" s="1" t="s">
        <v>656</v>
      </c>
      <c r="Q598" s="1" t="s">
        <v>11307</v>
      </c>
      <c r="R598" s="1" t="s">
        <v>11308</v>
      </c>
      <c r="S598" s="1">
        <v>9350290844</v>
      </c>
      <c r="T598" s="1" t="s">
        <v>11309</v>
      </c>
      <c r="U598" s="1" t="s">
        <v>11310</v>
      </c>
      <c r="V598" s="1">
        <v>9810549827</v>
      </c>
      <c r="W598" s="1" t="s">
        <v>2972</v>
      </c>
      <c r="X598" s="1" t="s">
        <v>11311</v>
      </c>
      <c r="Y598" s="1" t="s">
        <v>9205</v>
      </c>
      <c r="Z598" s="1" t="s">
        <v>1714</v>
      </c>
      <c r="AA598" s="1" t="s">
        <v>11311</v>
      </c>
      <c r="AB598" s="1" t="s">
        <v>9205</v>
      </c>
      <c r="AC598" s="1" t="s">
        <v>1714</v>
      </c>
      <c r="AD598" s="1">
        <v>9.18</v>
      </c>
      <c r="AE598" s="1" t="s">
        <v>93</v>
      </c>
      <c r="AF598" s="1" t="s">
        <v>11312</v>
      </c>
      <c r="AG598" s="1" t="s">
        <v>688</v>
      </c>
      <c r="AH598" s="1" t="s">
        <v>689</v>
      </c>
      <c r="AI598" s="1" t="s">
        <v>166</v>
      </c>
      <c r="AJ598" s="1">
        <v>73.4</v>
      </c>
      <c r="AK598" s="1"/>
      <c r="AL598" s="1" t="s">
        <v>11313</v>
      </c>
      <c r="AM598" s="1" t="s">
        <v>688</v>
      </c>
      <c r="AN598" s="1" t="s">
        <v>537</v>
      </c>
      <c r="AO598" s="1" t="s">
        <v>173</v>
      </c>
      <c r="AP598" s="1">
        <v>84.2</v>
      </c>
      <c r="AQ598" s="1"/>
      <c r="AR598" s="1"/>
      <c r="AS598" s="1"/>
      <c r="AT598" s="1"/>
      <c r="AU598" s="1"/>
      <c r="AV598" s="1"/>
      <c r="AW598" s="1"/>
      <c r="AX598" s="1" t="s">
        <v>11314</v>
      </c>
      <c r="AY598" s="1" t="s">
        <v>11315</v>
      </c>
      <c r="AZ598" s="1" t="s">
        <v>1019</v>
      </c>
      <c r="BA598" s="1" t="s">
        <v>1067</v>
      </c>
      <c r="BB598" s="1">
        <v>93.9</v>
      </c>
      <c r="BC598" s="1">
        <v>9.39</v>
      </c>
      <c r="BD598" s="1"/>
      <c r="BE598" s="1"/>
      <c r="BF598" s="1"/>
      <c r="BG598" s="1"/>
      <c r="BH598" s="1"/>
      <c r="BI598" s="1"/>
      <c r="BJ598" s="1" t="s">
        <v>11316</v>
      </c>
      <c r="BK598" s="1"/>
      <c r="BL598" s="1"/>
      <c r="BM598" s="1" t="s">
        <v>11317</v>
      </c>
      <c r="BN598" s="1">
        <v>33</v>
      </c>
      <c r="BO598" s="1" t="s">
        <v>11318</v>
      </c>
      <c r="BP598" s="1" t="str">
        <f>HYPERLINK("https://nconnect.nicmar.ac.in/storage/profile/ProfilePhoto_P25700601_924578.jpg","Download")</f>
        <v>0</v>
      </c>
      <c r="BQ598" s="3"/>
      <c r="BR598" s="3"/>
    </row>
    <row r="599" spans="1:70">
      <c r="A599" s="1" t="s">
        <v>70</v>
      </c>
      <c r="B599" s="1" t="s">
        <v>441</v>
      </c>
      <c r="C599" s="1" t="s">
        <v>11319</v>
      </c>
      <c r="D599" s="1" t="s">
        <v>4770</v>
      </c>
      <c r="E599" s="1"/>
      <c r="F599" s="1" t="s">
        <v>520</v>
      </c>
      <c r="G599" s="1" t="s">
        <v>11320</v>
      </c>
      <c r="H599" s="1" t="s">
        <v>11321</v>
      </c>
      <c r="I599" s="1" t="s">
        <v>11322</v>
      </c>
      <c r="J599" s="1">
        <v>8103718673</v>
      </c>
      <c r="K599" s="1" t="s">
        <v>148</v>
      </c>
      <c r="L599" s="1" t="s">
        <v>11323</v>
      </c>
      <c r="M599" s="1" t="s">
        <v>81</v>
      </c>
      <c r="N599" s="1" t="s">
        <v>11324</v>
      </c>
      <c r="O599" s="1"/>
      <c r="P599" s="1" t="s">
        <v>450</v>
      </c>
      <c r="Q599" s="1" t="s">
        <v>11325</v>
      </c>
      <c r="R599" s="1" t="s">
        <v>11326</v>
      </c>
      <c r="S599" s="1">
        <v>9406741911</v>
      </c>
      <c r="T599" s="1" t="s">
        <v>3807</v>
      </c>
      <c r="U599" s="1" t="s">
        <v>11327</v>
      </c>
      <c r="V599" s="1">
        <v>8450038475</v>
      </c>
      <c r="W599" s="1" t="s">
        <v>273</v>
      </c>
      <c r="X599" s="1" t="s">
        <v>11328</v>
      </c>
      <c r="Y599" s="1" t="s">
        <v>191</v>
      </c>
      <c r="Z599" s="1" t="s">
        <v>92</v>
      </c>
      <c r="AA599" s="1" t="s">
        <v>11329</v>
      </c>
      <c r="AB599" s="1" t="s">
        <v>10265</v>
      </c>
      <c r="AC599" s="1" t="s">
        <v>3437</v>
      </c>
      <c r="AD599" s="1">
        <v>8.54</v>
      </c>
      <c r="AE599" s="1" t="s">
        <v>93</v>
      </c>
      <c r="AF599" s="1" t="s">
        <v>11330</v>
      </c>
      <c r="AG599" s="1" t="s">
        <v>11331</v>
      </c>
      <c r="AH599" s="1" t="s">
        <v>1089</v>
      </c>
      <c r="AI599" s="1" t="s">
        <v>195</v>
      </c>
      <c r="AJ599" s="1">
        <v>64</v>
      </c>
      <c r="AK599" s="1"/>
      <c r="AL599" s="1" t="s">
        <v>11332</v>
      </c>
      <c r="AM599" s="1" t="s">
        <v>307</v>
      </c>
      <c r="AN599" s="1" t="s">
        <v>281</v>
      </c>
      <c r="AO599" s="1" t="s">
        <v>308</v>
      </c>
      <c r="AP599" s="1">
        <v>71</v>
      </c>
      <c r="AQ599" s="1"/>
      <c r="AR599" s="1"/>
      <c r="AS599" s="1"/>
      <c r="AT599" s="1"/>
      <c r="AU599" s="1"/>
      <c r="AV599" s="1"/>
      <c r="AW599" s="1"/>
      <c r="AX599" s="1" t="s">
        <v>2179</v>
      </c>
      <c r="AY599" s="1" t="s">
        <v>11333</v>
      </c>
      <c r="AZ599" s="1" t="s">
        <v>201</v>
      </c>
      <c r="BA599" s="1" t="s">
        <v>935</v>
      </c>
      <c r="BB599" s="1">
        <v>85.2</v>
      </c>
      <c r="BC599" s="1"/>
      <c r="BD599" s="1"/>
      <c r="BE599" s="1"/>
      <c r="BF599" s="1"/>
      <c r="BG599" s="1"/>
      <c r="BH599" s="1"/>
      <c r="BI599" s="1"/>
      <c r="BJ599" s="1" t="s">
        <v>11334</v>
      </c>
      <c r="BK599" s="1" t="s">
        <v>11335</v>
      </c>
      <c r="BL599" s="1" t="s">
        <v>4165</v>
      </c>
      <c r="BM599" s="1" t="s">
        <v>11336</v>
      </c>
      <c r="BN599" s="1">
        <v>9</v>
      </c>
      <c r="BO599" s="1"/>
      <c r="BP599" s="1" t="str">
        <f>HYPERLINK("https://nconnect.nicmar.ac.in/storage/profile/ProfilePhoto_P25700602_218567.jpg","Download")</f>
        <v>0</v>
      </c>
      <c r="BQ599" s="3"/>
      <c r="BR599" s="3"/>
    </row>
    <row r="600" spans="1:70">
      <c r="A600" s="1" t="s">
        <v>70</v>
      </c>
      <c r="B600" s="1" t="s">
        <v>441</v>
      </c>
      <c r="C600" s="1" t="s">
        <v>11337</v>
      </c>
      <c r="D600" s="1" t="s">
        <v>11338</v>
      </c>
      <c r="E600" s="1"/>
      <c r="F600" s="1" t="s">
        <v>2220</v>
      </c>
      <c r="G600" s="1" t="s">
        <v>11339</v>
      </c>
      <c r="H600" s="1" t="s">
        <v>11340</v>
      </c>
      <c r="I600" s="1" t="s">
        <v>11341</v>
      </c>
      <c r="J600" s="1">
        <v>7024373533</v>
      </c>
      <c r="K600" s="1" t="s">
        <v>79</v>
      </c>
      <c r="L600" s="1" t="s">
        <v>11342</v>
      </c>
      <c r="M600" s="1" t="s">
        <v>81</v>
      </c>
      <c r="N600" s="1" t="s">
        <v>4289</v>
      </c>
      <c r="O600" s="1"/>
      <c r="P600" s="1" t="s">
        <v>472</v>
      </c>
      <c r="Q600" s="1" t="s">
        <v>11343</v>
      </c>
      <c r="R600" s="1" t="s">
        <v>11344</v>
      </c>
      <c r="S600" s="1">
        <v>7999628047</v>
      </c>
      <c r="T600" s="1" t="s">
        <v>6961</v>
      </c>
      <c r="U600" s="1" t="s">
        <v>11345</v>
      </c>
      <c r="V600" s="1">
        <v>9165549327</v>
      </c>
      <c r="W600" s="1" t="s">
        <v>156</v>
      </c>
      <c r="X600" s="1" t="s">
        <v>11346</v>
      </c>
      <c r="Y600" s="1" t="s">
        <v>11347</v>
      </c>
      <c r="Z600" s="1" t="s">
        <v>3437</v>
      </c>
      <c r="AA600" s="1" t="s">
        <v>11346</v>
      </c>
      <c r="AB600" s="1" t="s">
        <v>11347</v>
      </c>
      <c r="AC600" s="1" t="s">
        <v>3437</v>
      </c>
      <c r="AD600" s="1">
        <v>8.23</v>
      </c>
      <c r="AE600" s="1" t="s">
        <v>93</v>
      </c>
      <c r="AF600" s="1" t="s">
        <v>11348</v>
      </c>
      <c r="AG600" s="1" t="s">
        <v>11349</v>
      </c>
      <c r="AH600" s="1" t="s">
        <v>1088</v>
      </c>
      <c r="AI600" s="1" t="s">
        <v>1089</v>
      </c>
      <c r="AJ600" s="1">
        <v>77.9</v>
      </c>
      <c r="AK600" s="1">
        <v>8.2</v>
      </c>
      <c r="AL600" s="1" t="s">
        <v>11348</v>
      </c>
      <c r="AM600" s="1" t="s">
        <v>11349</v>
      </c>
      <c r="AN600" s="1" t="s">
        <v>689</v>
      </c>
      <c r="AO600" s="1" t="s">
        <v>281</v>
      </c>
      <c r="AP600" s="1">
        <v>72.2</v>
      </c>
      <c r="AQ600" s="1"/>
      <c r="AR600" s="1"/>
      <c r="AS600" s="1"/>
      <c r="AT600" s="1"/>
      <c r="AU600" s="1"/>
      <c r="AV600" s="1"/>
      <c r="AW600" s="1"/>
      <c r="AX600" s="1" t="s">
        <v>11350</v>
      </c>
      <c r="AY600" s="1" t="s">
        <v>11350</v>
      </c>
      <c r="AZ600" s="1" t="s">
        <v>1043</v>
      </c>
      <c r="BA600" s="1" t="s">
        <v>619</v>
      </c>
      <c r="BB600" s="1">
        <v>78.5</v>
      </c>
      <c r="BC600" s="1">
        <v>7.85</v>
      </c>
      <c r="BD600" s="1"/>
      <c r="BE600" s="1"/>
      <c r="BF600" s="1"/>
      <c r="BG600" s="1"/>
      <c r="BH600" s="1"/>
      <c r="BI600" s="1"/>
      <c r="BJ600" s="1" t="s">
        <v>364</v>
      </c>
      <c r="BK600" s="1"/>
      <c r="BL600" s="1"/>
      <c r="BM600" s="1" t="s">
        <v>11351</v>
      </c>
      <c r="BN600" s="1">
        <v>80</v>
      </c>
      <c r="BO600" s="1"/>
      <c r="BP600" s="1" t="str">
        <f>HYPERLINK("https://nconnect.nicmar.ac.in/storage/profile/ProfilePhoto_P25700603_281359.jpg","Download")</f>
        <v>0</v>
      </c>
      <c r="BQ600" s="3"/>
      <c r="BR600" s="3"/>
    </row>
    <row r="601" spans="1:70">
      <c r="A601" s="1" t="s">
        <v>70</v>
      </c>
      <c r="B601" s="1" t="s">
        <v>441</v>
      </c>
      <c r="C601" s="1" t="s">
        <v>11352</v>
      </c>
      <c r="D601" s="1" t="s">
        <v>11353</v>
      </c>
      <c r="E601" s="1"/>
      <c r="F601" s="1" t="s">
        <v>11354</v>
      </c>
      <c r="G601" s="1" t="s">
        <v>11355</v>
      </c>
      <c r="H601" s="1" t="s">
        <v>11356</v>
      </c>
      <c r="I601" s="1" t="s">
        <v>11357</v>
      </c>
      <c r="J601" s="1">
        <v>9881552934</v>
      </c>
      <c r="K601" s="1" t="s">
        <v>148</v>
      </c>
      <c r="L601" s="1" t="s">
        <v>4193</v>
      </c>
      <c r="M601" s="1" t="s">
        <v>81</v>
      </c>
      <c r="N601" s="1" t="s">
        <v>5476</v>
      </c>
      <c r="O601" s="1"/>
      <c r="P601" s="1" t="s">
        <v>472</v>
      </c>
      <c r="Q601" s="1" t="s">
        <v>11358</v>
      </c>
      <c r="R601" s="1" t="s">
        <v>11359</v>
      </c>
      <c r="S601" s="1">
        <v>8668851926</v>
      </c>
      <c r="T601" s="1" t="s">
        <v>122</v>
      </c>
      <c r="U601" s="1" t="s">
        <v>11360</v>
      </c>
      <c r="V601" s="1">
        <v>9850257734</v>
      </c>
      <c r="W601" s="1" t="s">
        <v>156</v>
      </c>
      <c r="X601" s="1" t="s">
        <v>11361</v>
      </c>
      <c r="Y601" s="1" t="s">
        <v>5663</v>
      </c>
      <c r="Z601" s="1" t="s">
        <v>92</v>
      </c>
      <c r="AA601" s="1" t="s">
        <v>11362</v>
      </c>
      <c r="AB601" s="1" t="s">
        <v>5663</v>
      </c>
      <c r="AC601" s="1" t="s">
        <v>92</v>
      </c>
      <c r="AD601" s="1">
        <v>8.8</v>
      </c>
      <c r="AE601" s="1" t="s">
        <v>93</v>
      </c>
      <c r="AF601" s="1" t="s">
        <v>11363</v>
      </c>
      <c r="AG601" s="1" t="s">
        <v>160</v>
      </c>
      <c r="AH601" s="1" t="s">
        <v>162</v>
      </c>
      <c r="AI601" s="1" t="s">
        <v>165</v>
      </c>
      <c r="AJ601" s="1">
        <v>96.4</v>
      </c>
      <c r="AK601" s="1"/>
      <c r="AL601" s="1" t="s">
        <v>11364</v>
      </c>
      <c r="AM601" s="1" t="s">
        <v>160</v>
      </c>
      <c r="AN601" s="1" t="s">
        <v>101</v>
      </c>
      <c r="AO601" s="1" t="s">
        <v>308</v>
      </c>
      <c r="AP601" s="1">
        <v>77.85</v>
      </c>
      <c r="AQ601" s="1"/>
      <c r="AR601" s="1"/>
      <c r="AS601" s="1"/>
      <c r="AT601" s="1"/>
      <c r="AU601" s="1"/>
      <c r="AV601" s="1"/>
      <c r="AW601" s="1"/>
      <c r="AX601" s="1" t="s">
        <v>253</v>
      </c>
      <c r="AY601" s="1" t="s">
        <v>11365</v>
      </c>
      <c r="AZ601" s="1" t="s">
        <v>310</v>
      </c>
      <c r="BA601" s="1" t="s">
        <v>935</v>
      </c>
      <c r="BB601" s="1">
        <v>67.7</v>
      </c>
      <c r="BC601" s="1">
        <v>7.52</v>
      </c>
      <c r="BD601" s="1"/>
      <c r="BE601" s="1"/>
      <c r="BF601" s="1"/>
      <c r="BG601" s="1"/>
      <c r="BH601" s="1"/>
      <c r="BI601" s="1"/>
      <c r="BJ601" s="1" t="s">
        <v>364</v>
      </c>
      <c r="BK601" s="1" t="s">
        <v>11366</v>
      </c>
      <c r="BL601" s="1" t="s">
        <v>1335</v>
      </c>
      <c r="BM601" s="1" t="s">
        <v>11367</v>
      </c>
      <c r="BN601" s="1">
        <v>17</v>
      </c>
      <c r="BO601" s="1"/>
      <c r="BP601" s="1" t="str">
        <f>HYPERLINK("https://nconnect.nicmar.ac.in/storage/profile/ProfilePhoto_P25700604_461283.jpg","Download")</f>
        <v>0</v>
      </c>
      <c r="BQ601" s="3"/>
      <c r="BR601" s="3"/>
    </row>
    <row r="602" spans="1:70">
      <c r="A602" s="1" t="s">
        <v>70</v>
      </c>
      <c r="B602" s="1" t="s">
        <v>441</v>
      </c>
      <c r="C602" s="1" t="s">
        <v>11368</v>
      </c>
      <c r="D602" s="1" t="s">
        <v>11369</v>
      </c>
      <c r="E602" s="1" t="s">
        <v>11370</v>
      </c>
      <c r="F602" s="1" t="s">
        <v>11371</v>
      </c>
      <c r="G602" s="1" t="s">
        <v>11372</v>
      </c>
      <c r="H602" s="1" t="s">
        <v>11373</v>
      </c>
      <c r="I602" s="1" t="s">
        <v>11374</v>
      </c>
      <c r="J602" s="1">
        <v>9595924024</v>
      </c>
      <c r="K602" s="1" t="s">
        <v>79</v>
      </c>
      <c r="L602" s="1" t="s">
        <v>11375</v>
      </c>
      <c r="M602" s="1" t="s">
        <v>81</v>
      </c>
      <c r="N602" s="1" t="s">
        <v>1140</v>
      </c>
      <c r="O602" s="1"/>
      <c r="P602" s="1" t="s">
        <v>450</v>
      </c>
      <c r="Q602" s="1" t="s">
        <v>11376</v>
      </c>
      <c r="R602" s="1" t="s">
        <v>11370</v>
      </c>
      <c r="S602" s="1">
        <v>9527599777</v>
      </c>
      <c r="T602" s="1" t="s">
        <v>820</v>
      </c>
      <c r="U602" s="1" t="s">
        <v>11377</v>
      </c>
      <c r="V602" s="1">
        <v>9850490299</v>
      </c>
      <c r="W602" s="1" t="s">
        <v>89</v>
      </c>
      <c r="X602" s="1" t="s">
        <v>11378</v>
      </c>
      <c r="Y602" s="1" t="s">
        <v>890</v>
      </c>
      <c r="Z602" s="1" t="s">
        <v>92</v>
      </c>
      <c r="AA602" s="1" t="s">
        <v>11379</v>
      </c>
      <c r="AB602" s="1" t="s">
        <v>890</v>
      </c>
      <c r="AC602" s="1" t="s">
        <v>92</v>
      </c>
      <c r="AD602" s="1">
        <v>9.11</v>
      </c>
      <c r="AE602" s="1" t="s">
        <v>93</v>
      </c>
      <c r="AF602" s="1" t="s">
        <v>11380</v>
      </c>
      <c r="AG602" s="1" t="s">
        <v>11381</v>
      </c>
      <c r="AH602" s="1" t="s">
        <v>1088</v>
      </c>
      <c r="AI602" s="1" t="s">
        <v>614</v>
      </c>
      <c r="AJ602" s="1">
        <v>90.2</v>
      </c>
      <c r="AK602" s="1">
        <v>9.6</v>
      </c>
      <c r="AL602" s="1" t="s">
        <v>11382</v>
      </c>
      <c r="AM602" s="1" t="s">
        <v>11383</v>
      </c>
      <c r="AN602" s="1" t="s">
        <v>689</v>
      </c>
      <c r="AO602" s="1" t="s">
        <v>166</v>
      </c>
      <c r="AP602" s="1">
        <v>86.92</v>
      </c>
      <c r="AQ602" s="1">
        <v>0</v>
      </c>
      <c r="AR602" s="1"/>
      <c r="AS602" s="1"/>
      <c r="AT602" s="1"/>
      <c r="AU602" s="1"/>
      <c r="AV602" s="1"/>
      <c r="AW602" s="1"/>
      <c r="AX602" s="1" t="s">
        <v>361</v>
      </c>
      <c r="AY602" s="1" t="s">
        <v>11384</v>
      </c>
      <c r="AZ602" s="1" t="s">
        <v>1043</v>
      </c>
      <c r="BA602" s="1" t="s">
        <v>105</v>
      </c>
      <c r="BB602" s="1">
        <v>83.5</v>
      </c>
      <c r="BC602" s="1">
        <v>9.49</v>
      </c>
      <c r="BD602" s="1"/>
      <c r="BE602" s="1"/>
      <c r="BF602" s="1"/>
      <c r="BG602" s="1"/>
      <c r="BH602" s="1"/>
      <c r="BI602" s="1"/>
      <c r="BJ602" s="1" t="s">
        <v>11385</v>
      </c>
      <c r="BK602" s="1"/>
      <c r="BL602" s="1"/>
      <c r="BM602" s="1" t="s">
        <v>11386</v>
      </c>
      <c r="BN602" s="1">
        <v>9</v>
      </c>
      <c r="BO602" s="1" t="s">
        <v>11387</v>
      </c>
      <c r="BP602" s="1" t="str">
        <f>HYPERLINK("https://nconnect.nicmar.ac.in/storage/profile/ProfilePhoto_P25700605_372681.jpg","Download")</f>
        <v>0</v>
      </c>
      <c r="BQ602" s="3"/>
      <c r="BR602" s="3"/>
    </row>
    <row r="603" spans="1:70">
      <c r="A603" s="1" t="s">
        <v>70</v>
      </c>
      <c r="B603" s="1" t="s">
        <v>441</v>
      </c>
      <c r="C603" s="1" t="s">
        <v>11388</v>
      </c>
      <c r="D603" s="1" t="s">
        <v>10151</v>
      </c>
      <c r="E603" s="1" t="s">
        <v>11389</v>
      </c>
      <c r="F603" s="1" t="s">
        <v>8434</v>
      </c>
      <c r="G603" s="1" t="s">
        <v>11390</v>
      </c>
      <c r="H603" s="1" t="s">
        <v>11391</v>
      </c>
      <c r="I603" s="1" t="s">
        <v>11392</v>
      </c>
      <c r="J603" s="1">
        <v>7058530997</v>
      </c>
      <c r="K603" s="1" t="s">
        <v>79</v>
      </c>
      <c r="L603" s="1" t="s">
        <v>11393</v>
      </c>
      <c r="M603" s="1" t="s">
        <v>81</v>
      </c>
      <c r="N603" s="1" t="s">
        <v>927</v>
      </c>
      <c r="O603" s="1"/>
      <c r="P603" s="1" t="s">
        <v>1007</v>
      </c>
      <c r="Q603" s="1" t="s">
        <v>11394</v>
      </c>
      <c r="R603" s="1" t="s">
        <v>11389</v>
      </c>
      <c r="S603" s="1">
        <v>9049642030</v>
      </c>
      <c r="T603" s="1" t="s">
        <v>11395</v>
      </c>
      <c r="U603" s="1" t="s">
        <v>11396</v>
      </c>
      <c r="V603" s="1">
        <v>9373523280</v>
      </c>
      <c r="W603" s="1" t="s">
        <v>156</v>
      </c>
      <c r="X603" s="1" t="s">
        <v>11397</v>
      </c>
      <c r="Y603" s="1" t="s">
        <v>379</v>
      </c>
      <c r="Z603" s="1" t="s">
        <v>92</v>
      </c>
      <c r="AA603" s="1" t="s">
        <v>11397</v>
      </c>
      <c r="AB603" s="1" t="s">
        <v>379</v>
      </c>
      <c r="AC603" s="1" t="s">
        <v>92</v>
      </c>
      <c r="AD603" s="1">
        <v>7.59</v>
      </c>
      <c r="AE603" s="1" t="s">
        <v>93</v>
      </c>
      <c r="AF603" s="1" t="s">
        <v>11398</v>
      </c>
      <c r="AG603" s="1" t="s">
        <v>616</v>
      </c>
      <c r="AH603" s="1" t="s">
        <v>1435</v>
      </c>
      <c r="AI603" s="1" t="s">
        <v>505</v>
      </c>
      <c r="AJ603" s="1">
        <v>64.8</v>
      </c>
      <c r="AK603" s="1"/>
      <c r="AL603" s="1"/>
      <c r="AM603" s="1"/>
      <c r="AN603" s="1"/>
      <c r="AO603" s="1"/>
      <c r="AP603" s="1"/>
      <c r="AQ603" s="1"/>
      <c r="AR603" s="1" t="s">
        <v>98</v>
      </c>
      <c r="AS603" s="1" t="s">
        <v>11399</v>
      </c>
      <c r="AT603" s="1" t="s">
        <v>1239</v>
      </c>
      <c r="AU603" s="1" t="s">
        <v>165</v>
      </c>
      <c r="AV603" s="1">
        <v>76.73</v>
      </c>
      <c r="AW603" s="1"/>
      <c r="AX603" s="1" t="s">
        <v>335</v>
      </c>
      <c r="AY603" s="1" t="s">
        <v>11400</v>
      </c>
      <c r="AZ603" s="1" t="s">
        <v>383</v>
      </c>
      <c r="BA603" s="1" t="s">
        <v>170</v>
      </c>
      <c r="BB603" s="1">
        <v>82.59</v>
      </c>
      <c r="BC603" s="1">
        <v>9</v>
      </c>
      <c r="BD603" s="1"/>
      <c r="BE603" s="1"/>
      <c r="BF603" s="1"/>
      <c r="BG603" s="1"/>
      <c r="BH603" s="1"/>
      <c r="BI603" s="1"/>
      <c r="BJ603" s="1" t="s">
        <v>11401</v>
      </c>
      <c r="BK603" s="1" t="s">
        <v>11402</v>
      </c>
      <c r="BL603" s="1" t="s">
        <v>3444</v>
      </c>
      <c r="BM603" s="1"/>
      <c r="BN603" s="1"/>
      <c r="BO603" s="1"/>
      <c r="BP603" s="1" t="str">
        <f>HYPERLINK("https://nconnect.nicmar.ac.in/storage/profile/ProfilePhoto_P25700606_536718.jpg","Download")</f>
        <v>0</v>
      </c>
      <c r="BQ603" s="3"/>
      <c r="BR603" s="3"/>
    </row>
    <row r="604" spans="1:70">
      <c r="A604" s="1" t="s">
        <v>70</v>
      </c>
      <c r="B604" s="1" t="s">
        <v>441</v>
      </c>
      <c r="C604" s="1" t="s">
        <v>11403</v>
      </c>
      <c r="D604" s="1" t="s">
        <v>11404</v>
      </c>
      <c r="E604" s="1"/>
      <c r="F604" s="1" t="s">
        <v>11405</v>
      </c>
      <c r="G604" s="1" t="s">
        <v>11406</v>
      </c>
      <c r="H604" s="1" t="s">
        <v>11407</v>
      </c>
      <c r="I604" s="1" t="s">
        <v>11408</v>
      </c>
      <c r="J604" s="1">
        <v>8072589982</v>
      </c>
      <c r="K604" s="1" t="s">
        <v>79</v>
      </c>
      <c r="L604" s="1" t="s">
        <v>11409</v>
      </c>
      <c r="M604" s="1" t="s">
        <v>81</v>
      </c>
      <c r="N604" s="1" t="s">
        <v>11410</v>
      </c>
      <c r="O604" s="1"/>
      <c r="P604" s="1" t="s">
        <v>450</v>
      </c>
      <c r="Q604" s="1" t="s">
        <v>11411</v>
      </c>
      <c r="R604" s="1" t="s">
        <v>11412</v>
      </c>
      <c r="S604" s="1">
        <v>9344603724</v>
      </c>
      <c r="T604" s="1" t="s">
        <v>906</v>
      </c>
      <c r="U604" s="1" t="s">
        <v>11413</v>
      </c>
      <c r="V604" s="1">
        <v>9486618674</v>
      </c>
      <c r="W604" s="1" t="s">
        <v>89</v>
      </c>
      <c r="X604" s="1" t="s">
        <v>11414</v>
      </c>
      <c r="Y604" s="1" t="s">
        <v>2104</v>
      </c>
      <c r="Z604" s="1" t="s">
        <v>559</v>
      </c>
      <c r="AA604" s="1" t="s">
        <v>11414</v>
      </c>
      <c r="AB604" s="1" t="s">
        <v>2104</v>
      </c>
      <c r="AC604" s="1" t="s">
        <v>559</v>
      </c>
      <c r="AD604" s="1">
        <v>8.21</v>
      </c>
      <c r="AE604" s="1" t="s">
        <v>93</v>
      </c>
      <c r="AF604" s="1" t="s">
        <v>11415</v>
      </c>
      <c r="AG604" s="1" t="s">
        <v>11416</v>
      </c>
      <c r="AH604" s="1" t="s">
        <v>101</v>
      </c>
      <c r="AI604" s="1" t="s">
        <v>537</v>
      </c>
      <c r="AJ604" s="1">
        <v>85</v>
      </c>
      <c r="AK604" s="1">
        <v>8.5</v>
      </c>
      <c r="AL604" s="1" t="s">
        <v>11415</v>
      </c>
      <c r="AM604" s="1" t="s">
        <v>11416</v>
      </c>
      <c r="AN604" s="1" t="s">
        <v>460</v>
      </c>
      <c r="AO604" s="1" t="s">
        <v>2273</v>
      </c>
      <c r="AP604" s="1">
        <v>87.14</v>
      </c>
      <c r="AQ604" s="1">
        <v>8.71</v>
      </c>
      <c r="AR604" s="1"/>
      <c r="AS604" s="1"/>
      <c r="AT604" s="1"/>
      <c r="AU604" s="1"/>
      <c r="AV604" s="1"/>
      <c r="AW604" s="1"/>
      <c r="AX604" s="1" t="s">
        <v>6932</v>
      </c>
      <c r="AY604" s="1" t="s">
        <v>11417</v>
      </c>
      <c r="AZ604" s="1" t="s">
        <v>828</v>
      </c>
      <c r="BA604" s="1" t="s">
        <v>543</v>
      </c>
      <c r="BB604" s="1">
        <v>69.4</v>
      </c>
      <c r="BC604" s="1">
        <v>6.94</v>
      </c>
      <c r="BD604" s="1"/>
      <c r="BE604" s="1"/>
      <c r="BF604" s="1"/>
      <c r="BG604" s="1"/>
      <c r="BH604" s="1"/>
      <c r="BI604" s="1"/>
      <c r="BJ604" s="1" t="s">
        <v>255</v>
      </c>
      <c r="BK604" s="1"/>
      <c r="BL604" s="1"/>
      <c r="BM604" s="1" t="s">
        <v>11418</v>
      </c>
      <c r="BN604" s="1">
        <v>36</v>
      </c>
      <c r="BO604" s="1" t="s">
        <v>11419</v>
      </c>
      <c r="BP604" s="1" t="str">
        <f>HYPERLINK("https://nconnect.nicmar.ac.in/storage/profile/ProfilePhoto_P25700607_719423.jpg","Download")</f>
        <v>0</v>
      </c>
      <c r="BQ604" s="3"/>
      <c r="BR604" s="3"/>
    </row>
    <row r="605" spans="1:70">
      <c r="A605" s="1" t="s">
        <v>70</v>
      </c>
      <c r="B605" s="1" t="s">
        <v>441</v>
      </c>
      <c r="C605" s="1" t="s">
        <v>11420</v>
      </c>
      <c r="D605" s="1" t="s">
        <v>11421</v>
      </c>
      <c r="E605" s="1"/>
      <c r="F605" s="1" t="s">
        <v>11422</v>
      </c>
      <c r="G605" s="1" t="s">
        <v>11423</v>
      </c>
      <c r="H605" s="1" t="s">
        <v>11424</v>
      </c>
      <c r="I605" s="1" t="s">
        <v>11425</v>
      </c>
      <c r="J605" s="1">
        <v>9701015631</v>
      </c>
      <c r="K605" s="1" t="s">
        <v>148</v>
      </c>
      <c r="L605" s="1" t="s">
        <v>11426</v>
      </c>
      <c r="M605" s="1" t="s">
        <v>81</v>
      </c>
      <c r="N605" s="1" t="s">
        <v>11427</v>
      </c>
      <c r="O605" s="1"/>
      <c r="P605" s="1" t="s">
        <v>497</v>
      </c>
      <c r="Q605" s="1" t="s">
        <v>11428</v>
      </c>
      <c r="R605" s="1" t="s">
        <v>11429</v>
      </c>
      <c r="S605" s="1">
        <v>7013121544</v>
      </c>
      <c r="T605" s="1" t="s">
        <v>11430</v>
      </c>
      <c r="U605" s="1" t="s">
        <v>11431</v>
      </c>
      <c r="V605" s="1">
        <v>7093221478</v>
      </c>
      <c r="W605" s="1" t="s">
        <v>11432</v>
      </c>
      <c r="X605" s="1" t="s">
        <v>11433</v>
      </c>
      <c r="Y605" s="1" t="s">
        <v>1432</v>
      </c>
      <c r="Z605" s="1" t="s">
        <v>276</v>
      </c>
      <c r="AA605" s="1" t="s">
        <v>11433</v>
      </c>
      <c r="AB605" s="1" t="s">
        <v>1432</v>
      </c>
      <c r="AC605" s="1" t="s">
        <v>276</v>
      </c>
      <c r="AD605" s="1">
        <v>8.44</v>
      </c>
      <c r="AE605" s="1" t="s">
        <v>93</v>
      </c>
      <c r="AF605" s="1" t="s">
        <v>11434</v>
      </c>
      <c r="AG605" s="1" t="s">
        <v>758</v>
      </c>
      <c r="AH605" s="1" t="s">
        <v>165</v>
      </c>
      <c r="AI605" s="1" t="s">
        <v>281</v>
      </c>
      <c r="AJ605" s="1">
        <v>85</v>
      </c>
      <c r="AK605" s="1"/>
      <c r="AL605" s="1" t="s">
        <v>3052</v>
      </c>
      <c r="AM605" s="1" t="s">
        <v>1398</v>
      </c>
      <c r="AN605" s="1" t="s">
        <v>101</v>
      </c>
      <c r="AO605" s="1" t="s">
        <v>590</v>
      </c>
      <c r="AP605" s="1">
        <v>71.9</v>
      </c>
      <c r="AQ605" s="1">
        <v>8.03</v>
      </c>
      <c r="AR605" s="1"/>
      <c r="AS605" s="1"/>
      <c r="AT605" s="1"/>
      <c r="AU605" s="1"/>
      <c r="AV605" s="1"/>
      <c r="AW605" s="1"/>
      <c r="AX605" s="1" t="s">
        <v>11435</v>
      </c>
      <c r="AY605" s="1" t="s">
        <v>11436</v>
      </c>
      <c r="AZ605" s="1" t="s">
        <v>228</v>
      </c>
      <c r="BA605" s="1" t="s">
        <v>202</v>
      </c>
      <c r="BB605" s="1">
        <v>82.6</v>
      </c>
      <c r="BC605" s="1">
        <v>8.26</v>
      </c>
      <c r="BD605" s="1"/>
      <c r="BE605" s="1"/>
      <c r="BF605" s="1"/>
      <c r="BG605" s="1"/>
      <c r="BH605" s="1"/>
      <c r="BI605" s="1"/>
      <c r="BJ605" s="1" t="s">
        <v>567</v>
      </c>
      <c r="BK605" s="1"/>
      <c r="BL605" s="1"/>
      <c r="BM605" s="1" t="s">
        <v>11437</v>
      </c>
      <c r="BN605" s="1">
        <v>13</v>
      </c>
      <c r="BO605" s="1"/>
      <c r="BP605" s="1" t="str">
        <f>HYPERLINK("https://nconnect.nicmar.ac.in/storage/profile/ProfilePhoto_P25700608_264975.jpg","Download")</f>
        <v>0</v>
      </c>
      <c r="BQ605" s="3"/>
      <c r="BR605" s="3"/>
    </row>
    <row r="606" spans="1:70">
      <c r="A606" s="1" t="s">
        <v>70</v>
      </c>
      <c r="B606" s="1" t="s">
        <v>441</v>
      </c>
      <c r="C606" s="1" t="s">
        <v>11438</v>
      </c>
      <c r="D606" s="1" t="s">
        <v>3511</v>
      </c>
      <c r="E606" s="1" t="s">
        <v>11439</v>
      </c>
      <c r="F606" s="1" t="s">
        <v>5486</v>
      </c>
      <c r="G606" s="1" t="s">
        <v>11440</v>
      </c>
      <c r="H606" s="1" t="s">
        <v>11441</v>
      </c>
      <c r="I606" s="1" t="s">
        <v>11442</v>
      </c>
      <c r="J606" s="1">
        <v>8691967130</v>
      </c>
      <c r="K606" s="1" t="s">
        <v>79</v>
      </c>
      <c r="L606" s="1" t="s">
        <v>2053</v>
      </c>
      <c r="M606" s="1" t="s">
        <v>81</v>
      </c>
      <c r="N606" s="1" t="s">
        <v>605</v>
      </c>
      <c r="O606" s="1"/>
      <c r="P606" s="1" t="s">
        <v>472</v>
      </c>
      <c r="Q606" s="1" t="s">
        <v>11443</v>
      </c>
      <c r="R606" s="1" t="s">
        <v>11444</v>
      </c>
      <c r="S606" s="1">
        <v>9869396814</v>
      </c>
      <c r="T606" s="1" t="s">
        <v>2344</v>
      </c>
      <c r="U606" s="1" t="s">
        <v>11445</v>
      </c>
      <c r="V606" s="1">
        <v>9869650711</v>
      </c>
      <c r="W606" s="1" t="s">
        <v>156</v>
      </c>
      <c r="X606" s="1" t="s">
        <v>11446</v>
      </c>
      <c r="Y606" s="1" t="s">
        <v>991</v>
      </c>
      <c r="Z606" s="1" t="s">
        <v>92</v>
      </c>
      <c r="AA606" s="1" t="s">
        <v>11446</v>
      </c>
      <c r="AB606" s="1" t="s">
        <v>991</v>
      </c>
      <c r="AC606" s="1" t="s">
        <v>92</v>
      </c>
      <c r="AD606" s="1">
        <v>8.55</v>
      </c>
      <c r="AE606" s="1" t="s">
        <v>93</v>
      </c>
      <c r="AF606" s="1" t="s">
        <v>7052</v>
      </c>
      <c r="AG606" s="1" t="s">
        <v>11447</v>
      </c>
      <c r="AH606" s="1" t="s">
        <v>562</v>
      </c>
      <c r="AI606" s="1" t="s">
        <v>166</v>
      </c>
      <c r="AJ606" s="1">
        <v>79.2</v>
      </c>
      <c r="AK606" s="1"/>
      <c r="AL606" s="1" t="s">
        <v>7052</v>
      </c>
      <c r="AM606" s="1" t="s">
        <v>11447</v>
      </c>
      <c r="AN606" s="1" t="s">
        <v>310</v>
      </c>
      <c r="AO606" s="1" t="s">
        <v>173</v>
      </c>
      <c r="AP606" s="1">
        <v>77</v>
      </c>
      <c r="AQ606" s="1"/>
      <c r="AR606" s="1"/>
      <c r="AS606" s="1"/>
      <c r="AT606" s="1"/>
      <c r="AU606" s="1"/>
      <c r="AV606" s="1"/>
      <c r="AW606" s="1"/>
      <c r="AX606" s="1" t="s">
        <v>666</v>
      </c>
      <c r="AY606" s="1" t="s">
        <v>11448</v>
      </c>
      <c r="AZ606" s="1" t="s">
        <v>173</v>
      </c>
      <c r="BA606" s="1" t="s">
        <v>1067</v>
      </c>
      <c r="BB606" s="1">
        <v>72.61</v>
      </c>
      <c r="BC606" s="1">
        <v>8.2</v>
      </c>
      <c r="BD606" s="1"/>
      <c r="BE606" s="1"/>
      <c r="BF606" s="1"/>
      <c r="BG606" s="1"/>
      <c r="BH606" s="1"/>
      <c r="BI606" s="1"/>
      <c r="BJ606" s="1" t="s">
        <v>11449</v>
      </c>
      <c r="BK606" s="1"/>
      <c r="BL606" s="1"/>
      <c r="BM606" s="1" t="s">
        <v>11450</v>
      </c>
      <c r="BN606" s="1">
        <v>25</v>
      </c>
      <c r="BO606" s="1" t="s">
        <v>11451</v>
      </c>
      <c r="BP606" s="1" t="str">
        <f>HYPERLINK("https://nconnect.nicmar.ac.in/storage/profile/ProfilePhoto_P25700609_852341.jpg","Download")</f>
        <v>0</v>
      </c>
      <c r="BQ606" s="3"/>
      <c r="BR606" s="3"/>
    </row>
    <row r="607" spans="1:70">
      <c r="A607" s="1" t="s">
        <v>70</v>
      </c>
      <c r="B607" s="1" t="s">
        <v>441</v>
      </c>
      <c r="C607" s="1" t="s">
        <v>11452</v>
      </c>
      <c r="D607" s="1" t="s">
        <v>11453</v>
      </c>
      <c r="E607" s="1" t="s">
        <v>11454</v>
      </c>
      <c r="F607" s="1" t="s">
        <v>11455</v>
      </c>
      <c r="G607" s="1" t="s">
        <v>11456</v>
      </c>
      <c r="H607" s="1" t="s">
        <v>11457</v>
      </c>
      <c r="I607" s="1" t="s">
        <v>11458</v>
      </c>
      <c r="J607" s="1">
        <v>9766213841</v>
      </c>
      <c r="K607" s="1" t="s">
        <v>79</v>
      </c>
      <c r="L607" s="1" t="s">
        <v>11459</v>
      </c>
      <c r="M607" s="1" t="s">
        <v>81</v>
      </c>
      <c r="N607" s="1" t="s">
        <v>883</v>
      </c>
      <c r="O607" s="1"/>
      <c r="P607" s="1" t="s">
        <v>472</v>
      </c>
      <c r="Q607" s="1" t="s">
        <v>11460</v>
      </c>
      <c r="R607" s="1" t="s">
        <v>11454</v>
      </c>
      <c r="S607" s="1">
        <v>1234567890</v>
      </c>
      <c r="T607" s="1" t="s">
        <v>11461</v>
      </c>
      <c r="U607" s="1" t="s">
        <v>11462</v>
      </c>
      <c r="V607" s="1">
        <v>1234567890</v>
      </c>
      <c r="W607" s="1" t="s">
        <v>11461</v>
      </c>
      <c r="X607" s="1" t="s">
        <v>11463</v>
      </c>
      <c r="Y607" s="1" t="s">
        <v>4313</v>
      </c>
      <c r="Z607" s="1" t="s">
        <v>92</v>
      </c>
      <c r="AA607" s="1" t="s">
        <v>11463</v>
      </c>
      <c r="AB607" s="1" t="s">
        <v>4313</v>
      </c>
      <c r="AC607" s="1" t="s">
        <v>92</v>
      </c>
      <c r="AD607" s="1">
        <v>8.03</v>
      </c>
      <c r="AE607" s="1" t="s">
        <v>93</v>
      </c>
      <c r="AF607" s="1" t="s">
        <v>11464</v>
      </c>
      <c r="AG607" s="1" t="s">
        <v>1942</v>
      </c>
      <c r="AH607" s="1" t="s">
        <v>128</v>
      </c>
      <c r="AI607" s="1" t="s">
        <v>1435</v>
      </c>
      <c r="AJ607" s="1">
        <v>68.8</v>
      </c>
      <c r="AK607" s="1"/>
      <c r="AL607" s="1" t="s">
        <v>11465</v>
      </c>
      <c r="AM607" s="1" t="s">
        <v>1942</v>
      </c>
      <c r="AN607" s="1" t="s">
        <v>96</v>
      </c>
      <c r="AO607" s="1" t="s">
        <v>11466</v>
      </c>
      <c r="AP607" s="1">
        <v>53.38</v>
      </c>
      <c r="AQ607" s="1"/>
      <c r="AR607" s="1" t="s">
        <v>98</v>
      </c>
      <c r="AS607" s="1" t="s">
        <v>11467</v>
      </c>
      <c r="AT607" s="1" t="s">
        <v>100</v>
      </c>
      <c r="AU607" s="1" t="s">
        <v>165</v>
      </c>
      <c r="AV607" s="1">
        <v>69.76</v>
      </c>
      <c r="AW607" s="1"/>
      <c r="AX607" s="1" t="s">
        <v>253</v>
      </c>
      <c r="AY607" s="1" t="s">
        <v>11467</v>
      </c>
      <c r="AZ607" s="1" t="s">
        <v>383</v>
      </c>
      <c r="BA607" s="1" t="s">
        <v>590</v>
      </c>
      <c r="BB607" s="1">
        <v>64.46</v>
      </c>
      <c r="BC607" s="1">
        <v>7.09</v>
      </c>
      <c r="BD607" s="1"/>
      <c r="BE607" s="1"/>
      <c r="BF607" s="1"/>
      <c r="BG607" s="1"/>
      <c r="BH607" s="1"/>
      <c r="BI607" s="1"/>
      <c r="BJ607" s="1" t="s">
        <v>11468</v>
      </c>
      <c r="BK607" s="1" t="s">
        <v>11469</v>
      </c>
      <c r="BL607" s="1" t="s">
        <v>11470</v>
      </c>
      <c r="BM607" s="1" t="s">
        <v>11471</v>
      </c>
      <c r="BN607" s="1">
        <v>19</v>
      </c>
      <c r="BO607" s="1" t="s">
        <v>11472</v>
      </c>
      <c r="BP607" s="1" t="str">
        <f>HYPERLINK("https://nconnect.nicmar.ac.in/storage/profile/ProfilePhoto_P25700610_143892.jpg","Download")</f>
        <v>0</v>
      </c>
      <c r="BQ607" s="3"/>
      <c r="BR607" s="3"/>
    </row>
    <row r="608" spans="1:70">
      <c r="A608" s="1" t="s">
        <v>70</v>
      </c>
      <c r="B608" s="1" t="s">
        <v>441</v>
      </c>
      <c r="C608" s="1" t="s">
        <v>11473</v>
      </c>
      <c r="D608" s="1" t="s">
        <v>4824</v>
      </c>
      <c r="E608" s="1" t="s">
        <v>745</v>
      </c>
      <c r="F608" s="1" t="s">
        <v>11474</v>
      </c>
      <c r="G608" s="1" t="s">
        <v>11475</v>
      </c>
      <c r="H608" s="1" t="s">
        <v>11476</v>
      </c>
      <c r="I608" s="1" t="s">
        <v>11477</v>
      </c>
      <c r="J608" s="1">
        <v>9326356991</v>
      </c>
      <c r="K608" s="1" t="s">
        <v>79</v>
      </c>
      <c r="L608" s="1" t="s">
        <v>6738</v>
      </c>
      <c r="M608" s="1" t="s">
        <v>81</v>
      </c>
      <c r="N608" s="1" t="s">
        <v>751</v>
      </c>
      <c r="O608" s="1"/>
      <c r="P608" s="1" t="s">
        <v>450</v>
      </c>
      <c r="Q608" s="1" t="s">
        <v>11478</v>
      </c>
      <c r="R608" s="1" t="s">
        <v>11479</v>
      </c>
      <c r="S608" s="1">
        <v>9699998901</v>
      </c>
      <c r="T608" s="1" t="s">
        <v>820</v>
      </c>
      <c r="U608" s="1" t="s">
        <v>11480</v>
      </c>
      <c r="V608" s="1">
        <v>8080998901</v>
      </c>
      <c r="W608" s="1" t="s">
        <v>89</v>
      </c>
      <c r="X608" s="1" t="s">
        <v>11481</v>
      </c>
      <c r="Y608" s="1" t="s">
        <v>2229</v>
      </c>
      <c r="Z608" s="1" t="s">
        <v>92</v>
      </c>
      <c r="AA608" s="1" t="s">
        <v>11481</v>
      </c>
      <c r="AB608" s="1" t="s">
        <v>2229</v>
      </c>
      <c r="AC608" s="1" t="s">
        <v>92</v>
      </c>
      <c r="AD608" s="1">
        <v>8.93</v>
      </c>
      <c r="AE608" s="1" t="s">
        <v>93</v>
      </c>
      <c r="AF608" s="1" t="s">
        <v>11482</v>
      </c>
      <c r="AG608" s="1" t="s">
        <v>11483</v>
      </c>
      <c r="AH608" s="1" t="s">
        <v>165</v>
      </c>
      <c r="AI608" s="1" t="s">
        <v>281</v>
      </c>
      <c r="AJ608" s="1">
        <v>82.8</v>
      </c>
      <c r="AK608" s="1"/>
      <c r="AL608" s="1" t="s">
        <v>11484</v>
      </c>
      <c r="AM608" s="1" t="s">
        <v>11483</v>
      </c>
      <c r="AN608" s="1" t="s">
        <v>433</v>
      </c>
      <c r="AO608" s="1" t="s">
        <v>360</v>
      </c>
      <c r="AP608" s="1">
        <v>73.38</v>
      </c>
      <c r="AQ608" s="1"/>
      <c r="AR608" s="1"/>
      <c r="AS608" s="1"/>
      <c r="AT608" s="1"/>
      <c r="AU608" s="1"/>
      <c r="AV608" s="1"/>
      <c r="AW608" s="1"/>
      <c r="AX608" s="1" t="s">
        <v>253</v>
      </c>
      <c r="AY608" s="1" t="s">
        <v>11485</v>
      </c>
      <c r="AZ608" s="1" t="s">
        <v>1019</v>
      </c>
      <c r="BA608" s="1" t="s">
        <v>413</v>
      </c>
      <c r="BB608" s="1">
        <v>74.18</v>
      </c>
      <c r="BC608" s="1">
        <v>8.14</v>
      </c>
      <c r="BD608" s="1"/>
      <c r="BE608" s="1"/>
      <c r="BF608" s="1"/>
      <c r="BG608" s="1"/>
      <c r="BH608" s="1"/>
      <c r="BI608" s="1"/>
      <c r="BJ608" s="1" t="s">
        <v>567</v>
      </c>
      <c r="BK608" s="1" t="s">
        <v>11486</v>
      </c>
      <c r="BL608" s="1" t="s">
        <v>645</v>
      </c>
      <c r="BM608" s="1" t="s">
        <v>11487</v>
      </c>
      <c r="BN608" s="1">
        <v>13</v>
      </c>
      <c r="BO608" s="1"/>
      <c r="BP608" s="1" t="str">
        <f>HYPERLINK("https://nconnect.nicmar.ac.in/storage/profile/ProfilePhoto_P25700611_842917.jpg","Download")</f>
        <v>0</v>
      </c>
      <c r="BQ608" s="3"/>
      <c r="BR608" s="3"/>
    </row>
    <row r="609" spans="1:70">
      <c r="A609" s="1" t="s">
        <v>70</v>
      </c>
      <c r="B609" s="1" t="s">
        <v>441</v>
      </c>
      <c r="C609" s="1" t="s">
        <v>11488</v>
      </c>
      <c r="D609" s="1" t="s">
        <v>11489</v>
      </c>
      <c r="E609" s="1" t="s">
        <v>11490</v>
      </c>
      <c r="F609" s="1" t="s">
        <v>11491</v>
      </c>
      <c r="G609" s="1" t="s">
        <v>11492</v>
      </c>
      <c r="H609" s="1" t="s">
        <v>11493</v>
      </c>
      <c r="I609" s="1" t="s">
        <v>11494</v>
      </c>
      <c r="J609" s="1">
        <v>8097090016</v>
      </c>
      <c r="K609" s="1" t="s">
        <v>79</v>
      </c>
      <c r="L609" s="1" t="s">
        <v>7473</v>
      </c>
      <c r="M609" s="1" t="s">
        <v>81</v>
      </c>
      <c r="N609" s="1" t="s">
        <v>751</v>
      </c>
      <c r="O609" s="1"/>
      <c r="P609" s="1" t="s">
        <v>472</v>
      </c>
      <c r="Q609" s="1" t="s">
        <v>11495</v>
      </c>
      <c r="R609" s="1" t="s">
        <v>11496</v>
      </c>
      <c r="S609" s="1">
        <v>7498231439</v>
      </c>
      <c r="T609" s="1" t="s">
        <v>6725</v>
      </c>
      <c r="U609" s="1" t="s">
        <v>11497</v>
      </c>
      <c r="V609" s="1">
        <v>8830604681</v>
      </c>
      <c r="W609" s="1" t="s">
        <v>273</v>
      </c>
      <c r="X609" s="1" t="s">
        <v>11498</v>
      </c>
      <c r="Y609" s="1" t="s">
        <v>991</v>
      </c>
      <c r="Z609" s="1" t="s">
        <v>92</v>
      </c>
      <c r="AA609" s="1" t="s">
        <v>11498</v>
      </c>
      <c r="AB609" s="1" t="s">
        <v>991</v>
      </c>
      <c r="AC609" s="1" t="s">
        <v>92</v>
      </c>
      <c r="AD609" s="1">
        <v>9.17</v>
      </c>
      <c r="AE609" s="1" t="s">
        <v>93</v>
      </c>
      <c r="AF609" s="1" t="s">
        <v>11499</v>
      </c>
      <c r="AG609" s="1" t="s">
        <v>777</v>
      </c>
      <c r="AH609" s="1" t="s">
        <v>689</v>
      </c>
      <c r="AI609" s="1" t="s">
        <v>166</v>
      </c>
      <c r="AJ609" s="1">
        <v>62</v>
      </c>
      <c r="AK609" s="1"/>
      <c r="AL609" s="1" t="s">
        <v>11500</v>
      </c>
      <c r="AM609" s="1" t="s">
        <v>777</v>
      </c>
      <c r="AN609" s="1" t="s">
        <v>537</v>
      </c>
      <c r="AO609" s="1" t="s">
        <v>173</v>
      </c>
      <c r="AP609" s="1">
        <v>68</v>
      </c>
      <c r="AQ609" s="1"/>
      <c r="AR609" s="1"/>
      <c r="AS609" s="1"/>
      <c r="AT609" s="1"/>
      <c r="AU609" s="1"/>
      <c r="AV609" s="1"/>
      <c r="AW609" s="1"/>
      <c r="AX609" s="1" t="s">
        <v>666</v>
      </c>
      <c r="AY609" s="1" t="s">
        <v>11501</v>
      </c>
      <c r="AZ609" s="1" t="s">
        <v>363</v>
      </c>
      <c r="BA609" s="1" t="s">
        <v>1067</v>
      </c>
      <c r="BB609" s="1">
        <v>73.97</v>
      </c>
      <c r="BC609" s="1">
        <v>8.22</v>
      </c>
      <c r="BD609" s="1"/>
      <c r="BE609" s="1"/>
      <c r="BF609" s="1"/>
      <c r="BG609" s="1"/>
      <c r="BH609" s="1"/>
      <c r="BI609" s="1"/>
      <c r="BJ609" s="1" t="s">
        <v>11502</v>
      </c>
      <c r="BK609" s="1"/>
      <c r="BL609" s="1"/>
      <c r="BM609" s="1" t="s">
        <v>11503</v>
      </c>
      <c r="BN609" s="1">
        <v>130</v>
      </c>
      <c r="BO609" s="1" t="s">
        <v>11504</v>
      </c>
      <c r="BP609" s="1" t="str">
        <f>HYPERLINK("https://nconnect.nicmar.ac.in/storage/profile/ProfilePhoto_P25700612_964275.jpg","Download")</f>
        <v>0</v>
      </c>
      <c r="BQ609" s="3"/>
      <c r="BR609" s="3"/>
    </row>
    <row r="610" spans="1:70">
      <c r="A610" s="1" t="s">
        <v>70</v>
      </c>
      <c r="B610" s="1" t="s">
        <v>441</v>
      </c>
      <c r="C610" s="1" t="s">
        <v>11505</v>
      </c>
      <c r="D610" s="1" t="s">
        <v>11506</v>
      </c>
      <c r="E610" s="1"/>
      <c r="F610" s="1" t="s">
        <v>2782</v>
      </c>
      <c r="G610" s="1" t="s">
        <v>11507</v>
      </c>
      <c r="H610" s="1" t="s">
        <v>11508</v>
      </c>
      <c r="I610" s="1" t="s">
        <v>11509</v>
      </c>
      <c r="J610" s="1">
        <v>9345734480</v>
      </c>
      <c r="K610" s="1" t="s">
        <v>148</v>
      </c>
      <c r="L610" s="1" t="s">
        <v>6105</v>
      </c>
      <c r="M610" s="1" t="s">
        <v>81</v>
      </c>
      <c r="N610" s="1" t="s">
        <v>11510</v>
      </c>
      <c r="O610" s="1"/>
      <c r="P610" s="1" t="s">
        <v>497</v>
      </c>
      <c r="Q610" s="1" t="s">
        <v>11511</v>
      </c>
      <c r="R610" s="1" t="s">
        <v>11512</v>
      </c>
      <c r="S610" s="1">
        <v>9443622246</v>
      </c>
      <c r="T610" s="1" t="s">
        <v>583</v>
      </c>
      <c r="U610" s="1" t="s">
        <v>11513</v>
      </c>
      <c r="V610" s="1">
        <v>8072537791</v>
      </c>
      <c r="W610" s="1" t="s">
        <v>531</v>
      </c>
      <c r="X610" s="1" t="s">
        <v>11514</v>
      </c>
      <c r="Y610" s="1" t="s">
        <v>9001</v>
      </c>
      <c r="Z610" s="1" t="s">
        <v>559</v>
      </c>
      <c r="AA610" s="1" t="s">
        <v>11514</v>
      </c>
      <c r="AB610" s="1" t="s">
        <v>9001</v>
      </c>
      <c r="AC610" s="1" t="s">
        <v>559</v>
      </c>
      <c r="AD610" s="1">
        <v>9.08</v>
      </c>
      <c r="AE610" s="1" t="s">
        <v>93</v>
      </c>
      <c r="AF610" s="1" t="s">
        <v>11515</v>
      </c>
      <c r="AG610" s="1" t="s">
        <v>11516</v>
      </c>
      <c r="AH610" s="1" t="s">
        <v>165</v>
      </c>
      <c r="AI610" s="1" t="s">
        <v>166</v>
      </c>
      <c r="AJ610" s="1">
        <v>92.2</v>
      </c>
      <c r="AK610" s="1"/>
      <c r="AL610" s="1" t="s">
        <v>11515</v>
      </c>
      <c r="AM610" s="1" t="s">
        <v>11516</v>
      </c>
      <c r="AN610" s="1" t="s">
        <v>433</v>
      </c>
      <c r="AO610" s="1" t="s">
        <v>590</v>
      </c>
      <c r="AP610" s="1">
        <v>74.83</v>
      </c>
      <c r="AQ610" s="1"/>
      <c r="AR610" s="1"/>
      <c r="AS610" s="1"/>
      <c r="AT610" s="1"/>
      <c r="AU610" s="1"/>
      <c r="AV610" s="1"/>
      <c r="AW610" s="1"/>
      <c r="AX610" s="1" t="s">
        <v>11517</v>
      </c>
      <c r="AY610" s="1" t="s">
        <v>11517</v>
      </c>
      <c r="AZ610" s="1" t="s">
        <v>1622</v>
      </c>
      <c r="BA610" s="1" t="s">
        <v>1067</v>
      </c>
      <c r="BB610" s="1">
        <v>73.8</v>
      </c>
      <c r="BC610" s="1">
        <v>7.38</v>
      </c>
      <c r="BD610" s="1"/>
      <c r="BE610" s="1"/>
      <c r="BF610" s="1"/>
      <c r="BG610" s="1"/>
      <c r="BH610" s="1"/>
      <c r="BI610" s="1"/>
      <c r="BJ610" s="1" t="s">
        <v>11518</v>
      </c>
      <c r="BK610" s="1" t="s">
        <v>11519</v>
      </c>
      <c r="BL610" s="1" t="s">
        <v>645</v>
      </c>
      <c r="BM610" s="1" t="s">
        <v>11520</v>
      </c>
      <c r="BN610" s="1">
        <v>22</v>
      </c>
      <c r="BO610" s="1" t="s">
        <v>11521</v>
      </c>
      <c r="BP610" s="1" t="str">
        <f>HYPERLINK("https://nconnect.nicmar.ac.in/storage/profile/ProfilePhoto_P25700613_197586.jpg","Download")</f>
        <v>0</v>
      </c>
      <c r="BQ610" s="3"/>
      <c r="BR610" s="3"/>
    </row>
    <row r="611" spans="1:70">
      <c r="A611" s="1" t="s">
        <v>70</v>
      </c>
      <c r="B611" s="1" t="s">
        <v>441</v>
      </c>
      <c r="C611" s="1" t="s">
        <v>11522</v>
      </c>
      <c r="D611" s="1" t="s">
        <v>856</v>
      </c>
      <c r="E611" s="1"/>
      <c r="F611" s="1" t="s">
        <v>11523</v>
      </c>
      <c r="G611" s="1" t="s">
        <v>11524</v>
      </c>
      <c r="H611" s="1" t="s">
        <v>11525</v>
      </c>
      <c r="I611" s="1" t="s">
        <v>11526</v>
      </c>
      <c r="J611" s="1">
        <v>8103077636</v>
      </c>
      <c r="K611" s="1" t="s">
        <v>79</v>
      </c>
      <c r="L611" s="1" t="s">
        <v>11527</v>
      </c>
      <c r="M611" s="1" t="s">
        <v>81</v>
      </c>
      <c r="N611" s="1" t="s">
        <v>11528</v>
      </c>
      <c r="O611" s="1"/>
      <c r="P611" s="1" t="s">
        <v>497</v>
      </c>
      <c r="Q611" s="1" t="s">
        <v>11529</v>
      </c>
      <c r="R611" s="1" t="s">
        <v>11530</v>
      </c>
      <c r="S611" s="1">
        <v>9589709900</v>
      </c>
      <c r="T611" s="1" t="s">
        <v>154</v>
      </c>
      <c r="U611" s="1" t="s">
        <v>11531</v>
      </c>
      <c r="V611" s="1">
        <v>7000239907</v>
      </c>
      <c r="W611" s="1" t="s">
        <v>11532</v>
      </c>
      <c r="X611" s="1" t="s">
        <v>11533</v>
      </c>
      <c r="Y611" s="1" t="s">
        <v>7987</v>
      </c>
      <c r="Z611" s="1" t="s">
        <v>3437</v>
      </c>
      <c r="AA611" s="1" t="s">
        <v>11533</v>
      </c>
      <c r="AB611" s="1" t="s">
        <v>7987</v>
      </c>
      <c r="AC611" s="1" t="s">
        <v>3437</v>
      </c>
      <c r="AD611" s="1">
        <v>7.78</v>
      </c>
      <c r="AE611" s="1" t="s">
        <v>93</v>
      </c>
      <c r="AF611" s="1" t="s">
        <v>11534</v>
      </c>
      <c r="AG611" s="1" t="s">
        <v>11331</v>
      </c>
      <c r="AH611" s="1" t="s">
        <v>614</v>
      </c>
      <c r="AI611" s="1" t="s">
        <v>195</v>
      </c>
      <c r="AJ611" s="1">
        <v>84.83</v>
      </c>
      <c r="AK611" s="1"/>
      <c r="AL611" s="1" t="s">
        <v>11535</v>
      </c>
      <c r="AM611" s="1" t="s">
        <v>11331</v>
      </c>
      <c r="AN611" s="1" t="s">
        <v>166</v>
      </c>
      <c r="AO611" s="1" t="s">
        <v>409</v>
      </c>
      <c r="AP611" s="1">
        <v>74.8</v>
      </c>
      <c r="AQ611" s="1"/>
      <c r="AR611" s="1"/>
      <c r="AS611" s="1"/>
      <c r="AT611" s="1"/>
      <c r="AU611" s="1"/>
      <c r="AV611" s="1"/>
      <c r="AW611" s="1"/>
      <c r="AX611" s="1" t="s">
        <v>11536</v>
      </c>
      <c r="AY611" s="1" t="s">
        <v>11537</v>
      </c>
      <c r="AZ611" s="1" t="s">
        <v>308</v>
      </c>
      <c r="BA611" s="1" t="s">
        <v>935</v>
      </c>
      <c r="BB611" s="1">
        <v>82.4</v>
      </c>
      <c r="BC611" s="1">
        <v>8.24</v>
      </c>
      <c r="BD611" s="1"/>
      <c r="BE611" s="1"/>
      <c r="BF611" s="1"/>
      <c r="BG611" s="1"/>
      <c r="BH611" s="1"/>
      <c r="BI611" s="1"/>
      <c r="BJ611" s="1" t="s">
        <v>830</v>
      </c>
      <c r="BK611" s="1" t="s">
        <v>11538</v>
      </c>
      <c r="BL611" s="1" t="s">
        <v>2089</v>
      </c>
      <c r="BM611" s="1" t="s">
        <v>11539</v>
      </c>
      <c r="BN611" s="1">
        <v>8</v>
      </c>
      <c r="BO611" s="1" t="s">
        <v>1641</v>
      </c>
      <c r="BP611" s="1" t="str">
        <f>HYPERLINK("https://nconnect.nicmar.ac.in/storage/profile/ProfilePhoto_P25700614_342179.jpg","Download")</f>
        <v>0</v>
      </c>
      <c r="BQ611" s="3"/>
      <c r="BR611" s="3"/>
    </row>
    <row r="612" spans="1:70">
      <c r="A612" s="1" t="s">
        <v>70</v>
      </c>
      <c r="B612" s="1" t="s">
        <v>441</v>
      </c>
      <c r="C612" s="1" t="s">
        <v>11540</v>
      </c>
      <c r="D612" s="1" t="s">
        <v>110</v>
      </c>
      <c r="E612" s="1" t="s">
        <v>4651</v>
      </c>
      <c r="F612" s="1" t="s">
        <v>11541</v>
      </c>
      <c r="G612" s="1" t="s">
        <v>11542</v>
      </c>
      <c r="H612" s="1" t="s">
        <v>11543</v>
      </c>
      <c r="I612" s="1" t="s">
        <v>11544</v>
      </c>
      <c r="J612" s="1">
        <v>9076212755</v>
      </c>
      <c r="K612" s="1" t="s">
        <v>79</v>
      </c>
      <c r="L612" s="1" t="s">
        <v>11545</v>
      </c>
      <c r="M612" s="1" t="s">
        <v>81</v>
      </c>
      <c r="N612" s="1" t="s">
        <v>11546</v>
      </c>
      <c r="O612" s="1"/>
      <c r="P612" s="1"/>
      <c r="Q612" s="1" t="s">
        <v>11547</v>
      </c>
      <c r="R612" s="1" t="s">
        <v>11548</v>
      </c>
      <c r="S612" s="1">
        <v>9820868488</v>
      </c>
      <c r="T612" s="1" t="s">
        <v>632</v>
      </c>
      <c r="U612" s="1" t="s">
        <v>11549</v>
      </c>
      <c r="V612" s="1">
        <v>8652303318</v>
      </c>
      <c r="W612" s="1" t="s">
        <v>273</v>
      </c>
      <c r="X612" s="1" t="s">
        <v>11550</v>
      </c>
      <c r="Y612" s="1" t="s">
        <v>1166</v>
      </c>
      <c r="Z612" s="1" t="s">
        <v>92</v>
      </c>
      <c r="AA612" s="1" t="s">
        <v>11550</v>
      </c>
      <c r="AB612" s="1" t="s">
        <v>1166</v>
      </c>
      <c r="AC612" s="1" t="s">
        <v>92</v>
      </c>
      <c r="AD612" s="1">
        <v>7.89</v>
      </c>
      <c r="AE612" s="1" t="s">
        <v>93</v>
      </c>
      <c r="AF612" s="1" t="s">
        <v>6182</v>
      </c>
      <c r="AG612" s="1" t="s">
        <v>8928</v>
      </c>
      <c r="AH612" s="1" t="s">
        <v>162</v>
      </c>
      <c r="AI612" s="1" t="s">
        <v>165</v>
      </c>
      <c r="AJ612" s="1">
        <v>68</v>
      </c>
      <c r="AK612" s="1"/>
      <c r="AL612" s="1" t="s">
        <v>11551</v>
      </c>
      <c r="AM612" s="1" t="s">
        <v>8928</v>
      </c>
      <c r="AN612" s="1" t="s">
        <v>169</v>
      </c>
      <c r="AO612" s="1" t="s">
        <v>409</v>
      </c>
      <c r="AP612" s="1">
        <v>66.62</v>
      </c>
      <c r="AQ612" s="1"/>
      <c r="AR612" s="1"/>
      <c r="AS612" s="1"/>
      <c r="AT612" s="1"/>
      <c r="AU612" s="1"/>
      <c r="AV612" s="1"/>
      <c r="AW612" s="1"/>
      <c r="AX612" s="1" t="s">
        <v>253</v>
      </c>
      <c r="AY612" s="1" t="s">
        <v>11552</v>
      </c>
      <c r="AZ612" s="1" t="s">
        <v>104</v>
      </c>
      <c r="BA612" s="1" t="s">
        <v>935</v>
      </c>
      <c r="BB612" s="1">
        <v>70.21</v>
      </c>
      <c r="BC612" s="1">
        <v>7.91</v>
      </c>
      <c r="BD612" s="1"/>
      <c r="BE612" s="1"/>
      <c r="BF612" s="1"/>
      <c r="BG612" s="1"/>
      <c r="BH612" s="1"/>
      <c r="BI612" s="1"/>
      <c r="BJ612" s="1" t="s">
        <v>567</v>
      </c>
      <c r="BK612" s="1" t="s">
        <v>11553</v>
      </c>
      <c r="BL612" s="1" t="s">
        <v>1459</v>
      </c>
      <c r="BM612" s="1" t="s">
        <v>11554</v>
      </c>
      <c r="BN612" s="1">
        <v>29</v>
      </c>
      <c r="BO612" s="1"/>
      <c r="BP612" s="1" t="str">
        <f>HYPERLINK("https://nconnect.nicmar.ac.in/storage/profile/ProfilePhoto_P25700615_362518.jpg","Download")</f>
        <v>0</v>
      </c>
      <c r="BQ612" s="3"/>
      <c r="BR612" s="3"/>
    </row>
    <row r="613" spans="1:70">
      <c r="A613" s="1" t="s">
        <v>70</v>
      </c>
      <c r="B613" s="1" t="s">
        <v>441</v>
      </c>
      <c r="C613" s="1" t="s">
        <v>11555</v>
      </c>
      <c r="D613" s="1" t="s">
        <v>2857</v>
      </c>
      <c r="E613" s="1" t="s">
        <v>3658</v>
      </c>
      <c r="F613" s="1" t="s">
        <v>11556</v>
      </c>
      <c r="G613" s="1" t="s">
        <v>11557</v>
      </c>
      <c r="H613" s="1" t="s">
        <v>11558</v>
      </c>
      <c r="I613" s="1" t="s">
        <v>11559</v>
      </c>
      <c r="J613" s="1">
        <v>8080225439</v>
      </c>
      <c r="K613" s="1" t="s">
        <v>79</v>
      </c>
      <c r="L613" s="1" t="s">
        <v>6386</v>
      </c>
      <c r="M613" s="1" t="s">
        <v>81</v>
      </c>
      <c r="N613" s="1" t="s">
        <v>1140</v>
      </c>
      <c r="O613" s="1"/>
      <c r="P613" s="1" t="s">
        <v>497</v>
      </c>
      <c r="Q613" s="1" t="s">
        <v>11560</v>
      </c>
      <c r="R613" s="1" t="s">
        <v>11561</v>
      </c>
      <c r="S613" s="1">
        <v>9049554146</v>
      </c>
      <c r="T613" s="1" t="s">
        <v>820</v>
      </c>
      <c r="U613" s="1" t="s">
        <v>11562</v>
      </c>
      <c r="V613" s="1">
        <v>9923544615</v>
      </c>
      <c r="W613" s="1" t="s">
        <v>156</v>
      </c>
      <c r="X613" s="1" t="s">
        <v>11563</v>
      </c>
      <c r="Y613" s="1" t="s">
        <v>405</v>
      </c>
      <c r="Z613" s="1" t="s">
        <v>92</v>
      </c>
      <c r="AA613" s="1" t="s">
        <v>11563</v>
      </c>
      <c r="AB613" s="1" t="s">
        <v>405</v>
      </c>
      <c r="AC613" s="1" t="s">
        <v>92</v>
      </c>
      <c r="AD613" s="1">
        <v>7.13</v>
      </c>
      <c r="AE613" s="1" t="s">
        <v>93</v>
      </c>
      <c r="AF613" s="1" t="s">
        <v>11564</v>
      </c>
      <c r="AG613" s="1" t="s">
        <v>160</v>
      </c>
      <c r="AH613" s="1" t="s">
        <v>166</v>
      </c>
      <c r="AI613" s="1" t="s">
        <v>409</v>
      </c>
      <c r="AJ613" s="1">
        <v>76.4</v>
      </c>
      <c r="AK613" s="1">
        <v>0</v>
      </c>
      <c r="AL613" s="1"/>
      <c r="AM613" s="1"/>
      <c r="AN613" s="1"/>
      <c r="AO613" s="1"/>
      <c r="AP613" s="1"/>
      <c r="AQ613" s="1"/>
      <c r="AR613" s="1" t="s">
        <v>98</v>
      </c>
      <c r="AS613" s="1" t="s">
        <v>2350</v>
      </c>
      <c r="AT613" s="1" t="s">
        <v>310</v>
      </c>
      <c r="AU613" s="1" t="s">
        <v>105</v>
      </c>
      <c r="AV613" s="1">
        <v>79.35</v>
      </c>
      <c r="AW613" s="1">
        <v>0</v>
      </c>
      <c r="AX613" s="1" t="s">
        <v>410</v>
      </c>
      <c r="AY613" s="1" t="s">
        <v>5592</v>
      </c>
      <c r="AZ613" s="1" t="s">
        <v>1864</v>
      </c>
      <c r="BA613" s="1" t="s">
        <v>829</v>
      </c>
      <c r="BB613" s="1">
        <v>66</v>
      </c>
      <c r="BC613" s="1">
        <v>7.35</v>
      </c>
      <c r="BD613" s="1"/>
      <c r="BE613" s="1"/>
      <c r="BF613" s="1"/>
      <c r="BG613" s="1"/>
      <c r="BH613" s="1"/>
      <c r="BI613" s="1"/>
      <c r="BJ613" s="1" t="s">
        <v>1659</v>
      </c>
      <c r="BK613" s="1"/>
      <c r="BL613" s="1"/>
      <c r="BM613" s="1" t="s">
        <v>11565</v>
      </c>
      <c r="BN613" s="1">
        <v>33</v>
      </c>
      <c r="BO613" s="1" t="s">
        <v>11211</v>
      </c>
      <c r="BP613" s="1" t="str">
        <f>HYPERLINK("https://nconnect.nicmar.ac.in/storage/profile/ProfilePhoto_P25700617_543618.jpg","Download")</f>
        <v>0</v>
      </c>
      <c r="BQ613" s="3"/>
      <c r="BR613" s="3"/>
    </row>
    <row r="614" spans="1:70">
      <c r="A614" s="1" t="s">
        <v>70</v>
      </c>
      <c r="B614" s="1" t="s">
        <v>441</v>
      </c>
      <c r="C614" s="1" t="s">
        <v>11566</v>
      </c>
      <c r="D614" s="1" t="s">
        <v>11567</v>
      </c>
      <c r="E614" s="1" t="s">
        <v>2071</v>
      </c>
      <c r="F614" s="1" t="s">
        <v>11568</v>
      </c>
      <c r="G614" s="1" t="s">
        <v>11569</v>
      </c>
      <c r="H614" s="1" t="s">
        <v>11570</v>
      </c>
      <c r="I614" s="1" t="s">
        <v>11571</v>
      </c>
      <c r="J614" s="1">
        <v>9767686672</v>
      </c>
      <c r="K614" s="1" t="s">
        <v>79</v>
      </c>
      <c r="L614" s="1" t="s">
        <v>11572</v>
      </c>
      <c r="M614" s="1" t="s">
        <v>81</v>
      </c>
      <c r="N614" s="1" t="s">
        <v>8630</v>
      </c>
      <c r="O614" s="1"/>
      <c r="P614" s="1" t="s">
        <v>1007</v>
      </c>
      <c r="Q614" s="1" t="s">
        <v>11573</v>
      </c>
      <c r="R614" s="1" t="s">
        <v>11574</v>
      </c>
      <c r="S614" s="1">
        <v>9767664794</v>
      </c>
      <c r="T614" s="1" t="s">
        <v>4780</v>
      </c>
      <c r="U614" s="1" t="s">
        <v>11575</v>
      </c>
      <c r="V614" s="1">
        <v>9767686672</v>
      </c>
      <c r="W614" s="1" t="s">
        <v>89</v>
      </c>
      <c r="X614" s="1" t="s">
        <v>11576</v>
      </c>
      <c r="Y614" s="1" t="s">
        <v>191</v>
      </c>
      <c r="Z614" s="1" t="s">
        <v>92</v>
      </c>
      <c r="AA614" s="1" t="s">
        <v>11576</v>
      </c>
      <c r="AB614" s="1" t="s">
        <v>191</v>
      </c>
      <c r="AC614" s="1" t="s">
        <v>92</v>
      </c>
      <c r="AD614" s="1">
        <v>8.85</v>
      </c>
      <c r="AE614" s="1" t="s">
        <v>93</v>
      </c>
      <c r="AF614" s="1" t="s">
        <v>11577</v>
      </c>
      <c r="AG614" s="1" t="s">
        <v>1942</v>
      </c>
      <c r="AH614" s="1" t="s">
        <v>7319</v>
      </c>
      <c r="AI614" s="1" t="s">
        <v>281</v>
      </c>
      <c r="AJ614" s="1">
        <v>88.2</v>
      </c>
      <c r="AK614" s="1"/>
      <c r="AL614" s="1"/>
      <c r="AM614" s="1"/>
      <c r="AN614" s="1"/>
      <c r="AO614" s="1"/>
      <c r="AP614" s="1"/>
      <c r="AQ614" s="1"/>
      <c r="AR614" s="1" t="s">
        <v>98</v>
      </c>
      <c r="AS614" s="1" t="s">
        <v>7850</v>
      </c>
      <c r="AT614" s="1" t="s">
        <v>1043</v>
      </c>
      <c r="AU614" s="1" t="s">
        <v>542</v>
      </c>
      <c r="AV614" s="1">
        <v>89.13</v>
      </c>
      <c r="AW614" s="1"/>
      <c r="AX614" s="1" t="s">
        <v>361</v>
      </c>
      <c r="AY614" s="1" t="s">
        <v>11578</v>
      </c>
      <c r="AZ614" s="1" t="s">
        <v>852</v>
      </c>
      <c r="BA614" s="1" t="s">
        <v>413</v>
      </c>
      <c r="BB614" s="1">
        <v>75.44</v>
      </c>
      <c r="BC614" s="1">
        <v>8.37</v>
      </c>
      <c r="BD614" s="1"/>
      <c r="BE614" s="1"/>
      <c r="BF614" s="1"/>
      <c r="BG614" s="1"/>
      <c r="BH614" s="1"/>
      <c r="BI614" s="1"/>
      <c r="BJ614" s="1" t="s">
        <v>11579</v>
      </c>
      <c r="BK614" s="1" t="s">
        <v>11580</v>
      </c>
      <c r="BL614" s="1" t="s">
        <v>9384</v>
      </c>
      <c r="BM614" s="1" t="s">
        <v>11581</v>
      </c>
      <c r="BN614" s="1">
        <v>25</v>
      </c>
      <c r="BO614" s="1" t="s">
        <v>11582</v>
      </c>
      <c r="BP614" s="1" t="str">
        <f>HYPERLINK("https://nconnect.nicmar.ac.in/storage/profile/ProfilePhoto_P25700618_523847.jpg","Download")</f>
        <v>0</v>
      </c>
      <c r="BQ614" s="3"/>
      <c r="BR614" s="3"/>
    </row>
    <row r="615" spans="1:70">
      <c r="A615" s="1" t="s">
        <v>70</v>
      </c>
      <c r="B615" s="1" t="s">
        <v>441</v>
      </c>
      <c r="C615" s="1" t="s">
        <v>11583</v>
      </c>
      <c r="D615" s="1" t="s">
        <v>5061</v>
      </c>
      <c r="E615" s="1"/>
      <c r="F615" s="1" t="s">
        <v>1298</v>
      </c>
      <c r="G615" s="1" t="s">
        <v>11584</v>
      </c>
      <c r="H615" s="1" t="s">
        <v>11585</v>
      </c>
      <c r="I615" s="1" t="s">
        <v>11586</v>
      </c>
      <c r="J615" s="1">
        <v>9660398562</v>
      </c>
      <c r="K615" s="1" t="s">
        <v>79</v>
      </c>
      <c r="L615" s="1" t="s">
        <v>11587</v>
      </c>
      <c r="M615" s="1" t="s">
        <v>81</v>
      </c>
      <c r="N615" s="1" t="s">
        <v>241</v>
      </c>
      <c r="O615" s="1"/>
      <c r="P615" s="1" t="s">
        <v>450</v>
      </c>
      <c r="Q615" s="1" t="s">
        <v>11588</v>
      </c>
      <c r="R615" s="1" t="s">
        <v>11589</v>
      </c>
      <c r="S615" s="1">
        <v>9810081723</v>
      </c>
      <c r="T615" s="1" t="s">
        <v>87</v>
      </c>
      <c r="U615" s="1" t="s">
        <v>11590</v>
      </c>
      <c r="V615" s="1">
        <v>8826230147</v>
      </c>
      <c r="W615" s="1" t="s">
        <v>156</v>
      </c>
      <c r="X615" s="1" t="s">
        <v>11591</v>
      </c>
      <c r="Y615" s="1" t="s">
        <v>1085</v>
      </c>
      <c r="Z615" s="1" t="s">
        <v>534</v>
      </c>
      <c r="AA615" s="1" t="s">
        <v>11591</v>
      </c>
      <c r="AB615" s="1" t="s">
        <v>1085</v>
      </c>
      <c r="AC615" s="1" t="s">
        <v>534</v>
      </c>
      <c r="AD615" s="1">
        <v>7.75</v>
      </c>
      <c r="AE615" s="1" t="s">
        <v>93</v>
      </c>
      <c r="AF615" s="1" t="s">
        <v>11592</v>
      </c>
      <c r="AG615" s="1" t="s">
        <v>758</v>
      </c>
      <c r="AH615" s="1" t="s">
        <v>3981</v>
      </c>
      <c r="AI615" s="1" t="s">
        <v>129</v>
      </c>
      <c r="AJ615" s="1">
        <v>77.9</v>
      </c>
      <c r="AK615" s="1">
        <v>8.2</v>
      </c>
      <c r="AL615" s="1" t="s">
        <v>11592</v>
      </c>
      <c r="AM615" s="1" t="s">
        <v>758</v>
      </c>
      <c r="AN615" s="1" t="s">
        <v>505</v>
      </c>
      <c r="AO615" s="1" t="s">
        <v>131</v>
      </c>
      <c r="AP615" s="1">
        <v>71.4</v>
      </c>
      <c r="AQ615" s="1"/>
      <c r="AR615" s="1"/>
      <c r="AS615" s="1"/>
      <c r="AT615" s="1"/>
      <c r="AU615" s="1"/>
      <c r="AV615" s="1"/>
      <c r="AW615" s="1"/>
      <c r="AX615" s="1" t="s">
        <v>3790</v>
      </c>
      <c r="AY615" s="1" t="s">
        <v>11593</v>
      </c>
      <c r="AZ615" s="1" t="s">
        <v>134</v>
      </c>
      <c r="BA615" s="1" t="s">
        <v>460</v>
      </c>
      <c r="BB615" s="1">
        <v>81.1</v>
      </c>
      <c r="BC615" s="1">
        <v>8.11</v>
      </c>
      <c r="BD615" s="1"/>
      <c r="BE615" s="1"/>
      <c r="BF615" s="1"/>
      <c r="BG615" s="1"/>
      <c r="BH615" s="1"/>
      <c r="BI615" s="1"/>
      <c r="BJ615" s="1" t="s">
        <v>3326</v>
      </c>
      <c r="BK615" s="1"/>
      <c r="BL615" s="1"/>
      <c r="BM615" s="1" t="s">
        <v>11594</v>
      </c>
      <c r="BN615" s="1">
        <v>7</v>
      </c>
      <c r="BO615" s="1"/>
      <c r="BP615" s="1" t="str">
        <f>HYPERLINK("https://nconnect.nicmar.ac.in/storage/profile/ProfilePhoto_P25700619_852364.jpg","Download")</f>
        <v>0</v>
      </c>
      <c r="BQ615" s="3"/>
      <c r="BR615" s="3"/>
    </row>
    <row r="616" spans="1:70">
      <c r="A616" s="1" t="s">
        <v>70</v>
      </c>
      <c r="B616" s="1" t="s">
        <v>441</v>
      </c>
      <c r="C616" s="1" t="s">
        <v>11595</v>
      </c>
      <c r="D616" s="1" t="s">
        <v>2838</v>
      </c>
      <c r="E616" s="1"/>
      <c r="F616" s="1" t="s">
        <v>11596</v>
      </c>
      <c r="G616" s="1" t="s">
        <v>11597</v>
      </c>
      <c r="H616" s="1" t="s">
        <v>11598</v>
      </c>
      <c r="I616" s="1" t="s">
        <v>11599</v>
      </c>
      <c r="J616" s="1">
        <v>9499771930</v>
      </c>
      <c r="K616" s="1" t="s">
        <v>79</v>
      </c>
      <c r="L616" s="1" t="s">
        <v>11600</v>
      </c>
      <c r="M616" s="1" t="s">
        <v>81</v>
      </c>
      <c r="N616" s="1" t="s">
        <v>7173</v>
      </c>
      <c r="O616" s="1"/>
      <c r="P616" s="1" t="s">
        <v>472</v>
      </c>
      <c r="Q616" s="1" t="s">
        <v>11601</v>
      </c>
      <c r="R616" s="1" t="s">
        <v>11602</v>
      </c>
      <c r="S616" s="1">
        <v>9328083234</v>
      </c>
      <c r="T616" s="1" t="s">
        <v>820</v>
      </c>
      <c r="U616" s="1" t="s">
        <v>11603</v>
      </c>
      <c r="V616" s="1">
        <v>8209130630</v>
      </c>
      <c r="W616" s="1" t="s">
        <v>156</v>
      </c>
      <c r="X616" s="1" t="s">
        <v>11604</v>
      </c>
      <c r="Y616" s="1" t="s">
        <v>11605</v>
      </c>
      <c r="Z616" s="1" t="s">
        <v>662</v>
      </c>
      <c r="AA616" s="1" t="s">
        <v>11604</v>
      </c>
      <c r="AB616" s="1" t="s">
        <v>11605</v>
      </c>
      <c r="AC616" s="1" t="s">
        <v>662</v>
      </c>
      <c r="AD616" s="1">
        <v>9.37</v>
      </c>
      <c r="AE616" s="1" t="s">
        <v>93</v>
      </c>
      <c r="AF616" s="1" t="s">
        <v>11606</v>
      </c>
      <c r="AG616" s="1" t="s">
        <v>11607</v>
      </c>
      <c r="AH616" s="1" t="s">
        <v>614</v>
      </c>
      <c r="AI616" s="1" t="s">
        <v>689</v>
      </c>
      <c r="AJ616" s="1">
        <v>93.1</v>
      </c>
      <c r="AK616" s="1">
        <v>9.8</v>
      </c>
      <c r="AL616" s="1" t="s">
        <v>11608</v>
      </c>
      <c r="AM616" s="1" t="s">
        <v>11607</v>
      </c>
      <c r="AN616" s="1" t="s">
        <v>166</v>
      </c>
      <c r="AO616" s="1" t="s">
        <v>537</v>
      </c>
      <c r="AP616" s="1">
        <v>79.6</v>
      </c>
      <c r="AQ616" s="1">
        <v>0</v>
      </c>
      <c r="AR616" s="1"/>
      <c r="AS616" s="1"/>
      <c r="AT616" s="1"/>
      <c r="AU616" s="1"/>
      <c r="AV616" s="1"/>
      <c r="AW616" s="1"/>
      <c r="AX616" s="1" t="s">
        <v>11609</v>
      </c>
      <c r="AY616" s="1" t="s">
        <v>11610</v>
      </c>
      <c r="AZ616" s="1" t="s">
        <v>201</v>
      </c>
      <c r="BA616" s="1" t="s">
        <v>413</v>
      </c>
      <c r="BB616" s="1">
        <v>80</v>
      </c>
      <c r="BC616" s="1">
        <v>3.6</v>
      </c>
      <c r="BD616" s="1"/>
      <c r="BE616" s="1"/>
      <c r="BF616" s="1"/>
      <c r="BG616" s="1"/>
      <c r="BH616" s="1"/>
      <c r="BI616" s="1"/>
      <c r="BJ616" s="1" t="s">
        <v>11611</v>
      </c>
      <c r="BK616" s="1"/>
      <c r="BL616" s="1"/>
      <c r="BM616" s="1" t="s">
        <v>11612</v>
      </c>
      <c r="BN616" s="1">
        <v>25</v>
      </c>
      <c r="BO616" s="1" t="s">
        <v>11613</v>
      </c>
      <c r="BP616" s="1" t="str">
        <f>HYPERLINK("https://nconnect.nicmar.ac.in/storage/profile/ProfilePhoto_P25700620_259716.jpg","Download")</f>
        <v>0</v>
      </c>
      <c r="BQ616" s="3"/>
      <c r="BR616" s="3"/>
    </row>
    <row r="617" spans="1:70">
      <c r="A617" s="1" t="s">
        <v>70</v>
      </c>
      <c r="B617" s="1" t="s">
        <v>441</v>
      </c>
      <c r="C617" s="1" t="s">
        <v>11614</v>
      </c>
      <c r="D617" s="1" t="s">
        <v>11615</v>
      </c>
      <c r="E617" s="1"/>
      <c r="F617" s="1" t="s">
        <v>765</v>
      </c>
      <c r="G617" s="1" t="s">
        <v>11616</v>
      </c>
      <c r="H617" s="1" t="s">
        <v>11617</v>
      </c>
      <c r="I617" s="1" t="s">
        <v>11618</v>
      </c>
      <c r="J617" s="1">
        <v>8409867004</v>
      </c>
      <c r="K617" s="1" t="s">
        <v>79</v>
      </c>
      <c r="L617" s="1" t="s">
        <v>11619</v>
      </c>
      <c r="M617" s="1" t="s">
        <v>81</v>
      </c>
      <c r="N617" s="1" t="s">
        <v>241</v>
      </c>
      <c r="O617" s="1"/>
      <c r="P617" s="1" t="s">
        <v>497</v>
      </c>
      <c r="Q617" s="1" t="s">
        <v>11620</v>
      </c>
      <c r="R617" s="1" t="s">
        <v>11621</v>
      </c>
      <c r="S617" s="1">
        <v>7070000750</v>
      </c>
      <c r="T617" s="1" t="s">
        <v>377</v>
      </c>
      <c r="U617" s="1" t="s">
        <v>11622</v>
      </c>
      <c r="V617" s="1">
        <v>7004229704</v>
      </c>
      <c r="W617" s="1" t="s">
        <v>1234</v>
      </c>
      <c r="X617" s="1" t="s">
        <v>11623</v>
      </c>
      <c r="Y617" s="1" t="s">
        <v>191</v>
      </c>
      <c r="Z617" s="1" t="s">
        <v>92</v>
      </c>
      <c r="AA617" s="1" t="s">
        <v>11624</v>
      </c>
      <c r="AB617" s="1" t="s">
        <v>635</v>
      </c>
      <c r="AC617" s="1" t="s">
        <v>636</v>
      </c>
      <c r="AD617" s="1" t="s">
        <v>93</v>
      </c>
      <c r="AE617" s="1" t="s">
        <v>93</v>
      </c>
      <c r="AF617" s="1" t="s">
        <v>11625</v>
      </c>
      <c r="AG617" s="1" t="s">
        <v>11626</v>
      </c>
      <c r="AH617" s="1" t="s">
        <v>481</v>
      </c>
      <c r="AI617" s="1" t="s">
        <v>308</v>
      </c>
      <c r="AJ617" s="1">
        <v>64.4</v>
      </c>
      <c r="AK617" s="1">
        <v>6.4</v>
      </c>
      <c r="AL617" s="1" t="s">
        <v>11627</v>
      </c>
      <c r="AM617" s="1" t="s">
        <v>11626</v>
      </c>
      <c r="AN617" s="1" t="s">
        <v>956</v>
      </c>
      <c r="AO617" s="1" t="s">
        <v>539</v>
      </c>
      <c r="AP617" s="1">
        <v>65.8</v>
      </c>
      <c r="AQ617" s="1">
        <v>6.5</v>
      </c>
      <c r="AR617" s="1"/>
      <c r="AS617" s="1"/>
      <c r="AT617" s="1"/>
      <c r="AU617" s="1"/>
      <c r="AV617" s="1"/>
      <c r="AW617" s="1"/>
      <c r="AX617" s="1" t="s">
        <v>957</v>
      </c>
      <c r="AY617" s="1" t="s">
        <v>11628</v>
      </c>
      <c r="AZ617" s="1" t="s">
        <v>539</v>
      </c>
      <c r="BA617" s="1" t="s">
        <v>543</v>
      </c>
      <c r="BB617" s="1">
        <v>72.9</v>
      </c>
      <c r="BC617" s="1">
        <v>7.29</v>
      </c>
      <c r="BD617" s="1"/>
      <c r="BE617" s="1"/>
      <c r="BF617" s="1"/>
      <c r="BG617" s="1"/>
      <c r="BH617" s="1"/>
      <c r="BI617" s="1"/>
      <c r="BJ617" s="1" t="s">
        <v>11629</v>
      </c>
      <c r="BK617" s="1"/>
      <c r="BL617" s="1"/>
      <c r="BM617" s="1" t="s">
        <v>11630</v>
      </c>
      <c r="BN617" s="1">
        <v>14</v>
      </c>
      <c r="BO617" s="1" t="s">
        <v>11631</v>
      </c>
      <c r="BP617" s="1" t="str">
        <f>HYPERLINK("https://nconnect.nicmar.ac.in/storage/profile/ProfilePhoto_P25700621_452871.jpg","Download")</f>
        <v>0</v>
      </c>
      <c r="BQ617" s="3"/>
      <c r="BR617" s="3"/>
    </row>
    <row r="618" spans="1:70">
      <c r="A618" s="1" t="s">
        <v>70</v>
      </c>
      <c r="B618" s="1" t="s">
        <v>441</v>
      </c>
      <c r="C618" s="1" t="s">
        <v>11632</v>
      </c>
      <c r="D618" s="1" t="s">
        <v>744</v>
      </c>
      <c r="E618" s="1" t="s">
        <v>11633</v>
      </c>
      <c r="F618" s="1" t="s">
        <v>11634</v>
      </c>
      <c r="G618" s="1" t="s">
        <v>11635</v>
      </c>
      <c r="H618" s="1" t="s">
        <v>11636</v>
      </c>
      <c r="I618" s="1" t="s">
        <v>11637</v>
      </c>
      <c r="J618" s="1">
        <v>8050258662</v>
      </c>
      <c r="K618" s="1" t="s">
        <v>79</v>
      </c>
      <c r="L618" s="1" t="s">
        <v>5491</v>
      </c>
      <c r="M618" s="1" t="s">
        <v>81</v>
      </c>
      <c r="N618" s="1" t="s">
        <v>11638</v>
      </c>
      <c r="O618" s="1"/>
      <c r="P618" s="1" t="s">
        <v>497</v>
      </c>
      <c r="Q618" s="1" t="s">
        <v>11639</v>
      </c>
      <c r="R618" s="1" t="s">
        <v>11640</v>
      </c>
      <c r="S618" s="1">
        <v>7498779095</v>
      </c>
      <c r="T618" s="1" t="s">
        <v>1938</v>
      </c>
      <c r="U618" s="1" t="s">
        <v>11641</v>
      </c>
      <c r="V618" s="1">
        <v>8867711442</v>
      </c>
      <c r="W618" s="1" t="s">
        <v>156</v>
      </c>
      <c r="X618" s="1" t="s">
        <v>11642</v>
      </c>
      <c r="Y618" s="1" t="s">
        <v>4001</v>
      </c>
      <c r="Z618" s="1" t="s">
        <v>1187</v>
      </c>
      <c r="AA618" s="1" t="s">
        <v>11643</v>
      </c>
      <c r="AB618" s="1" t="s">
        <v>4001</v>
      </c>
      <c r="AC618" s="1" t="s">
        <v>1187</v>
      </c>
      <c r="AD618" s="1">
        <v>8.31</v>
      </c>
      <c r="AE618" s="1" t="s">
        <v>93</v>
      </c>
      <c r="AF618" s="1" t="s">
        <v>11644</v>
      </c>
      <c r="AG618" s="1" t="s">
        <v>11645</v>
      </c>
      <c r="AH618" s="1" t="s">
        <v>165</v>
      </c>
      <c r="AI618" s="1" t="s">
        <v>281</v>
      </c>
      <c r="AJ618" s="1">
        <v>80.6</v>
      </c>
      <c r="AK618" s="1"/>
      <c r="AL618" s="1" t="s">
        <v>11646</v>
      </c>
      <c r="AM618" s="1" t="s">
        <v>11645</v>
      </c>
      <c r="AN618" s="1" t="s">
        <v>169</v>
      </c>
      <c r="AO618" s="1" t="s">
        <v>360</v>
      </c>
      <c r="AP618" s="1">
        <v>69.23</v>
      </c>
      <c r="AQ618" s="1"/>
      <c r="AR618" s="1"/>
      <c r="AS618" s="1"/>
      <c r="AT618" s="1"/>
      <c r="AU618" s="1"/>
      <c r="AV618" s="1"/>
      <c r="AW618" s="1"/>
      <c r="AX618" s="1" t="s">
        <v>11647</v>
      </c>
      <c r="AY618" s="1" t="s">
        <v>11648</v>
      </c>
      <c r="AZ618" s="1" t="s">
        <v>228</v>
      </c>
      <c r="BA618" s="1" t="s">
        <v>413</v>
      </c>
      <c r="BB618" s="1">
        <v>86.5</v>
      </c>
      <c r="BC618" s="1">
        <v>9.4</v>
      </c>
      <c r="BD618" s="1"/>
      <c r="BE618" s="1"/>
      <c r="BF618" s="1"/>
      <c r="BG618" s="1"/>
      <c r="BH618" s="1"/>
      <c r="BI618" s="1"/>
      <c r="BJ618" s="1" t="s">
        <v>364</v>
      </c>
      <c r="BK618" s="1"/>
      <c r="BL618" s="1"/>
      <c r="BM618" s="1" t="s">
        <v>11649</v>
      </c>
      <c r="BN618" s="1">
        <v>17</v>
      </c>
      <c r="BO618" s="1" t="s">
        <v>11650</v>
      </c>
      <c r="BP618" s="1" t="str">
        <f>HYPERLINK("https://nconnect.nicmar.ac.in/storage/profile/ProfilePhoto_P25700622_639152.jpg","Download")</f>
        <v>0</v>
      </c>
      <c r="BQ618" s="3"/>
      <c r="BR618" s="3"/>
    </row>
    <row r="619" spans="1:70">
      <c r="A619" s="1" t="s">
        <v>70</v>
      </c>
      <c r="B619" s="1" t="s">
        <v>441</v>
      </c>
      <c r="C619" s="1" t="s">
        <v>11651</v>
      </c>
      <c r="D619" s="1" t="s">
        <v>5242</v>
      </c>
      <c r="E619" s="1" t="s">
        <v>1938</v>
      </c>
      <c r="F619" s="1" t="s">
        <v>11652</v>
      </c>
      <c r="G619" s="1" t="s">
        <v>11653</v>
      </c>
      <c r="H619" s="1" t="s">
        <v>11654</v>
      </c>
      <c r="I619" s="1" t="s">
        <v>11654</v>
      </c>
      <c r="J619" s="1">
        <v>9340569657</v>
      </c>
      <c r="K619" s="1" t="s">
        <v>148</v>
      </c>
      <c r="L619" s="1" t="s">
        <v>11655</v>
      </c>
      <c r="M619" s="1" t="s">
        <v>81</v>
      </c>
      <c r="N619" s="1" t="s">
        <v>4289</v>
      </c>
      <c r="O619" s="1"/>
      <c r="P619" s="1" t="s">
        <v>497</v>
      </c>
      <c r="Q619" s="1" t="s">
        <v>11656</v>
      </c>
      <c r="R619" s="1" t="s">
        <v>11657</v>
      </c>
      <c r="S619" s="1">
        <v>7999296372</v>
      </c>
      <c r="T619" s="1" t="s">
        <v>820</v>
      </c>
      <c r="U619" s="1" t="s">
        <v>11658</v>
      </c>
      <c r="V619" s="1">
        <v>9131970979</v>
      </c>
      <c r="W619" s="1" t="s">
        <v>156</v>
      </c>
      <c r="X619" s="1" t="s">
        <v>11659</v>
      </c>
      <c r="Y619" s="1" t="s">
        <v>11660</v>
      </c>
      <c r="Z619" s="1" t="s">
        <v>2955</v>
      </c>
      <c r="AA619" s="1" t="s">
        <v>11659</v>
      </c>
      <c r="AB619" s="1" t="s">
        <v>11660</v>
      </c>
      <c r="AC619" s="1" t="s">
        <v>2955</v>
      </c>
      <c r="AD619" s="1">
        <v>7.79</v>
      </c>
      <c r="AE619" s="1" t="s">
        <v>93</v>
      </c>
      <c r="AF619" s="1" t="s">
        <v>11661</v>
      </c>
      <c r="AG619" s="1" t="s">
        <v>9038</v>
      </c>
      <c r="AH619" s="1" t="s">
        <v>689</v>
      </c>
      <c r="AI619" s="1" t="s">
        <v>166</v>
      </c>
      <c r="AJ619" s="1">
        <v>60.3</v>
      </c>
      <c r="AK619" s="1"/>
      <c r="AL619" s="1" t="s">
        <v>11662</v>
      </c>
      <c r="AM619" s="1" t="s">
        <v>9038</v>
      </c>
      <c r="AN619" s="1" t="s">
        <v>537</v>
      </c>
      <c r="AO619" s="1" t="s">
        <v>173</v>
      </c>
      <c r="AP619" s="1">
        <v>61.8</v>
      </c>
      <c r="AQ619" s="1">
        <v>6.5</v>
      </c>
      <c r="AR619" s="1"/>
      <c r="AS619" s="1"/>
      <c r="AT619" s="1"/>
      <c r="AU619" s="1"/>
      <c r="AV619" s="1"/>
      <c r="AW619" s="1"/>
      <c r="AX619" s="1" t="s">
        <v>11663</v>
      </c>
      <c r="AY619" s="1" t="s">
        <v>11664</v>
      </c>
      <c r="AZ619" s="1" t="s">
        <v>871</v>
      </c>
      <c r="BA619" s="1" t="s">
        <v>1219</v>
      </c>
      <c r="BB619" s="1">
        <v>74.95</v>
      </c>
      <c r="BC619" s="1">
        <v>8.3</v>
      </c>
      <c r="BD619" s="1"/>
      <c r="BE619" s="1"/>
      <c r="BF619" s="1"/>
      <c r="BG619" s="1"/>
      <c r="BH619" s="1"/>
      <c r="BI619" s="1"/>
      <c r="BJ619" s="1" t="s">
        <v>364</v>
      </c>
      <c r="BK619" s="1"/>
      <c r="BL619" s="1"/>
      <c r="BM619" s="1" t="s">
        <v>11665</v>
      </c>
      <c r="BN619" s="1">
        <v>19</v>
      </c>
      <c r="BO619" s="1" t="s">
        <v>1641</v>
      </c>
      <c r="BP619" s="1" t="str">
        <f>HYPERLINK("https://nconnect.nicmar.ac.in/storage/profile/ProfilePhoto_P25700623_438172.jpg","Download")</f>
        <v>0</v>
      </c>
      <c r="BQ619" s="3"/>
      <c r="BR619" s="3"/>
    </row>
    <row r="620" spans="1:70">
      <c r="A620" s="1" t="s">
        <v>70</v>
      </c>
      <c r="B620" s="1" t="s">
        <v>441</v>
      </c>
      <c r="C620" s="1" t="s">
        <v>11666</v>
      </c>
      <c r="D620" s="1" t="s">
        <v>9187</v>
      </c>
      <c r="E620" s="1" t="s">
        <v>5175</v>
      </c>
      <c r="F620" s="1" t="s">
        <v>11667</v>
      </c>
      <c r="G620" s="1" t="s">
        <v>11668</v>
      </c>
      <c r="H620" s="1" t="s">
        <v>11669</v>
      </c>
      <c r="I620" s="1" t="s">
        <v>11670</v>
      </c>
      <c r="J620" s="1">
        <v>9371678782</v>
      </c>
      <c r="K620" s="1" t="s">
        <v>148</v>
      </c>
      <c r="L620" s="1" t="s">
        <v>7302</v>
      </c>
      <c r="M620" s="1" t="s">
        <v>81</v>
      </c>
      <c r="N620" s="1" t="s">
        <v>7140</v>
      </c>
      <c r="O620" s="1"/>
      <c r="P620" s="1" t="s">
        <v>497</v>
      </c>
      <c r="Q620" s="1" t="s">
        <v>11671</v>
      </c>
      <c r="R620" s="1" t="s">
        <v>11672</v>
      </c>
      <c r="S620" s="1">
        <v>8806842424</v>
      </c>
      <c r="T620" s="1" t="s">
        <v>820</v>
      </c>
      <c r="U620" s="1" t="s">
        <v>11673</v>
      </c>
      <c r="V620" s="1">
        <v>8459247574</v>
      </c>
      <c r="W620" s="1" t="s">
        <v>11674</v>
      </c>
      <c r="X620" s="1" t="s">
        <v>11675</v>
      </c>
      <c r="Y620" s="1" t="s">
        <v>611</v>
      </c>
      <c r="Z620" s="1" t="s">
        <v>92</v>
      </c>
      <c r="AA620" s="1" t="s">
        <v>11675</v>
      </c>
      <c r="AB620" s="1" t="s">
        <v>611</v>
      </c>
      <c r="AC620" s="1" t="s">
        <v>92</v>
      </c>
      <c r="AD620" s="1">
        <v>8.46</v>
      </c>
      <c r="AE620" s="1" t="s">
        <v>93</v>
      </c>
      <c r="AF620" s="1" t="s">
        <v>11676</v>
      </c>
      <c r="AG620" s="1" t="s">
        <v>11677</v>
      </c>
      <c r="AH620" s="1" t="s">
        <v>165</v>
      </c>
      <c r="AI620" s="1" t="s">
        <v>166</v>
      </c>
      <c r="AJ620" s="1">
        <v>74</v>
      </c>
      <c r="AK620" s="1"/>
      <c r="AL620" s="1" t="s">
        <v>11678</v>
      </c>
      <c r="AM620" s="1" t="s">
        <v>11679</v>
      </c>
      <c r="AN620" s="1" t="s">
        <v>537</v>
      </c>
      <c r="AO620" s="1" t="s">
        <v>360</v>
      </c>
      <c r="AP620" s="1">
        <v>60.31</v>
      </c>
      <c r="AQ620" s="1"/>
      <c r="AR620" s="1"/>
      <c r="AS620" s="1"/>
      <c r="AT620" s="1"/>
      <c r="AU620" s="1"/>
      <c r="AV620" s="1"/>
      <c r="AW620" s="1"/>
      <c r="AX620" s="1" t="s">
        <v>976</v>
      </c>
      <c r="AY620" s="1" t="s">
        <v>11680</v>
      </c>
      <c r="AZ620" s="1" t="s">
        <v>173</v>
      </c>
      <c r="BA620" s="1" t="s">
        <v>1067</v>
      </c>
      <c r="BB620" s="1">
        <v>78.5</v>
      </c>
      <c r="BC620" s="1">
        <v>8.6</v>
      </c>
      <c r="BD620" s="1"/>
      <c r="BE620" s="1"/>
      <c r="BF620" s="1"/>
      <c r="BG620" s="1"/>
      <c r="BH620" s="1"/>
      <c r="BI620" s="1"/>
      <c r="BJ620" s="1" t="s">
        <v>11681</v>
      </c>
      <c r="BK620" s="1"/>
      <c r="BL620" s="1"/>
      <c r="BM620" s="1" t="s">
        <v>11682</v>
      </c>
      <c r="BN620" s="1">
        <v>27</v>
      </c>
      <c r="BO620" s="1"/>
      <c r="BP620" s="1" t="str">
        <f>HYPERLINK("https://nconnect.nicmar.ac.in/storage/profile/ProfilePhoto_P25700624_834795.jpg","Download")</f>
        <v>0</v>
      </c>
      <c r="BQ620" s="3"/>
      <c r="BR620" s="3"/>
    </row>
    <row r="621" spans="1:70">
      <c r="A621" s="1" t="s">
        <v>70</v>
      </c>
      <c r="B621" s="1" t="s">
        <v>441</v>
      </c>
      <c r="C621" s="1" t="s">
        <v>11683</v>
      </c>
      <c r="D621" s="1" t="s">
        <v>143</v>
      </c>
      <c r="E621" s="1"/>
      <c r="F621" s="1" t="s">
        <v>1273</v>
      </c>
      <c r="G621" s="1" t="s">
        <v>11684</v>
      </c>
      <c r="H621" s="1" t="s">
        <v>11685</v>
      </c>
      <c r="I621" s="1" t="s">
        <v>11686</v>
      </c>
      <c r="J621" s="1">
        <v>8891630490</v>
      </c>
      <c r="K621" s="1" t="s">
        <v>148</v>
      </c>
      <c r="L621" s="1" t="s">
        <v>11687</v>
      </c>
      <c r="M621" s="1" t="s">
        <v>81</v>
      </c>
      <c r="N621" s="1" t="s">
        <v>3279</v>
      </c>
      <c r="O621" s="1"/>
      <c r="P621" s="1" t="s">
        <v>1007</v>
      </c>
      <c r="Q621" s="1" t="s">
        <v>11688</v>
      </c>
      <c r="R621" s="1" t="s">
        <v>11689</v>
      </c>
      <c r="S621" s="1">
        <v>8921884334</v>
      </c>
      <c r="T621" s="1" t="s">
        <v>820</v>
      </c>
      <c r="U621" s="1" t="s">
        <v>11690</v>
      </c>
      <c r="V621" s="1">
        <v>9400512590</v>
      </c>
      <c r="W621" s="1" t="s">
        <v>89</v>
      </c>
      <c r="X621" s="1" t="s">
        <v>11691</v>
      </c>
      <c r="Y621" s="1" t="s">
        <v>124</v>
      </c>
      <c r="Z621" s="1" t="s">
        <v>125</v>
      </c>
      <c r="AA621" s="1" t="s">
        <v>11691</v>
      </c>
      <c r="AB621" s="1" t="s">
        <v>124</v>
      </c>
      <c r="AC621" s="1" t="s">
        <v>125</v>
      </c>
      <c r="AD621" s="1">
        <v>8.82</v>
      </c>
      <c r="AE621" s="1" t="s">
        <v>93</v>
      </c>
      <c r="AF621" s="1" t="s">
        <v>11692</v>
      </c>
      <c r="AG621" s="1" t="s">
        <v>11693</v>
      </c>
      <c r="AH621" s="1" t="s">
        <v>162</v>
      </c>
      <c r="AI621" s="1" t="s">
        <v>195</v>
      </c>
      <c r="AJ621" s="1">
        <v>95</v>
      </c>
      <c r="AK621" s="1">
        <v>10</v>
      </c>
      <c r="AL621" s="1" t="s">
        <v>11694</v>
      </c>
      <c r="AM621" s="1" t="s">
        <v>11695</v>
      </c>
      <c r="AN621" s="1" t="s">
        <v>165</v>
      </c>
      <c r="AO621" s="1" t="s">
        <v>409</v>
      </c>
      <c r="AP621" s="1">
        <v>91.91</v>
      </c>
      <c r="AQ621" s="1"/>
      <c r="AR621" s="1"/>
      <c r="AS621" s="1"/>
      <c r="AT621" s="1"/>
      <c r="AU621" s="1"/>
      <c r="AV621" s="1"/>
      <c r="AW621" s="1"/>
      <c r="AX621" s="1" t="s">
        <v>132</v>
      </c>
      <c r="AY621" s="1" t="s">
        <v>11696</v>
      </c>
      <c r="AZ621" s="1" t="s">
        <v>433</v>
      </c>
      <c r="BA621" s="1" t="s">
        <v>229</v>
      </c>
      <c r="BB621" s="1">
        <v>77.5</v>
      </c>
      <c r="BC621" s="1">
        <v>7.75</v>
      </c>
      <c r="BD621" s="1"/>
      <c r="BE621" s="1"/>
      <c r="BF621" s="1"/>
      <c r="BG621" s="1"/>
      <c r="BH621" s="1"/>
      <c r="BI621" s="1"/>
      <c r="BJ621" s="1" t="s">
        <v>11697</v>
      </c>
      <c r="BK621" s="1" t="s">
        <v>11698</v>
      </c>
      <c r="BL621" s="1" t="s">
        <v>1129</v>
      </c>
      <c r="BM621" s="1" t="s">
        <v>11699</v>
      </c>
      <c r="BN621" s="1">
        <v>8</v>
      </c>
      <c r="BO621" s="1" t="s">
        <v>11700</v>
      </c>
      <c r="BP621" s="1" t="str">
        <f>HYPERLINK("https://nconnect.nicmar.ac.in/storage/profile/ProfilePhoto_P25700626_346895.jpg","Download")</f>
        <v>0</v>
      </c>
      <c r="BQ621" s="3"/>
      <c r="BR621" s="3"/>
    </row>
    <row r="622" spans="1:70">
      <c r="A622" s="1" t="s">
        <v>70</v>
      </c>
      <c r="B622" s="1" t="s">
        <v>441</v>
      </c>
      <c r="C622" s="1" t="s">
        <v>11701</v>
      </c>
      <c r="D622" s="1" t="s">
        <v>11702</v>
      </c>
      <c r="E622" s="1"/>
      <c r="F622" s="1" t="s">
        <v>4651</v>
      </c>
      <c r="G622" s="1" t="s">
        <v>11703</v>
      </c>
      <c r="H622" s="1" t="s">
        <v>11704</v>
      </c>
      <c r="I622" s="1" t="s">
        <v>11705</v>
      </c>
      <c r="J622" s="1">
        <v>8921042682</v>
      </c>
      <c r="K622" s="1" t="s">
        <v>79</v>
      </c>
      <c r="L622" s="1" t="s">
        <v>1851</v>
      </c>
      <c r="M622" s="1" t="s">
        <v>81</v>
      </c>
      <c r="N622" s="1" t="s">
        <v>11706</v>
      </c>
      <c r="O622" s="1"/>
      <c r="P622" s="1" t="s">
        <v>450</v>
      </c>
      <c r="Q622" s="1" t="s">
        <v>11707</v>
      </c>
      <c r="R622" s="1" t="s">
        <v>11708</v>
      </c>
      <c r="S622" s="1">
        <v>9495648450</v>
      </c>
      <c r="T622" s="1" t="s">
        <v>87</v>
      </c>
      <c r="U622" s="1" t="s">
        <v>11709</v>
      </c>
      <c r="V622" s="1">
        <v>9847095505</v>
      </c>
      <c r="W622" s="1" t="s">
        <v>122</v>
      </c>
      <c r="X622" s="1" t="s">
        <v>11710</v>
      </c>
      <c r="Y622" s="1" t="s">
        <v>7667</v>
      </c>
      <c r="Z622" s="1" t="s">
        <v>125</v>
      </c>
      <c r="AA622" s="1" t="s">
        <v>11710</v>
      </c>
      <c r="AB622" s="1" t="s">
        <v>7667</v>
      </c>
      <c r="AC622" s="1" t="s">
        <v>125</v>
      </c>
      <c r="AD622" s="1">
        <v>8.48</v>
      </c>
      <c r="AE622" s="1" t="s">
        <v>93</v>
      </c>
      <c r="AF622" s="1" t="s">
        <v>11711</v>
      </c>
      <c r="AG622" s="1" t="s">
        <v>11712</v>
      </c>
      <c r="AH622" s="1" t="s">
        <v>165</v>
      </c>
      <c r="AI622" s="1" t="s">
        <v>166</v>
      </c>
      <c r="AJ622" s="1">
        <v>77.8</v>
      </c>
      <c r="AK622" s="1"/>
      <c r="AL622" s="1" t="s">
        <v>11713</v>
      </c>
      <c r="AM622" s="1" t="s">
        <v>2907</v>
      </c>
      <c r="AN622" s="1" t="s">
        <v>433</v>
      </c>
      <c r="AO622" s="1" t="s">
        <v>173</v>
      </c>
      <c r="AP622" s="1">
        <v>78.83</v>
      </c>
      <c r="AQ622" s="1"/>
      <c r="AR622" s="1"/>
      <c r="AS622" s="1"/>
      <c r="AT622" s="1"/>
      <c r="AU622" s="1"/>
      <c r="AV622" s="1"/>
      <c r="AW622" s="1"/>
      <c r="AX622" s="1" t="s">
        <v>132</v>
      </c>
      <c r="AY622" s="1" t="s">
        <v>11714</v>
      </c>
      <c r="AZ622" s="1" t="s">
        <v>170</v>
      </c>
      <c r="BA622" s="1" t="s">
        <v>1246</v>
      </c>
      <c r="BB622" s="1">
        <v>69.7</v>
      </c>
      <c r="BC622" s="1">
        <v>6.97</v>
      </c>
      <c r="BD622" s="1"/>
      <c r="BE622" s="1"/>
      <c r="BF622" s="1"/>
      <c r="BG622" s="1"/>
      <c r="BH622" s="1"/>
      <c r="BI622" s="1"/>
      <c r="BJ622" s="1" t="s">
        <v>11715</v>
      </c>
      <c r="BK622" s="1"/>
      <c r="BL622" s="1"/>
      <c r="BM622" s="1" t="s">
        <v>11716</v>
      </c>
      <c r="BN622" s="1">
        <v>73</v>
      </c>
      <c r="BO622" s="1" t="s">
        <v>11717</v>
      </c>
      <c r="BP622" s="1" t="str">
        <f>HYPERLINK("https://nconnect.nicmar.ac.in/storage/profile/ProfilePhoto_P25700627_278145.jpg","Download")</f>
        <v>0</v>
      </c>
      <c r="BQ622" s="3"/>
      <c r="BR622" s="3"/>
    </row>
    <row r="623" spans="1:70">
      <c r="A623" s="1" t="s">
        <v>70</v>
      </c>
      <c r="B623" s="1" t="s">
        <v>441</v>
      </c>
      <c r="C623" s="1" t="s">
        <v>11718</v>
      </c>
      <c r="D623" s="1" t="s">
        <v>2492</v>
      </c>
      <c r="E623" s="1" t="s">
        <v>1298</v>
      </c>
      <c r="F623" s="1" t="s">
        <v>11719</v>
      </c>
      <c r="G623" s="1" t="s">
        <v>11720</v>
      </c>
      <c r="H623" s="1" t="s">
        <v>11721</v>
      </c>
      <c r="I623" s="1" t="s">
        <v>11722</v>
      </c>
      <c r="J623" s="1">
        <v>9676818100</v>
      </c>
      <c r="K623" s="1" t="s">
        <v>79</v>
      </c>
      <c r="L623" s="1" t="s">
        <v>11723</v>
      </c>
      <c r="M623" s="1" t="s">
        <v>81</v>
      </c>
      <c r="N623" s="1" t="s">
        <v>3476</v>
      </c>
      <c r="O623" s="1"/>
      <c r="P623" s="1" t="s">
        <v>450</v>
      </c>
      <c r="Q623" s="1" t="s">
        <v>11724</v>
      </c>
      <c r="R623" s="1" t="s">
        <v>11725</v>
      </c>
      <c r="S623" s="1">
        <v>9701153762</v>
      </c>
      <c r="T623" s="1" t="s">
        <v>820</v>
      </c>
      <c r="U623" s="1" t="s">
        <v>11726</v>
      </c>
      <c r="V623" s="1">
        <v>8096616179</v>
      </c>
      <c r="W623" s="1" t="s">
        <v>531</v>
      </c>
      <c r="X623" s="1" t="s">
        <v>11727</v>
      </c>
      <c r="Y623" s="1" t="s">
        <v>275</v>
      </c>
      <c r="Z623" s="1" t="s">
        <v>276</v>
      </c>
      <c r="AA623" s="1" t="s">
        <v>11727</v>
      </c>
      <c r="AB623" s="1" t="s">
        <v>275</v>
      </c>
      <c r="AC623" s="1" t="s">
        <v>276</v>
      </c>
      <c r="AD623" s="1">
        <v>8.66</v>
      </c>
      <c r="AE623" s="1" t="s">
        <v>93</v>
      </c>
      <c r="AF623" s="1" t="s">
        <v>11728</v>
      </c>
      <c r="AG623" s="1" t="s">
        <v>1396</v>
      </c>
      <c r="AH623" s="1" t="s">
        <v>383</v>
      </c>
      <c r="AI623" s="1" t="s">
        <v>281</v>
      </c>
      <c r="AJ623" s="1">
        <v>93</v>
      </c>
      <c r="AK623" s="1">
        <v>9.3</v>
      </c>
      <c r="AL623" s="1"/>
      <c r="AM623" s="1"/>
      <c r="AN623" s="1"/>
      <c r="AO623" s="1"/>
      <c r="AP623" s="1"/>
      <c r="AQ623" s="1"/>
      <c r="AR623" s="1" t="s">
        <v>434</v>
      </c>
      <c r="AS623" s="1" t="s">
        <v>11729</v>
      </c>
      <c r="AT623" s="1" t="s">
        <v>101</v>
      </c>
      <c r="AU623" s="1" t="s">
        <v>2273</v>
      </c>
      <c r="AV623" s="1">
        <v>86</v>
      </c>
      <c r="AW623" s="1"/>
      <c r="AX623" s="1" t="s">
        <v>11730</v>
      </c>
      <c r="AY623" s="1" t="s">
        <v>11731</v>
      </c>
      <c r="AZ623" s="1" t="s">
        <v>852</v>
      </c>
      <c r="BA623" s="1" t="s">
        <v>413</v>
      </c>
      <c r="BB623" s="1">
        <v>72.7</v>
      </c>
      <c r="BC623" s="1">
        <v>8.02</v>
      </c>
      <c r="BD623" s="1"/>
      <c r="BE623" s="1"/>
      <c r="BF623" s="1"/>
      <c r="BG623" s="1"/>
      <c r="BH623" s="1"/>
      <c r="BI623" s="1"/>
      <c r="BJ623" s="1" t="s">
        <v>11732</v>
      </c>
      <c r="BK623" s="1"/>
      <c r="BL623" s="1"/>
      <c r="BM623" s="1" t="s">
        <v>11733</v>
      </c>
      <c r="BN623" s="1">
        <v>23</v>
      </c>
      <c r="BO623" s="1" t="s">
        <v>11734</v>
      </c>
      <c r="BP623" s="1" t="str">
        <f>HYPERLINK("https://nconnect.nicmar.ac.in/storage/profile/ProfilePhoto_P25700628_692713.jpg","Download")</f>
        <v>0</v>
      </c>
      <c r="BQ623" s="3"/>
      <c r="BR623" s="3"/>
    </row>
    <row r="624" spans="1:70">
      <c r="A624" s="1" t="s">
        <v>70</v>
      </c>
      <c r="B624" s="1" t="s">
        <v>441</v>
      </c>
      <c r="C624" s="1" t="s">
        <v>11735</v>
      </c>
      <c r="D624" s="1" t="s">
        <v>11736</v>
      </c>
      <c r="E624" s="1"/>
      <c r="F624" s="1" t="s">
        <v>11737</v>
      </c>
      <c r="G624" s="1" t="s">
        <v>11738</v>
      </c>
      <c r="H624" s="1" t="s">
        <v>11739</v>
      </c>
      <c r="I624" s="1" t="s">
        <v>11740</v>
      </c>
      <c r="J624" s="1">
        <v>8918399949</v>
      </c>
      <c r="K624" s="1" t="s">
        <v>148</v>
      </c>
      <c r="L624" s="1" t="s">
        <v>11741</v>
      </c>
      <c r="M624" s="1" t="s">
        <v>81</v>
      </c>
      <c r="N624" s="1" t="s">
        <v>11742</v>
      </c>
      <c r="O624" s="1"/>
      <c r="P624" s="1" t="s">
        <v>472</v>
      </c>
      <c r="Q624" s="1" t="s">
        <v>11743</v>
      </c>
      <c r="R624" s="1" t="s">
        <v>11744</v>
      </c>
      <c r="S624" s="1">
        <v>8250793233</v>
      </c>
      <c r="T624" s="1" t="s">
        <v>820</v>
      </c>
      <c r="U624" s="1" t="s">
        <v>11745</v>
      </c>
      <c r="V624" s="1">
        <v>9832013466</v>
      </c>
      <c r="W624" s="1" t="s">
        <v>4700</v>
      </c>
      <c r="X624" s="1" t="s">
        <v>11746</v>
      </c>
      <c r="Y624" s="1" t="s">
        <v>11747</v>
      </c>
      <c r="Z624" s="1" t="s">
        <v>1211</v>
      </c>
      <c r="AA624" s="1" t="s">
        <v>11746</v>
      </c>
      <c r="AB624" s="1" t="s">
        <v>11747</v>
      </c>
      <c r="AC624" s="1" t="s">
        <v>1211</v>
      </c>
      <c r="AD624" s="1">
        <v>8.76</v>
      </c>
      <c r="AE624" s="1" t="s">
        <v>93</v>
      </c>
      <c r="AF624" s="1" t="s">
        <v>11748</v>
      </c>
      <c r="AG624" s="1" t="s">
        <v>11749</v>
      </c>
      <c r="AH624" s="1" t="s">
        <v>1239</v>
      </c>
      <c r="AI624" s="1" t="s">
        <v>131</v>
      </c>
      <c r="AJ624" s="1">
        <v>79.16</v>
      </c>
      <c r="AK624" s="1"/>
      <c r="AL624" s="1" t="s">
        <v>11748</v>
      </c>
      <c r="AM624" s="1" t="s">
        <v>11750</v>
      </c>
      <c r="AN624" s="1" t="s">
        <v>279</v>
      </c>
      <c r="AO624" s="1" t="s">
        <v>562</v>
      </c>
      <c r="AP624" s="1">
        <v>69.83</v>
      </c>
      <c r="AQ624" s="1"/>
      <c r="AR624" s="1"/>
      <c r="AS624" s="1"/>
      <c r="AT624" s="1"/>
      <c r="AU624" s="1"/>
      <c r="AV624" s="1"/>
      <c r="AW624" s="1"/>
      <c r="AX624" s="1" t="s">
        <v>11751</v>
      </c>
      <c r="AY624" s="1" t="s">
        <v>11752</v>
      </c>
      <c r="AZ624" s="1" t="s">
        <v>383</v>
      </c>
      <c r="BA624" s="1" t="s">
        <v>619</v>
      </c>
      <c r="BB624" s="1">
        <v>62.5</v>
      </c>
      <c r="BC624" s="1">
        <v>6.75</v>
      </c>
      <c r="BD624" s="1"/>
      <c r="BE624" s="1"/>
      <c r="BF624" s="1"/>
      <c r="BG624" s="1"/>
      <c r="BH624" s="1"/>
      <c r="BI624" s="1"/>
      <c r="BJ624" s="1" t="s">
        <v>11753</v>
      </c>
      <c r="BK624" s="1" t="s">
        <v>11754</v>
      </c>
      <c r="BL624" s="1" t="s">
        <v>514</v>
      </c>
      <c r="BM624" s="1" t="s">
        <v>11755</v>
      </c>
      <c r="BN624" s="1">
        <v>45</v>
      </c>
      <c r="BO624" s="1" t="s">
        <v>11756</v>
      </c>
      <c r="BP624" s="1" t="str">
        <f>HYPERLINK("https://nconnect.nicmar.ac.in/storage/profile/ProfilePhoto_P25700629_729153.jpg","Download")</f>
        <v>0</v>
      </c>
      <c r="BQ624" s="3"/>
      <c r="BR624" s="3"/>
    </row>
    <row r="625" spans="1:70">
      <c r="A625" s="1" t="s">
        <v>70</v>
      </c>
      <c r="B625" s="1" t="s">
        <v>441</v>
      </c>
      <c r="C625" s="1" t="s">
        <v>11757</v>
      </c>
      <c r="D625" s="1" t="s">
        <v>8052</v>
      </c>
      <c r="E625" s="1"/>
      <c r="F625" s="1" t="s">
        <v>11758</v>
      </c>
      <c r="G625" s="1" t="s">
        <v>11759</v>
      </c>
      <c r="H625" s="1" t="s">
        <v>11760</v>
      </c>
      <c r="I625" s="1" t="s">
        <v>11761</v>
      </c>
      <c r="J625" s="1">
        <v>8547426138</v>
      </c>
      <c r="K625" s="1" t="s">
        <v>148</v>
      </c>
      <c r="L625" s="1" t="s">
        <v>10599</v>
      </c>
      <c r="M625" s="1" t="s">
        <v>81</v>
      </c>
      <c r="N625" s="1" t="s">
        <v>11762</v>
      </c>
      <c r="O625" s="1"/>
      <c r="P625" s="1" t="s">
        <v>450</v>
      </c>
      <c r="Q625" s="1" t="s">
        <v>11763</v>
      </c>
      <c r="R625" s="1" t="s">
        <v>11764</v>
      </c>
      <c r="S625" s="1">
        <v>9847500577</v>
      </c>
      <c r="T625" s="1" t="s">
        <v>11765</v>
      </c>
      <c r="U625" s="1" t="s">
        <v>11766</v>
      </c>
      <c r="V625" s="1">
        <v>8113855864</v>
      </c>
      <c r="W625" s="1" t="s">
        <v>273</v>
      </c>
      <c r="X625" s="1" t="s">
        <v>11767</v>
      </c>
      <c r="Y625" s="1" t="s">
        <v>7667</v>
      </c>
      <c r="Z625" s="1" t="s">
        <v>125</v>
      </c>
      <c r="AA625" s="1" t="s">
        <v>11767</v>
      </c>
      <c r="AB625" s="1" t="s">
        <v>7667</v>
      </c>
      <c r="AC625" s="1" t="s">
        <v>125</v>
      </c>
      <c r="AD625" s="1">
        <v>8.67</v>
      </c>
      <c r="AE625" s="1" t="s">
        <v>93</v>
      </c>
      <c r="AF625" s="1" t="s">
        <v>11768</v>
      </c>
      <c r="AG625" s="1" t="s">
        <v>11769</v>
      </c>
      <c r="AH625" s="1" t="s">
        <v>165</v>
      </c>
      <c r="AI625" s="1" t="s">
        <v>281</v>
      </c>
      <c r="AJ625" s="1">
        <v>95</v>
      </c>
      <c r="AK625" s="1"/>
      <c r="AL625" s="1" t="s">
        <v>11770</v>
      </c>
      <c r="AM625" s="1" t="s">
        <v>11771</v>
      </c>
      <c r="AN625" s="1" t="s">
        <v>101</v>
      </c>
      <c r="AO625" s="1" t="s">
        <v>590</v>
      </c>
      <c r="AP625" s="1">
        <v>96.16</v>
      </c>
      <c r="AQ625" s="1"/>
      <c r="AR625" s="1"/>
      <c r="AS625" s="1"/>
      <c r="AT625" s="1"/>
      <c r="AU625" s="1"/>
      <c r="AV625" s="1"/>
      <c r="AW625" s="1"/>
      <c r="AX625" s="1" t="s">
        <v>11772</v>
      </c>
      <c r="AY625" s="1" t="s">
        <v>11772</v>
      </c>
      <c r="AZ625" s="1" t="s">
        <v>228</v>
      </c>
      <c r="BA625" s="1" t="s">
        <v>1292</v>
      </c>
      <c r="BB625" s="1">
        <v>82.5</v>
      </c>
      <c r="BC625" s="1">
        <v>8.75</v>
      </c>
      <c r="BD625" s="1"/>
      <c r="BE625" s="1"/>
      <c r="BF625" s="1"/>
      <c r="BG625" s="1"/>
      <c r="BH625" s="1"/>
      <c r="BI625" s="1"/>
      <c r="BJ625" s="1" t="s">
        <v>11773</v>
      </c>
      <c r="BK625" s="1"/>
      <c r="BL625" s="1"/>
      <c r="BM625" s="1" t="s">
        <v>11774</v>
      </c>
      <c r="BN625" s="1">
        <v>45</v>
      </c>
      <c r="BO625" s="1" t="s">
        <v>11775</v>
      </c>
      <c r="BP625" s="1" t="str">
        <f>HYPERLINK("https://nconnect.nicmar.ac.in/storage/profile/ProfilePhoto_P25700630_165892.jpg","Download")</f>
        <v>0</v>
      </c>
      <c r="BQ625" s="3"/>
      <c r="BR625" s="3"/>
    </row>
    <row r="626" spans="1:70">
      <c r="A626" s="1" t="s">
        <v>70</v>
      </c>
      <c r="B626" s="1" t="s">
        <v>441</v>
      </c>
      <c r="C626" s="1" t="s">
        <v>11776</v>
      </c>
      <c r="D626" s="1" t="s">
        <v>11777</v>
      </c>
      <c r="E626" s="1" t="s">
        <v>11778</v>
      </c>
      <c r="F626" s="1" t="s">
        <v>3852</v>
      </c>
      <c r="G626" s="1" t="s">
        <v>11779</v>
      </c>
      <c r="H626" s="1" t="s">
        <v>11780</v>
      </c>
      <c r="I626" s="1" t="s">
        <v>11781</v>
      </c>
      <c r="J626" s="1">
        <v>6309506798</v>
      </c>
      <c r="K626" s="1" t="s">
        <v>79</v>
      </c>
      <c r="L626" s="1" t="s">
        <v>11782</v>
      </c>
      <c r="M626" s="1" t="s">
        <v>81</v>
      </c>
      <c r="N626" s="1" t="s">
        <v>11783</v>
      </c>
      <c r="O626" s="1"/>
      <c r="P626" s="1" t="s">
        <v>450</v>
      </c>
      <c r="Q626" s="1" t="s">
        <v>11784</v>
      </c>
      <c r="R626" s="1" t="s">
        <v>11785</v>
      </c>
      <c r="S626" s="1">
        <v>7981702108</v>
      </c>
      <c r="T626" s="1" t="s">
        <v>325</v>
      </c>
      <c r="U626" s="1" t="s">
        <v>11786</v>
      </c>
      <c r="V626" s="1">
        <v>8309379725</v>
      </c>
      <c r="W626" s="1" t="s">
        <v>89</v>
      </c>
      <c r="X626" s="1" t="s">
        <v>11787</v>
      </c>
      <c r="Y626" s="1" t="s">
        <v>1432</v>
      </c>
      <c r="Z626" s="1" t="s">
        <v>276</v>
      </c>
      <c r="AA626" s="1" t="s">
        <v>11788</v>
      </c>
      <c r="AB626" s="1" t="s">
        <v>1432</v>
      </c>
      <c r="AC626" s="1" t="s">
        <v>276</v>
      </c>
      <c r="AD626" s="1">
        <v>8.04</v>
      </c>
      <c r="AE626" s="1" t="s">
        <v>93</v>
      </c>
      <c r="AF626" s="1" t="s">
        <v>11789</v>
      </c>
      <c r="AG626" s="1" t="s">
        <v>11790</v>
      </c>
      <c r="AH626" s="1" t="s">
        <v>169</v>
      </c>
      <c r="AI626" s="1" t="s">
        <v>537</v>
      </c>
      <c r="AJ626" s="1">
        <v>92</v>
      </c>
      <c r="AK626" s="1">
        <v>9.2</v>
      </c>
      <c r="AL626" s="1" t="s">
        <v>3052</v>
      </c>
      <c r="AM626" s="1" t="s">
        <v>1398</v>
      </c>
      <c r="AN626" s="1" t="s">
        <v>310</v>
      </c>
      <c r="AO626" s="1" t="s">
        <v>1169</v>
      </c>
      <c r="AP626" s="1">
        <v>84.3</v>
      </c>
      <c r="AQ626" s="1"/>
      <c r="AR626" s="1"/>
      <c r="AS626" s="1"/>
      <c r="AT626" s="1"/>
      <c r="AU626" s="1"/>
      <c r="AV626" s="1"/>
      <c r="AW626" s="1"/>
      <c r="AX626" s="1" t="s">
        <v>11791</v>
      </c>
      <c r="AY626" s="1" t="s">
        <v>11792</v>
      </c>
      <c r="AZ626" s="1" t="s">
        <v>135</v>
      </c>
      <c r="BA626" s="1" t="s">
        <v>594</v>
      </c>
      <c r="BB626" s="1">
        <v>71</v>
      </c>
      <c r="BC626" s="1">
        <v>7.1</v>
      </c>
      <c r="BD626" s="1"/>
      <c r="BE626" s="1"/>
      <c r="BF626" s="1"/>
      <c r="BG626" s="1"/>
      <c r="BH626" s="1"/>
      <c r="BI626" s="1"/>
      <c r="BJ626" s="1" t="s">
        <v>11793</v>
      </c>
      <c r="BK626" s="1"/>
      <c r="BL626" s="1"/>
      <c r="BM626" s="1" t="s">
        <v>11794</v>
      </c>
      <c r="BN626" s="1">
        <v>12</v>
      </c>
      <c r="BO626" s="1" t="s">
        <v>11795</v>
      </c>
      <c r="BP626" s="1" t="str">
        <f>HYPERLINK("https://nconnect.nicmar.ac.in/storage/profile/ProfilePhoto_P25700631_576189.jpg","Download")</f>
        <v>0</v>
      </c>
      <c r="BQ626" s="3"/>
      <c r="BR626" s="3"/>
    </row>
    <row r="627" spans="1:70">
      <c r="A627" s="1" t="s">
        <v>70</v>
      </c>
      <c r="B627" s="1" t="s">
        <v>441</v>
      </c>
      <c r="C627" s="1" t="s">
        <v>11796</v>
      </c>
      <c r="D627" s="1" t="s">
        <v>11797</v>
      </c>
      <c r="E627" s="1" t="s">
        <v>11798</v>
      </c>
      <c r="F627" s="1" t="s">
        <v>8239</v>
      </c>
      <c r="G627" s="1" t="s">
        <v>11799</v>
      </c>
      <c r="H627" s="1" t="s">
        <v>11800</v>
      </c>
      <c r="I627" s="1" t="s">
        <v>11801</v>
      </c>
      <c r="J627" s="1">
        <v>9834581395</v>
      </c>
      <c r="K627" s="1" t="s">
        <v>148</v>
      </c>
      <c r="L627" s="1" t="s">
        <v>11802</v>
      </c>
      <c r="M627" s="1" t="s">
        <v>81</v>
      </c>
      <c r="N627" s="1" t="s">
        <v>11803</v>
      </c>
      <c r="O627" s="1"/>
      <c r="P627" s="1" t="s">
        <v>497</v>
      </c>
      <c r="Q627" s="1" t="s">
        <v>11804</v>
      </c>
      <c r="R627" s="1" t="s">
        <v>11805</v>
      </c>
      <c r="S627" s="1">
        <v>9765818228</v>
      </c>
      <c r="T627" s="1" t="s">
        <v>820</v>
      </c>
      <c r="U627" s="1" t="s">
        <v>11806</v>
      </c>
      <c r="V627" s="1">
        <v>9271555654</v>
      </c>
      <c r="W627" s="1" t="s">
        <v>156</v>
      </c>
      <c r="X627" s="1" t="s">
        <v>11807</v>
      </c>
      <c r="Y627" s="1" t="s">
        <v>191</v>
      </c>
      <c r="Z627" s="1" t="s">
        <v>92</v>
      </c>
      <c r="AA627" s="1" t="s">
        <v>11807</v>
      </c>
      <c r="AB627" s="1" t="s">
        <v>191</v>
      </c>
      <c r="AC627" s="1" t="s">
        <v>92</v>
      </c>
      <c r="AD627" s="1">
        <v>8.94</v>
      </c>
      <c r="AE627" s="1" t="s">
        <v>93</v>
      </c>
      <c r="AF627" s="1" t="s">
        <v>11808</v>
      </c>
      <c r="AG627" s="1" t="s">
        <v>160</v>
      </c>
      <c r="AH627" s="1" t="s">
        <v>162</v>
      </c>
      <c r="AI627" s="1" t="s">
        <v>562</v>
      </c>
      <c r="AJ627" s="1">
        <v>93</v>
      </c>
      <c r="AK627" s="1"/>
      <c r="AL627" s="1" t="s">
        <v>11809</v>
      </c>
      <c r="AM627" s="1" t="s">
        <v>160</v>
      </c>
      <c r="AN627" s="1" t="s">
        <v>101</v>
      </c>
      <c r="AO627" s="1" t="s">
        <v>308</v>
      </c>
      <c r="AP627" s="1">
        <v>73.38</v>
      </c>
      <c r="AQ627" s="1"/>
      <c r="AR627" s="1"/>
      <c r="AS627" s="1"/>
      <c r="AT627" s="1"/>
      <c r="AU627" s="1"/>
      <c r="AV627" s="1"/>
      <c r="AW627" s="1"/>
      <c r="AX627" s="1" t="s">
        <v>361</v>
      </c>
      <c r="AY627" s="1" t="s">
        <v>11810</v>
      </c>
      <c r="AZ627" s="1" t="s">
        <v>201</v>
      </c>
      <c r="BA627" s="1" t="s">
        <v>202</v>
      </c>
      <c r="BB627" s="1">
        <v>64.79</v>
      </c>
      <c r="BC627" s="1">
        <v>7.28</v>
      </c>
      <c r="BD627" s="1"/>
      <c r="BE627" s="1"/>
      <c r="BF627" s="1"/>
      <c r="BG627" s="1"/>
      <c r="BH627" s="1"/>
      <c r="BI627" s="1"/>
      <c r="BJ627" s="1" t="s">
        <v>11811</v>
      </c>
      <c r="BK627" s="1" t="s">
        <v>11812</v>
      </c>
      <c r="BL627" s="1" t="s">
        <v>873</v>
      </c>
      <c r="BM627" s="1" t="s">
        <v>11813</v>
      </c>
      <c r="BN627" s="1">
        <v>28</v>
      </c>
      <c r="BO627" s="1"/>
      <c r="BP627" s="1" t="str">
        <f>HYPERLINK("https://nconnect.nicmar.ac.in/storage/profile/ProfilePhoto_P25700632_185743.jpg","Download")</f>
        <v>0</v>
      </c>
      <c r="BQ627" s="3"/>
      <c r="BR627" s="3"/>
    </row>
    <row r="628" spans="1:70">
      <c r="A628" s="1" t="s">
        <v>70</v>
      </c>
      <c r="B628" s="1" t="s">
        <v>441</v>
      </c>
      <c r="C628" s="1" t="s">
        <v>11814</v>
      </c>
      <c r="D628" s="1" t="s">
        <v>11815</v>
      </c>
      <c r="E628" s="1"/>
      <c r="F628" s="1" t="s">
        <v>1828</v>
      </c>
      <c r="G628" s="1" t="s">
        <v>11816</v>
      </c>
      <c r="H628" s="1" t="s">
        <v>11817</v>
      </c>
      <c r="I628" s="1" t="s">
        <v>11817</v>
      </c>
      <c r="J628" s="1">
        <v>8861189669</v>
      </c>
      <c r="K628" s="1" t="s">
        <v>148</v>
      </c>
      <c r="L628" s="1" t="s">
        <v>296</v>
      </c>
      <c r="M628" s="1" t="s">
        <v>81</v>
      </c>
      <c r="N628" s="1" t="s">
        <v>11818</v>
      </c>
      <c r="O628" s="1"/>
      <c r="P628" s="1" t="s">
        <v>1007</v>
      </c>
      <c r="Q628" s="1" t="s">
        <v>11819</v>
      </c>
      <c r="R628" s="1" t="s">
        <v>11820</v>
      </c>
      <c r="S628" s="1">
        <v>9900306365</v>
      </c>
      <c r="T628" s="1" t="s">
        <v>11821</v>
      </c>
      <c r="U628" s="1" t="s">
        <v>11822</v>
      </c>
      <c r="V628" s="1">
        <v>9591731589</v>
      </c>
      <c r="W628" s="1" t="s">
        <v>156</v>
      </c>
      <c r="X628" s="1" t="s">
        <v>11823</v>
      </c>
      <c r="Y628" s="1" t="s">
        <v>3151</v>
      </c>
      <c r="Z628" s="1" t="s">
        <v>1187</v>
      </c>
      <c r="AA628" s="1" t="s">
        <v>11823</v>
      </c>
      <c r="AB628" s="1" t="s">
        <v>3151</v>
      </c>
      <c r="AC628" s="1" t="s">
        <v>1187</v>
      </c>
      <c r="AD628" s="1">
        <v>8.5</v>
      </c>
      <c r="AE628" s="1" t="s">
        <v>93</v>
      </c>
      <c r="AF628" s="1" t="s">
        <v>11824</v>
      </c>
      <c r="AG628" s="1" t="s">
        <v>1920</v>
      </c>
      <c r="AH628" s="1" t="s">
        <v>162</v>
      </c>
      <c r="AI628" s="1" t="s">
        <v>689</v>
      </c>
      <c r="AJ628" s="1">
        <v>78.4</v>
      </c>
      <c r="AK628" s="1"/>
      <c r="AL628" s="1" t="s">
        <v>11825</v>
      </c>
      <c r="AM628" s="1" t="s">
        <v>3751</v>
      </c>
      <c r="AN628" s="1" t="s">
        <v>101</v>
      </c>
      <c r="AO628" s="1" t="s">
        <v>409</v>
      </c>
      <c r="AP628" s="1">
        <v>66.33</v>
      </c>
      <c r="AQ628" s="1"/>
      <c r="AR628" s="1"/>
      <c r="AS628" s="1"/>
      <c r="AT628" s="1"/>
      <c r="AU628" s="1"/>
      <c r="AV628" s="1"/>
      <c r="AW628" s="1"/>
      <c r="AX628" s="1" t="s">
        <v>7583</v>
      </c>
      <c r="AY628" s="1" t="s">
        <v>11826</v>
      </c>
      <c r="AZ628" s="1" t="s">
        <v>201</v>
      </c>
      <c r="BA628" s="1" t="s">
        <v>229</v>
      </c>
      <c r="BB628" s="1">
        <v>86.9</v>
      </c>
      <c r="BC628" s="1">
        <v>8.69</v>
      </c>
      <c r="BD628" s="1"/>
      <c r="BE628" s="1"/>
      <c r="BF628" s="1"/>
      <c r="BG628" s="1"/>
      <c r="BH628" s="1"/>
      <c r="BI628" s="1"/>
      <c r="BJ628" s="1" t="s">
        <v>11827</v>
      </c>
      <c r="BK628" s="1" t="s">
        <v>11828</v>
      </c>
      <c r="BL628" s="1" t="s">
        <v>1129</v>
      </c>
      <c r="BM628" s="1" t="s">
        <v>11829</v>
      </c>
      <c r="BN628" s="1">
        <v>33</v>
      </c>
      <c r="BO628" s="1" t="s">
        <v>11830</v>
      </c>
      <c r="BP628" s="1" t="str">
        <f>HYPERLINK("https://nconnect.nicmar.ac.in/storage/profile/ProfilePhoto_P25700633_541692.jpg","Download")</f>
        <v>0</v>
      </c>
      <c r="BQ628" s="3"/>
      <c r="BR628" s="3"/>
    </row>
    <row r="629" spans="1:70">
      <c r="A629" s="1" t="s">
        <v>70</v>
      </c>
      <c r="B629" s="1" t="s">
        <v>441</v>
      </c>
      <c r="C629" s="1" t="s">
        <v>11831</v>
      </c>
      <c r="D629" s="1" t="s">
        <v>11832</v>
      </c>
      <c r="E629" s="1" t="s">
        <v>7785</v>
      </c>
      <c r="F629" s="1" t="s">
        <v>2914</v>
      </c>
      <c r="G629" s="1" t="s">
        <v>11833</v>
      </c>
      <c r="H629" s="1" t="s">
        <v>11834</v>
      </c>
      <c r="I629" s="1" t="s">
        <v>11835</v>
      </c>
      <c r="J629" s="1">
        <v>9372882876</v>
      </c>
      <c r="K629" s="1" t="s">
        <v>79</v>
      </c>
      <c r="L629" s="1" t="s">
        <v>11836</v>
      </c>
      <c r="M629" s="1" t="s">
        <v>81</v>
      </c>
      <c r="N629" s="1" t="s">
        <v>8702</v>
      </c>
      <c r="O629" s="1"/>
      <c r="P629" s="1"/>
      <c r="Q629" s="1" t="s">
        <v>11837</v>
      </c>
      <c r="R629" s="1" t="s">
        <v>11838</v>
      </c>
      <c r="S629" s="1">
        <v>9820236344</v>
      </c>
      <c r="T629" s="1" t="s">
        <v>820</v>
      </c>
      <c r="U629" s="1" t="s">
        <v>11839</v>
      </c>
      <c r="V629" s="1">
        <v>9820190860</v>
      </c>
      <c r="W629" s="1" t="s">
        <v>273</v>
      </c>
      <c r="X629" s="1" t="s">
        <v>11840</v>
      </c>
      <c r="Y629" s="1" t="s">
        <v>2229</v>
      </c>
      <c r="Z629" s="1" t="s">
        <v>92</v>
      </c>
      <c r="AA629" s="1" t="s">
        <v>11841</v>
      </c>
      <c r="AB629" s="1" t="s">
        <v>1857</v>
      </c>
      <c r="AC629" s="1" t="s">
        <v>92</v>
      </c>
      <c r="AD629" s="1">
        <v>7.64</v>
      </c>
      <c r="AE629" s="1" t="s">
        <v>93</v>
      </c>
      <c r="AF629" s="1" t="s">
        <v>11842</v>
      </c>
      <c r="AG629" s="1" t="s">
        <v>11843</v>
      </c>
      <c r="AH629" s="1" t="s">
        <v>281</v>
      </c>
      <c r="AI629" s="1" t="s">
        <v>308</v>
      </c>
      <c r="AJ629" s="1">
        <v>82.4</v>
      </c>
      <c r="AK629" s="1"/>
      <c r="AL629" s="1" t="s">
        <v>11844</v>
      </c>
      <c r="AM629" s="1" t="s">
        <v>11843</v>
      </c>
      <c r="AN629" s="1" t="s">
        <v>460</v>
      </c>
      <c r="AO629" s="1" t="s">
        <v>828</v>
      </c>
      <c r="AP629" s="1">
        <v>88.17</v>
      </c>
      <c r="AQ629" s="1"/>
      <c r="AR629" s="1"/>
      <c r="AS629" s="1"/>
      <c r="AT629" s="1"/>
      <c r="AU629" s="1"/>
      <c r="AV629" s="1"/>
      <c r="AW629" s="1"/>
      <c r="AX629" s="1" t="s">
        <v>11845</v>
      </c>
      <c r="AY629" s="1" t="s">
        <v>11846</v>
      </c>
      <c r="AZ629" s="1" t="s">
        <v>828</v>
      </c>
      <c r="BA629" s="1" t="s">
        <v>829</v>
      </c>
      <c r="BB629" s="1">
        <v>74.5</v>
      </c>
      <c r="BC629" s="1">
        <v>8.2</v>
      </c>
      <c r="BD629" s="1"/>
      <c r="BE629" s="1"/>
      <c r="BF629" s="1"/>
      <c r="BG629" s="1"/>
      <c r="BH629" s="1"/>
      <c r="BI629" s="1"/>
      <c r="BJ629" s="1" t="s">
        <v>830</v>
      </c>
      <c r="BK629" s="1"/>
      <c r="BL629" s="1"/>
      <c r="BM629" s="1" t="s">
        <v>11847</v>
      </c>
      <c r="BN629" s="1">
        <v>31</v>
      </c>
      <c r="BO629" s="1"/>
      <c r="BP629" s="1" t="str">
        <f>HYPERLINK("https://nconnect.nicmar.ac.in/storage/profile/ProfilePhoto_P25700634_569782.jpg","Download")</f>
        <v>0</v>
      </c>
      <c r="BQ629" s="3"/>
      <c r="BR629" s="3"/>
    </row>
    <row r="630" spans="1:70">
      <c r="A630" s="1" t="s">
        <v>70</v>
      </c>
      <c r="B630" s="1" t="s">
        <v>441</v>
      </c>
      <c r="C630" s="1" t="s">
        <v>11848</v>
      </c>
      <c r="D630" s="1" t="s">
        <v>3530</v>
      </c>
      <c r="E630" s="1"/>
      <c r="F630" s="1" t="s">
        <v>11849</v>
      </c>
      <c r="G630" s="1" t="s">
        <v>11850</v>
      </c>
      <c r="H630" s="1" t="s">
        <v>11851</v>
      </c>
      <c r="I630" s="1" t="s">
        <v>11852</v>
      </c>
      <c r="J630" s="1">
        <v>9995021473</v>
      </c>
      <c r="K630" s="1" t="s">
        <v>79</v>
      </c>
      <c r="L630" s="1" t="s">
        <v>11853</v>
      </c>
      <c r="M630" s="1" t="s">
        <v>81</v>
      </c>
      <c r="N630" s="1" t="s">
        <v>11854</v>
      </c>
      <c r="O630" s="1"/>
      <c r="P630" s="1" t="s">
        <v>1007</v>
      </c>
      <c r="Q630" s="1" t="s">
        <v>11855</v>
      </c>
      <c r="R630" s="1" t="s">
        <v>11856</v>
      </c>
      <c r="S630" s="1">
        <v>9496392947</v>
      </c>
      <c r="T630" s="1" t="s">
        <v>11857</v>
      </c>
      <c r="U630" s="1" t="s">
        <v>11858</v>
      </c>
      <c r="V630" s="1">
        <v>9645464227</v>
      </c>
      <c r="W630" s="1" t="s">
        <v>156</v>
      </c>
      <c r="X630" s="1" t="s">
        <v>11859</v>
      </c>
      <c r="Y630" s="1" t="s">
        <v>3209</v>
      </c>
      <c r="Z630" s="1" t="s">
        <v>125</v>
      </c>
      <c r="AA630" s="1" t="s">
        <v>11859</v>
      </c>
      <c r="AB630" s="1" t="s">
        <v>3209</v>
      </c>
      <c r="AC630" s="1" t="s">
        <v>125</v>
      </c>
      <c r="AD630" s="1">
        <v>8.61</v>
      </c>
      <c r="AE630" s="1" t="s">
        <v>93</v>
      </c>
      <c r="AF630" s="1" t="s">
        <v>11860</v>
      </c>
      <c r="AG630" s="1" t="s">
        <v>11861</v>
      </c>
      <c r="AH630" s="1" t="s">
        <v>162</v>
      </c>
      <c r="AI630" s="1" t="s">
        <v>165</v>
      </c>
      <c r="AJ630" s="1">
        <v>91.2</v>
      </c>
      <c r="AK630" s="1">
        <v>9.6</v>
      </c>
      <c r="AL630" s="1" t="s">
        <v>11860</v>
      </c>
      <c r="AM630" s="1" t="s">
        <v>11861</v>
      </c>
      <c r="AN630" s="1" t="s">
        <v>166</v>
      </c>
      <c r="AO630" s="1" t="s">
        <v>308</v>
      </c>
      <c r="AP630" s="1">
        <v>64.6</v>
      </c>
      <c r="AQ630" s="1"/>
      <c r="AR630" s="1"/>
      <c r="AS630" s="1"/>
      <c r="AT630" s="1"/>
      <c r="AU630" s="1"/>
      <c r="AV630" s="1"/>
      <c r="AW630" s="1"/>
      <c r="AX630" s="1" t="s">
        <v>132</v>
      </c>
      <c r="AY630" s="1" t="s">
        <v>11862</v>
      </c>
      <c r="AZ630" s="1" t="s">
        <v>201</v>
      </c>
      <c r="BA630" s="1" t="s">
        <v>386</v>
      </c>
      <c r="BB630" s="1">
        <v>67.9</v>
      </c>
      <c r="BC630" s="1">
        <v>6.79</v>
      </c>
      <c r="BD630" s="1"/>
      <c r="BE630" s="1"/>
      <c r="BF630" s="1"/>
      <c r="BG630" s="1"/>
      <c r="BH630" s="1"/>
      <c r="BI630" s="1"/>
      <c r="BJ630" s="1" t="s">
        <v>11863</v>
      </c>
      <c r="BK630" s="1" t="s">
        <v>11864</v>
      </c>
      <c r="BL630" s="1" t="s">
        <v>762</v>
      </c>
      <c r="BM630" s="1" t="s">
        <v>11865</v>
      </c>
      <c r="BN630" s="1">
        <v>8</v>
      </c>
      <c r="BO630" s="1"/>
      <c r="BP630" s="1" t="str">
        <f>HYPERLINK("https://nconnect.nicmar.ac.in/storage/profile/ProfilePhoto_P25700635_576948.jpg","Download")</f>
        <v>0</v>
      </c>
      <c r="BQ630" s="3"/>
      <c r="BR630" s="3"/>
    </row>
    <row r="631" spans="1:70">
      <c r="A631" s="1" t="s">
        <v>70</v>
      </c>
      <c r="B631" s="1" t="s">
        <v>441</v>
      </c>
      <c r="C631" s="1" t="s">
        <v>11866</v>
      </c>
      <c r="D631" s="1" t="s">
        <v>11867</v>
      </c>
      <c r="E631" s="1" t="s">
        <v>11868</v>
      </c>
      <c r="F631" s="1" t="s">
        <v>9650</v>
      </c>
      <c r="G631" s="1" t="s">
        <v>11869</v>
      </c>
      <c r="H631" s="1" t="s">
        <v>11870</v>
      </c>
      <c r="I631" s="1" t="s">
        <v>11871</v>
      </c>
      <c r="J631" s="1">
        <v>9130704913</v>
      </c>
      <c r="K631" s="1" t="s">
        <v>79</v>
      </c>
      <c r="L631" s="1" t="s">
        <v>11872</v>
      </c>
      <c r="M631" s="1" t="s">
        <v>81</v>
      </c>
      <c r="N631" s="1" t="s">
        <v>605</v>
      </c>
      <c r="O631" s="1"/>
      <c r="P631" s="1" t="s">
        <v>1007</v>
      </c>
      <c r="Q631" s="1" t="s">
        <v>11873</v>
      </c>
      <c r="R631" s="1" t="s">
        <v>11874</v>
      </c>
      <c r="S631" s="1">
        <v>9552504373</v>
      </c>
      <c r="T631" s="1" t="s">
        <v>820</v>
      </c>
      <c r="U631" s="1" t="s">
        <v>11875</v>
      </c>
      <c r="V631" s="1">
        <v>9669674230</v>
      </c>
      <c r="W631" s="1" t="s">
        <v>156</v>
      </c>
      <c r="X631" s="1" t="s">
        <v>11876</v>
      </c>
      <c r="Y631" s="1" t="s">
        <v>191</v>
      </c>
      <c r="Z631" s="1" t="s">
        <v>92</v>
      </c>
      <c r="AA631" s="1" t="s">
        <v>11877</v>
      </c>
      <c r="AB631" s="1" t="s">
        <v>11878</v>
      </c>
      <c r="AC631" s="1" t="s">
        <v>3437</v>
      </c>
      <c r="AD631" s="1">
        <v>8.92</v>
      </c>
      <c r="AE631" s="1" t="s">
        <v>93</v>
      </c>
      <c r="AF631" s="1" t="s">
        <v>11879</v>
      </c>
      <c r="AG631" s="1" t="s">
        <v>11880</v>
      </c>
      <c r="AH631" s="1" t="s">
        <v>689</v>
      </c>
      <c r="AI631" s="1" t="s">
        <v>166</v>
      </c>
      <c r="AJ631" s="1">
        <v>85.2</v>
      </c>
      <c r="AK631" s="1"/>
      <c r="AL631" s="1" t="s">
        <v>11879</v>
      </c>
      <c r="AM631" s="1" t="s">
        <v>11881</v>
      </c>
      <c r="AN631" s="1" t="s">
        <v>537</v>
      </c>
      <c r="AO631" s="1" t="s">
        <v>412</v>
      </c>
      <c r="AP631" s="1">
        <v>84.6</v>
      </c>
      <c r="AQ631" s="1"/>
      <c r="AR631" s="1"/>
      <c r="AS631" s="1"/>
      <c r="AT631" s="1"/>
      <c r="AU631" s="1"/>
      <c r="AV631" s="1"/>
      <c r="AW631" s="1"/>
      <c r="AX631" s="1" t="s">
        <v>361</v>
      </c>
      <c r="AY631" s="1" t="s">
        <v>11882</v>
      </c>
      <c r="AZ631" s="1" t="s">
        <v>363</v>
      </c>
      <c r="BA631" s="1" t="s">
        <v>829</v>
      </c>
      <c r="BB631" s="1">
        <v>81.1</v>
      </c>
      <c r="BC631" s="1">
        <v>8.86</v>
      </c>
      <c r="BD631" s="1"/>
      <c r="BE631" s="1"/>
      <c r="BF631" s="1"/>
      <c r="BG631" s="1"/>
      <c r="BH631" s="1"/>
      <c r="BI631" s="1"/>
      <c r="BJ631" s="1" t="s">
        <v>11883</v>
      </c>
      <c r="BK631" s="1"/>
      <c r="BL631" s="1"/>
      <c r="BM631" s="1" t="s">
        <v>11884</v>
      </c>
      <c r="BN631" s="1">
        <v>33</v>
      </c>
      <c r="BO631" s="1" t="s">
        <v>11885</v>
      </c>
      <c r="BP631" s="1" t="str">
        <f>HYPERLINK("https://nconnect.nicmar.ac.in/storage/profile/ProfilePhoto_P25700636_598721.jpg","Download")</f>
        <v>0</v>
      </c>
      <c r="BQ631" s="3"/>
      <c r="BR631" s="3"/>
    </row>
    <row r="632" spans="1:70">
      <c r="A632" s="1" t="s">
        <v>70</v>
      </c>
      <c r="B632" s="1" t="s">
        <v>441</v>
      </c>
      <c r="C632" s="1" t="s">
        <v>11886</v>
      </c>
      <c r="D632" s="1" t="s">
        <v>5096</v>
      </c>
      <c r="E632" s="1" t="s">
        <v>5755</v>
      </c>
      <c r="F632" s="1" t="s">
        <v>11887</v>
      </c>
      <c r="G632" s="1" t="s">
        <v>11888</v>
      </c>
      <c r="H632" s="1" t="s">
        <v>11889</v>
      </c>
      <c r="I632" s="1" t="s">
        <v>11890</v>
      </c>
      <c r="J632" s="1">
        <v>7666307496</v>
      </c>
      <c r="K632" s="1" t="s">
        <v>79</v>
      </c>
      <c r="L632" s="1" t="s">
        <v>6370</v>
      </c>
      <c r="M632" s="1" t="s">
        <v>81</v>
      </c>
      <c r="N632" s="1" t="s">
        <v>751</v>
      </c>
      <c r="O632" s="1"/>
      <c r="P632" s="1" t="s">
        <v>450</v>
      </c>
      <c r="Q632" s="1" t="s">
        <v>11891</v>
      </c>
      <c r="R632" s="1" t="s">
        <v>5755</v>
      </c>
      <c r="S632" s="1">
        <v>9552818982</v>
      </c>
      <c r="T632" s="1" t="s">
        <v>7809</v>
      </c>
      <c r="U632" s="1" t="s">
        <v>1724</v>
      </c>
      <c r="V632" s="1">
        <v>9322077528</v>
      </c>
      <c r="W632" s="1" t="s">
        <v>156</v>
      </c>
      <c r="X632" s="1" t="s">
        <v>11892</v>
      </c>
      <c r="Y632" s="1" t="s">
        <v>191</v>
      </c>
      <c r="Z632" s="1" t="s">
        <v>92</v>
      </c>
      <c r="AA632" s="1" t="s">
        <v>11893</v>
      </c>
      <c r="AB632" s="1" t="s">
        <v>379</v>
      </c>
      <c r="AC632" s="1" t="s">
        <v>92</v>
      </c>
      <c r="AD632" s="1">
        <v>8.23</v>
      </c>
      <c r="AE632" s="1" t="s">
        <v>93</v>
      </c>
      <c r="AF632" s="1" t="s">
        <v>11894</v>
      </c>
      <c r="AG632" s="1" t="s">
        <v>160</v>
      </c>
      <c r="AH632" s="1" t="s">
        <v>101</v>
      </c>
      <c r="AI632" s="1" t="s">
        <v>409</v>
      </c>
      <c r="AJ632" s="1">
        <v>76.2</v>
      </c>
      <c r="AK632" s="1"/>
      <c r="AL632" s="1"/>
      <c r="AM632" s="1"/>
      <c r="AN632" s="1"/>
      <c r="AO632" s="1"/>
      <c r="AP632" s="1"/>
      <c r="AQ632" s="1"/>
      <c r="AR632" s="1" t="s">
        <v>7492</v>
      </c>
      <c r="AS632" s="1" t="s">
        <v>11895</v>
      </c>
      <c r="AT632" s="1" t="s">
        <v>310</v>
      </c>
      <c r="AU632" s="1" t="s">
        <v>105</v>
      </c>
      <c r="AV632" s="1">
        <v>78.63</v>
      </c>
      <c r="AW632" s="1"/>
      <c r="AX632" s="1" t="s">
        <v>4784</v>
      </c>
      <c r="AY632" s="1" t="s">
        <v>11896</v>
      </c>
      <c r="AZ632" s="1" t="s">
        <v>1864</v>
      </c>
      <c r="BA632" s="1" t="s">
        <v>829</v>
      </c>
      <c r="BB632" s="1">
        <v>65.9</v>
      </c>
      <c r="BC632" s="1">
        <v>7.34</v>
      </c>
      <c r="BD632" s="1"/>
      <c r="BE632" s="1"/>
      <c r="BF632" s="1"/>
      <c r="BG632" s="1"/>
      <c r="BH632" s="1"/>
      <c r="BI632" s="1"/>
      <c r="BJ632" s="1" t="s">
        <v>11897</v>
      </c>
      <c r="BK632" s="1"/>
      <c r="BL632" s="1"/>
      <c r="BM632" s="1" t="s">
        <v>11898</v>
      </c>
      <c r="BN632" s="1">
        <v>27</v>
      </c>
      <c r="BO632" s="1" t="s">
        <v>11899</v>
      </c>
      <c r="BP632" s="1" t="str">
        <f>HYPERLINK("https://nconnect.nicmar.ac.in/storage/profile/ProfilePhoto_P25700637_371864.jpg","Download")</f>
        <v>0</v>
      </c>
      <c r="BQ632" s="3"/>
      <c r="BR632" s="3"/>
    </row>
    <row r="633" spans="1:70">
      <c r="A633" s="1" t="s">
        <v>70</v>
      </c>
      <c r="B633" s="1" t="s">
        <v>441</v>
      </c>
      <c r="C633" s="1" t="s">
        <v>11900</v>
      </c>
      <c r="D633" s="1" t="s">
        <v>7134</v>
      </c>
      <c r="E633" s="1" t="s">
        <v>1644</v>
      </c>
      <c r="F633" s="1" t="s">
        <v>3120</v>
      </c>
      <c r="G633" s="1" t="s">
        <v>11901</v>
      </c>
      <c r="H633" s="1" t="s">
        <v>11902</v>
      </c>
      <c r="I633" s="1" t="s">
        <v>11903</v>
      </c>
      <c r="J633" s="1">
        <v>9307064880</v>
      </c>
      <c r="K633" s="1" t="s">
        <v>79</v>
      </c>
      <c r="L633" s="1" t="s">
        <v>4828</v>
      </c>
      <c r="M633" s="1" t="s">
        <v>81</v>
      </c>
      <c r="N633" s="1" t="s">
        <v>4274</v>
      </c>
      <c r="O633" s="1"/>
      <c r="P633" s="1" t="s">
        <v>450</v>
      </c>
      <c r="Q633" s="1" t="s">
        <v>11904</v>
      </c>
      <c r="R633" s="1" t="s">
        <v>1644</v>
      </c>
      <c r="S633" s="1">
        <v>9011103009</v>
      </c>
      <c r="T633" s="1" t="s">
        <v>11905</v>
      </c>
      <c r="U633" s="1" t="s">
        <v>10872</v>
      </c>
      <c r="V633" s="1">
        <v>9420708842</v>
      </c>
      <c r="W633" s="1" t="s">
        <v>156</v>
      </c>
      <c r="X633" s="1" t="s">
        <v>11906</v>
      </c>
      <c r="Y633" s="1" t="s">
        <v>328</v>
      </c>
      <c r="Z633" s="1" t="s">
        <v>92</v>
      </c>
      <c r="AA633" s="1" t="s">
        <v>11906</v>
      </c>
      <c r="AB633" s="1" t="s">
        <v>328</v>
      </c>
      <c r="AC633" s="1" t="s">
        <v>92</v>
      </c>
      <c r="AD633" s="1" t="s">
        <v>93</v>
      </c>
      <c r="AE633" s="1" t="s">
        <v>93</v>
      </c>
      <c r="AF633" s="1" t="s">
        <v>11907</v>
      </c>
      <c r="AG633" s="1" t="s">
        <v>11908</v>
      </c>
      <c r="AH633" s="1" t="s">
        <v>101</v>
      </c>
      <c r="AI633" s="1" t="s">
        <v>433</v>
      </c>
      <c r="AJ633" s="1">
        <v>74.4</v>
      </c>
      <c r="AK633" s="1"/>
      <c r="AL633" s="1" t="s">
        <v>11909</v>
      </c>
      <c r="AM633" s="1" t="s">
        <v>11908</v>
      </c>
      <c r="AN633" s="1" t="s">
        <v>173</v>
      </c>
      <c r="AO633" s="1" t="s">
        <v>436</v>
      </c>
      <c r="AP633" s="1">
        <v>89.5</v>
      </c>
      <c r="AQ633" s="1"/>
      <c r="AR633" s="1"/>
      <c r="AS633" s="1"/>
      <c r="AT633" s="1"/>
      <c r="AU633" s="1"/>
      <c r="AV633" s="1"/>
      <c r="AW633" s="1"/>
      <c r="AX633" s="1" t="s">
        <v>335</v>
      </c>
      <c r="AY633" s="1" t="s">
        <v>11910</v>
      </c>
      <c r="AZ633" s="1" t="s">
        <v>852</v>
      </c>
      <c r="BA633" s="1" t="s">
        <v>1379</v>
      </c>
      <c r="BB633" s="1">
        <v>61.03</v>
      </c>
      <c r="BC633" s="1">
        <v>6.95</v>
      </c>
      <c r="BD633" s="1"/>
      <c r="BE633" s="1"/>
      <c r="BF633" s="1"/>
      <c r="BG633" s="1"/>
      <c r="BH633" s="1"/>
      <c r="BI633" s="1"/>
      <c r="BJ633" s="1" t="s">
        <v>11911</v>
      </c>
      <c r="BK633" s="1"/>
      <c r="BL633" s="1"/>
      <c r="BM633" s="1" t="s">
        <v>11912</v>
      </c>
      <c r="BN633" s="1">
        <v>13</v>
      </c>
      <c r="BO633" s="1"/>
      <c r="BP633" s="1" t="str">
        <f>HYPERLINK("https://nconnect.nicmar.ac.in/storage/profile/ProfilePhoto_P25700638_523967.jpg","Download")</f>
        <v>0</v>
      </c>
      <c r="BQ633" s="3"/>
      <c r="BR633" s="3"/>
    </row>
    <row r="634" spans="1:70">
      <c r="A634" s="1" t="s">
        <v>70</v>
      </c>
      <c r="B634" s="1" t="s">
        <v>441</v>
      </c>
      <c r="C634" s="1" t="s">
        <v>11913</v>
      </c>
      <c r="D634" s="1" t="s">
        <v>11914</v>
      </c>
      <c r="E634" s="1" t="s">
        <v>11915</v>
      </c>
      <c r="F634" s="1" t="s">
        <v>142</v>
      </c>
      <c r="G634" s="1" t="s">
        <v>11916</v>
      </c>
      <c r="H634" s="1" t="s">
        <v>11917</v>
      </c>
      <c r="I634" s="1" t="s">
        <v>11918</v>
      </c>
      <c r="J634" s="1">
        <v>9405455755</v>
      </c>
      <c r="K634" s="1" t="s">
        <v>79</v>
      </c>
      <c r="L634" s="1" t="s">
        <v>11919</v>
      </c>
      <c r="M634" s="1" t="s">
        <v>81</v>
      </c>
      <c r="N634" s="1" t="s">
        <v>11920</v>
      </c>
      <c r="O634" s="1"/>
      <c r="P634" s="1"/>
      <c r="Q634" s="1" t="s">
        <v>11921</v>
      </c>
      <c r="R634" s="1" t="s">
        <v>11922</v>
      </c>
      <c r="S634" s="1">
        <v>9404366166</v>
      </c>
      <c r="T634" s="1" t="s">
        <v>11257</v>
      </c>
      <c r="U634" s="1" t="s">
        <v>11923</v>
      </c>
      <c r="V634" s="1">
        <v>9403344144</v>
      </c>
      <c r="W634" s="1" t="s">
        <v>273</v>
      </c>
      <c r="X634" s="1" t="s">
        <v>11924</v>
      </c>
      <c r="Y634" s="1" t="s">
        <v>1012</v>
      </c>
      <c r="Z634" s="1" t="s">
        <v>92</v>
      </c>
      <c r="AA634" s="1" t="s">
        <v>11924</v>
      </c>
      <c r="AB634" s="1" t="s">
        <v>1012</v>
      </c>
      <c r="AC634" s="1" t="s">
        <v>92</v>
      </c>
      <c r="AD634" s="1">
        <v>7.5</v>
      </c>
      <c r="AE634" s="1" t="s">
        <v>93</v>
      </c>
      <c r="AF634" s="1" t="s">
        <v>11925</v>
      </c>
      <c r="AG634" s="1" t="s">
        <v>160</v>
      </c>
      <c r="AH634" s="1" t="s">
        <v>10142</v>
      </c>
      <c r="AI634" s="1" t="s">
        <v>281</v>
      </c>
      <c r="AJ634" s="1">
        <v>81.2</v>
      </c>
      <c r="AK634" s="1"/>
      <c r="AL634" s="1" t="s">
        <v>11926</v>
      </c>
      <c r="AM634" s="1" t="s">
        <v>160</v>
      </c>
      <c r="AN634" s="1" t="s">
        <v>481</v>
      </c>
      <c r="AO634" s="1" t="s">
        <v>173</v>
      </c>
      <c r="AP634" s="1">
        <v>65.38</v>
      </c>
      <c r="AQ634" s="1"/>
      <c r="AR634" s="1"/>
      <c r="AS634" s="1"/>
      <c r="AT634" s="1"/>
      <c r="AU634" s="1"/>
      <c r="AV634" s="1"/>
      <c r="AW634" s="1"/>
      <c r="AX634" s="1" t="s">
        <v>1862</v>
      </c>
      <c r="AY634" s="1" t="s">
        <v>11927</v>
      </c>
      <c r="AZ634" s="1" t="s">
        <v>1019</v>
      </c>
      <c r="BA634" s="1" t="s">
        <v>1379</v>
      </c>
      <c r="BB634" s="1">
        <v>61.88</v>
      </c>
      <c r="BC634" s="1">
        <v>6.75</v>
      </c>
      <c r="BD634" s="1"/>
      <c r="BE634" s="1"/>
      <c r="BF634" s="1"/>
      <c r="BG634" s="1"/>
      <c r="BH634" s="1"/>
      <c r="BI634" s="1"/>
      <c r="BJ634" s="1" t="s">
        <v>11928</v>
      </c>
      <c r="BK634" s="1"/>
      <c r="BL634" s="1"/>
      <c r="BM634" s="1" t="s">
        <v>11929</v>
      </c>
      <c r="BN634" s="1">
        <v>39</v>
      </c>
      <c r="BO634" s="1"/>
      <c r="BP634" s="1" t="str">
        <f>HYPERLINK("https://nconnect.nicmar.ac.in/storage/profile/ProfilePhoto_P25700639_613785.jpg","Download")</f>
        <v>0</v>
      </c>
      <c r="BQ634" s="3"/>
      <c r="BR634" s="3"/>
    </row>
    <row r="635" spans="1:70">
      <c r="A635" s="1" t="s">
        <v>70</v>
      </c>
      <c r="B635" s="1" t="s">
        <v>441</v>
      </c>
      <c r="C635" s="1" t="s">
        <v>11930</v>
      </c>
      <c r="D635" s="1" t="s">
        <v>7134</v>
      </c>
      <c r="E635" s="1" t="s">
        <v>2396</v>
      </c>
      <c r="F635" s="1" t="s">
        <v>11931</v>
      </c>
      <c r="G635" s="1" t="s">
        <v>11932</v>
      </c>
      <c r="H635" s="1" t="s">
        <v>11933</v>
      </c>
      <c r="I635" s="1" t="s">
        <v>11934</v>
      </c>
      <c r="J635" s="1">
        <v>8888387703</v>
      </c>
      <c r="K635" s="1" t="s">
        <v>79</v>
      </c>
      <c r="L635" s="1" t="s">
        <v>3912</v>
      </c>
      <c r="M635" s="1" t="s">
        <v>81</v>
      </c>
      <c r="N635" s="1" t="s">
        <v>11935</v>
      </c>
      <c r="O635" s="1"/>
      <c r="P635" s="1" t="s">
        <v>1007</v>
      </c>
      <c r="Q635" s="1" t="s">
        <v>11936</v>
      </c>
      <c r="R635" s="1" t="s">
        <v>11937</v>
      </c>
      <c r="S635" s="1">
        <v>9422287050</v>
      </c>
      <c r="T635" s="1" t="s">
        <v>3807</v>
      </c>
      <c r="U635" s="1" t="s">
        <v>11938</v>
      </c>
      <c r="V635" s="1">
        <v>7350287703</v>
      </c>
      <c r="W635" s="1" t="s">
        <v>156</v>
      </c>
      <c r="X635" s="1" t="s">
        <v>11939</v>
      </c>
      <c r="Y635" s="1" t="s">
        <v>5663</v>
      </c>
      <c r="Z635" s="1" t="s">
        <v>92</v>
      </c>
      <c r="AA635" s="1" t="s">
        <v>11939</v>
      </c>
      <c r="AB635" s="1" t="s">
        <v>5663</v>
      </c>
      <c r="AC635" s="1" t="s">
        <v>92</v>
      </c>
      <c r="AD635" s="1">
        <v>7.15</v>
      </c>
      <c r="AE635" s="1" t="s">
        <v>93</v>
      </c>
      <c r="AF635" s="1" t="s">
        <v>11940</v>
      </c>
      <c r="AG635" s="1" t="s">
        <v>11941</v>
      </c>
      <c r="AH635" s="1" t="s">
        <v>383</v>
      </c>
      <c r="AI635" s="1" t="s">
        <v>281</v>
      </c>
      <c r="AJ635" s="1">
        <v>61</v>
      </c>
      <c r="AK635" s="1">
        <v>6.42</v>
      </c>
      <c r="AL635" s="1"/>
      <c r="AM635" s="1"/>
      <c r="AN635" s="1"/>
      <c r="AO635" s="1"/>
      <c r="AP635" s="1"/>
      <c r="AQ635" s="1"/>
      <c r="AR635" s="1" t="s">
        <v>434</v>
      </c>
      <c r="AS635" s="1" t="s">
        <v>11942</v>
      </c>
      <c r="AT635" s="1" t="s">
        <v>1043</v>
      </c>
      <c r="AU635" s="1" t="s">
        <v>826</v>
      </c>
      <c r="AV635" s="1">
        <v>87.89</v>
      </c>
      <c r="AW635" s="1"/>
      <c r="AX635" s="1" t="s">
        <v>11943</v>
      </c>
      <c r="AY635" s="1" t="s">
        <v>11944</v>
      </c>
      <c r="AZ635" s="1" t="s">
        <v>593</v>
      </c>
      <c r="BA635" s="1" t="s">
        <v>413</v>
      </c>
      <c r="BB635" s="1">
        <v>62.8</v>
      </c>
      <c r="BC635" s="1">
        <v>6.78</v>
      </c>
      <c r="BD635" s="1"/>
      <c r="BE635" s="1"/>
      <c r="BF635" s="1"/>
      <c r="BG635" s="1"/>
      <c r="BH635" s="1"/>
      <c r="BI635" s="1"/>
      <c r="BJ635" s="1" t="s">
        <v>11945</v>
      </c>
      <c r="BK635" s="1"/>
      <c r="BL635" s="1"/>
      <c r="BM635" s="1" t="s">
        <v>11946</v>
      </c>
      <c r="BN635" s="1">
        <v>45</v>
      </c>
      <c r="BO635" s="1" t="s">
        <v>11947</v>
      </c>
      <c r="BP635" s="1" t="str">
        <f>HYPERLINK("https://nconnect.nicmar.ac.in/storage/profile/ProfilePhoto_P25700640_718623.jpg","Download")</f>
        <v>0</v>
      </c>
      <c r="BQ635" s="3"/>
      <c r="BR635" s="3"/>
    </row>
    <row r="636" spans="1:70">
      <c r="A636" s="1" t="s">
        <v>70</v>
      </c>
      <c r="B636" s="1" t="s">
        <v>441</v>
      </c>
      <c r="C636" s="1" t="s">
        <v>11948</v>
      </c>
      <c r="D636" s="1" t="s">
        <v>11949</v>
      </c>
      <c r="E636" s="1"/>
      <c r="F636" s="1" t="s">
        <v>1298</v>
      </c>
      <c r="G636" s="1" t="s">
        <v>11950</v>
      </c>
      <c r="H636" s="1" t="s">
        <v>11951</v>
      </c>
      <c r="I636" s="1" t="s">
        <v>11952</v>
      </c>
      <c r="J636" s="1">
        <v>9667042279</v>
      </c>
      <c r="K636" s="1" t="s">
        <v>79</v>
      </c>
      <c r="L636" s="1" t="s">
        <v>6536</v>
      </c>
      <c r="M636" s="1" t="s">
        <v>81</v>
      </c>
      <c r="N636" s="1" t="s">
        <v>4289</v>
      </c>
      <c r="O636" s="1"/>
      <c r="P636" s="1" t="s">
        <v>450</v>
      </c>
      <c r="Q636" s="1" t="s">
        <v>11953</v>
      </c>
      <c r="R636" s="1" t="s">
        <v>11954</v>
      </c>
      <c r="S636" s="1">
        <v>9654919573</v>
      </c>
      <c r="T636" s="1" t="s">
        <v>120</v>
      </c>
      <c r="U636" s="1" t="s">
        <v>11955</v>
      </c>
      <c r="V636" s="1">
        <v>9917628757</v>
      </c>
      <c r="W636" s="1" t="s">
        <v>273</v>
      </c>
      <c r="X636" s="1" t="s">
        <v>11956</v>
      </c>
      <c r="Y636" s="1" t="s">
        <v>11957</v>
      </c>
      <c r="Z636" s="1" t="s">
        <v>7916</v>
      </c>
      <c r="AA636" s="1" t="s">
        <v>11956</v>
      </c>
      <c r="AB636" s="1" t="s">
        <v>11957</v>
      </c>
      <c r="AC636" s="1" t="s">
        <v>7916</v>
      </c>
      <c r="AD636" s="1">
        <v>7.36</v>
      </c>
      <c r="AE636" s="1" t="s">
        <v>93</v>
      </c>
      <c r="AF636" s="1" t="s">
        <v>11958</v>
      </c>
      <c r="AG636" s="1" t="s">
        <v>11959</v>
      </c>
      <c r="AH636" s="1" t="s">
        <v>1191</v>
      </c>
      <c r="AI636" s="1" t="s">
        <v>131</v>
      </c>
      <c r="AJ636" s="1">
        <v>76.6</v>
      </c>
      <c r="AK636" s="1"/>
      <c r="AL636" s="1" t="s">
        <v>11958</v>
      </c>
      <c r="AM636" s="1" t="s">
        <v>11959</v>
      </c>
      <c r="AN636" s="1" t="s">
        <v>279</v>
      </c>
      <c r="AO636" s="1" t="s">
        <v>562</v>
      </c>
      <c r="AP636" s="1">
        <v>63.2</v>
      </c>
      <c r="AQ636" s="1"/>
      <c r="AR636" s="1"/>
      <c r="AS636" s="1"/>
      <c r="AT636" s="1"/>
      <c r="AU636" s="1"/>
      <c r="AV636" s="1"/>
      <c r="AW636" s="1"/>
      <c r="AX636" s="1" t="s">
        <v>11960</v>
      </c>
      <c r="AY636" s="1" t="s">
        <v>11961</v>
      </c>
      <c r="AZ636" s="1" t="s">
        <v>201</v>
      </c>
      <c r="BA636" s="1" t="s">
        <v>174</v>
      </c>
      <c r="BB636" s="1">
        <v>71.05</v>
      </c>
      <c r="BC636" s="1"/>
      <c r="BD636" s="1"/>
      <c r="BE636" s="1"/>
      <c r="BF636" s="1"/>
      <c r="BG636" s="1"/>
      <c r="BH636" s="1"/>
      <c r="BI636" s="1"/>
      <c r="BJ636" s="1" t="s">
        <v>11962</v>
      </c>
      <c r="BK636" s="1" t="s">
        <v>11963</v>
      </c>
      <c r="BL636" s="1" t="s">
        <v>762</v>
      </c>
      <c r="BM636" s="1" t="s">
        <v>11964</v>
      </c>
      <c r="BN636" s="1">
        <v>19</v>
      </c>
      <c r="BO636" s="1" t="s">
        <v>11965</v>
      </c>
      <c r="BP636" s="1" t="str">
        <f>HYPERLINK("https://nconnect.nicmar.ac.in/storage/profile/ProfilePhoto_P25700641_316458.jpg","Download")</f>
        <v>0</v>
      </c>
      <c r="BQ636" s="3"/>
      <c r="BR636" s="3"/>
    </row>
    <row r="637" spans="1:70">
      <c r="A637" s="1" t="s">
        <v>70</v>
      </c>
      <c r="B637" s="1" t="s">
        <v>441</v>
      </c>
      <c r="C637" s="1" t="s">
        <v>11966</v>
      </c>
      <c r="D637" s="1" t="s">
        <v>649</v>
      </c>
      <c r="E637" s="1"/>
      <c r="F637" s="1" t="s">
        <v>999</v>
      </c>
      <c r="G637" s="1" t="s">
        <v>11967</v>
      </c>
      <c r="H637" s="1" t="s">
        <v>11968</v>
      </c>
      <c r="I637" s="1" t="s">
        <v>11969</v>
      </c>
      <c r="J637" s="1">
        <v>9400235383</v>
      </c>
      <c r="K637" s="1" t="s">
        <v>79</v>
      </c>
      <c r="L637" s="1" t="s">
        <v>1078</v>
      </c>
      <c r="M637" s="1" t="s">
        <v>81</v>
      </c>
      <c r="N637" s="1" t="s">
        <v>11970</v>
      </c>
      <c r="O637" s="1"/>
      <c r="P637" s="1" t="s">
        <v>450</v>
      </c>
      <c r="Q637" s="1" t="s">
        <v>11971</v>
      </c>
      <c r="R637" s="1" t="s">
        <v>11972</v>
      </c>
      <c r="S637" s="1">
        <v>9400235383</v>
      </c>
      <c r="T637" s="1" t="s">
        <v>87</v>
      </c>
      <c r="U637" s="1" t="s">
        <v>11973</v>
      </c>
      <c r="V637" s="1">
        <v>9400235383</v>
      </c>
      <c r="W637" s="1" t="s">
        <v>156</v>
      </c>
      <c r="X637" s="1" t="s">
        <v>11974</v>
      </c>
      <c r="Y637" s="1" t="s">
        <v>1285</v>
      </c>
      <c r="Z637" s="1" t="s">
        <v>125</v>
      </c>
      <c r="AA637" s="1" t="s">
        <v>11974</v>
      </c>
      <c r="AB637" s="1" t="s">
        <v>1285</v>
      </c>
      <c r="AC637" s="1" t="s">
        <v>125</v>
      </c>
      <c r="AD637" s="1">
        <v>8.33</v>
      </c>
      <c r="AE637" s="1" t="s">
        <v>93</v>
      </c>
      <c r="AF637" s="1" t="s">
        <v>11975</v>
      </c>
      <c r="AG637" s="1" t="s">
        <v>11976</v>
      </c>
      <c r="AH637" s="1" t="s">
        <v>279</v>
      </c>
      <c r="AI637" s="1" t="s">
        <v>689</v>
      </c>
      <c r="AJ637" s="1">
        <v>83.6</v>
      </c>
      <c r="AK637" s="1">
        <v>8.8</v>
      </c>
      <c r="AL637" s="1" t="s">
        <v>11977</v>
      </c>
      <c r="AM637" s="1" t="s">
        <v>11976</v>
      </c>
      <c r="AN637" s="1" t="s">
        <v>481</v>
      </c>
      <c r="AO637" s="1" t="s">
        <v>537</v>
      </c>
      <c r="AP637" s="1">
        <v>71.2</v>
      </c>
      <c r="AQ637" s="1">
        <v>0</v>
      </c>
      <c r="AR637" s="1"/>
      <c r="AS637" s="1"/>
      <c r="AT637" s="1"/>
      <c r="AU637" s="1"/>
      <c r="AV637" s="1"/>
      <c r="AW637" s="1"/>
      <c r="AX637" s="1" t="s">
        <v>132</v>
      </c>
      <c r="AY637" s="1" t="s">
        <v>11978</v>
      </c>
      <c r="AZ637" s="1" t="s">
        <v>310</v>
      </c>
      <c r="BA637" s="1" t="s">
        <v>935</v>
      </c>
      <c r="BB637" s="1">
        <v>63.8</v>
      </c>
      <c r="BC637" s="1"/>
      <c r="BD637" s="1"/>
      <c r="BE637" s="1"/>
      <c r="BF637" s="1"/>
      <c r="BG637" s="1"/>
      <c r="BH637" s="1"/>
      <c r="BI637" s="1"/>
      <c r="BJ637" s="1" t="s">
        <v>567</v>
      </c>
      <c r="BK637" s="1"/>
      <c r="BL637" s="1"/>
      <c r="BM637" s="1" t="s">
        <v>11979</v>
      </c>
      <c r="BN637" s="1">
        <v>29</v>
      </c>
      <c r="BO637" s="1"/>
      <c r="BP637" s="1" t="str">
        <f>HYPERLINK("https://nconnect.nicmar.ac.in/storage/profile/ProfilePhoto_P25700642_472538.jpg","Download")</f>
        <v>0</v>
      </c>
      <c r="BQ637" s="3"/>
      <c r="BR637" s="3"/>
    </row>
    <row r="638" spans="1:70">
      <c r="A638" s="1" t="s">
        <v>70</v>
      </c>
      <c r="B638" s="1" t="s">
        <v>441</v>
      </c>
      <c r="C638" s="1" t="s">
        <v>11980</v>
      </c>
      <c r="D638" s="1" t="s">
        <v>3702</v>
      </c>
      <c r="E638" s="1" t="s">
        <v>1587</v>
      </c>
      <c r="F638" s="1" t="s">
        <v>11981</v>
      </c>
      <c r="G638" s="1" t="s">
        <v>11982</v>
      </c>
      <c r="H638" s="1" t="s">
        <v>11983</v>
      </c>
      <c r="I638" s="1" t="s">
        <v>11984</v>
      </c>
      <c r="J638" s="1">
        <v>7020339021</v>
      </c>
      <c r="K638" s="1" t="s">
        <v>79</v>
      </c>
      <c r="L638" s="1" t="s">
        <v>9802</v>
      </c>
      <c r="M638" s="1" t="s">
        <v>81</v>
      </c>
      <c r="N638" s="1" t="s">
        <v>11985</v>
      </c>
      <c r="O638" s="1"/>
      <c r="P638" s="1" t="s">
        <v>497</v>
      </c>
      <c r="Q638" s="1" t="s">
        <v>11986</v>
      </c>
      <c r="R638" s="1" t="s">
        <v>11987</v>
      </c>
      <c r="S638" s="1">
        <v>9595148914</v>
      </c>
      <c r="T638" s="1" t="s">
        <v>906</v>
      </c>
      <c r="U638" s="1" t="s">
        <v>11988</v>
      </c>
      <c r="V638" s="1">
        <v>8329800467</v>
      </c>
      <c r="W638" s="1" t="s">
        <v>156</v>
      </c>
      <c r="X638" s="1" t="s">
        <v>11989</v>
      </c>
      <c r="Y638" s="1" t="s">
        <v>7682</v>
      </c>
      <c r="Z638" s="1" t="s">
        <v>92</v>
      </c>
      <c r="AA638" s="1" t="s">
        <v>11989</v>
      </c>
      <c r="AB638" s="1" t="s">
        <v>7682</v>
      </c>
      <c r="AC638" s="1" t="s">
        <v>92</v>
      </c>
      <c r="AD638" s="1">
        <v>8.87</v>
      </c>
      <c r="AE638" s="1" t="s">
        <v>93</v>
      </c>
      <c r="AF638" s="1" t="s">
        <v>11990</v>
      </c>
      <c r="AG638" s="1" t="s">
        <v>11991</v>
      </c>
      <c r="AH638" s="1" t="s">
        <v>562</v>
      </c>
      <c r="AI638" s="1" t="s">
        <v>101</v>
      </c>
      <c r="AJ638" s="1">
        <v>91</v>
      </c>
      <c r="AK638" s="1"/>
      <c r="AL638" s="1" t="s">
        <v>11992</v>
      </c>
      <c r="AM638" s="1" t="s">
        <v>11993</v>
      </c>
      <c r="AN638" s="1" t="s">
        <v>173</v>
      </c>
      <c r="AO638" s="1" t="s">
        <v>826</v>
      </c>
      <c r="AP638" s="1">
        <v>94.33</v>
      </c>
      <c r="AQ638" s="1"/>
      <c r="AR638" s="1"/>
      <c r="AS638" s="1"/>
      <c r="AT638" s="1"/>
      <c r="AU638" s="1"/>
      <c r="AV638" s="1"/>
      <c r="AW638" s="1"/>
      <c r="AX638" s="1" t="s">
        <v>410</v>
      </c>
      <c r="AY638" s="1" t="s">
        <v>9416</v>
      </c>
      <c r="AZ638" s="1" t="s">
        <v>2181</v>
      </c>
      <c r="BA638" s="1" t="s">
        <v>543</v>
      </c>
      <c r="BB638" s="1">
        <v>85.8</v>
      </c>
      <c r="BC638" s="1">
        <v>8.58</v>
      </c>
      <c r="BD638" s="1"/>
      <c r="BE638" s="1"/>
      <c r="BF638" s="1"/>
      <c r="BG638" s="1"/>
      <c r="BH638" s="1"/>
      <c r="BI638" s="1"/>
      <c r="BJ638" s="1" t="s">
        <v>11994</v>
      </c>
      <c r="BK638" s="1"/>
      <c r="BL638" s="1"/>
      <c r="BM638" s="1" t="s">
        <v>11995</v>
      </c>
      <c r="BN638" s="1">
        <v>15</v>
      </c>
      <c r="BO638" s="1" t="s">
        <v>11996</v>
      </c>
      <c r="BP638" s="1" t="str">
        <f>HYPERLINK("https://nconnect.nicmar.ac.in/storage/profile/ProfilePhoto_P25700643_542673.jpg","Download")</f>
        <v>0</v>
      </c>
      <c r="BQ638" s="3"/>
      <c r="BR638" s="3"/>
    </row>
    <row r="639" spans="1:70">
      <c r="A639" s="1" t="s">
        <v>70</v>
      </c>
      <c r="B639" s="1" t="s">
        <v>441</v>
      </c>
      <c r="C639" s="1" t="s">
        <v>11997</v>
      </c>
      <c r="D639" s="1" t="s">
        <v>1297</v>
      </c>
      <c r="E639" s="1" t="s">
        <v>4651</v>
      </c>
      <c r="F639" s="1" t="s">
        <v>857</v>
      </c>
      <c r="G639" s="1" t="s">
        <v>11998</v>
      </c>
      <c r="H639" s="1" t="s">
        <v>11999</v>
      </c>
      <c r="I639" s="1" t="s">
        <v>11999</v>
      </c>
      <c r="J639" s="1">
        <v>7385678869</v>
      </c>
      <c r="K639" s="1" t="s">
        <v>79</v>
      </c>
      <c r="L639" s="1" t="s">
        <v>11306</v>
      </c>
      <c r="M639" s="1" t="s">
        <v>81</v>
      </c>
      <c r="N639" s="1" t="s">
        <v>605</v>
      </c>
      <c r="O639" s="1"/>
      <c r="P639" s="1" t="s">
        <v>497</v>
      </c>
      <c r="Q639" s="1" t="s">
        <v>12000</v>
      </c>
      <c r="R639" s="1" t="s">
        <v>12001</v>
      </c>
      <c r="S639" s="1">
        <v>9765284121</v>
      </c>
      <c r="T639" s="1" t="s">
        <v>4780</v>
      </c>
      <c r="U639" s="1" t="s">
        <v>12002</v>
      </c>
      <c r="V639" s="1">
        <v>9511678869</v>
      </c>
      <c r="W639" s="1" t="s">
        <v>273</v>
      </c>
      <c r="X639" s="1" t="s">
        <v>12003</v>
      </c>
      <c r="Y639" s="1" t="s">
        <v>191</v>
      </c>
      <c r="Z639" s="1" t="s">
        <v>92</v>
      </c>
      <c r="AA639" s="1" t="s">
        <v>12004</v>
      </c>
      <c r="AB639" s="1" t="s">
        <v>5087</v>
      </c>
      <c r="AC639" s="1" t="s">
        <v>92</v>
      </c>
      <c r="AD639" s="1">
        <v>8.05</v>
      </c>
      <c r="AE639" s="1" t="s">
        <v>93</v>
      </c>
      <c r="AF639" s="1" t="s">
        <v>12005</v>
      </c>
      <c r="AG639" s="1" t="s">
        <v>12006</v>
      </c>
      <c r="AH639" s="1" t="s">
        <v>195</v>
      </c>
      <c r="AI639" s="1" t="s">
        <v>281</v>
      </c>
      <c r="AJ639" s="1">
        <v>82.4</v>
      </c>
      <c r="AK639" s="1"/>
      <c r="AL639" s="1" t="s">
        <v>12007</v>
      </c>
      <c r="AM639" s="1" t="s">
        <v>12008</v>
      </c>
      <c r="AN639" s="1" t="s">
        <v>409</v>
      </c>
      <c r="AO639" s="1" t="s">
        <v>590</v>
      </c>
      <c r="AP639" s="1">
        <v>60</v>
      </c>
      <c r="AQ639" s="1"/>
      <c r="AR639" s="1"/>
      <c r="AS639" s="1"/>
      <c r="AT639" s="1"/>
      <c r="AU639" s="1"/>
      <c r="AV639" s="1"/>
      <c r="AW639" s="1"/>
      <c r="AX639" s="1" t="s">
        <v>361</v>
      </c>
      <c r="AY639" s="1" t="s">
        <v>12009</v>
      </c>
      <c r="AZ639" s="1" t="s">
        <v>826</v>
      </c>
      <c r="BA639" s="1" t="s">
        <v>1778</v>
      </c>
      <c r="BB639" s="1">
        <v>67.14</v>
      </c>
      <c r="BC639" s="1">
        <v>7.46</v>
      </c>
      <c r="BD639" s="1"/>
      <c r="BE639" s="1"/>
      <c r="BF639" s="1"/>
      <c r="BG639" s="1"/>
      <c r="BH639" s="1"/>
      <c r="BI639" s="1"/>
      <c r="BJ639" s="1" t="s">
        <v>12010</v>
      </c>
      <c r="BK639" s="1"/>
      <c r="BL639" s="1"/>
      <c r="BM639" s="1" t="s">
        <v>12011</v>
      </c>
      <c r="BN639" s="1">
        <v>30</v>
      </c>
      <c r="BO639" s="1"/>
      <c r="BP639" s="1" t="str">
        <f>HYPERLINK("https://nconnect.nicmar.ac.in/storage/profile/ProfilePhoto_P25700644_925768.jpg","Download")</f>
        <v>0</v>
      </c>
      <c r="BQ639" s="3"/>
      <c r="BR639" s="3"/>
    </row>
    <row r="640" spans="1:70">
      <c r="A640" s="1" t="s">
        <v>70</v>
      </c>
      <c r="B640" s="1" t="s">
        <v>441</v>
      </c>
      <c r="C640" s="1" t="s">
        <v>12012</v>
      </c>
      <c r="D640" s="1" t="s">
        <v>744</v>
      </c>
      <c r="E640" s="1" t="s">
        <v>3548</v>
      </c>
      <c r="F640" s="1" t="s">
        <v>1955</v>
      </c>
      <c r="G640" s="1" t="s">
        <v>12013</v>
      </c>
      <c r="H640" s="1" t="s">
        <v>12014</v>
      </c>
      <c r="I640" s="1" t="s">
        <v>12015</v>
      </c>
      <c r="J640" s="1">
        <v>7083083456</v>
      </c>
      <c r="K640" s="1" t="s">
        <v>79</v>
      </c>
      <c r="L640" s="1" t="s">
        <v>4736</v>
      </c>
      <c r="M640" s="1" t="s">
        <v>81</v>
      </c>
      <c r="N640" s="1" t="s">
        <v>12016</v>
      </c>
      <c r="O640" s="1"/>
      <c r="P640" s="1" t="s">
        <v>472</v>
      </c>
      <c r="Q640" s="1" t="s">
        <v>12017</v>
      </c>
      <c r="R640" s="1" t="s">
        <v>3548</v>
      </c>
      <c r="S640" s="1">
        <v>9763800725</v>
      </c>
      <c r="T640" s="1" t="s">
        <v>820</v>
      </c>
      <c r="U640" s="1" t="s">
        <v>1929</v>
      </c>
      <c r="V640" s="1">
        <v>9423024295</v>
      </c>
      <c r="W640" s="1" t="s">
        <v>156</v>
      </c>
      <c r="X640" s="1" t="s">
        <v>12018</v>
      </c>
      <c r="Y640" s="1" t="s">
        <v>191</v>
      </c>
      <c r="Z640" s="1" t="s">
        <v>92</v>
      </c>
      <c r="AA640" s="1" t="s">
        <v>12019</v>
      </c>
      <c r="AB640" s="1" t="s">
        <v>2678</v>
      </c>
      <c r="AC640" s="1" t="s">
        <v>92</v>
      </c>
      <c r="AD640" s="1">
        <v>8.44</v>
      </c>
      <c r="AE640" s="1" t="s">
        <v>93</v>
      </c>
      <c r="AF640" s="1" t="s">
        <v>12020</v>
      </c>
      <c r="AG640" s="1" t="s">
        <v>11991</v>
      </c>
      <c r="AH640" s="1" t="s">
        <v>165</v>
      </c>
      <c r="AI640" s="1" t="s">
        <v>166</v>
      </c>
      <c r="AJ640" s="1">
        <v>89.6</v>
      </c>
      <c r="AK640" s="1"/>
      <c r="AL640" s="1" t="s">
        <v>12021</v>
      </c>
      <c r="AM640" s="1" t="s">
        <v>11993</v>
      </c>
      <c r="AN640" s="1" t="s">
        <v>433</v>
      </c>
      <c r="AO640" s="1" t="s">
        <v>412</v>
      </c>
      <c r="AP640" s="1">
        <v>75.08</v>
      </c>
      <c r="AQ640" s="1"/>
      <c r="AR640" s="1"/>
      <c r="AS640" s="1"/>
      <c r="AT640" s="1"/>
      <c r="AU640" s="1"/>
      <c r="AV640" s="1"/>
      <c r="AW640" s="1"/>
      <c r="AX640" s="1" t="s">
        <v>361</v>
      </c>
      <c r="AY640" s="1" t="s">
        <v>12022</v>
      </c>
      <c r="AZ640" s="1" t="s">
        <v>363</v>
      </c>
      <c r="BA640" s="1" t="s">
        <v>202</v>
      </c>
      <c r="BB640" s="1">
        <v>83.31</v>
      </c>
      <c r="BC640" s="1">
        <v>8.77</v>
      </c>
      <c r="BD640" s="1"/>
      <c r="BE640" s="1"/>
      <c r="BF640" s="1"/>
      <c r="BG640" s="1"/>
      <c r="BH640" s="1"/>
      <c r="BI640" s="1"/>
      <c r="BJ640" s="1" t="s">
        <v>830</v>
      </c>
      <c r="BK640" s="1" t="s">
        <v>12023</v>
      </c>
      <c r="BL640" s="1" t="s">
        <v>1048</v>
      </c>
      <c r="BM640" s="1" t="s">
        <v>12024</v>
      </c>
      <c r="BN640" s="1">
        <v>31</v>
      </c>
      <c r="BO640" s="1"/>
      <c r="BP640" s="1" t="str">
        <f>HYPERLINK("https://nconnect.nicmar.ac.in/storage/profile/ProfilePhoto_P25700645_346279.jpg","Download")</f>
        <v>0</v>
      </c>
      <c r="BQ640" s="3"/>
      <c r="BR640" s="3"/>
    </row>
    <row r="641" spans="1:70">
      <c r="A641" s="1" t="s">
        <v>70</v>
      </c>
      <c r="B641" s="1" t="s">
        <v>441</v>
      </c>
      <c r="C641" s="1" t="s">
        <v>12025</v>
      </c>
      <c r="D641" s="1" t="s">
        <v>2241</v>
      </c>
      <c r="E641" s="1"/>
      <c r="F641" s="1" t="s">
        <v>12026</v>
      </c>
      <c r="G641" s="1" t="s">
        <v>12027</v>
      </c>
      <c r="H641" s="1" t="s">
        <v>12028</v>
      </c>
      <c r="I641" s="1" t="s">
        <v>12029</v>
      </c>
      <c r="J641" s="1">
        <v>8328351508</v>
      </c>
      <c r="K641" s="1" t="s">
        <v>79</v>
      </c>
      <c r="L641" s="1" t="s">
        <v>12030</v>
      </c>
      <c r="M641" s="1" t="s">
        <v>81</v>
      </c>
      <c r="N641" s="1" t="s">
        <v>12031</v>
      </c>
      <c r="O641" s="1"/>
      <c r="P641" s="1" t="s">
        <v>656</v>
      </c>
      <c r="Q641" s="1" t="s">
        <v>12032</v>
      </c>
      <c r="R641" s="1" t="s">
        <v>12033</v>
      </c>
      <c r="S641" s="1">
        <v>8328351508</v>
      </c>
      <c r="T641" s="1" t="s">
        <v>12034</v>
      </c>
      <c r="U641" s="1" t="s">
        <v>12035</v>
      </c>
      <c r="V641" s="1">
        <v>9000004083</v>
      </c>
      <c r="W641" s="1" t="s">
        <v>1391</v>
      </c>
      <c r="X641" s="1" t="s">
        <v>12036</v>
      </c>
      <c r="Y641" s="1" t="s">
        <v>8981</v>
      </c>
      <c r="Z641" s="1" t="s">
        <v>456</v>
      </c>
      <c r="AA641" s="1" t="s">
        <v>12036</v>
      </c>
      <c r="AB641" s="1" t="s">
        <v>8981</v>
      </c>
      <c r="AC641" s="1" t="s">
        <v>456</v>
      </c>
      <c r="AD641" s="1">
        <v>8.15</v>
      </c>
      <c r="AE641" s="1" t="s">
        <v>93</v>
      </c>
      <c r="AF641" s="1" t="s">
        <v>12037</v>
      </c>
      <c r="AG641" s="1" t="s">
        <v>458</v>
      </c>
      <c r="AH641" s="1" t="s">
        <v>162</v>
      </c>
      <c r="AI641" s="1" t="s">
        <v>195</v>
      </c>
      <c r="AJ641" s="1">
        <v>98</v>
      </c>
      <c r="AK641" s="1">
        <v>9.8</v>
      </c>
      <c r="AL641" s="1" t="s">
        <v>12038</v>
      </c>
      <c r="AM641" s="1" t="s">
        <v>3053</v>
      </c>
      <c r="AN641" s="1" t="s">
        <v>165</v>
      </c>
      <c r="AO641" s="1" t="s">
        <v>409</v>
      </c>
      <c r="AP641" s="1">
        <v>96.8</v>
      </c>
      <c r="AQ641" s="1">
        <v>9.68</v>
      </c>
      <c r="AR641" s="1"/>
      <c r="AS641" s="1"/>
      <c r="AT641" s="1"/>
      <c r="AU641" s="1"/>
      <c r="AV641" s="1"/>
      <c r="AW641" s="1"/>
      <c r="AX641" s="1" t="s">
        <v>6932</v>
      </c>
      <c r="AY641" s="1" t="s">
        <v>11417</v>
      </c>
      <c r="AZ641" s="1" t="s">
        <v>1622</v>
      </c>
      <c r="BA641" s="1" t="s">
        <v>202</v>
      </c>
      <c r="BB641" s="1">
        <v>69.7</v>
      </c>
      <c r="BC641" s="1">
        <v>6.97</v>
      </c>
      <c r="BD641" s="1"/>
      <c r="BE641" s="1"/>
      <c r="BF641" s="1"/>
      <c r="BG641" s="1"/>
      <c r="BH641" s="1"/>
      <c r="BI641" s="1"/>
      <c r="BJ641" s="1" t="s">
        <v>6027</v>
      </c>
      <c r="BK641" s="1"/>
      <c r="BL641" s="1"/>
      <c r="BM641" s="1" t="s">
        <v>12039</v>
      </c>
      <c r="BN641" s="1">
        <v>4</v>
      </c>
      <c r="BO641" s="1"/>
      <c r="BP641" s="1" t="str">
        <f>HYPERLINK("https://nconnect.nicmar.ac.in/storage/profile/ProfilePhoto_P25700646_127359.jpg","Download")</f>
        <v>0</v>
      </c>
      <c r="BQ641" s="3"/>
      <c r="BR641" s="3"/>
    </row>
    <row r="642" spans="1:70">
      <c r="A642" s="1" t="s">
        <v>70</v>
      </c>
      <c r="B642" s="1" t="s">
        <v>441</v>
      </c>
      <c r="C642" s="1" t="s">
        <v>12040</v>
      </c>
      <c r="D642" s="1" t="s">
        <v>12041</v>
      </c>
      <c r="E642" s="1" t="s">
        <v>12042</v>
      </c>
      <c r="F642" s="1" t="s">
        <v>12043</v>
      </c>
      <c r="G642" s="1" t="s">
        <v>12044</v>
      </c>
      <c r="H642" s="1" t="s">
        <v>12045</v>
      </c>
      <c r="I642" s="1" t="s">
        <v>12046</v>
      </c>
      <c r="J642" s="1">
        <v>9920959760</v>
      </c>
      <c r="K642" s="1" t="s">
        <v>79</v>
      </c>
      <c r="L642" s="1" t="s">
        <v>12047</v>
      </c>
      <c r="M642" s="1" t="s">
        <v>150</v>
      </c>
      <c r="N642" s="1" t="s">
        <v>2948</v>
      </c>
      <c r="O642" s="1"/>
      <c r="P642" s="1" t="s">
        <v>450</v>
      </c>
      <c r="Q642" s="1" t="s">
        <v>12048</v>
      </c>
      <c r="R642" s="1" t="s">
        <v>12049</v>
      </c>
      <c r="S642" s="1">
        <v>9867023838</v>
      </c>
      <c r="T642" s="1" t="s">
        <v>3915</v>
      </c>
      <c r="U642" s="1" t="s">
        <v>12050</v>
      </c>
      <c r="V642" s="1">
        <v>9930042212</v>
      </c>
      <c r="W642" s="1" t="s">
        <v>273</v>
      </c>
      <c r="X642" s="1" t="s">
        <v>12051</v>
      </c>
      <c r="Y642" s="1" t="s">
        <v>2229</v>
      </c>
      <c r="Z642" s="1" t="s">
        <v>92</v>
      </c>
      <c r="AA642" s="1" t="s">
        <v>12051</v>
      </c>
      <c r="AB642" s="1" t="s">
        <v>2229</v>
      </c>
      <c r="AC642" s="1" t="s">
        <v>92</v>
      </c>
      <c r="AD642" s="1">
        <v>8.48</v>
      </c>
      <c r="AE642" s="1" t="s">
        <v>93</v>
      </c>
      <c r="AF642" s="1" t="s">
        <v>12052</v>
      </c>
      <c r="AG642" s="1" t="s">
        <v>2154</v>
      </c>
      <c r="AH642" s="1" t="s">
        <v>131</v>
      </c>
      <c r="AI642" s="1" t="s">
        <v>614</v>
      </c>
      <c r="AJ642" s="1">
        <v>78.6</v>
      </c>
      <c r="AK642" s="1">
        <v>0</v>
      </c>
      <c r="AL642" s="1"/>
      <c r="AM642" s="1"/>
      <c r="AN642" s="1"/>
      <c r="AO642" s="1"/>
      <c r="AP642" s="1"/>
      <c r="AQ642" s="1"/>
      <c r="AR642" s="1" t="s">
        <v>98</v>
      </c>
      <c r="AS642" s="1" t="s">
        <v>12053</v>
      </c>
      <c r="AT642" s="1" t="s">
        <v>134</v>
      </c>
      <c r="AU642" s="1" t="s">
        <v>310</v>
      </c>
      <c r="AV642" s="1">
        <v>78</v>
      </c>
      <c r="AW642" s="1">
        <v>0</v>
      </c>
      <c r="AX642" s="1" t="s">
        <v>253</v>
      </c>
      <c r="AY642" s="1" t="s">
        <v>12054</v>
      </c>
      <c r="AZ642" s="1" t="s">
        <v>201</v>
      </c>
      <c r="BA642" s="1" t="s">
        <v>619</v>
      </c>
      <c r="BB642" s="1">
        <v>78.36</v>
      </c>
      <c r="BC642" s="1">
        <v>8.68</v>
      </c>
      <c r="BD642" s="1"/>
      <c r="BE642" s="1"/>
      <c r="BF642" s="1"/>
      <c r="BG642" s="1"/>
      <c r="BH642" s="1"/>
      <c r="BI642" s="1"/>
      <c r="BJ642" s="1" t="s">
        <v>12055</v>
      </c>
      <c r="BK642" s="1" t="s">
        <v>12056</v>
      </c>
      <c r="BL642" s="1" t="s">
        <v>2295</v>
      </c>
      <c r="BM642" s="1" t="s">
        <v>12057</v>
      </c>
      <c r="BN642" s="1">
        <v>31</v>
      </c>
      <c r="BO642" s="1" t="s">
        <v>12058</v>
      </c>
      <c r="BP642" s="1" t="str">
        <f>HYPERLINK("https://nconnect.nicmar.ac.in/storage/profile/ProfilePhoto_P25700647_481956.jpg","Download")</f>
        <v>0</v>
      </c>
      <c r="BQ642" s="3"/>
      <c r="BR642" s="3"/>
    </row>
    <row r="643" spans="1:70">
      <c r="A643" s="1" t="s">
        <v>70</v>
      </c>
      <c r="B643" s="1" t="s">
        <v>441</v>
      </c>
      <c r="C643" s="1" t="s">
        <v>12059</v>
      </c>
      <c r="D643" s="1" t="s">
        <v>12060</v>
      </c>
      <c r="E643" s="1" t="s">
        <v>12061</v>
      </c>
      <c r="F643" s="1" t="s">
        <v>12062</v>
      </c>
      <c r="G643" s="1" t="s">
        <v>12063</v>
      </c>
      <c r="H643" s="1" t="s">
        <v>12064</v>
      </c>
      <c r="I643" s="1" t="s">
        <v>12065</v>
      </c>
      <c r="J643" s="1">
        <v>7043305926</v>
      </c>
      <c r="K643" s="1" t="s">
        <v>79</v>
      </c>
      <c r="L643" s="1" t="s">
        <v>8005</v>
      </c>
      <c r="M643" s="1" t="s">
        <v>81</v>
      </c>
      <c r="N643" s="1" t="s">
        <v>6635</v>
      </c>
      <c r="O643" s="1"/>
      <c r="P643" s="1" t="s">
        <v>497</v>
      </c>
      <c r="Q643" s="1" t="s">
        <v>12066</v>
      </c>
      <c r="R643" s="1" t="s">
        <v>12067</v>
      </c>
      <c r="S643" s="1">
        <v>9426154922</v>
      </c>
      <c r="T643" s="1" t="s">
        <v>4496</v>
      </c>
      <c r="U643" s="1" t="s">
        <v>12068</v>
      </c>
      <c r="V643" s="1">
        <v>8320500467</v>
      </c>
      <c r="W643" s="1" t="s">
        <v>888</v>
      </c>
      <c r="X643" s="1" t="s">
        <v>12069</v>
      </c>
      <c r="Y643" s="1" t="s">
        <v>191</v>
      </c>
      <c r="Z643" s="1" t="s">
        <v>92</v>
      </c>
      <c r="AA643" s="1" t="s">
        <v>12070</v>
      </c>
      <c r="AB643" s="1" t="s">
        <v>5141</v>
      </c>
      <c r="AC643" s="1" t="s">
        <v>662</v>
      </c>
      <c r="AD643" s="1">
        <v>8.03</v>
      </c>
      <c r="AE643" s="1" t="s">
        <v>93</v>
      </c>
      <c r="AF643" s="1" t="s">
        <v>12071</v>
      </c>
      <c r="AG643" s="1" t="s">
        <v>12072</v>
      </c>
      <c r="AH643" s="1" t="s">
        <v>481</v>
      </c>
      <c r="AI643" s="1" t="s">
        <v>308</v>
      </c>
      <c r="AJ643" s="1">
        <v>93.2</v>
      </c>
      <c r="AK643" s="1"/>
      <c r="AL643" s="1" t="s">
        <v>12071</v>
      </c>
      <c r="AM643" s="1" t="s">
        <v>12072</v>
      </c>
      <c r="AN643" s="1" t="s">
        <v>590</v>
      </c>
      <c r="AO643" s="1" t="s">
        <v>539</v>
      </c>
      <c r="AP643" s="1">
        <v>93.2</v>
      </c>
      <c r="AQ643" s="1"/>
      <c r="AR643" s="1"/>
      <c r="AS643" s="1"/>
      <c r="AT643" s="1"/>
      <c r="AU643" s="1"/>
      <c r="AV643" s="1"/>
      <c r="AW643" s="1"/>
      <c r="AX643" s="1" t="s">
        <v>12073</v>
      </c>
      <c r="AY643" s="1" t="s">
        <v>12073</v>
      </c>
      <c r="AZ643" s="1" t="s">
        <v>593</v>
      </c>
      <c r="BA643" s="1" t="s">
        <v>543</v>
      </c>
      <c r="BB643" s="1">
        <v>78.1</v>
      </c>
      <c r="BC643" s="1">
        <v>8.31</v>
      </c>
      <c r="BD643" s="1"/>
      <c r="BE643" s="1"/>
      <c r="BF643" s="1"/>
      <c r="BG643" s="1"/>
      <c r="BH643" s="1"/>
      <c r="BI643" s="1"/>
      <c r="BJ643" s="1" t="s">
        <v>12074</v>
      </c>
      <c r="BK643" s="1"/>
      <c r="BL643" s="1"/>
      <c r="BM643" s="1" t="s">
        <v>12075</v>
      </c>
      <c r="BN643" s="1">
        <v>25</v>
      </c>
      <c r="BO643" s="1"/>
      <c r="BP643" s="1" t="str">
        <f>HYPERLINK("https://nconnect.nicmar.ac.in/storage/profile/ProfilePhoto_P25700648_167498.jpg","Download")</f>
        <v>0</v>
      </c>
      <c r="BQ643" s="3"/>
      <c r="BR643" s="3"/>
    </row>
    <row r="644" spans="1:70">
      <c r="A644" s="1" t="s">
        <v>70</v>
      </c>
      <c r="B644" s="1" t="s">
        <v>441</v>
      </c>
      <c r="C644" s="1" t="s">
        <v>12076</v>
      </c>
      <c r="D644" s="1" t="s">
        <v>12077</v>
      </c>
      <c r="E644" s="1"/>
      <c r="F644" s="1" t="s">
        <v>4268</v>
      </c>
      <c r="G644" s="1" t="s">
        <v>12078</v>
      </c>
      <c r="H644" s="1" t="s">
        <v>12079</v>
      </c>
      <c r="I644" s="1" t="s">
        <v>12080</v>
      </c>
      <c r="J644" s="1">
        <v>7095418558</v>
      </c>
      <c r="K644" s="1" t="s">
        <v>79</v>
      </c>
      <c r="L644" s="1" t="s">
        <v>12081</v>
      </c>
      <c r="M644" s="1" t="s">
        <v>81</v>
      </c>
      <c r="N644" s="1" t="s">
        <v>8469</v>
      </c>
      <c r="O644" s="1"/>
      <c r="P644" s="1" t="s">
        <v>497</v>
      </c>
      <c r="Q644" s="1" t="s">
        <v>12082</v>
      </c>
      <c r="R644" s="1" t="s">
        <v>12083</v>
      </c>
      <c r="S644" s="1">
        <v>9550519890</v>
      </c>
      <c r="T644" s="1" t="s">
        <v>154</v>
      </c>
      <c r="U644" s="1" t="s">
        <v>12084</v>
      </c>
      <c r="V644" s="1">
        <v>9848882491</v>
      </c>
      <c r="W644" s="1" t="s">
        <v>531</v>
      </c>
      <c r="X644" s="1" t="s">
        <v>12085</v>
      </c>
      <c r="Y644" s="1" t="s">
        <v>12086</v>
      </c>
      <c r="Z644" s="1" t="s">
        <v>276</v>
      </c>
      <c r="AA644" s="1" t="s">
        <v>12085</v>
      </c>
      <c r="AB644" s="1" t="s">
        <v>12086</v>
      </c>
      <c r="AC644" s="1" t="s">
        <v>276</v>
      </c>
      <c r="AD644" s="1">
        <v>9.0</v>
      </c>
      <c r="AE644" s="1" t="s">
        <v>93</v>
      </c>
      <c r="AF644" s="1" t="s">
        <v>12087</v>
      </c>
      <c r="AG644" s="1" t="s">
        <v>12088</v>
      </c>
      <c r="AH644" s="1" t="s">
        <v>169</v>
      </c>
      <c r="AI644" s="1" t="s">
        <v>409</v>
      </c>
      <c r="AJ644" s="1">
        <v>93</v>
      </c>
      <c r="AK644" s="1">
        <v>9.3</v>
      </c>
      <c r="AL644" s="1" t="s">
        <v>12089</v>
      </c>
      <c r="AM644" s="1" t="s">
        <v>12090</v>
      </c>
      <c r="AN644" s="1" t="s">
        <v>310</v>
      </c>
      <c r="AO644" s="1" t="s">
        <v>1169</v>
      </c>
      <c r="AP644" s="1">
        <v>88.4</v>
      </c>
      <c r="AQ644" s="1">
        <v>0</v>
      </c>
      <c r="AR644" s="1"/>
      <c r="AS644" s="1"/>
      <c r="AT644" s="1"/>
      <c r="AU644" s="1"/>
      <c r="AV644" s="1"/>
      <c r="AW644" s="1"/>
      <c r="AX644" s="1" t="s">
        <v>12091</v>
      </c>
      <c r="AY644" s="1" t="s">
        <v>12092</v>
      </c>
      <c r="AZ644" s="1" t="s">
        <v>539</v>
      </c>
      <c r="BA644" s="1" t="s">
        <v>594</v>
      </c>
      <c r="BB644" s="1">
        <v>73.3</v>
      </c>
      <c r="BC644" s="1">
        <v>8.08</v>
      </c>
      <c r="BD644" s="1"/>
      <c r="BE644" s="1"/>
      <c r="BF644" s="1"/>
      <c r="BG644" s="1"/>
      <c r="BH644" s="1"/>
      <c r="BI644" s="1"/>
      <c r="BJ644" s="1" t="s">
        <v>12093</v>
      </c>
      <c r="BK644" s="1"/>
      <c r="BL644" s="1"/>
      <c r="BM644" s="1" t="s">
        <v>12094</v>
      </c>
      <c r="BN644" s="1">
        <v>15</v>
      </c>
      <c r="BO644" s="1"/>
      <c r="BP644" s="1" t="str">
        <f>HYPERLINK("https://nconnect.nicmar.ac.in/storage/profile/ProfilePhoto_P25700649_431865.jpg","Download")</f>
        <v>0</v>
      </c>
      <c r="BQ644" s="3"/>
      <c r="BR644" s="3"/>
    </row>
    <row r="645" spans="1:70">
      <c r="A645" s="1" t="s">
        <v>70</v>
      </c>
      <c r="B645" s="1" t="s">
        <v>441</v>
      </c>
      <c r="C645" s="1" t="s">
        <v>12095</v>
      </c>
      <c r="D645" s="1" t="s">
        <v>3511</v>
      </c>
      <c r="E645" s="1" t="s">
        <v>2071</v>
      </c>
      <c r="F645" s="1" t="s">
        <v>12096</v>
      </c>
      <c r="G645" s="1" t="s">
        <v>12097</v>
      </c>
      <c r="H645" s="1" t="s">
        <v>12098</v>
      </c>
      <c r="I645" s="1" t="s">
        <v>12099</v>
      </c>
      <c r="J645" s="1">
        <v>7058591221</v>
      </c>
      <c r="K645" s="1" t="s">
        <v>79</v>
      </c>
      <c r="L645" s="1" t="s">
        <v>882</v>
      </c>
      <c r="M645" s="1" t="s">
        <v>81</v>
      </c>
      <c r="N645" s="1" t="s">
        <v>12100</v>
      </c>
      <c r="O645" s="1"/>
      <c r="P645" s="1" t="s">
        <v>1007</v>
      </c>
      <c r="Q645" s="1" t="s">
        <v>12101</v>
      </c>
      <c r="R645" s="1" t="s">
        <v>12102</v>
      </c>
      <c r="S645" s="1">
        <v>9820112357</v>
      </c>
      <c r="T645" s="1" t="s">
        <v>5031</v>
      </c>
      <c r="U645" s="1" t="s">
        <v>12103</v>
      </c>
      <c r="V645" s="1">
        <v>7058493264</v>
      </c>
      <c r="W645" s="1" t="s">
        <v>4700</v>
      </c>
      <c r="X645" s="1" t="s">
        <v>12104</v>
      </c>
      <c r="Y645" s="1" t="s">
        <v>4313</v>
      </c>
      <c r="Z645" s="1" t="s">
        <v>92</v>
      </c>
      <c r="AA645" s="1" t="s">
        <v>12105</v>
      </c>
      <c r="AB645" s="1" t="s">
        <v>991</v>
      </c>
      <c r="AC645" s="1" t="s">
        <v>92</v>
      </c>
      <c r="AD645" s="1">
        <v>8.25</v>
      </c>
      <c r="AE645" s="1" t="s">
        <v>93</v>
      </c>
      <c r="AF645" s="1" t="s">
        <v>12106</v>
      </c>
      <c r="AG645" s="1" t="s">
        <v>160</v>
      </c>
      <c r="AH645" s="1" t="s">
        <v>169</v>
      </c>
      <c r="AI645" s="1" t="s">
        <v>409</v>
      </c>
      <c r="AJ645" s="1">
        <v>68.8</v>
      </c>
      <c r="AK645" s="1"/>
      <c r="AL645" s="1"/>
      <c r="AM645" s="1"/>
      <c r="AN645" s="1"/>
      <c r="AO645" s="1"/>
      <c r="AP645" s="1"/>
      <c r="AQ645" s="1"/>
      <c r="AR645" s="1" t="s">
        <v>434</v>
      </c>
      <c r="AS645" s="1" t="s">
        <v>12107</v>
      </c>
      <c r="AT645" s="1" t="s">
        <v>201</v>
      </c>
      <c r="AU645" s="1" t="s">
        <v>1378</v>
      </c>
      <c r="AV645" s="1">
        <v>76.47</v>
      </c>
      <c r="AW645" s="1"/>
      <c r="AX645" s="1" t="s">
        <v>666</v>
      </c>
      <c r="AY645" s="1" t="s">
        <v>12108</v>
      </c>
      <c r="AZ645" s="1" t="s">
        <v>1864</v>
      </c>
      <c r="BA645" s="1" t="s">
        <v>1379</v>
      </c>
      <c r="BB645" s="1">
        <v>65.04</v>
      </c>
      <c r="BC645" s="1">
        <v>7.1</v>
      </c>
      <c r="BD645" s="1"/>
      <c r="BE645" s="1"/>
      <c r="BF645" s="1"/>
      <c r="BG645" s="1"/>
      <c r="BH645" s="1"/>
      <c r="BI645" s="1"/>
      <c r="BJ645" s="1" t="s">
        <v>12109</v>
      </c>
      <c r="BK645" s="1"/>
      <c r="BL645" s="1"/>
      <c r="BM645" s="1" t="s">
        <v>12110</v>
      </c>
      <c r="BN645" s="1">
        <v>8</v>
      </c>
      <c r="BO645" s="1"/>
      <c r="BP645" s="1" t="str">
        <f>HYPERLINK("https://nconnect.nicmar.ac.in/storage/profile/ProfilePhoto_P25700650_487352.jpg","Download")</f>
        <v>0</v>
      </c>
      <c r="BQ645" s="3"/>
      <c r="BR645" s="3"/>
    </row>
    <row r="646" spans="1:70">
      <c r="A646" s="1" t="s">
        <v>70</v>
      </c>
      <c r="B646" s="1" t="s">
        <v>441</v>
      </c>
      <c r="C646" s="1" t="s">
        <v>12111</v>
      </c>
      <c r="D646" s="1" t="s">
        <v>12112</v>
      </c>
      <c r="E646" s="1" t="s">
        <v>12113</v>
      </c>
      <c r="F646" s="1" t="s">
        <v>12114</v>
      </c>
      <c r="G646" s="1" t="s">
        <v>12115</v>
      </c>
      <c r="H646" s="1" t="s">
        <v>12116</v>
      </c>
      <c r="I646" s="1" t="s">
        <v>12117</v>
      </c>
      <c r="J646" s="1">
        <v>7507311402</v>
      </c>
      <c r="K646" s="1" t="s">
        <v>148</v>
      </c>
      <c r="L646" s="1" t="s">
        <v>1057</v>
      </c>
      <c r="M646" s="1" t="s">
        <v>81</v>
      </c>
      <c r="N646" s="1" t="s">
        <v>605</v>
      </c>
      <c r="O646" s="1"/>
      <c r="P646" s="1" t="s">
        <v>497</v>
      </c>
      <c r="Q646" s="1" t="s">
        <v>12118</v>
      </c>
      <c r="R646" s="1" t="s">
        <v>12114</v>
      </c>
      <c r="S646" s="1">
        <v>9922943730</v>
      </c>
      <c r="T646" s="1" t="s">
        <v>632</v>
      </c>
      <c r="U646" s="1" t="s">
        <v>12119</v>
      </c>
      <c r="V646" s="1">
        <v>9960345951</v>
      </c>
      <c r="W646" s="1" t="s">
        <v>156</v>
      </c>
      <c r="X646" s="1" t="s">
        <v>12120</v>
      </c>
      <c r="Y646" s="1" t="s">
        <v>191</v>
      </c>
      <c r="Z646" s="1" t="s">
        <v>92</v>
      </c>
      <c r="AA646" s="1" t="s">
        <v>12120</v>
      </c>
      <c r="AB646" s="1" t="s">
        <v>191</v>
      </c>
      <c r="AC646" s="1" t="s">
        <v>92</v>
      </c>
      <c r="AD646" s="1">
        <v>7.56</v>
      </c>
      <c r="AE646" s="1" t="s">
        <v>93</v>
      </c>
      <c r="AF646" s="1" t="s">
        <v>12121</v>
      </c>
      <c r="AG646" s="1" t="s">
        <v>12122</v>
      </c>
      <c r="AH646" s="1" t="s">
        <v>162</v>
      </c>
      <c r="AI646" s="1" t="s">
        <v>195</v>
      </c>
      <c r="AJ646" s="1">
        <v>69.8</v>
      </c>
      <c r="AK646" s="1">
        <v>0</v>
      </c>
      <c r="AL646" s="1" t="s">
        <v>12123</v>
      </c>
      <c r="AM646" s="1" t="s">
        <v>12122</v>
      </c>
      <c r="AN646" s="1" t="s">
        <v>101</v>
      </c>
      <c r="AO646" s="1" t="s">
        <v>590</v>
      </c>
      <c r="AP646" s="1">
        <v>62.31</v>
      </c>
      <c r="AQ646" s="1">
        <v>0</v>
      </c>
      <c r="AR646" s="1"/>
      <c r="AS646" s="1"/>
      <c r="AT646" s="1"/>
      <c r="AU646" s="1"/>
      <c r="AV646" s="1"/>
      <c r="AW646" s="1"/>
      <c r="AX646" s="1" t="s">
        <v>361</v>
      </c>
      <c r="AY646" s="1" t="s">
        <v>12124</v>
      </c>
      <c r="AZ646" s="1" t="s">
        <v>1019</v>
      </c>
      <c r="BA646" s="1" t="s">
        <v>829</v>
      </c>
      <c r="BB646" s="1">
        <v>70.6</v>
      </c>
      <c r="BC646" s="1">
        <v>7.81</v>
      </c>
      <c r="BD646" s="1"/>
      <c r="BE646" s="1"/>
      <c r="BF646" s="1"/>
      <c r="BG646" s="1"/>
      <c r="BH646" s="1"/>
      <c r="BI646" s="1"/>
      <c r="BJ646" s="1" t="s">
        <v>12125</v>
      </c>
      <c r="BK646" s="1"/>
      <c r="BL646" s="1"/>
      <c r="BM646" s="1" t="s">
        <v>12126</v>
      </c>
      <c r="BN646" s="1">
        <v>27</v>
      </c>
      <c r="BO646" s="1"/>
      <c r="BP646" s="1" t="str">
        <f>HYPERLINK("https://nconnect.nicmar.ac.in/storage/profile/ProfilePhoto_P25700651_715392.jpg","Download")</f>
        <v>0</v>
      </c>
      <c r="BQ646" s="3"/>
      <c r="BR646" s="3"/>
    </row>
    <row r="647" spans="1:70">
      <c r="A647" s="1" t="s">
        <v>70</v>
      </c>
      <c r="B647" s="1" t="s">
        <v>441</v>
      </c>
      <c r="C647" s="1" t="s">
        <v>12127</v>
      </c>
      <c r="D647" s="1" t="s">
        <v>12128</v>
      </c>
      <c r="E647" s="1" t="s">
        <v>12129</v>
      </c>
      <c r="F647" s="1" t="s">
        <v>12130</v>
      </c>
      <c r="G647" s="1" t="s">
        <v>12131</v>
      </c>
      <c r="H647" s="1" t="s">
        <v>12132</v>
      </c>
      <c r="I647" s="1" t="s">
        <v>12133</v>
      </c>
      <c r="J647" s="1">
        <v>9172147932</v>
      </c>
      <c r="K647" s="1" t="s">
        <v>148</v>
      </c>
      <c r="L647" s="1" t="s">
        <v>12134</v>
      </c>
      <c r="M647" s="1" t="s">
        <v>81</v>
      </c>
      <c r="N647" s="1" t="s">
        <v>12135</v>
      </c>
      <c r="O647" s="1"/>
      <c r="P647" s="1" t="s">
        <v>472</v>
      </c>
      <c r="Q647" s="1" t="s">
        <v>12136</v>
      </c>
      <c r="R647" s="1" t="s">
        <v>12130</v>
      </c>
      <c r="S647" s="1">
        <v>7798771199</v>
      </c>
      <c r="T647" s="1" t="s">
        <v>4496</v>
      </c>
      <c r="U647" s="1" t="s">
        <v>12137</v>
      </c>
      <c r="V647" s="1">
        <v>9156540247</v>
      </c>
      <c r="W647" s="1" t="s">
        <v>273</v>
      </c>
      <c r="X647" s="1" t="s">
        <v>12138</v>
      </c>
      <c r="Y647" s="1" t="s">
        <v>191</v>
      </c>
      <c r="Z647" s="1" t="s">
        <v>92</v>
      </c>
      <c r="AA647" s="1" t="s">
        <v>12138</v>
      </c>
      <c r="AB647" s="1" t="s">
        <v>191</v>
      </c>
      <c r="AC647" s="1" t="s">
        <v>92</v>
      </c>
      <c r="AD647" s="1">
        <v>7.79</v>
      </c>
      <c r="AE647" s="1" t="s">
        <v>93</v>
      </c>
      <c r="AF647" s="1" t="s">
        <v>12139</v>
      </c>
      <c r="AG647" s="1" t="s">
        <v>1656</v>
      </c>
      <c r="AH647" s="1" t="s">
        <v>165</v>
      </c>
      <c r="AI647" s="1" t="s">
        <v>281</v>
      </c>
      <c r="AJ647" s="1">
        <v>86.4</v>
      </c>
      <c r="AK647" s="1">
        <v>0</v>
      </c>
      <c r="AL647" s="1" t="s">
        <v>12140</v>
      </c>
      <c r="AM647" s="1" t="s">
        <v>6251</v>
      </c>
      <c r="AN647" s="1" t="s">
        <v>433</v>
      </c>
      <c r="AO647" s="1" t="s">
        <v>360</v>
      </c>
      <c r="AP647" s="1">
        <v>83.85</v>
      </c>
      <c r="AQ647" s="1">
        <v>0</v>
      </c>
      <c r="AR647" s="1"/>
      <c r="AS647" s="1"/>
      <c r="AT647" s="1"/>
      <c r="AU647" s="1"/>
      <c r="AV647" s="1"/>
      <c r="AW647" s="1"/>
      <c r="AX647" s="1" t="s">
        <v>361</v>
      </c>
      <c r="AY647" s="1" t="s">
        <v>12141</v>
      </c>
      <c r="AZ647" s="1" t="s">
        <v>360</v>
      </c>
      <c r="BA647" s="1" t="s">
        <v>594</v>
      </c>
      <c r="BB647" s="1">
        <v>82.76</v>
      </c>
      <c r="BC647" s="1">
        <v>8.98</v>
      </c>
      <c r="BD647" s="1"/>
      <c r="BE647" s="1"/>
      <c r="BF647" s="1"/>
      <c r="BG647" s="1"/>
      <c r="BH647" s="1"/>
      <c r="BI647" s="1"/>
      <c r="BJ647" s="1" t="s">
        <v>1293</v>
      </c>
      <c r="BK647" s="1"/>
      <c r="BL647" s="1"/>
      <c r="BM647" s="1" t="s">
        <v>12142</v>
      </c>
      <c r="BN647" s="1">
        <v>30</v>
      </c>
      <c r="BO647" s="1"/>
      <c r="BP647" s="1" t="str">
        <f>HYPERLINK("https://nconnect.nicmar.ac.in/storage/profile/ProfilePhoto_P25700652_942673.jpg","Download")</f>
        <v>0</v>
      </c>
      <c r="BQ647" s="3"/>
      <c r="BR647" s="3"/>
    </row>
    <row r="648" spans="1:70">
      <c r="A648" s="1" t="s">
        <v>70</v>
      </c>
      <c r="B648" s="1" t="s">
        <v>441</v>
      </c>
      <c r="C648" s="1" t="s">
        <v>12143</v>
      </c>
      <c r="D648" s="1" t="s">
        <v>12144</v>
      </c>
      <c r="E648" s="1" t="s">
        <v>745</v>
      </c>
      <c r="F648" s="1" t="s">
        <v>12145</v>
      </c>
      <c r="G648" s="1" t="s">
        <v>12146</v>
      </c>
      <c r="H648" s="1" t="s">
        <v>12147</v>
      </c>
      <c r="I648" s="1" t="s">
        <v>12148</v>
      </c>
      <c r="J648" s="1">
        <v>8888761152</v>
      </c>
      <c r="K648" s="1" t="s">
        <v>148</v>
      </c>
      <c r="L648" s="1" t="s">
        <v>12149</v>
      </c>
      <c r="M648" s="1" t="s">
        <v>81</v>
      </c>
      <c r="N648" s="1" t="s">
        <v>883</v>
      </c>
      <c r="O648" s="1"/>
      <c r="P648" s="1" t="s">
        <v>472</v>
      </c>
      <c r="Q648" s="1" t="s">
        <v>12150</v>
      </c>
      <c r="R648" s="1" t="s">
        <v>745</v>
      </c>
      <c r="S648" s="1">
        <v>8847701152</v>
      </c>
      <c r="T648" s="1" t="s">
        <v>12151</v>
      </c>
      <c r="U648" s="1" t="s">
        <v>5275</v>
      </c>
      <c r="V648" s="1">
        <v>8847701152</v>
      </c>
      <c r="W648" s="1" t="s">
        <v>12152</v>
      </c>
      <c r="X648" s="1" t="s">
        <v>12153</v>
      </c>
      <c r="Y648" s="1" t="s">
        <v>1963</v>
      </c>
      <c r="Z648" s="1" t="s">
        <v>92</v>
      </c>
      <c r="AA648" s="1" t="s">
        <v>12153</v>
      </c>
      <c r="AB648" s="1" t="s">
        <v>1963</v>
      </c>
      <c r="AC648" s="1" t="s">
        <v>92</v>
      </c>
      <c r="AD648" s="1">
        <v>7.66</v>
      </c>
      <c r="AE648" s="1" t="s">
        <v>93</v>
      </c>
      <c r="AF648" s="1" t="s">
        <v>12154</v>
      </c>
      <c r="AG648" s="1" t="s">
        <v>160</v>
      </c>
      <c r="AH648" s="1" t="s">
        <v>195</v>
      </c>
      <c r="AI648" s="1" t="s">
        <v>281</v>
      </c>
      <c r="AJ648" s="1">
        <v>84.2</v>
      </c>
      <c r="AK648" s="1"/>
      <c r="AL648" s="1"/>
      <c r="AM648" s="1"/>
      <c r="AN648" s="1"/>
      <c r="AO648" s="1"/>
      <c r="AP648" s="1"/>
      <c r="AQ648" s="1"/>
      <c r="AR648" s="1" t="s">
        <v>434</v>
      </c>
      <c r="AS648" s="1" t="s">
        <v>12155</v>
      </c>
      <c r="AT648" s="1" t="s">
        <v>481</v>
      </c>
      <c r="AU648" s="1" t="s">
        <v>436</v>
      </c>
      <c r="AV648" s="1">
        <v>84.16</v>
      </c>
      <c r="AW648" s="1"/>
      <c r="AX648" s="1" t="s">
        <v>8303</v>
      </c>
      <c r="AY648" s="1" t="s">
        <v>12156</v>
      </c>
      <c r="AZ648" s="1" t="s">
        <v>135</v>
      </c>
      <c r="BA648" s="1" t="s">
        <v>1292</v>
      </c>
      <c r="BB648" s="1">
        <v>74</v>
      </c>
      <c r="BC648" s="1">
        <v>7.4</v>
      </c>
      <c r="BD648" s="1"/>
      <c r="BE648" s="1"/>
      <c r="BF648" s="1"/>
      <c r="BG648" s="1"/>
      <c r="BH648" s="1"/>
      <c r="BI648" s="1"/>
      <c r="BJ648" s="1" t="s">
        <v>3403</v>
      </c>
      <c r="BK648" s="1" t="s">
        <v>12157</v>
      </c>
      <c r="BL648" s="1" t="s">
        <v>2089</v>
      </c>
      <c r="BM648" s="1" t="s">
        <v>12158</v>
      </c>
      <c r="BN648" s="1">
        <v>26</v>
      </c>
      <c r="BO648" s="1" t="s">
        <v>12159</v>
      </c>
      <c r="BP648" s="1" t="str">
        <f>HYPERLINK("https://nconnect.nicmar.ac.in/storage/profile/ProfilePhoto_P25700653_961745.jpg","Download")</f>
        <v>0</v>
      </c>
      <c r="BQ648" s="3"/>
      <c r="BR648" s="3"/>
    </row>
    <row r="649" spans="1:70">
      <c r="A649" s="1" t="s">
        <v>70</v>
      </c>
      <c r="B649" s="1" t="s">
        <v>441</v>
      </c>
      <c r="C649" s="1" t="s">
        <v>12160</v>
      </c>
      <c r="D649" s="1" t="s">
        <v>12161</v>
      </c>
      <c r="E649" s="1"/>
      <c r="F649" s="1" t="s">
        <v>3927</v>
      </c>
      <c r="G649" s="1" t="s">
        <v>12162</v>
      </c>
      <c r="H649" s="1" t="s">
        <v>12163</v>
      </c>
      <c r="I649" s="1" t="s">
        <v>12164</v>
      </c>
      <c r="J649" s="1">
        <v>7059436514</v>
      </c>
      <c r="K649" s="1" t="s">
        <v>79</v>
      </c>
      <c r="L649" s="1" t="s">
        <v>12165</v>
      </c>
      <c r="M649" s="1" t="s">
        <v>81</v>
      </c>
      <c r="N649" s="1" t="s">
        <v>12166</v>
      </c>
      <c r="O649" s="1"/>
      <c r="P649" s="1" t="s">
        <v>2694</v>
      </c>
      <c r="Q649" s="1" t="s">
        <v>12167</v>
      </c>
      <c r="R649" s="1" t="s">
        <v>12168</v>
      </c>
      <c r="S649" s="1">
        <v>8272909776</v>
      </c>
      <c r="T649" s="1" t="s">
        <v>120</v>
      </c>
      <c r="U649" s="1" t="s">
        <v>12169</v>
      </c>
      <c r="V649" s="1">
        <v>8981786833</v>
      </c>
      <c r="W649" s="1" t="s">
        <v>89</v>
      </c>
      <c r="X649" s="1" t="s">
        <v>12170</v>
      </c>
      <c r="Y649" s="1" t="s">
        <v>10778</v>
      </c>
      <c r="Z649" s="1" t="s">
        <v>1211</v>
      </c>
      <c r="AA649" s="1" t="s">
        <v>12170</v>
      </c>
      <c r="AB649" s="1" t="s">
        <v>10778</v>
      </c>
      <c r="AC649" s="1" t="s">
        <v>1211</v>
      </c>
      <c r="AD649" s="1">
        <v>8.69</v>
      </c>
      <c r="AE649" s="1" t="s">
        <v>93</v>
      </c>
      <c r="AF649" s="1" t="s">
        <v>12171</v>
      </c>
      <c r="AG649" s="1" t="s">
        <v>2154</v>
      </c>
      <c r="AH649" s="1" t="s">
        <v>12172</v>
      </c>
      <c r="AI649" s="1" t="s">
        <v>505</v>
      </c>
      <c r="AJ649" s="1">
        <v>65.16</v>
      </c>
      <c r="AK649" s="1"/>
      <c r="AL649" s="1"/>
      <c r="AM649" s="1"/>
      <c r="AN649" s="1"/>
      <c r="AO649" s="1"/>
      <c r="AP649" s="1"/>
      <c r="AQ649" s="1"/>
      <c r="AR649" s="1" t="s">
        <v>434</v>
      </c>
      <c r="AS649" s="1" t="s">
        <v>12173</v>
      </c>
      <c r="AT649" s="1" t="s">
        <v>96</v>
      </c>
      <c r="AU649" s="1" t="s">
        <v>562</v>
      </c>
      <c r="AV649" s="1">
        <v>75.4</v>
      </c>
      <c r="AW649" s="1"/>
      <c r="AX649" s="1" t="s">
        <v>12174</v>
      </c>
      <c r="AY649" s="1" t="s">
        <v>12175</v>
      </c>
      <c r="AZ649" s="1" t="s">
        <v>383</v>
      </c>
      <c r="BA649" s="1" t="s">
        <v>173</v>
      </c>
      <c r="BB649" s="1">
        <v>70.19</v>
      </c>
      <c r="BC649" s="1">
        <v>7.77</v>
      </c>
      <c r="BD649" s="1"/>
      <c r="BE649" s="1"/>
      <c r="BF649" s="1"/>
      <c r="BG649" s="1"/>
      <c r="BH649" s="1"/>
      <c r="BI649" s="1"/>
      <c r="BJ649" s="1" t="s">
        <v>3326</v>
      </c>
      <c r="BK649" s="1" t="s">
        <v>12176</v>
      </c>
      <c r="BL649" s="1" t="s">
        <v>340</v>
      </c>
      <c r="BM649" s="1" t="s">
        <v>12177</v>
      </c>
      <c r="BN649" s="1">
        <v>10</v>
      </c>
      <c r="BO649" s="1"/>
      <c r="BP649" s="1" t="str">
        <f>HYPERLINK("https://nconnect.nicmar.ac.in/storage/profile/ProfilePhoto_P25700654_483671.jpg","Download")</f>
        <v>0</v>
      </c>
      <c r="BQ649" s="3"/>
      <c r="BR649" s="3"/>
    </row>
    <row r="650" spans="1:70">
      <c r="A650" s="1" t="s">
        <v>70</v>
      </c>
      <c r="B650" s="1" t="s">
        <v>441</v>
      </c>
      <c r="C650" s="1" t="s">
        <v>12178</v>
      </c>
      <c r="D650" s="1" t="s">
        <v>12179</v>
      </c>
      <c r="E650" s="1" t="s">
        <v>2591</v>
      </c>
      <c r="F650" s="1" t="s">
        <v>4712</v>
      </c>
      <c r="G650" s="1" t="s">
        <v>12180</v>
      </c>
      <c r="H650" s="1" t="s">
        <v>12181</v>
      </c>
      <c r="I650" s="1" t="s">
        <v>12182</v>
      </c>
      <c r="J650" s="1">
        <v>8329893898</v>
      </c>
      <c r="K650" s="1" t="s">
        <v>79</v>
      </c>
      <c r="L650" s="1" t="s">
        <v>12183</v>
      </c>
      <c r="M650" s="1" t="s">
        <v>81</v>
      </c>
      <c r="N650" s="1" t="s">
        <v>883</v>
      </c>
      <c r="O650" s="1"/>
      <c r="P650" s="1" t="s">
        <v>450</v>
      </c>
      <c r="Q650" s="1" t="s">
        <v>12184</v>
      </c>
      <c r="R650" s="1" t="s">
        <v>4712</v>
      </c>
      <c r="S650" s="1">
        <v>9765429254</v>
      </c>
      <c r="T650" s="1" t="s">
        <v>12185</v>
      </c>
      <c r="U650" s="1" t="s">
        <v>12186</v>
      </c>
      <c r="V650" s="1">
        <v>9765429255</v>
      </c>
      <c r="W650" s="1" t="s">
        <v>12185</v>
      </c>
      <c r="X650" s="1" t="s">
        <v>12187</v>
      </c>
      <c r="Y650" s="1" t="s">
        <v>5087</v>
      </c>
      <c r="Z650" s="1" t="s">
        <v>92</v>
      </c>
      <c r="AA650" s="1" t="s">
        <v>12187</v>
      </c>
      <c r="AB650" s="1" t="s">
        <v>5087</v>
      </c>
      <c r="AC650" s="1" t="s">
        <v>92</v>
      </c>
      <c r="AD650" s="1" t="s">
        <v>93</v>
      </c>
      <c r="AE650" s="1" t="s">
        <v>93</v>
      </c>
      <c r="AF650" s="1" t="s">
        <v>12188</v>
      </c>
      <c r="AG650" s="1" t="s">
        <v>12189</v>
      </c>
      <c r="AH650" s="1" t="s">
        <v>165</v>
      </c>
      <c r="AI650" s="1" t="s">
        <v>101</v>
      </c>
      <c r="AJ650" s="1">
        <v>78.2</v>
      </c>
      <c r="AK650" s="1"/>
      <c r="AL650" s="1" t="s">
        <v>12190</v>
      </c>
      <c r="AM650" s="1" t="s">
        <v>12189</v>
      </c>
      <c r="AN650" s="1" t="s">
        <v>433</v>
      </c>
      <c r="AO650" s="1" t="s">
        <v>173</v>
      </c>
      <c r="AP650" s="1">
        <v>66.62</v>
      </c>
      <c r="AQ650" s="1"/>
      <c r="AR650" s="1"/>
      <c r="AS650" s="1"/>
      <c r="AT650" s="1"/>
      <c r="AU650" s="1"/>
      <c r="AV650" s="1"/>
      <c r="AW650" s="1"/>
      <c r="AX650" s="1" t="s">
        <v>12191</v>
      </c>
      <c r="AY650" s="1" t="s">
        <v>12192</v>
      </c>
      <c r="AZ650" s="1" t="s">
        <v>1622</v>
      </c>
      <c r="BA650" s="1" t="s">
        <v>1109</v>
      </c>
      <c r="BB650" s="1">
        <v>65.9</v>
      </c>
      <c r="BC650" s="1">
        <v>7.34</v>
      </c>
      <c r="BD650" s="1"/>
      <c r="BE650" s="1"/>
      <c r="BF650" s="1"/>
      <c r="BG650" s="1"/>
      <c r="BH650" s="1"/>
      <c r="BI650" s="1"/>
      <c r="BJ650" s="1" t="s">
        <v>830</v>
      </c>
      <c r="BK650" s="1"/>
      <c r="BL650" s="1"/>
      <c r="BM650" s="1" t="s">
        <v>12193</v>
      </c>
      <c r="BN650" s="1">
        <v>12</v>
      </c>
      <c r="BO650" s="1"/>
      <c r="BP650" s="1" t="str">
        <f>HYPERLINK("https://nconnect.nicmar.ac.in/storage/profile/ProfilePhoto_P25700655_148397.jpg","Download")</f>
        <v>0</v>
      </c>
      <c r="BQ650" s="3"/>
      <c r="BR650" s="3"/>
    </row>
    <row r="651" spans="1:70">
      <c r="A651" s="1" t="s">
        <v>70</v>
      </c>
      <c r="B651" s="1" t="s">
        <v>441</v>
      </c>
      <c r="C651" s="1" t="s">
        <v>12194</v>
      </c>
      <c r="D651" s="1" t="s">
        <v>12195</v>
      </c>
      <c r="E651" s="1" t="s">
        <v>12196</v>
      </c>
      <c r="F651" s="1" t="s">
        <v>7168</v>
      </c>
      <c r="G651" s="1" t="s">
        <v>12197</v>
      </c>
      <c r="H651" s="1" t="s">
        <v>12198</v>
      </c>
      <c r="I651" s="1" t="s">
        <v>12199</v>
      </c>
      <c r="J651" s="1">
        <v>9325519501</v>
      </c>
      <c r="K651" s="1" t="s">
        <v>79</v>
      </c>
      <c r="L651" s="1" t="s">
        <v>12200</v>
      </c>
      <c r="M651" s="1" t="s">
        <v>81</v>
      </c>
      <c r="N651" s="1" t="s">
        <v>3083</v>
      </c>
      <c r="O651" s="1"/>
      <c r="P651" s="1" t="s">
        <v>497</v>
      </c>
      <c r="Q651" s="1" t="s">
        <v>12201</v>
      </c>
      <c r="R651" s="1" t="s">
        <v>12196</v>
      </c>
      <c r="S651" s="1">
        <v>9325524372</v>
      </c>
      <c r="T651" s="1" t="s">
        <v>12202</v>
      </c>
      <c r="U651" s="1" t="s">
        <v>12203</v>
      </c>
      <c r="V651" s="1">
        <v>7620414645</v>
      </c>
      <c r="W651" s="1" t="s">
        <v>273</v>
      </c>
      <c r="X651" s="1" t="s">
        <v>12204</v>
      </c>
      <c r="Y651" s="1" t="s">
        <v>1963</v>
      </c>
      <c r="Z651" s="1" t="s">
        <v>92</v>
      </c>
      <c r="AA651" s="1" t="s">
        <v>12204</v>
      </c>
      <c r="AB651" s="1" t="s">
        <v>1963</v>
      </c>
      <c r="AC651" s="1" t="s">
        <v>92</v>
      </c>
      <c r="AD651" s="1">
        <v>8.33</v>
      </c>
      <c r="AE651" s="1" t="s">
        <v>93</v>
      </c>
      <c r="AF651" s="1" t="s">
        <v>12205</v>
      </c>
      <c r="AG651" s="1" t="s">
        <v>160</v>
      </c>
      <c r="AH651" s="1" t="s">
        <v>165</v>
      </c>
      <c r="AI651" s="1" t="s">
        <v>166</v>
      </c>
      <c r="AJ651" s="1">
        <v>89</v>
      </c>
      <c r="AK651" s="1"/>
      <c r="AL651" s="1"/>
      <c r="AM651" s="1"/>
      <c r="AN651" s="1"/>
      <c r="AO651" s="1"/>
      <c r="AP651" s="1"/>
      <c r="AQ651" s="1"/>
      <c r="AR651" s="1" t="s">
        <v>98</v>
      </c>
      <c r="AS651" s="1" t="s">
        <v>1965</v>
      </c>
      <c r="AT651" s="1" t="s">
        <v>1043</v>
      </c>
      <c r="AU651" s="1" t="s">
        <v>542</v>
      </c>
      <c r="AV651" s="1">
        <v>87.81</v>
      </c>
      <c r="AW651" s="1"/>
      <c r="AX651" s="1" t="s">
        <v>361</v>
      </c>
      <c r="AY651" s="1" t="s">
        <v>9140</v>
      </c>
      <c r="AZ651" s="1" t="s">
        <v>852</v>
      </c>
      <c r="BA651" s="1" t="s">
        <v>202</v>
      </c>
      <c r="BB651" s="1">
        <v>73.3</v>
      </c>
      <c r="BC651" s="1">
        <v>8.08</v>
      </c>
      <c r="BD651" s="1"/>
      <c r="BE651" s="1"/>
      <c r="BF651" s="1"/>
      <c r="BG651" s="1"/>
      <c r="BH651" s="1"/>
      <c r="BI651" s="1"/>
      <c r="BJ651" s="1" t="s">
        <v>567</v>
      </c>
      <c r="BK651" s="1" t="s">
        <v>12206</v>
      </c>
      <c r="BL651" s="1" t="s">
        <v>670</v>
      </c>
      <c r="BM651" s="1" t="s">
        <v>12207</v>
      </c>
      <c r="BN651" s="1">
        <v>8</v>
      </c>
      <c r="BO651" s="1"/>
      <c r="BP651" s="1" t="str">
        <f>HYPERLINK("https://nconnect.nicmar.ac.in/storage/profile/ProfilePhoto_P25700656_593681.jpg","Download")</f>
        <v>0</v>
      </c>
      <c r="BQ651" s="3"/>
      <c r="BR651" s="3"/>
    </row>
    <row r="652" spans="1:70">
      <c r="A652" s="1" t="s">
        <v>70</v>
      </c>
      <c r="B652" s="1" t="s">
        <v>441</v>
      </c>
      <c r="C652" s="1" t="s">
        <v>12208</v>
      </c>
      <c r="D652" s="1" t="s">
        <v>12209</v>
      </c>
      <c r="E652" s="1" t="s">
        <v>12210</v>
      </c>
      <c r="F652" s="1" t="s">
        <v>2744</v>
      </c>
      <c r="G652" s="1" t="s">
        <v>12211</v>
      </c>
      <c r="H652" s="1" t="s">
        <v>12212</v>
      </c>
      <c r="I652" s="1" t="s">
        <v>12213</v>
      </c>
      <c r="J652" s="1">
        <v>8149988053</v>
      </c>
      <c r="K652" s="1" t="s">
        <v>79</v>
      </c>
      <c r="L652" s="1" t="s">
        <v>12214</v>
      </c>
      <c r="M652" s="1" t="s">
        <v>81</v>
      </c>
      <c r="N652" s="1" t="s">
        <v>5476</v>
      </c>
      <c r="O652" s="1"/>
      <c r="P652" s="1" t="s">
        <v>497</v>
      </c>
      <c r="Q652" s="1" t="s">
        <v>12215</v>
      </c>
      <c r="R652" s="1" t="s">
        <v>12216</v>
      </c>
      <c r="S652" s="1">
        <v>9850340320</v>
      </c>
      <c r="T652" s="1" t="s">
        <v>632</v>
      </c>
      <c r="U652" s="1" t="s">
        <v>12217</v>
      </c>
      <c r="V652" s="1">
        <v>9028973313</v>
      </c>
      <c r="W652" s="1" t="s">
        <v>156</v>
      </c>
      <c r="X652" s="1" t="s">
        <v>12218</v>
      </c>
      <c r="Y652" s="1" t="s">
        <v>405</v>
      </c>
      <c r="Z652" s="1" t="s">
        <v>92</v>
      </c>
      <c r="AA652" s="1" t="s">
        <v>12218</v>
      </c>
      <c r="AB652" s="1" t="s">
        <v>405</v>
      </c>
      <c r="AC652" s="1" t="s">
        <v>92</v>
      </c>
      <c r="AD652" s="1">
        <v>8.41</v>
      </c>
      <c r="AE652" s="1" t="s">
        <v>93</v>
      </c>
      <c r="AF652" s="1" t="s">
        <v>2869</v>
      </c>
      <c r="AG652" s="1" t="s">
        <v>12219</v>
      </c>
      <c r="AH652" s="1" t="s">
        <v>1371</v>
      </c>
      <c r="AI652" s="1" t="s">
        <v>780</v>
      </c>
      <c r="AJ652" s="1">
        <v>86.18</v>
      </c>
      <c r="AK652" s="1">
        <v>0</v>
      </c>
      <c r="AL652" s="1" t="s">
        <v>12220</v>
      </c>
      <c r="AM652" s="1" t="s">
        <v>12219</v>
      </c>
      <c r="AN652" s="1" t="s">
        <v>4602</v>
      </c>
      <c r="AO652" s="1" t="s">
        <v>12221</v>
      </c>
      <c r="AP652" s="1">
        <v>61.67</v>
      </c>
      <c r="AQ652" s="1">
        <v>0</v>
      </c>
      <c r="AR652" s="1"/>
      <c r="AS652" s="1"/>
      <c r="AT652" s="1"/>
      <c r="AU652" s="1"/>
      <c r="AV652" s="1"/>
      <c r="AW652" s="1"/>
      <c r="AX652" s="1" t="s">
        <v>410</v>
      </c>
      <c r="AY652" s="1" t="s">
        <v>12222</v>
      </c>
      <c r="AZ652" s="1" t="s">
        <v>3789</v>
      </c>
      <c r="BA652" s="1" t="s">
        <v>383</v>
      </c>
      <c r="BB652" s="1">
        <v>63.7</v>
      </c>
      <c r="BC652" s="1">
        <v>7.12</v>
      </c>
      <c r="BD652" s="1"/>
      <c r="BE652" s="1"/>
      <c r="BF652" s="1"/>
      <c r="BG652" s="1"/>
      <c r="BH652" s="1"/>
      <c r="BI652" s="1"/>
      <c r="BJ652" s="1" t="s">
        <v>1659</v>
      </c>
      <c r="BK652" s="1" t="s">
        <v>12223</v>
      </c>
      <c r="BL652" s="1" t="s">
        <v>12224</v>
      </c>
      <c r="BM652" s="1" t="s">
        <v>12225</v>
      </c>
      <c r="BN652" s="1">
        <v>8</v>
      </c>
      <c r="BO652" s="1" t="s">
        <v>12226</v>
      </c>
      <c r="BP652" s="1" t="str">
        <f>HYPERLINK("https://nconnect.nicmar.ac.in/storage/profile/ProfilePhoto_P25700657_983527.jpg","Download")</f>
        <v>0</v>
      </c>
      <c r="BQ652" s="3"/>
      <c r="BR652" s="3"/>
    </row>
    <row r="653" spans="1:70">
      <c r="A653" s="1" t="s">
        <v>70</v>
      </c>
      <c r="B653" s="1" t="s">
        <v>441</v>
      </c>
      <c r="C653" s="1" t="s">
        <v>12227</v>
      </c>
      <c r="D653" s="1" t="s">
        <v>12228</v>
      </c>
      <c r="E653" s="1" t="s">
        <v>12229</v>
      </c>
      <c r="F653" s="1" t="s">
        <v>12230</v>
      </c>
      <c r="G653" s="1" t="s">
        <v>12231</v>
      </c>
      <c r="H653" s="1" t="s">
        <v>12232</v>
      </c>
      <c r="I653" s="1" t="s">
        <v>12233</v>
      </c>
      <c r="J653" s="1">
        <v>8390157668</v>
      </c>
      <c r="K653" s="1" t="s">
        <v>79</v>
      </c>
      <c r="L653" s="1" t="s">
        <v>12234</v>
      </c>
      <c r="M653" s="1" t="s">
        <v>81</v>
      </c>
      <c r="N653" s="1" t="s">
        <v>3065</v>
      </c>
      <c r="O653" s="1"/>
      <c r="P653" s="1" t="s">
        <v>450</v>
      </c>
      <c r="Q653" s="1" t="s">
        <v>12235</v>
      </c>
      <c r="R653" s="1" t="s">
        <v>12230</v>
      </c>
      <c r="S653" s="1">
        <v>9423413654</v>
      </c>
      <c r="T653" s="1" t="s">
        <v>122</v>
      </c>
      <c r="U653" s="1" t="s">
        <v>301</v>
      </c>
      <c r="V653" s="1">
        <v>7385536131</v>
      </c>
      <c r="W653" s="1" t="s">
        <v>89</v>
      </c>
      <c r="X653" s="1" t="s">
        <v>12236</v>
      </c>
      <c r="Y653" s="1" t="s">
        <v>5588</v>
      </c>
      <c r="Z653" s="1" t="s">
        <v>92</v>
      </c>
      <c r="AA653" s="1" t="s">
        <v>12236</v>
      </c>
      <c r="AB653" s="1" t="s">
        <v>5588</v>
      </c>
      <c r="AC653" s="1" t="s">
        <v>92</v>
      </c>
      <c r="AD653" s="1">
        <v>8.9</v>
      </c>
      <c r="AE653" s="1" t="s">
        <v>93</v>
      </c>
      <c r="AF653" s="1" t="s">
        <v>12237</v>
      </c>
      <c r="AG653" s="1" t="s">
        <v>12238</v>
      </c>
      <c r="AH653" s="1" t="s">
        <v>383</v>
      </c>
      <c r="AI653" s="1" t="s">
        <v>281</v>
      </c>
      <c r="AJ653" s="1">
        <v>90.4</v>
      </c>
      <c r="AK653" s="1"/>
      <c r="AL653" s="1"/>
      <c r="AM653" s="1"/>
      <c r="AN653" s="1"/>
      <c r="AO653" s="1"/>
      <c r="AP653" s="1"/>
      <c r="AQ653" s="1"/>
      <c r="AR653" s="1" t="s">
        <v>98</v>
      </c>
      <c r="AS653" s="1" t="s">
        <v>12239</v>
      </c>
      <c r="AT653" s="1" t="s">
        <v>169</v>
      </c>
      <c r="AU653" s="1" t="s">
        <v>826</v>
      </c>
      <c r="AV653" s="1">
        <v>89.2</v>
      </c>
      <c r="AW653" s="1"/>
      <c r="AX653" s="1" t="s">
        <v>12240</v>
      </c>
      <c r="AY653" s="1" t="s">
        <v>12241</v>
      </c>
      <c r="AZ653" s="1" t="s">
        <v>105</v>
      </c>
      <c r="BA653" s="1" t="s">
        <v>829</v>
      </c>
      <c r="BB653" s="1">
        <v>87.6</v>
      </c>
      <c r="BC653" s="1">
        <v>9.51</v>
      </c>
      <c r="BD653" s="1"/>
      <c r="BE653" s="1"/>
      <c r="BF653" s="1"/>
      <c r="BG653" s="1"/>
      <c r="BH653" s="1"/>
      <c r="BI653" s="1"/>
      <c r="BJ653" s="1" t="s">
        <v>12242</v>
      </c>
      <c r="BK653" s="1"/>
      <c r="BL653" s="1"/>
      <c r="BM653" s="1" t="s">
        <v>12243</v>
      </c>
      <c r="BN653" s="1">
        <v>30</v>
      </c>
      <c r="BO653" s="1" t="s">
        <v>12244</v>
      </c>
      <c r="BP653" s="1" t="str">
        <f>HYPERLINK("https://nconnect.nicmar.ac.in/storage/profile/ProfilePhoto_P25700658_675928.jpg","Download")</f>
        <v>0</v>
      </c>
      <c r="BQ653" s="3"/>
      <c r="BR653" s="3"/>
    </row>
    <row r="654" spans="1:70">
      <c r="A654" s="1" t="s">
        <v>70</v>
      </c>
      <c r="B654" s="1" t="s">
        <v>441</v>
      </c>
      <c r="C654" s="1" t="s">
        <v>12245</v>
      </c>
      <c r="D654" s="1" t="s">
        <v>12246</v>
      </c>
      <c r="E654" s="1"/>
      <c r="F654" s="1" t="s">
        <v>12247</v>
      </c>
      <c r="G654" s="1" t="s">
        <v>12248</v>
      </c>
      <c r="H654" s="1" t="s">
        <v>12249</v>
      </c>
      <c r="I654" s="1" t="s">
        <v>12250</v>
      </c>
      <c r="J654" s="1">
        <v>9652296802</v>
      </c>
      <c r="K654" s="1" t="s">
        <v>79</v>
      </c>
      <c r="L654" s="1" t="s">
        <v>7805</v>
      </c>
      <c r="M654" s="1" t="s">
        <v>81</v>
      </c>
      <c r="N654" s="1" t="s">
        <v>3102</v>
      </c>
      <c r="O654" s="1"/>
      <c r="P654" s="1" t="s">
        <v>450</v>
      </c>
      <c r="Q654" s="1" t="s">
        <v>12251</v>
      </c>
      <c r="R654" s="1" t="s">
        <v>12252</v>
      </c>
      <c r="S654" s="1">
        <v>9490268835</v>
      </c>
      <c r="T654" s="1" t="s">
        <v>154</v>
      </c>
      <c r="U654" s="1" t="s">
        <v>12253</v>
      </c>
      <c r="V654" s="1">
        <v>7093407357</v>
      </c>
      <c r="W654" s="1" t="s">
        <v>273</v>
      </c>
      <c r="X654" s="1" t="s">
        <v>12254</v>
      </c>
      <c r="Y654" s="1" t="s">
        <v>12086</v>
      </c>
      <c r="Z654" s="1" t="s">
        <v>276</v>
      </c>
      <c r="AA654" s="1" t="s">
        <v>12254</v>
      </c>
      <c r="AB654" s="1" t="s">
        <v>12086</v>
      </c>
      <c r="AC654" s="1" t="s">
        <v>276</v>
      </c>
      <c r="AD654" s="1">
        <v>8.12</v>
      </c>
      <c r="AE654" s="1" t="s">
        <v>93</v>
      </c>
      <c r="AF654" s="1" t="s">
        <v>12255</v>
      </c>
      <c r="AG654" s="1" t="s">
        <v>1396</v>
      </c>
      <c r="AH654" s="1" t="s">
        <v>165</v>
      </c>
      <c r="AI654" s="1" t="s">
        <v>281</v>
      </c>
      <c r="AJ654" s="1">
        <v>95</v>
      </c>
      <c r="AK654" s="1">
        <v>9.5</v>
      </c>
      <c r="AL654" s="1" t="s">
        <v>12256</v>
      </c>
      <c r="AM654" s="1" t="s">
        <v>12257</v>
      </c>
      <c r="AN654" s="1" t="s">
        <v>101</v>
      </c>
      <c r="AO654" s="1" t="s">
        <v>590</v>
      </c>
      <c r="AP654" s="1">
        <v>93.4</v>
      </c>
      <c r="AQ654" s="1">
        <v>9.67</v>
      </c>
      <c r="AR654" s="1"/>
      <c r="AS654" s="1"/>
      <c r="AT654" s="1"/>
      <c r="AU654" s="1"/>
      <c r="AV654" s="1"/>
      <c r="AW654" s="1"/>
      <c r="AX654" s="1" t="s">
        <v>11435</v>
      </c>
      <c r="AY654" s="1" t="s">
        <v>12258</v>
      </c>
      <c r="AZ654" s="1" t="s">
        <v>828</v>
      </c>
      <c r="BA654" s="1" t="s">
        <v>1292</v>
      </c>
      <c r="BB654" s="1">
        <v>77.3</v>
      </c>
      <c r="BC654" s="1">
        <v>7.73</v>
      </c>
      <c r="BD654" s="1"/>
      <c r="BE654" s="1"/>
      <c r="BF654" s="1"/>
      <c r="BG654" s="1"/>
      <c r="BH654" s="1"/>
      <c r="BI654" s="1"/>
      <c r="BJ654" s="1" t="s">
        <v>12259</v>
      </c>
      <c r="BK654" s="1"/>
      <c r="BL654" s="1"/>
      <c r="BM654" s="1" t="s">
        <v>12260</v>
      </c>
      <c r="BN654" s="1">
        <v>11</v>
      </c>
      <c r="BO654" s="1" t="s">
        <v>12261</v>
      </c>
      <c r="BP654" s="1" t="str">
        <f>HYPERLINK("https://nconnect.nicmar.ac.in/storage/profile/ProfilePhoto_P25700659_347681.jpg","Download")</f>
        <v>0</v>
      </c>
      <c r="BQ654" s="3"/>
      <c r="BR654" s="3"/>
    </row>
    <row r="655" spans="1:70">
      <c r="A655" s="1" t="s">
        <v>70</v>
      </c>
      <c r="B655" s="1" t="s">
        <v>441</v>
      </c>
      <c r="C655" s="1" t="s">
        <v>12262</v>
      </c>
      <c r="D655" s="1" t="s">
        <v>12263</v>
      </c>
      <c r="E655" s="1"/>
      <c r="F655" s="1" t="s">
        <v>111</v>
      </c>
      <c r="G655" s="1" t="s">
        <v>12264</v>
      </c>
      <c r="H655" s="1" t="s">
        <v>12265</v>
      </c>
      <c r="I655" s="1" t="s">
        <v>12266</v>
      </c>
      <c r="J655" s="1">
        <v>8148047319</v>
      </c>
      <c r="K655" s="1" t="s">
        <v>148</v>
      </c>
      <c r="L655" s="1" t="s">
        <v>12267</v>
      </c>
      <c r="M655" s="1" t="s">
        <v>81</v>
      </c>
      <c r="N655" s="1" t="s">
        <v>5779</v>
      </c>
      <c r="O655" s="1"/>
      <c r="P655" s="1" t="s">
        <v>497</v>
      </c>
      <c r="Q655" s="1" t="s">
        <v>12268</v>
      </c>
      <c r="R655" s="1" t="s">
        <v>12269</v>
      </c>
      <c r="S655" s="1">
        <v>9600967325</v>
      </c>
      <c r="T655" s="1" t="s">
        <v>2972</v>
      </c>
      <c r="U655" s="1" t="s">
        <v>12270</v>
      </c>
      <c r="V655" s="1">
        <v>8248915977</v>
      </c>
      <c r="W655" s="1" t="s">
        <v>273</v>
      </c>
      <c r="X655" s="1" t="s">
        <v>12271</v>
      </c>
      <c r="Y655" s="1" t="s">
        <v>12272</v>
      </c>
      <c r="Z655" s="1" t="s">
        <v>559</v>
      </c>
      <c r="AA655" s="1" t="s">
        <v>12271</v>
      </c>
      <c r="AB655" s="1" t="s">
        <v>12272</v>
      </c>
      <c r="AC655" s="1" t="s">
        <v>559</v>
      </c>
      <c r="AD655" s="1">
        <v>8.83</v>
      </c>
      <c r="AE655" s="1" t="s">
        <v>93</v>
      </c>
      <c r="AF655" s="1" t="s">
        <v>12273</v>
      </c>
      <c r="AG655" s="1" t="s">
        <v>8620</v>
      </c>
      <c r="AH655" s="1" t="s">
        <v>101</v>
      </c>
      <c r="AI655" s="1" t="s">
        <v>537</v>
      </c>
      <c r="AJ655" s="1">
        <v>93.8</v>
      </c>
      <c r="AK655" s="1"/>
      <c r="AL655" s="1" t="s">
        <v>12273</v>
      </c>
      <c r="AM655" s="1" t="s">
        <v>8620</v>
      </c>
      <c r="AN655" s="1" t="s">
        <v>460</v>
      </c>
      <c r="AO655" s="1" t="s">
        <v>539</v>
      </c>
      <c r="AP655" s="1">
        <v>95.34</v>
      </c>
      <c r="AQ655" s="1"/>
      <c r="AR655" s="1"/>
      <c r="AS655" s="1"/>
      <c r="AT655" s="1"/>
      <c r="AU655" s="1"/>
      <c r="AV655" s="1"/>
      <c r="AW655" s="1"/>
      <c r="AX655" s="1" t="s">
        <v>564</v>
      </c>
      <c r="AY655" s="1" t="s">
        <v>12274</v>
      </c>
      <c r="AZ655" s="1" t="s">
        <v>828</v>
      </c>
      <c r="BA655" s="1" t="s">
        <v>543</v>
      </c>
      <c r="BB655" s="1">
        <v>86.03</v>
      </c>
      <c r="BC655" s="1">
        <v>8.6</v>
      </c>
      <c r="BD655" s="1"/>
      <c r="BE655" s="1"/>
      <c r="BF655" s="1"/>
      <c r="BG655" s="1"/>
      <c r="BH655" s="1"/>
      <c r="BI655" s="1"/>
      <c r="BJ655" s="1" t="s">
        <v>12275</v>
      </c>
      <c r="BK655" s="1"/>
      <c r="BL655" s="1"/>
      <c r="BM655" s="1" t="s">
        <v>12276</v>
      </c>
      <c r="BN655" s="1">
        <v>12</v>
      </c>
      <c r="BO655" s="1"/>
      <c r="BP655" s="1" t="str">
        <f>HYPERLINK("https://nconnect.nicmar.ac.in/storage/profile/ProfilePhoto_P25700660_348769.jpg","Download")</f>
        <v>0</v>
      </c>
      <c r="BQ655" s="3"/>
      <c r="BR655" s="3"/>
    </row>
    <row r="656" spans="1:70">
      <c r="A656" s="1" t="s">
        <v>70</v>
      </c>
      <c r="B656" s="1" t="s">
        <v>441</v>
      </c>
      <c r="C656" s="1" t="s">
        <v>12277</v>
      </c>
      <c r="D656" s="1" t="s">
        <v>12278</v>
      </c>
      <c r="E656" s="1"/>
      <c r="F656" s="1" t="s">
        <v>4014</v>
      </c>
      <c r="G656" s="1" t="s">
        <v>12279</v>
      </c>
      <c r="H656" s="1" t="s">
        <v>12280</v>
      </c>
      <c r="I656" s="1" t="s">
        <v>12281</v>
      </c>
      <c r="J656" s="1">
        <v>9384654535</v>
      </c>
      <c r="K656" s="1" t="s">
        <v>79</v>
      </c>
      <c r="L656" s="1" t="s">
        <v>12282</v>
      </c>
      <c r="M656" s="1" t="s">
        <v>81</v>
      </c>
      <c r="N656" s="1" t="s">
        <v>12283</v>
      </c>
      <c r="O656" s="1"/>
      <c r="P656" s="1" t="s">
        <v>497</v>
      </c>
      <c r="Q656" s="1" t="s">
        <v>12284</v>
      </c>
      <c r="R656" s="1" t="s">
        <v>12285</v>
      </c>
      <c r="S656" s="1">
        <v>9677090869</v>
      </c>
      <c r="T656" s="1" t="s">
        <v>820</v>
      </c>
      <c r="U656" s="1" t="s">
        <v>12286</v>
      </c>
      <c r="V656" s="1">
        <v>9080380248</v>
      </c>
      <c r="W656" s="1" t="s">
        <v>122</v>
      </c>
      <c r="X656" s="1" t="s">
        <v>12287</v>
      </c>
      <c r="Y656" s="1" t="s">
        <v>1475</v>
      </c>
      <c r="Z656" s="1" t="s">
        <v>559</v>
      </c>
      <c r="AA656" s="1" t="s">
        <v>12287</v>
      </c>
      <c r="AB656" s="1" t="s">
        <v>1475</v>
      </c>
      <c r="AC656" s="1" t="s">
        <v>559</v>
      </c>
      <c r="AD656" s="1">
        <v>8.62</v>
      </c>
      <c r="AE656" s="1" t="s">
        <v>93</v>
      </c>
      <c r="AF656" s="1" t="s">
        <v>12288</v>
      </c>
      <c r="AG656" s="1" t="s">
        <v>9154</v>
      </c>
      <c r="AH656" s="1" t="s">
        <v>1088</v>
      </c>
      <c r="AI656" s="1" t="s">
        <v>614</v>
      </c>
      <c r="AJ656" s="1">
        <v>85.5</v>
      </c>
      <c r="AK656" s="1">
        <v>9</v>
      </c>
      <c r="AL656" s="1" t="s">
        <v>12289</v>
      </c>
      <c r="AM656" s="1" t="s">
        <v>561</v>
      </c>
      <c r="AN656" s="1" t="s">
        <v>165</v>
      </c>
      <c r="AO656" s="1" t="s">
        <v>166</v>
      </c>
      <c r="AP656" s="1">
        <v>74</v>
      </c>
      <c r="AQ656" s="1">
        <v>0</v>
      </c>
      <c r="AR656" s="1"/>
      <c r="AS656" s="1"/>
      <c r="AT656" s="1"/>
      <c r="AU656" s="1"/>
      <c r="AV656" s="1"/>
      <c r="AW656" s="1"/>
      <c r="AX656" s="1" t="s">
        <v>564</v>
      </c>
      <c r="AY656" s="1" t="s">
        <v>12290</v>
      </c>
      <c r="AZ656" s="1" t="s">
        <v>1043</v>
      </c>
      <c r="BA656" s="1" t="s">
        <v>284</v>
      </c>
      <c r="BB656" s="1">
        <v>83.5</v>
      </c>
      <c r="BC656" s="1">
        <v>8.35</v>
      </c>
      <c r="BD656" s="1"/>
      <c r="BE656" s="1"/>
      <c r="BF656" s="1"/>
      <c r="BG656" s="1"/>
      <c r="BH656" s="1"/>
      <c r="BI656" s="1"/>
      <c r="BJ656" s="1" t="s">
        <v>12291</v>
      </c>
      <c r="BK656" s="1" t="s">
        <v>12292</v>
      </c>
      <c r="BL656" s="1" t="s">
        <v>514</v>
      </c>
      <c r="BM656" s="1" t="s">
        <v>12293</v>
      </c>
      <c r="BN656" s="1">
        <v>11</v>
      </c>
      <c r="BO656" s="1" t="s">
        <v>12294</v>
      </c>
      <c r="BP656" s="1" t="str">
        <f>HYPERLINK("https://nconnect.nicmar.ac.in/storage/profile/ProfilePhoto_P25700661_438971.jpg","Download")</f>
        <v>0</v>
      </c>
      <c r="BQ656" s="3"/>
      <c r="BR656" s="3"/>
    </row>
    <row r="657" spans="1:70">
      <c r="A657" s="1" t="s">
        <v>70</v>
      </c>
      <c r="B657" s="1" t="s">
        <v>441</v>
      </c>
      <c r="C657" s="1" t="s">
        <v>12295</v>
      </c>
      <c r="D657" s="1" t="s">
        <v>5754</v>
      </c>
      <c r="E657" s="1" t="s">
        <v>144</v>
      </c>
      <c r="F657" s="1" t="s">
        <v>12296</v>
      </c>
      <c r="G657" s="1" t="s">
        <v>12297</v>
      </c>
      <c r="H657" s="1" t="s">
        <v>12298</v>
      </c>
      <c r="I657" s="1" t="s">
        <v>12299</v>
      </c>
      <c r="J657" s="1">
        <v>7517356373</v>
      </c>
      <c r="K657" s="1" t="s">
        <v>79</v>
      </c>
      <c r="L657" s="1" t="s">
        <v>12300</v>
      </c>
      <c r="M657" s="1" t="s">
        <v>81</v>
      </c>
      <c r="N657" s="1" t="s">
        <v>605</v>
      </c>
      <c r="O657" s="1"/>
      <c r="P657" s="1" t="s">
        <v>450</v>
      </c>
      <c r="Q657" s="1" t="s">
        <v>12301</v>
      </c>
      <c r="R657" s="1" t="s">
        <v>12302</v>
      </c>
      <c r="S657" s="1">
        <v>8149234348</v>
      </c>
      <c r="T657" s="1" t="s">
        <v>154</v>
      </c>
      <c r="U657" s="1" t="s">
        <v>12303</v>
      </c>
      <c r="V657" s="1">
        <v>9307009781</v>
      </c>
      <c r="W657" s="1" t="s">
        <v>273</v>
      </c>
      <c r="X657" s="1" t="s">
        <v>12304</v>
      </c>
      <c r="Y657" s="1" t="s">
        <v>1166</v>
      </c>
      <c r="Z657" s="1" t="s">
        <v>92</v>
      </c>
      <c r="AA657" s="1" t="s">
        <v>12304</v>
      </c>
      <c r="AB657" s="1" t="s">
        <v>1166</v>
      </c>
      <c r="AC657" s="1" t="s">
        <v>92</v>
      </c>
      <c r="AD657" s="1">
        <v>7.98</v>
      </c>
      <c r="AE657" s="1" t="s">
        <v>93</v>
      </c>
      <c r="AF657" s="1" t="s">
        <v>12305</v>
      </c>
      <c r="AG657" s="1" t="s">
        <v>12306</v>
      </c>
      <c r="AH657" s="1" t="s">
        <v>165</v>
      </c>
      <c r="AI657" s="1" t="s">
        <v>281</v>
      </c>
      <c r="AJ657" s="1">
        <v>65.2</v>
      </c>
      <c r="AK657" s="1"/>
      <c r="AL657" s="1"/>
      <c r="AM657" s="1"/>
      <c r="AN657" s="1"/>
      <c r="AO657" s="1"/>
      <c r="AP657" s="1"/>
      <c r="AQ657" s="1"/>
      <c r="AR657" s="1" t="s">
        <v>434</v>
      </c>
      <c r="AS657" s="1" t="s">
        <v>12307</v>
      </c>
      <c r="AT657" s="1" t="s">
        <v>169</v>
      </c>
      <c r="AU657" s="1" t="s">
        <v>828</v>
      </c>
      <c r="AV657" s="1">
        <v>83.53</v>
      </c>
      <c r="AW657" s="1"/>
      <c r="AX657" s="1" t="s">
        <v>666</v>
      </c>
      <c r="AY657" s="1" t="s">
        <v>12308</v>
      </c>
      <c r="AZ657" s="1" t="s">
        <v>436</v>
      </c>
      <c r="BA657" s="1" t="s">
        <v>1219</v>
      </c>
      <c r="BB657" s="1">
        <v>63.45</v>
      </c>
      <c r="BC657" s="1">
        <v>7.03</v>
      </c>
      <c r="BD657" s="1"/>
      <c r="BE657" s="1"/>
      <c r="BF657" s="1"/>
      <c r="BG657" s="1"/>
      <c r="BH657" s="1"/>
      <c r="BI657" s="1"/>
      <c r="BJ657" s="1" t="s">
        <v>12309</v>
      </c>
      <c r="BK657" s="1"/>
      <c r="BL657" s="1"/>
      <c r="BM657" s="1" t="s">
        <v>12310</v>
      </c>
      <c r="BN657" s="1">
        <v>16</v>
      </c>
      <c r="BO657" s="1"/>
      <c r="BP657" s="1" t="str">
        <f>HYPERLINK("https://nconnect.nicmar.ac.in/storage/profile/ProfilePhoto_P25700662_857164.jpg","Download")</f>
        <v>0</v>
      </c>
      <c r="BQ657" s="3"/>
      <c r="BR657" s="3"/>
    </row>
    <row r="658" spans="1:70">
      <c r="A658" s="1" t="s">
        <v>70</v>
      </c>
      <c r="B658" s="1" t="s">
        <v>441</v>
      </c>
      <c r="C658" s="1" t="s">
        <v>12311</v>
      </c>
      <c r="D658" s="1" t="s">
        <v>4824</v>
      </c>
      <c r="E658" s="1" t="s">
        <v>1644</v>
      </c>
      <c r="F658" s="1" t="s">
        <v>12312</v>
      </c>
      <c r="G658" s="1" t="s">
        <v>12313</v>
      </c>
      <c r="H658" s="1" t="s">
        <v>12314</v>
      </c>
      <c r="I658" s="1" t="s">
        <v>12315</v>
      </c>
      <c r="J658" s="1">
        <v>9139384018</v>
      </c>
      <c r="K658" s="1" t="s">
        <v>79</v>
      </c>
      <c r="L658" s="1" t="s">
        <v>12316</v>
      </c>
      <c r="M658" s="1" t="s">
        <v>81</v>
      </c>
      <c r="N658" s="1" t="s">
        <v>1140</v>
      </c>
      <c r="O658" s="1"/>
      <c r="P658" s="1" t="s">
        <v>450</v>
      </c>
      <c r="Q658" s="1" t="s">
        <v>12317</v>
      </c>
      <c r="R658" s="1" t="s">
        <v>12318</v>
      </c>
      <c r="S658" s="1">
        <v>9158564325</v>
      </c>
      <c r="T658" s="1" t="s">
        <v>154</v>
      </c>
      <c r="U658" s="1" t="s">
        <v>12319</v>
      </c>
      <c r="V658" s="1">
        <v>8999731418</v>
      </c>
      <c r="W658" s="1" t="s">
        <v>12320</v>
      </c>
      <c r="X658" s="1" t="s">
        <v>12321</v>
      </c>
      <c r="Y658" s="1" t="s">
        <v>191</v>
      </c>
      <c r="Z658" s="1" t="s">
        <v>92</v>
      </c>
      <c r="AA658" s="1" t="s">
        <v>12321</v>
      </c>
      <c r="AB658" s="1" t="s">
        <v>191</v>
      </c>
      <c r="AC658" s="1" t="s">
        <v>92</v>
      </c>
      <c r="AD658" s="1">
        <v>8.11</v>
      </c>
      <c r="AE658" s="1" t="s">
        <v>93</v>
      </c>
      <c r="AF658" s="1" t="s">
        <v>12322</v>
      </c>
      <c r="AG658" s="1" t="s">
        <v>12323</v>
      </c>
      <c r="AH658" s="1" t="s">
        <v>101</v>
      </c>
      <c r="AI658" s="1" t="s">
        <v>433</v>
      </c>
      <c r="AJ658" s="1">
        <v>83.8</v>
      </c>
      <c r="AK658" s="1"/>
      <c r="AL658" s="1"/>
      <c r="AM658" s="1"/>
      <c r="AN658" s="1"/>
      <c r="AO658" s="1"/>
      <c r="AP658" s="1"/>
      <c r="AQ658" s="1"/>
      <c r="AR658" s="1" t="s">
        <v>98</v>
      </c>
      <c r="AS658" s="1" t="s">
        <v>12324</v>
      </c>
      <c r="AT658" s="1" t="s">
        <v>310</v>
      </c>
      <c r="AU658" s="1" t="s">
        <v>105</v>
      </c>
      <c r="AV658" s="1">
        <v>78</v>
      </c>
      <c r="AW658" s="1"/>
      <c r="AX658" s="1" t="s">
        <v>361</v>
      </c>
      <c r="AY658" s="1" t="s">
        <v>12325</v>
      </c>
      <c r="AZ658" s="1" t="s">
        <v>1864</v>
      </c>
      <c r="BA658" s="1" t="s">
        <v>829</v>
      </c>
      <c r="BB658" s="1">
        <v>62.48</v>
      </c>
      <c r="BC658" s="1">
        <v>7.02</v>
      </c>
      <c r="BD658" s="1"/>
      <c r="BE658" s="1"/>
      <c r="BF658" s="1"/>
      <c r="BG658" s="1"/>
      <c r="BH658" s="1"/>
      <c r="BI658" s="1"/>
      <c r="BJ658" s="1" t="s">
        <v>830</v>
      </c>
      <c r="BK658" s="1"/>
      <c r="BL658" s="1"/>
      <c r="BM658" s="1" t="s">
        <v>12326</v>
      </c>
      <c r="BN658" s="1">
        <v>84</v>
      </c>
      <c r="BO658" s="1"/>
      <c r="BP658" s="1" t="str">
        <f>HYPERLINK("https://nconnect.nicmar.ac.in/storage/profile/ProfilePhoto_P25700663_453187.jpg","Download")</f>
        <v>0</v>
      </c>
      <c r="BQ658" s="3"/>
      <c r="BR658" s="3"/>
    </row>
    <row r="659" spans="1:70">
      <c r="A659" s="1" t="s">
        <v>70</v>
      </c>
      <c r="B659" s="1" t="s">
        <v>441</v>
      </c>
      <c r="C659" s="1" t="s">
        <v>12327</v>
      </c>
      <c r="D659" s="1" t="s">
        <v>12328</v>
      </c>
      <c r="E659" s="1" t="s">
        <v>12329</v>
      </c>
      <c r="F659" s="1" t="s">
        <v>4053</v>
      </c>
      <c r="G659" s="1" t="s">
        <v>12330</v>
      </c>
      <c r="H659" s="1" t="s">
        <v>12331</v>
      </c>
      <c r="I659" s="1" t="s">
        <v>12332</v>
      </c>
      <c r="J659" s="1">
        <v>7989008011</v>
      </c>
      <c r="K659" s="1" t="s">
        <v>79</v>
      </c>
      <c r="L659" s="1" t="s">
        <v>12333</v>
      </c>
      <c r="M659" s="1" t="s">
        <v>81</v>
      </c>
      <c r="N659" s="1" t="s">
        <v>12334</v>
      </c>
      <c r="O659" s="1"/>
      <c r="P659" s="1" t="s">
        <v>497</v>
      </c>
      <c r="Q659" s="1" t="s">
        <v>12335</v>
      </c>
      <c r="R659" s="1" t="s">
        <v>12336</v>
      </c>
      <c r="S659" s="1">
        <v>8886493636</v>
      </c>
      <c r="T659" s="1" t="s">
        <v>820</v>
      </c>
      <c r="U659" s="1" t="s">
        <v>12337</v>
      </c>
      <c r="V659" s="1">
        <v>9949800029</v>
      </c>
      <c r="W659" s="1" t="s">
        <v>531</v>
      </c>
      <c r="X659" s="1" t="s">
        <v>12338</v>
      </c>
      <c r="Y659" s="1" t="s">
        <v>3050</v>
      </c>
      <c r="Z659" s="1" t="s">
        <v>456</v>
      </c>
      <c r="AA659" s="1" t="s">
        <v>12338</v>
      </c>
      <c r="AB659" s="1" t="s">
        <v>3050</v>
      </c>
      <c r="AC659" s="1" t="s">
        <v>456</v>
      </c>
      <c r="AD659" s="1">
        <v>8.77</v>
      </c>
      <c r="AE659" s="1" t="s">
        <v>93</v>
      </c>
      <c r="AF659" s="1" t="s">
        <v>12339</v>
      </c>
      <c r="AG659" s="1" t="s">
        <v>12340</v>
      </c>
      <c r="AH659" s="1" t="s">
        <v>383</v>
      </c>
      <c r="AI659" s="1" t="s">
        <v>166</v>
      </c>
      <c r="AJ659" s="1">
        <v>78</v>
      </c>
      <c r="AK659" s="1"/>
      <c r="AL659" s="1" t="s">
        <v>12339</v>
      </c>
      <c r="AM659" s="1" t="s">
        <v>12341</v>
      </c>
      <c r="AN659" s="1" t="s">
        <v>169</v>
      </c>
      <c r="AO659" s="1" t="s">
        <v>173</v>
      </c>
      <c r="AP659" s="1">
        <v>81.2</v>
      </c>
      <c r="AQ659" s="1"/>
      <c r="AR659" s="1"/>
      <c r="AS659" s="1"/>
      <c r="AT659" s="1"/>
      <c r="AU659" s="1"/>
      <c r="AV659" s="1"/>
      <c r="AW659" s="1"/>
      <c r="AX659" s="1" t="s">
        <v>540</v>
      </c>
      <c r="AY659" s="1" t="s">
        <v>12342</v>
      </c>
      <c r="AZ659" s="1" t="s">
        <v>871</v>
      </c>
      <c r="BA659" s="1" t="s">
        <v>1219</v>
      </c>
      <c r="BB659" s="1">
        <v>75.8</v>
      </c>
      <c r="BC659" s="1">
        <v>7.58</v>
      </c>
      <c r="BD659" s="1"/>
      <c r="BE659" s="1"/>
      <c r="BF659" s="1"/>
      <c r="BG659" s="1"/>
      <c r="BH659" s="1"/>
      <c r="BI659" s="1"/>
      <c r="BJ659" s="1" t="s">
        <v>12343</v>
      </c>
      <c r="BK659" s="1"/>
      <c r="BL659" s="1"/>
      <c r="BM659" s="1" t="s">
        <v>12344</v>
      </c>
      <c r="BN659" s="1">
        <v>8</v>
      </c>
      <c r="BO659" s="1" t="s">
        <v>12345</v>
      </c>
      <c r="BP659" s="1" t="str">
        <f>HYPERLINK("https://nconnect.nicmar.ac.in/storage/profile/ProfilePhoto_P25700664_238457.jpg","Download")</f>
        <v>0</v>
      </c>
      <c r="BQ659" s="3"/>
      <c r="BR659" s="3"/>
    </row>
    <row r="660" spans="1:70">
      <c r="A660" s="1" t="s">
        <v>70</v>
      </c>
      <c r="B660" s="1" t="s">
        <v>441</v>
      </c>
      <c r="C660" s="1" t="s">
        <v>12346</v>
      </c>
      <c r="D660" s="1" t="s">
        <v>12347</v>
      </c>
      <c r="E660" s="1" t="s">
        <v>12348</v>
      </c>
      <c r="F660" s="1" t="s">
        <v>12349</v>
      </c>
      <c r="G660" s="1" t="s">
        <v>12350</v>
      </c>
      <c r="H660" s="1" t="s">
        <v>12351</v>
      </c>
      <c r="I660" s="1" t="s">
        <v>12352</v>
      </c>
      <c r="J660" s="1">
        <v>9284871398</v>
      </c>
      <c r="K660" s="1" t="s">
        <v>148</v>
      </c>
      <c r="L660" s="1" t="s">
        <v>12353</v>
      </c>
      <c r="M660" s="1" t="s">
        <v>81</v>
      </c>
      <c r="N660" s="1" t="s">
        <v>12354</v>
      </c>
      <c r="O660" s="1"/>
      <c r="P660" s="1" t="s">
        <v>497</v>
      </c>
      <c r="Q660" s="1" t="s">
        <v>12355</v>
      </c>
      <c r="R660" s="1" t="s">
        <v>12348</v>
      </c>
      <c r="S660" s="1">
        <v>7666153704</v>
      </c>
      <c r="T660" s="1" t="s">
        <v>7156</v>
      </c>
      <c r="U660" s="1" t="s">
        <v>12356</v>
      </c>
      <c r="V660" s="1">
        <v>9930577348</v>
      </c>
      <c r="W660" s="1" t="s">
        <v>156</v>
      </c>
      <c r="X660" s="1" t="s">
        <v>12357</v>
      </c>
      <c r="Y660" s="1" t="s">
        <v>991</v>
      </c>
      <c r="Z660" s="1" t="s">
        <v>92</v>
      </c>
      <c r="AA660" s="1" t="s">
        <v>12357</v>
      </c>
      <c r="AB660" s="1" t="s">
        <v>991</v>
      </c>
      <c r="AC660" s="1" t="s">
        <v>92</v>
      </c>
      <c r="AD660" s="1">
        <v>8.09</v>
      </c>
      <c r="AE660" s="1" t="s">
        <v>93</v>
      </c>
      <c r="AF660" s="1" t="s">
        <v>12358</v>
      </c>
      <c r="AG660" s="1" t="s">
        <v>12359</v>
      </c>
      <c r="AH660" s="1" t="s">
        <v>162</v>
      </c>
      <c r="AI660" s="1" t="s">
        <v>165</v>
      </c>
      <c r="AJ660" s="1">
        <v>82.2</v>
      </c>
      <c r="AK660" s="1">
        <v>0</v>
      </c>
      <c r="AL660" s="1" t="s">
        <v>12360</v>
      </c>
      <c r="AM660" s="1" t="s">
        <v>12361</v>
      </c>
      <c r="AN660" s="1" t="s">
        <v>101</v>
      </c>
      <c r="AO660" s="1" t="s">
        <v>198</v>
      </c>
      <c r="AP660" s="1">
        <v>67.85</v>
      </c>
      <c r="AQ660" s="1">
        <v>0</v>
      </c>
      <c r="AR660" s="1"/>
      <c r="AS660" s="1"/>
      <c r="AT660" s="1"/>
      <c r="AU660" s="1"/>
      <c r="AV660" s="1"/>
      <c r="AW660" s="1"/>
      <c r="AX660" s="1" t="s">
        <v>253</v>
      </c>
      <c r="AY660" s="1" t="s">
        <v>12362</v>
      </c>
      <c r="AZ660" s="1" t="s">
        <v>201</v>
      </c>
      <c r="BA660" s="1" t="s">
        <v>413</v>
      </c>
      <c r="BB660" s="1">
        <v>76.75</v>
      </c>
      <c r="BC660" s="1">
        <v>8.75</v>
      </c>
      <c r="BD660" s="1"/>
      <c r="BE660" s="1"/>
      <c r="BF660" s="1"/>
      <c r="BG660" s="1"/>
      <c r="BH660" s="1"/>
      <c r="BI660" s="1"/>
      <c r="BJ660" s="1" t="s">
        <v>12363</v>
      </c>
      <c r="BK660" s="1" t="s">
        <v>12364</v>
      </c>
      <c r="BL660" s="1" t="s">
        <v>1048</v>
      </c>
      <c r="BM660" s="1" t="s">
        <v>12365</v>
      </c>
      <c r="BN660" s="1">
        <v>32</v>
      </c>
      <c r="BO660" s="1" t="s">
        <v>12366</v>
      </c>
      <c r="BP660" s="1" t="str">
        <f>HYPERLINK("https://nconnect.nicmar.ac.in/storage/profile/ProfilePhoto_P25700665_185362.jpg","Download")</f>
        <v>0</v>
      </c>
      <c r="BQ660" s="3"/>
      <c r="BR660" s="3"/>
    </row>
    <row r="661" spans="1:70">
      <c r="A661" s="1" t="s">
        <v>70</v>
      </c>
      <c r="B661" s="1" t="s">
        <v>441</v>
      </c>
      <c r="C661" s="1" t="s">
        <v>12367</v>
      </c>
      <c r="D661" s="1" t="s">
        <v>6734</v>
      </c>
      <c r="E661" s="1" t="s">
        <v>2071</v>
      </c>
      <c r="F661" s="1" t="s">
        <v>12368</v>
      </c>
      <c r="G661" s="1" t="s">
        <v>12369</v>
      </c>
      <c r="H661" s="1" t="s">
        <v>12370</v>
      </c>
      <c r="I661" s="1" t="s">
        <v>12371</v>
      </c>
      <c r="J661" s="1">
        <v>9975624261</v>
      </c>
      <c r="K661" s="1" t="s">
        <v>79</v>
      </c>
      <c r="L661" s="1" t="s">
        <v>12372</v>
      </c>
      <c r="M661" s="1" t="s">
        <v>81</v>
      </c>
      <c r="N661" s="1" t="s">
        <v>605</v>
      </c>
      <c r="O661" s="1"/>
      <c r="P661" s="1" t="s">
        <v>450</v>
      </c>
      <c r="Q661" s="1" t="s">
        <v>12373</v>
      </c>
      <c r="R661" s="1" t="s">
        <v>12374</v>
      </c>
      <c r="S661" s="1">
        <v>9823172051</v>
      </c>
      <c r="T661" s="1" t="s">
        <v>820</v>
      </c>
      <c r="U661" s="1" t="s">
        <v>12375</v>
      </c>
      <c r="V661" s="1">
        <v>9764250958</v>
      </c>
      <c r="W661" s="1" t="s">
        <v>683</v>
      </c>
      <c r="X661" s="1" t="s">
        <v>12376</v>
      </c>
      <c r="Y661" s="1" t="s">
        <v>219</v>
      </c>
      <c r="Z661" s="1" t="s">
        <v>92</v>
      </c>
      <c r="AA661" s="1" t="s">
        <v>12376</v>
      </c>
      <c r="AB661" s="1" t="s">
        <v>219</v>
      </c>
      <c r="AC661" s="1" t="s">
        <v>92</v>
      </c>
      <c r="AD661" s="1">
        <v>8.05</v>
      </c>
      <c r="AE661" s="1" t="s">
        <v>93</v>
      </c>
      <c r="AF661" s="1" t="s">
        <v>954</v>
      </c>
      <c r="AG661" s="1" t="s">
        <v>12377</v>
      </c>
      <c r="AH661" s="1" t="s">
        <v>252</v>
      </c>
      <c r="AI661" s="1" t="s">
        <v>201</v>
      </c>
      <c r="AJ661" s="1">
        <v>77</v>
      </c>
      <c r="AK661" s="1"/>
      <c r="AL661" s="1" t="s">
        <v>12378</v>
      </c>
      <c r="AM661" s="1" t="s">
        <v>12379</v>
      </c>
      <c r="AN661" s="1" t="s">
        <v>201</v>
      </c>
      <c r="AO661" s="1" t="s">
        <v>436</v>
      </c>
      <c r="AP661" s="1">
        <v>88.67</v>
      </c>
      <c r="AQ661" s="1"/>
      <c r="AR661" s="1"/>
      <c r="AS661" s="1"/>
      <c r="AT661" s="1"/>
      <c r="AU661" s="1"/>
      <c r="AV661" s="1"/>
      <c r="AW661" s="1"/>
      <c r="AX661" s="1" t="s">
        <v>12380</v>
      </c>
      <c r="AY661" s="1" t="s">
        <v>12381</v>
      </c>
      <c r="AZ661" s="1" t="s">
        <v>539</v>
      </c>
      <c r="BA661" s="1" t="s">
        <v>1379</v>
      </c>
      <c r="BB661" s="1">
        <v>78.8</v>
      </c>
      <c r="BC661" s="1">
        <v>8.63</v>
      </c>
      <c r="BD661" s="1"/>
      <c r="BE661" s="1"/>
      <c r="BF661" s="1"/>
      <c r="BG661" s="1"/>
      <c r="BH661" s="1"/>
      <c r="BI661" s="1"/>
      <c r="BJ661" s="1" t="s">
        <v>12382</v>
      </c>
      <c r="BK661" s="1"/>
      <c r="BL661" s="1"/>
      <c r="BM661" s="1" t="s">
        <v>12383</v>
      </c>
      <c r="BN661" s="1">
        <v>32</v>
      </c>
      <c r="BO661" s="1"/>
      <c r="BP661" s="1" t="str">
        <f>HYPERLINK("https://nconnect.nicmar.ac.in/storage/profile/ProfilePhoto_P25700666_356489.jpg","Download")</f>
        <v>0</v>
      </c>
      <c r="BQ661" s="3"/>
      <c r="BR661" s="3"/>
    </row>
    <row r="662" spans="1:70">
      <c r="A662" s="1" t="s">
        <v>70</v>
      </c>
      <c r="B662" s="1" t="s">
        <v>441</v>
      </c>
      <c r="C662" s="1" t="s">
        <v>12384</v>
      </c>
      <c r="D662" s="1" t="s">
        <v>9130</v>
      </c>
      <c r="E662" s="1" t="s">
        <v>12385</v>
      </c>
      <c r="F662" s="1" t="s">
        <v>12386</v>
      </c>
      <c r="G662" s="1" t="s">
        <v>12387</v>
      </c>
      <c r="H662" s="1" t="s">
        <v>12388</v>
      </c>
      <c r="I662" s="1" t="s">
        <v>12389</v>
      </c>
      <c r="J662" s="1">
        <v>9975505708</v>
      </c>
      <c r="K662" s="1" t="s">
        <v>79</v>
      </c>
      <c r="L662" s="1" t="s">
        <v>12390</v>
      </c>
      <c r="M662" s="1" t="s">
        <v>81</v>
      </c>
      <c r="N662" s="1" t="s">
        <v>605</v>
      </c>
      <c r="O662" s="1"/>
      <c r="P662" s="1" t="s">
        <v>497</v>
      </c>
      <c r="Q662" s="1" t="s">
        <v>12391</v>
      </c>
      <c r="R662" s="1" t="s">
        <v>12385</v>
      </c>
      <c r="S662" s="1">
        <v>9423494064</v>
      </c>
      <c r="T662" s="1" t="s">
        <v>1997</v>
      </c>
      <c r="U662" s="1" t="s">
        <v>12392</v>
      </c>
      <c r="V662" s="1">
        <v>9421494959</v>
      </c>
      <c r="W662" s="1" t="s">
        <v>1997</v>
      </c>
      <c r="X662" s="1" t="s">
        <v>12393</v>
      </c>
      <c r="Y662" s="1" t="s">
        <v>5663</v>
      </c>
      <c r="Z662" s="1" t="s">
        <v>92</v>
      </c>
      <c r="AA662" s="1" t="s">
        <v>12393</v>
      </c>
      <c r="AB662" s="1" t="s">
        <v>5663</v>
      </c>
      <c r="AC662" s="1" t="s">
        <v>92</v>
      </c>
      <c r="AD662" s="1" t="s">
        <v>93</v>
      </c>
      <c r="AE662" s="1" t="s">
        <v>93</v>
      </c>
      <c r="AF662" s="1" t="s">
        <v>12394</v>
      </c>
      <c r="AG662" s="1" t="s">
        <v>758</v>
      </c>
      <c r="AH662" s="1" t="s">
        <v>166</v>
      </c>
      <c r="AI662" s="1" t="s">
        <v>308</v>
      </c>
      <c r="AJ662" s="1">
        <v>82.4</v>
      </c>
      <c r="AK662" s="1">
        <v>0</v>
      </c>
      <c r="AL662" s="1"/>
      <c r="AM662" s="1"/>
      <c r="AN662" s="1"/>
      <c r="AO662" s="1"/>
      <c r="AP662" s="1"/>
      <c r="AQ662" s="1"/>
      <c r="AR662" s="1" t="s">
        <v>98</v>
      </c>
      <c r="AS662" s="1" t="s">
        <v>12395</v>
      </c>
      <c r="AT662" s="1" t="s">
        <v>310</v>
      </c>
      <c r="AU662" s="1" t="s">
        <v>1378</v>
      </c>
      <c r="AV662" s="1">
        <v>82.21</v>
      </c>
      <c r="AW662" s="1">
        <v>0</v>
      </c>
      <c r="AX662" s="1" t="s">
        <v>361</v>
      </c>
      <c r="AY662" s="1" t="s">
        <v>7113</v>
      </c>
      <c r="AZ662" s="1" t="s">
        <v>1864</v>
      </c>
      <c r="BA662" s="1" t="s">
        <v>829</v>
      </c>
      <c r="BB662" s="1">
        <v>63.5</v>
      </c>
      <c r="BC662" s="1">
        <v>7.1</v>
      </c>
      <c r="BD662" s="1"/>
      <c r="BE662" s="1"/>
      <c r="BF662" s="1"/>
      <c r="BG662" s="1"/>
      <c r="BH662" s="1"/>
      <c r="BI662" s="1"/>
      <c r="BJ662" s="1" t="s">
        <v>12396</v>
      </c>
      <c r="BK662" s="1"/>
      <c r="BL662" s="1"/>
      <c r="BM662" s="1" t="s">
        <v>12397</v>
      </c>
      <c r="BN662" s="1">
        <v>13</v>
      </c>
      <c r="BO662" s="1"/>
      <c r="BP662" s="1" t="str">
        <f>HYPERLINK("https://nconnect.nicmar.ac.in/storage/profile/ProfilePhoto_P25700667_685391.jpg","Download")</f>
        <v>0</v>
      </c>
      <c r="BQ662" s="3"/>
      <c r="BR662" s="3"/>
    </row>
    <row r="663" spans="1:70">
      <c r="A663" s="1" t="s">
        <v>70</v>
      </c>
      <c r="B663" s="1" t="s">
        <v>441</v>
      </c>
      <c r="C663" s="1" t="s">
        <v>12398</v>
      </c>
      <c r="D663" s="1" t="s">
        <v>12399</v>
      </c>
      <c r="E663" s="1" t="s">
        <v>12400</v>
      </c>
      <c r="F663" s="1" t="s">
        <v>6630</v>
      </c>
      <c r="G663" s="1" t="s">
        <v>12401</v>
      </c>
      <c r="H663" s="1" t="s">
        <v>12402</v>
      </c>
      <c r="I663" s="1" t="s">
        <v>12403</v>
      </c>
      <c r="J663" s="1">
        <v>9137916664</v>
      </c>
      <c r="K663" s="1" t="s">
        <v>79</v>
      </c>
      <c r="L663" s="1" t="s">
        <v>12404</v>
      </c>
      <c r="M663" s="1" t="s">
        <v>81</v>
      </c>
      <c r="N663" s="1" t="s">
        <v>12405</v>
      </c>
      <c r="O663" s="1"/>
      <c r="P663" s="1" t="s">
        <v>497</v>
      </c>
      <c r="Q663" s="1" t="s">
        <v>12406</v>
      </c>
      <c r="R663" s="1" t="s">
        <v>12407</v>
      </c>
      <c r="S663" s="1">
        <v>9833311194</v>
      </c>
      <c r="T663" s="1" t="s">
        <v>11395</v>
      </c>
      <c r="U663" s="1" t="s">
        <v>12408</v>
      </c>
      <c r="V663" s="1">
        <v>9137366059</v>
      </c>
      <c r="W663" s="1" t="s">
        <v>156</v>
      </c>
      <c r="X663" s="1" t="s">
        <v>12409</v>
      </c>
      <c r="Y663" s="1" t="s">
        <v>2229</v>
      </c>
      <c r="Z663" s="1" t="s">
        <v>92</v>
      </c>
      <c r="AA663" s="1" t="s">
        <v>12409</v>
      </c>
      <c r="AB663" s="1" t="s">
        <v>2229</v>
      </c>
      <c r="AC663" s="1" t="s">
        <v>92</v>
      </c>
      <c r="AD663" s="1">
        <v>7.99</v>
      </c>
      <c r="AE663" s="1" t="s">
        <v>93</v>
      </c>
      <c r="AF663" s="1" t="s">
        <v>2231</v>
      </c>
      <c r="AG663" s="1" t="s">
        <v>12410</v>
      </c>
      <c r="AH663" s="1" t="s">
        <v>12172</v>
      </c>
      <c r="AI663" s="1" t="s">
        <v>505</v>
      </c>
      <c r="AJ663" s="1">
        <v>80.6</v>
      </c>
      <c r="AK663" s="1"/>
      <c r="AL663" s="1"/>
      <c r="AM663" s="1"/>
      <c r="AN663" s="1"/>
      <c r="AO663" s="1"/>
      <c r="AP663" s="1"/>
      <c r="AQ663" s="1"/>
      <c r="AR663" s="1" t="s">
        <v>434</v>
      </c>
      <c r="AS663" s="1" t="s">
        <v>12411</v>
      </c>
      <c r="AT663" s="1" t="s">
        <v>1043</v>
      </c>
      <c r="AU663" s="1" t="s">
        <v>436</v>
      </c>
      <c r="AV663" s="1">
        <v>93.7</v>
      </c>
      <c r="AW663" s="1"/>
      <c r="AX663" s="1" t="s">
        <v>666</v>
      </c>
      <c r="AY663" s="1" t="s">
        <v>12412</v>
      </c>
      <c r="AZ663" s="1" t="s">
        <v>852</v>
      </c>
      <c r="BA663" s="1" t="s">
        <v>413</v>
      </c>
      <c r="BB663" s="1">
        <v>72.07</v>
      </c>
      <c r="BC663" s="1">
        <v>8.02</v>
      </c>
      <c r="BD663" s="1"/>
      <c r="BE663" s="1"/>
      <c r="BF663" s="1"/>
      <c r="BG663" s="1"/>
      <c r="BH663" s="1"/>
      <c r="BI663" s="1"/>
      <c r="BJ663" s="1" t="s">
        <v>12413</v>
      </c>
      <c r="BK663" s="1" t="s">
        <v>12414</v>
      </c>
      <c r="BL663" s="1" t="s">
        <v>1048</v>
      </c>
      <c r="BM663" s="1" t="s">
        <v>12415</v>
      </c>
      <c r="BN663" s="1">
        <v>20</v>
      </c>
      <c r="BO663" s="1"/>
      <c r="BP663" s="1" t="str">
        <f>HYPERLINK("https://nconnect.nicmar.ac.in/storage/profile/ProfilePhoto_P25700668_892617.jpg","Download")</f>
        <v>0</v>
      </c>
      <c r="BQ663" s="3"/>
      <c r="BR663" s="3"/>
    </row>
    <row r="664" spans="1:70">
      <c r="A664" s="1" t="s">
        <v>70</v>
      </c>
      <c r="B664" s="1" t="s">
        <v>441</v>
      </c>
      <c r="C664" s="1" t="s">
        <v>12416</v>
      </c>
      <c r="D664" s="1" t="s">
        <v>12417</v>
      </c>
      <c r="E664" s="1" t="s">
        <v>5486</v>
      </c>
      <c r="F664" s="1" t="s">
        <v>12418</v>
      </c>
      <c r="G664" s="1" t="s">
        <v>12419</v>
      </c>
      <c r="H664" s="1" t="s">
        <v>12420</v>
      </c>
      <c r="I664" s="1" t="s">
        <v>12421</v>
      </c>
      <c r="J664" s="1">
        <v>8984683220</v>
      </c>
      <c r="K664" s="1" t="s">
        <v>79</v>
      </c>
      <c r="L664" s="1" t="s">
        <v>12422</v>
      </c>
      <c r="M664" s="1" t="s">
        <v>81</v>
      </c>
      <c r="N664" s="1" t="s">
        <v>1549</v>
      </c>
      <c r="O664" s="1"/>
      <c r="P664" s="1" t="s">
        <v>497</v>
      </c>
      <c r="Q664" s="1" t="s">
        <v>12423</v>
      </c>
      <c r="R664" s="1" t="s">
        <v>12424</v>
      </c>
      <c r="S664" s="1">
        <v>8984683220</v>
      </c>
      <c r="T664" s="1" t="s">
        <v>12425</v>
      </c>
      <c r="U664" s="1" t="s">
        <v>12426</v>
      </c>
      <c r="V664" s="1">
        <v>8984524063</v>
      </c>
      <c r="W664" s="1" t="s">
        <v>156</v>
      </c>
      <c r="X664" s="1" t="s">
        <v>12427</v>
      </c>
      <c r="Y664" s="1" t="s">
        <v>1236</v>
      </c>
      <c r="Z664" s="1" t="s">
        <v>846</v>
      </c>
      <c r="AA664" s="1" t="s">
        <v>12427</v>
      </c>
      <c r="AB664" s="1" t="s">
        <v>1236</v>
      </c>
      <c r="AC664" s="1" t="s">
        <v>846</v>
      </c>
      <c r="AD664" s="1">
        <v>7.7</v>
      </c>
      <c r="AE664" s="1" t="s">
        <v>93</v>
      </c>
      <c r="AF664" s="1" t="s">
        <v>12428</v>
      </c>
      <c r="AG664" s="1" t="s">
        <v>9561</v>
      </c>
      <c r="AH664" s="1" t="s">
        <v>505</v>
      </c>
      <c r="AI664" s="1" t="s">
        <v>1088</v>
      </c>
      <c r="AJ664" s="1">
        <v>95</v>
      </c>
      <c r="AK664" s="1">
        <v>10</v>
      </c>
      <c r="AL664" s="1" t="s">
        <v>12429</v>
      </c>
      <c r="AM664" s="1" t="s">
        <v>9561</v>
      </c>
      <c r="AN664" s="1" t="s">
        <v>1088</v>
      </c>
      <c r="AO664" s="1" t="s">
        <v>562</v>
      </c>
      <c r="AP664" s="1">
        <v>85</v>
      </c>
      <c r="AQ664" s="1"/>
      <c r="AR664" s="1"/>
      <c r="AS664" s="1"/>
      <c r="AT664" s="1"/>
      <c r="AU664" s="1"/>
      <c r="AV664" s="1"/>
      <c r="AW664" s="1"/>
      <c r="AX664" s="1" t="s">
        <v>2625</v>
      </c>
      <c r="AY664" s="1" t="s">
        <v>3420</v>
      </c>
      <c r="AZ664" s="1" t="s">
        <v>165</v>
      </c>
      <c r="BA664" s="1" t="s">
        <v>828</v>
      </c>
      <c r="BB664" s="1">
        <v>86.58</v>
      </c>
      <c r="BC664" s="1">
        <v>8.14</v>
      </c>
      <c r="BD664" s="1"/>
      <c r="BE664" s="1"/>
      <c r="BF664" s="1"/>
      <c r="BG664" s="1"/>
      <c r="BH664" s="1"/>
      <c r="BI664" s="1"/>
      <c r="BJ664" s="1" t="s">
        <v>12430</v>
      </c>
      <c r="BK664" s="1"/>
      <c r="BL664" s="1"/>
      <c r="BM664" s="1" t="s">
        <v>12431</v>
      </c>
      <c r="BN664" s="1">
        <v>15</v>
      </c>
      <c r="BO664" s="1"/>
      <c r="BP664" s="1" t="str">
        <f>HYPERLINK("https://nconnect.nicmar.ac.in/storage/profile/ProfilePhoto_P25700669_295168.jpg","Download")</f>
        <v>0</v>
      </c>
      <c r="BQ664" s="3"/>
      <c r="BR664" s="3"/>
    </row>
    <row r="665" spans="1:70">
      <c r="A665" s="1" t="s">
        <v>70</v>
      </c>
      <c r="B665" s="1" t="s">
        <v>441</v>
      </c>
      <c r="C665" s="1" t="s">
        <v>12432</v>
      </c>
      <c r="D665" s="1" t="s">
        <v>12433</v>
      </c>
      <c r="E665" s="1"/>
      <c r="F665" s="1" t="s">
        <v>12434</v>
      </c>
      <c r="G665" s="1" t="s">
        <v>12435</v>
      </c>
      <c r="H665" s="1" t="s">
        <v>12436</v>
      </c>
      <c r="I665" s="1" t="s">
        <v>12437</v>
      </c>
      <c r="J665" s="1">
        <v>6362521917</v>
      </c>
      <c r="K665" s="1" t="s">
        <v>79</v>
      </c>
      <c r="L665" s="1" t="s">
        <v>3225</v>
      </c>
      <c r="M665" s="1" t="s">
        <v>81</v>
      </c>
      <c r="N665" s="1" t="s">
        <v>8077</v>
      </c>
      <c r="O665" s="1"/>
      <c r="P665" s="1" t="s">
        <v>656</v>
      </c>
      <c r="Q665" s="1" t="s">
        <v>12438</v>
      </c>
      <c r="R665" s="1" t="s">
        <v>12439</v>
      </c>
      <c r="S665" s="1">
        <v>9916008484</v>
      </c>
      <c r="T665" s="1" t="s">
        <v>154</v>
      </c>
      <c r="U665" s="1" t="s">
        <v>12440</v>
      </c>
      <c r="V665" s="1">
        <v>9148542866</v>
      </c>
      <c r="W665" s="1" t="s">
        <v>273</v>
      </c>
      <c r="X665" s="1" t="s">
        <v>12441</v>
      </c>
      <c r="Y665" s="1" t="s">
        <v>6449</v>
      </c>
      <c r="Z665" s="1" t="s">
        <v>1187</v>
      </c>
      <c r="AA665" s="1" t="s">
        <v>12441</v>
      </c>
      <c r="AB665" s="1" t="s">
        <v>6449</v>
      </c>
      <c r="AC665" s="1" t="s">
        <v>1187</v>
      </c>
      <c r="AD665" s="1">
        <v>8.22</v>
      </c>
      <c r="AE665" s="1" t="s">
        <v>93</v>
      </c>
      <c r="AF665" s="1" t="s">
        <v>12442</v>
      </c>
      <c r="AG665" s="1" t="s">
        <v>12443</v>
      </c>
      <c r="AH665" s="1" t="s">
        <v>166</v>
      </c>
      <c r="AI665" s="1" t="s">
        <v>308</v>
      </c>
      <c r="AJ665" s="1">
        <v>75.2</v>
      </c>
      <c r="AK665" s="1"/>
      <c r="AL665" s="1" t="s">
        <v>12444</v>
      </c>
      <c r="AM665" s="1" t="s">
        <v>12445</v>
      </c>
      <c r="AN665" s="1" t="s">
        <v>173</v>
      </c>
      <c r="AO665" s="1" t="s">
        <v>539</v>
      </c>
      <c r="AP665" s="1">
        <v>86.66</v>
      </c>
      <c r="AQ665" s="1"/>
      <c r="AR665" s="1"/>
      <c r="AS665" s="1"/>
      <c r="AT665" s="1"/>
      <c r="AU665" s="1"/>
      <c r="AV665" s="1"/>
      <c r="AW665" s="1"/>
      <c r="AX665" s="1" t="s">
        <v>12446</v>
      </c>
      <c r="AY665" s="1" t="s">
        <v>12447</v>
      </c>
      <c r="AZ665" s="1" t="s">
        <v>852</v>
      </c>
      <c r="BA665" s="1" t="s">
        <v>829</v>
      </c>
      <c r="BB665" s="1">
        <v>78.1</v>
      </c>
      <c r="BC665" s="1">
        <v>7.81</v>
      </c>
      <c r="BD665" s="1"/>
      <c r="BE665" s="1"/>
      <c r="BF665" s="1"/>
      <c r="BG665" s="1"/>
      <c r="BH665" s="1"/>
      <c r="BI665" s="1"/>
      <c r="BJ665" s="1" t="s">
        <v>12448</v>
      </c>
      <c r="BK665" s="1"/>
      <c r="BL665" s="1"/>
      <c r="BM665" s="1" t="s">
        <v>12449</v>
      </c>
      <c r="BN665" s="1">
        <v>19</v>
      </c>
      <c r="BO665" s="1" t="s">
        <v>12450</v>
      </c>
      <c r="BP665" s="1" t="str">
        <f>HYPERLINK("https://nconnect.nicmar.ac.in/storage/profile/ProfilePhoto_P25700670_485319.jpg","Download")</f>
        <v>0</v>
      </c>
      <c r="BQ665" s="3"/>
      <c r="BR665" s="3"/>
    </row>
    <row r="666" spans="1:70">
      <c r="A666" s="1" t="s">
        <v>70</v>
      </c>
      <c r="B666" s="1" t="s">
        <v>441</v>
      </c>
      <c r="C666" s="1" t="s">
        <v>12451</v>
      </c>
      <c r="D666" s="1" t="s">
        <v>12452</v>
      </c>
      <c r="E666" s="1"/>
      <c r="F666" s="1" t="s">
        <v>111</v>
      </c>
      <c r="G666" s="1" t="s">
        <v>12453</v>
      </c>
      <c r="H666" s="1" t="s">
        <v>12454</v>
      </c>
      <c r="I666" s="1" t="s">
        <v>12455</v>
      </c>
      <c r="J666" s="1">
        <v>7395910769</v>
      </c>
      <c r="K666" s="1" t="s">
        <v>79</v>
      </c>
      <c r="L666" s="1" t="s">
        <v>12456</v>
      </c>
      <c r="M666" s="1" t="s">
        <v>81</v>
      </c>
      <c r="N666" s="1" t="s">
        <v>12457</v>
      </c>
      <c r="O666" s="1"/>
      <c r="P666" s="1" t="s">
        <v>450</v>
      </c>
      <c r="Q666" s="1" t="s">
        <v>12458</v>
      </c>
      <c r="R666" s="1" t="s">
        <v>12459</v>
      </c>
      <c r="S666" s="1">
        <v>9444767739</v>
      </c>
      <c r="T666" s="1" t="s">
        <v>4899</v>
      </c>
      <c r="U666" s="1" t="s">
        <v>12460</v>
      </c>
      <c r="V666" s="1">
        <v>9941955909</v>
      </c>
      <c r="W666" s="1" t="s">
        <v>531</v>
      </c>
      <c r="X666" s="1" t="s">
        <v>12461</v>
      </c>
      <c r="Y666" s="1" t="s">
        <v>1475</v>
      </c>
      <c r="Z666" s="1" t="s">
        <v>559</v>
      </c>
      <c r="AA666" s="1" t="s">
        <v>12461</v>
      </c>
      <c r="AB666" s="1" t="s">
        <v>1475</v>
      </c>
      <c r="AC666" s="1" t="s">
        <v>559</v>
      </c>
      <c r="AD666" s="1">
        <v>8.14</v>
      </c>
      <c r="AE666" s="1" t="s">
        <v>93</v>
      </c>
      <c r="AF666" s="1" t="s">
        <v>12289</v>
      </c>
      <c r="AG666" s="1" t="s">
        <v>11516</v>
      </c>
      <c r="AH666" s="1" t="s">
        <v>281</v>
      </c>
      <c r="AI666" s="1" t="s">
        <v>409</v>
      </c>
      <c r="AJ666" s="1">
        <v>80.4</v>
      </c>
      <c r="AK666" s="1">
        <v>0</v>
      </c>
      <c r="AL666" s="1" t="s">
        <v>12289</v>
      </c>
      <c r="AM666" s="1" t="s">
        <v>11516</v>
      </c>
      <c r="AN666" s="1" t="s">
        <v>308</v>
      </c>
      <c r="AO666" s="1" t="s">
        <v>826</v>
      </c>
      <c r="AP666" s="1">
        <v>84.84</v>
      </c>
      <c r="AQ666" s="1">
        <v>0</v>
      </c>
      <c r="AR666" s="1"/>
      <c r="AS666" s="1"/>
      <c r="AT666" s="1"/>
      <c r="AU666" s="1"/>
      <c r="AV666" s="1"/>
      <c r="AW666" s="1"/>
      <c r="AX666" s="1" t="s">
        <v>12462</v>
      </c>
      <c r="AY666" s="1" t="s">
        <v>12463</v>
      </c>
      <c r="AZ666" s="1" t="s">
        <v>539</v>
      </c>
      <c r="BA666" s="1" t="s">
        <v>594</v>
      </c>
      <c r="BB666" s="1">
        <v>71.4</v>
      </c>
      <c r="BC666" s="1">
        <v>7.14</v>
      </c>
      <c r="BD666" s="1"/>
      <c r="BE666" s="1"/>
      <c r="BF666" s="1"/>
      <c r="BG666" s="1"/>
      <c r="BH666" s="1"/>
      <c r="BI666" s="1"/>
      <c r="BJ666" s="1" t="s">
        <v>12464</v>
      </c>
      <c r="BK666" s="1"/>
      <c r="BL666" s="1"/>
      <c r="BM666" s="1" t="s">
        <v>12465</v>
      </c>
      <c r="BN666" s="1">
        <v>15</v>
      </c>
      <c r="BO666" s="1"/>
      <c r="BP666" s="1" t="str">
        <f>HYPERLINK("https://nconnect.nicmar.ac.in/storage/profile/ProfilePhoto_P25700671_749136.jpg","Download")</f>
        <v>0</v>
      </c>
      <c r="BQ666" s="3"/>
      <c r="BR666" s="3"/>
    </row>
    <row r="667" spans="1:70">
      <c r="A667" s="1" t="s">
        <v>70</v>
      </c>
      <c r="B667" s="1" t="s">
        <v>441</v>
      </c>
      <c r="C667" s="1" t="s">
        <v>12466</v>
      </c>
      <c r="D667" s="1" t="s">
        <v>12467</v>
      </c>
      <c r="E667" s="1" t="s">
        <v>12468</v>
      </c>
      <c r="F667" s="1" t="s">
        <v>8092</v>
      </c>
      <c r="G667" s="1" t="s">
        <v>12469</v>
      </c>
      <c r="H667" s="1" t="s">
        <v>12470</v>
      </c>
      <c r="I667" s="1" t="s">
        <v>12471</v>
      </c>
      <c r="J667" s="1">
        <v>9552016176</v>
      </c>
      <c r="K667" s="1" t="s">
        <v>148</v>
      </c>
      <c r="L667" s="1" t="s">
        <v>12472</v>
      </c>
      <c r="M667" s="1" t="s">
        <v>81</v>
      </c>
      <c r="N667" s="1" t="s">
        <v>1140</v>
      </c>
      <c r="O667" s="1"/>
      <c r="P667" s="1" t="s">
        <v>472</v>
      </c>
      <c r="Q667" s="1" t="s">
        <v>12473</v>
      </c>
      <c r="R667" s="1" t="s">
        <v>12468</v>
      </c>
      <c r="S667" s="1">
        <v>9923352853</v>
      </c>
      <c r="T667" s="1" t="s">
        <v>632</v>
      </c>
      <c r="U667" s="1" t="s">
        <v>12474</v>
      </c>
      <c r="V667" s="1">
        <v>9637541019</v>
      </c>
      <c r="W667" s="1" t="s">
        <v>122</v>
      </c>
      <c r="X667" s="1" t="s">
        <v>12475</v>
      </c>
      <c r="Y667" s="1" t="s">
        <v>191</v>
      </c>
      <c r="Z667" s="1" t="s">
        <v>92</v>
      </c>
      <c r="AA667" s="1" t="s">
        <v>12475</v>
      </c>
      <c r="AB667" s="1" t="s">
        <v>191</v>
      </c>
      <c r="AC667" s="1" t="s">
        <v>92</v>
      </c>
      <c r="AD667" s="1">
        <v>8.67</v>
      </c>
      <c r="AE667" s="1" t="s">
        <v>93</v>
      </c>
      <c r="AF667" s="1" t="s">
        <v>12476</v>
      </c>
      <c r="AG667" s="1" t="s">
        <v>12477</v>
      </c>
      <c r="AH667" s="1" t="s">
        <v>96</v>
      </c>
      <c r="AI667" s="1" t="s">
        <v>97</v>
      </c>
      <c r="AJ667" s="1">
        <v>65</v>
      </c>
      <c r="AK667" s="1"/>
      <c r="AL667" s="1"/>
      <c r="AM667" s="1"/>
      <c r="AN667" s="1"/>
      <c r="AO667" s="1"/>
      <c r="AP667" s="1"/>
      <c r="AQ667" s="1"/>
      <c r="AR667" s="1" t="s">
        <v>98</v>
      </c>
      <c r="AS667" s="1" t="s">
        <v>12478</v>
      </c>
      <c r="AT667" s="1" t="s">
        <v>100</v>
      </c>
      <c r="AU667" s="1" t="s">
        <v>101</v>
      </c>
      <c r="AV667" s="1">
        <v>78.18</v>
      </c>
      <c r="AW667" s="1"/>
      <c r="AX667" s="1" t="s">
        <v>361</v>
      </c>
      <c r="AY667" s="1" t="s">
        <v>12479</v>
      </c>
      <c r="AZ667" s="1" t="s">
        <v>169</v>
      </c>
      <c r="BA667" s="1" t="s">
        <v>539</v>
      </c>
      <c r="BB667" s="1">
        <v>71.9</v>
      </c>
      <c r="BC667" s="1">
        <v>7.94</v>
      </c>
      <c r="BD667" s="1"/>
      <c r="BE667" s="1"/>
      <c r="BF667" s="1"/>
      <c r="BG667" s="1"/>
      <c r="BH667" s="1"/>
      <c r="BI667" s="1"/>
      <c r="BJ667" s="1" t="s">
        <v>12480</v>
      </c>
      <c r="BK667" s="1"/>
      <c r="BL667" s="1"/>
      <c r="BM667" s="1" t="s">
        <v>12481</v>
      </c>
      <c r="BN667" s="1">
        <v>14</v>
      </c>
      <c r="BO667" s="1" t="s">
        <v>12482</v>
      </c>
      <c r="BP667" s="1" t="str">
        <f>HYPERLINK("https://nconnect.nicmar.ac.in/storage/profile/ProfilePhoto_P25700672_847361.jpg","Download")</f>
        <v>0</v>
      </c>
      <c r="BQ667" s="3"/>
      <c r="BR667" s="3"/>
    </row>
    <row r="668" spans="1:70">
      <c r="A668" s="1" t="s">
        <v>70</v>
      </c>
      <c r="B668" s="1" t="s">
        <v>441</v>
      </c>
      <c r="C668" s="1" t="s">
        <v>12483</v>
      </c>
      <c r="D668" s="1" t="s">
        <v>12484</v>
      </c>
      <c r="E668" s="1" t="s">
        <v>12485</v>
      </c>
      <c r="F668" s="1" t="s">
        <v>2492</v>
      </c>
      <c r="G668" s="1" t="s">
        <v>12486</v>
      </c>
      <c r="H668" s="1" t="s">
        <v>12487</v>
      </c>
      <c r="I668" s="1" t="s">
        <v>12488</v>
      </c>
      <c r="J668" s="1">
        <v>6303184412</v>
      </c>
      <c r="K668" s="1" t="s">
        <v>79</v>
      </c>
      <c r="L668" s="1" t="s">
        <v>12489</v>
      </c>
      <c r="M668" s="1" t="s">
        <v>81</v>
      </c>
      <c r="N668" s="1" t="s">
        <v>10343</v>
      </c>
      <c r="O668" s="1"/>
      <c r="P668" s="1" t="s">
        <v>497</v>
      </c>
      <c r="Q668" s="1" t="s">
        <v>12490</v>
      </c>
      <c r="R668" s="1" t="s">
        <v>12491</v>
      </c>
      <c r="S668" s="1">
        <v>9441822789</v>
      </c>
      <c r="T668" s="1" t="s">
        <v>12492</v>
      </c>
      <c r="U668" s="1" t="s">
        <v>12493</v>
      </c>
      <c r="V668" s="1">
        <v>9347909238</v>
      </c>
      <c r="W668" s="1" t="s">
        <v>531</v>
      </c>
      <c r="X668" s="1" t="s">
        <v>12494</v>
      </c>
      <c r="Y668" s="1" t="s">
        <v>3863</v>
      </c>
      <c r="Z668" s="1" t="s">
        <v>276</v>
      </c>
      <c r="AA668" s="1" t="s">
        <v>12494</v>
      </c>
      <c r="AB668" s="1" t="s">
        <v>3863</v>
      </c>
      <c r="AC668" s="1" t="s">
        <v>276</v>
      </c>
      <c r="AD668" s="1">
        <v>8.03</v>
      </c>
      <c r="AE668" s="1" t="s">
        <v>93</v>
      </c>
      <c r="AF668" s="1" t="s">
        <v>1415</v>
      </c>
      <c r="AG668" s="1" t="s">
        <v>12495</v>
      </c>
      <c r="AH668" s="1" t="s">
        <v>1089</v>
      </c>
      <c r="AI668" s="1" t="s">
        <v>562</v>
      </c>
      <c r="AJ668" s="1">
        <v>92</v>
      </c>
      <c r="AK668" s="1">
        <v>9.2</v>
      </c>
      <c r="AL668" s="1" t="s">
        <v>1818</v>
      </c>
      <c r="AM668" s="1" t="s">
        <v>12496</v>
      </c>
      <c r="AN668" s="1" t="s">
        <v>383</v>
      </c>
      <c r="AO668" s="1" t="s">
        <v>537</v>
      </c>
      <c r="AP668" s="1">
        <v>91.3</v>
      </c>
      <c r="AQ668" s="1">
        <v>9.13</v>
      </c>
      <c r="AR668" s="1"/>
      <c r="AS668" s="1"/>
      <c r="AT668" s="1"/>
      <c r="AU668" s="1"/>
      <c r="AV668" s="1"/>
      <c r="AW668" s="1"/>
      <c r="AX668" s="1" t="s">
        <v>1194</v>
      </c>
      <c r="AY668" s="1" t="s">
        <v>4820</v>
      </c>
      <c r="AZ668" s="1" t="s">
        <v>201</v>
      </c>
      <c r="BA668" s="1" t="s">
        <v>566</v>
      </c>
      <c r="BB668" s="1">
        <v>68.4</v>
      </c>
      <c r="BC668" s="1">
        <v>7.59</v>
      </c>
      <c r="BD668" s="1"/>
      <c r="BE668" s="1"/>
      <c r="BF668" s="1"/>
      <c r="BG668" s="1"/>
      <c r="BH668" s="1"/>
      <c r="BI668" s="1"/>
      <c r="BJ668" s="1" t="s">
        <v>12497</v>
      </c>
      <c r="BK668" s="1"/>
      <c r="BL668" s="1"/>
      <c r="BM668" s="1" t="s">
        <v>12498</v>
      </c>
      <c r="BN668" s="1">
        <v>4</v>
      </c>
      <c r="BO668" s="1" t="s">
        <v>12499</v>
      </c>
      <c r="BP668" s="1" t="str">
        <f>HYPERLINK("https://nconnect.nicmar.ac.in/storage/profile/ProfilePhoto_P25700673_596741.jpg","Download")</f>
        <v>0</v>
      </c>
      <c r="BQ668" s="3"/>
      <c r="BR668" s="3"/>
    </row>
    <row r="669" spans="1:70">
      <c r="A669" s="1" t="s">
        <v>70</v>
      </c>
      <c r="B669" s="1" t="s">
        <v>441</v>
      </c>
      <c r="C669" s="1" t="s">
        <v>12500</v>
      </c>
      <c r="D669" s="1" t="s">
        <v>2070</v>
      </c>
      <c r="E669" s="1" t="s">
        <v>649</v>
      </c>
      <c r="F669" s="1" t="s">
        <v>3120</v>
      </c>
      <c r="G669" s="1" t="s">
        <v>12501</v>
      </c>
      <c r="H669" s="1" t="s">
        <v>12502</v>
      </c>
      <c r="I669" s="1" t="s">
        <v>12503</v>
      </c>
      <c r="J669" s="1">
        <v>7977681533</v>
      </c>
      <c r="K669" s="1" t="s">
        <v>79</v>
      </c>
      <c r="L669" s="1" t="s">
        <v>12504</v>
      </c>
      <c r="M669" s="1" t="s">
        <v>81</v>
      </c>
      <c r="N669" s="1" t="s">
        <v>1161</v>
      </c>
      <c r="O669" s="1"/>
      <c r="P669" s="1" t="s">
        <v>450</v>
      </c>
      <c r="Q669" s="1" t="s">
        <v>12505</v>
      </c>
      <c r="R669" s="1" t="s">
        <v>12506</v>
      </c>
      <c r="S669" s="1">
        <v>9594991665</v>
      </c>
      <c r="T669" s="1" t="s">
        <v>632</v>
      </c>
      <c r="U669" s="1" t="s">
        <v>12507</v>
      </c>
      <c r="V669" s="1">
        <v>7666209049</v>
      </c>
      <c r="W669" s="1" t="s">
        <v>156</v>
      </c>
      <c r="X669" s="1" t="s">
        <v>12508</v>
      </c>
      <c r="Y669" s="1" t="s">
        <v>991</v>
      </c>
      <c r="Z669" s="1" t="s">
        <v>92</v>
      </c>
      <c r="AA669" s="1" t="s">
        <v>12508</v>
      </c>
      <c r="AB669" s="1" t="s">
        <v>991</v>
      </c>
      <c r="AC669" s="1" t="s">
        <v>92</v>
      </c>
      <c r="AD669" s="1">
        <v>8.52</v>
      </c>
      <c r="AE669" s="1" t="s">
        <v>93</v>
      </c>
      <c r="AF669" s="1" t="s">
        <v>12509</v>
      </c>
      <c r="AG669" s="1" t="s">
        <v>160</v>
      </c>
      <c r="AH669" s="1" t="s">
        <v>281</v>
      </c>
      <c r="AI669" s="1" t="s">
        <v>409</v>
      </c>
      <c r="AJ669" s="1">
        <v>74.6</v>
      </c>
      <c r="AK669" s="1"/>
      <c r="AL669" s="1"/>
      <c r="AM669" s="1"/>
      <c r="AN669" s="1"/>
      <c r="AO669" s="1"/>
      <c r="AP669" s="1"/>
      <c r="AQ669" s="1"/>
      <c r="AR669" s="1" t="s">
        <v>98</v>
      </c>
      <c r="AS669" s="1" t="s">
        <v>12510</v>
      </c>
      <c r="AT669" s="1" t="s">
        <v>409</v>
      </c>
      <c r="AU669" s="1" t="s">
        <v>1861</v>
      </c>
      <c r="AV669" s="1">
        <v>73.63</v>
      </c>
      <c r="AW669" s="1"/>
      <c r="AX669" s="1" t="s">
        <v>253</v>
      </c>
      <c r="AY669" s="1" t="s">
        <v>1170</v>
      </c>
      <c r="AZ669" s="1" t="s">
        <v>1861</v>
      </c>
      <c r="BA669" s="1" t="s">
        <v>1379</v>
      </c>
      <c r="BB669" s="1">
        <v>70.52</v>
      </c>
      <c r="BC669" s="1">
        <v>7.77</v>
      </c>
      <c r="BD669" s="1"/>
      <c r="BE669" s="1"/>
      <c r="BF669" s="1"/>
      <c r="BG669" s="1"/>
      <c r="BH669" s="1"/>
      <c r="BI669" s="1"/>
      <c r="BJ669" s="1" t="s">
        <v>255</v>
      </c>
      <c r="BK669" s="1"/>
      <c r="BL669" s="1"/>
      <c r="BM669" s="1" t="s">
        <v>12511</v>
      </c>
      <c r="BN669" s="1">
        <v>9</v>
      </c>
      <c r="BO669" s="1"/>
      <c r="BP669" s="1" t="str">
        <f>HYPERLINK("https://nconnect.nicmar.ac.in/storage/profile/ProfilePhoto_P25700674_179648.jpg","Download")</f>
        <v>0</v>
      </c>
      <c r="BQ669" s="3"/>
      <c r="BR669" s="3"/>
    </row>
    <row r="670" spans="1:70">
      <c r="A670" s="1" t="s">
        <v>70</v>
      </c>
      <c r="B670" s="1" t="s">
        <v>441</v>
      </c>
      <c r="C670" s="1" t="s">
        <v>12512</v>
      </c>
      <c r="D670" s="1" t="s">
        <v>12513</v>
      </c>
      <c r="E670" s="1" t="s">
        <v>1938</v>
      </c>
      <c r="F670" s="1" t="s">
        <v>793</v>
      </c>
      <c r="G670" s="1" t="s">
        <v>12514</v>
      </c>
      <c r="H670" s="1" t="s">
        <v>12515</v>
      </c>
      <c r="I670" s="1" t="s">
        <v>12516</v>
      </c>
      <c r="J670" s="1">
        <v>9940971788</v>
      </c>
      <c r="K670" s="1" t="s">
        <v>79</v>
      </c>
      <c r="L670" s="1" t="s">
        <v>12517</v>
      </c>
      <c r="M670" s="1" t="s">
        <v>81</v>
      </c>
      <c r="N670" s="1" t="s">
        <v>12518</v>
      </c>
      <c r="O670" s="1"/>
      <c r="P670" s="1" t="s">
        <v>497</v>
      </c>
      <c r="Q670" s="1" t="s">
        <v>12519</v>
      </c>
      <c r="R670" s="1" t="s">
        <v>12520</v>
      </c>
      <c r="S670" s="1">
        <v>9842348001</v>
      </c>
      <c r="T670" s="1" t="s">
        <v>12521</v>
      </c>
      <c r="U670" s="1" t="s">
        <v>12522</v>
      </c>
      <c r="V670" s="1">
        <v>9489003506</v>
      </c>
      <c r="W670" s="1" t="s">
        <v>531</v>
      </c>
      <c r="X670" s="1" t="s">
        <v>12523</v>
      </c>
      <c r="Y670" s="1" t="s">
        <v>12524</v>
      </c>
      <c r="Z670" s="1" t="s">
        <v>559</v>
      </c>
      <c r="AA670" s="1" t="s">
        <v>12523</v>
      </c>
      <c r="AB670" s="1" t="s">
        <v>12524</v>
      </c>
      <c r="AC670" s="1" t="s">
        <v>559</v>
      </c>
      <c r="AD670" s="1">
        <v>8.02</v>
      </c>
      <c r="AE670" s="1" t="s">
        <v>93</v>
      </c>
      <c r="AF670" s="1" t="s">
        <v>12525</v>
      </c>
      <c r="AG670" s="1" t="s">
        <v>11516</v>
      </c>
      <c r="AH670" s="1" t="s">
        <v>1088</v>
      </c>
      <c r="AI670" s="1" t="s">
        <v>1089</v>
      </c>
      <c r="AJ670" s="1">
        <v>88</v>
      </c>
      <c r="AK670" s="1"/>
      <c r="AL670" s="1" t="s">
        <v>12525</v>
      </c>
      <c r="AM670" s="1" t="s">
        <v>11516</v>
      </c>
      <c r="AN670" s="1" t="s">
        <v>689</v>
      </c>
      <c r="AO670" s="1" t="s">
        <v>281</v>
      </c>
      <c r="AP670" s="1">
        <v>70.92</v>
      </c>
      <c r="AQ670" s="1"/>
      <c r="AR670" s="1"/>
      <c r="AS670" s="1"/>
      <c r="AT670" s="1"/>
      <c r="AU670" s="1"/>
      <c r="AV670" s="1"/>
      <c r="AW670" s="1"/>
      <c r="AX670" s="1" t="s">
        <v>564</v>
      </c>
      <c r="AY670" s="1" t="s">
        <v>12526</v>
      </c>
      <c r="AZ670" s="1" t="s">
        <v>169</v>
      </c>
      <c r="BA670" s="1" t="s">
        <v>566</v>
      </c>
      <c r="BB670" s="1">
        <v>71.6</v>
      </c>
      <c r="BC670" s="1"/>
      <c r="BD670" s="1"/>
      <c r="BE670" s="1"/>
      <c r="BF670" s="1"/>
      <c r="BG670" s="1"/>
      <c r="BH670" s="1"/>
      <c r="BI670" s="1"/>
      <c r="BJ670" s="1" t="s">
        <v>12527</v>
      </c>
      <c r="BK670" s="1" t="s">
        <v>12528</v>
      </c>
      <c r="BL670" s="1" t="s">
        <v>1129</v>
      </c>
      <c r="BM670" s="1" t="s">
        <v>12529</v>
      </c>
      <c r="BN670" s="1">
        <v>26</v>
      </c>
      <c r="BO670" s="1"/>
      <c r="BP670" s="1" t="str">
        <f>HYPERLINK("https://nconnect.nicmar.ac.in/storage/profile/ProfilePhoto_P25700675_971354.jpg","Download")</f>
        <v>0</v>
      </c>
      <c r="BQ670" s="3"/>
      <c r="BR670" s="3"/>
    </row>
    <row r="671" spans="1:70">
      <c r="A671" s="1" t="s">
        <v>70</v>
      </c>
      <c r="B671" s="1" t="s">
        <v>441</v>
      </c>
      <c r="C671" s="1" t="s">
        <v>12530</v>
      </c>
      <c r="D671" s="1" t="s">
        <v>12531</v>
      </c>
      <c r="E671" s="1" t="s">
        <v>12532</v>
      </c>
      <c r="F671" s="1" t="s">
        <v>12533</v>
      </c>
      <c r="G671" s="1" t="s">
        <v>12534</v>
      </c>
      <c r="H671" s="1" t="s">
        <v>12535</v>
      </c>
      <c r="I671" s="1" t="s">
        <v>12536</v>
      </c>
      <c r="J671" s="1">
        <v>7249887027</v>
      </c>
      <c r="K671" s="1" t="s">
        <v>79</v>
      </c>
      <c r="L671" s="1" t="s">
        <v>12537</v>
      </c>
      <c r="M671" s="1" t="s">
        <v>81</v>
      </c>
      <c r="N671" s="1" t="s">
        <v>5374</v>
      </c>
      <c r="O671" s="1"/>
      <c r="P671" s="1" t="s">
        <v>497</v>
      </c>
      <c r="Q671" s="1" t="s">
        <v>12538</v>
      </c>
      <c r="R671" s="1" t="s">
        <v>12539</v>
      </c>
      <c r="S671" s="1">
        <v>9822630674</v>
      </c>
      <c r="T671" s="1" t="s">
        <v>154</v>
      </c>
      <c r="U671" s="1" t="s">
        <v>12540</v>
      </c>
      <c r="V671" s="1">
        <v>8275929100</v>
      </c>
      <c r="W671" s="1" t="s">
        <v>156</v>
      </c>
      <c r="X671" s="1" t="s">
        <v>12541</v>
      </c>
      <c r="Y671" s="1" t="s">
        <v>5185</v>
      </c>
      <c r="Z671" s="1" t="s">
        <v>92</v>
      </c>
      <c r="AA671" s="1" t="s">
        <v>12541</v>
      </c>
      <c r="AB671" s="1" t="s">
        <v>5185</v>
      </c>
      <c r="AC671" s="1" t="s">
        <v>92</v>
      </c>
      <c r="AD671" s="1">
        <v>7.49</v>
      </c>
      <c r="AE671" s="1" t="s">
        <v>93</v>
      </c>
      <c r="AF671" s="1" t="s">
        <v>12542</v>
      </c>
      <c r="AG671" s="1" t="s">
        <v>12543</v>
      </c>
      <c r="AH671" s="1" t="s">
        <v>101</v>
      </c>
      <c r="AI671" s="1" t="s">
        <v>409</v>
      </c>
      <c r="AJ671" s="1">
        <v>73</v>
      </c>
      <c r="AK671" s="1"/>
      <c r="AL671" s="1" t="s">
        <v>12544</v>
      </c>
      <c r="AM671" s="1" t="s">
        <v>1942</v>
      </c>
      <c r="AN671" s="1" t="s">
        <v>228</v>
      </c>
      <c r="AO671" s="1" t="s">
        <v>826</v>
      </c>
      <c r="AP671" s="1">
        <v>76.33</v>
      </c>
      <c r="AQ671" s="1"/>
      <c r="AR671" s="1"/>
      <c r="AS671" s="1"/>
      <c r="AT671" s="1"/>
      <c r="AU671" s="1"/>
      <c r="AV671" s="1"/>
      <c r="AW671" s="1"/>
      <c r="AX671" s="1" t="s">
        <v>12545</v>
      </c>
      <c r="AY671" s="1" t="s">
        <v>12546</v>
      </c>
      <c r="AZ671" s="1" t="s">
        <v>852</v>
      </c>
      <c r="BA671" s="1" t="s">
        <v>543</v>
      </c>
      <c r="BB671" s="1">
        <v>60.69</v>
      </c>
      <c r="BC671" s="1"/>
      <c r="BD671" s="1"/>
      <c r="BE671" s="1"/>
      <c r="BF671" s="1"/>
      <c r="BG671" s="1"/>
      <c r="BH671" s="1"/>
      <c r="BI671" s="1"/>
      <c r="BJ671" s="1" t="s">
        <v>12547</v>
      </c>
      <c r="BK671" s="1"/>
      <c r="BL671" s="1"/>
      <c r="BM671" s="1" t="s">
        <v>12548</v>
      </c>
      <c r="BN671" s="1">
        <v>13</v>
      </c>
      <c r="BO671" s="1"/>
      <c r="BP671" s="1" t="str">
        <f>HYPERLINK("https://nconnect.nicmar.ac.in/storage/profile/ProfilePhoto_P25700676_965278.jpg","Download")</f>
        <v>0</v>
      </c>
      <c r="BQ671" s="3"/>
      <c r="BR671" s="3"/>
    </row>
    <row r="672" spans="1:70">
      <c r="A672" s="1" t="s">
        <v>70</v>
      </c>
      <c r="B672" s="1" t="s">
        <v>441</v>
      </c>
      <c r="C672" s="1" t="s">
        <v>12549</v>
      </c>
      <c r="D672" s="1" t="s">
        <v>11702</v>
      </c>
      <c r="E672" s="1" t="s">
        <v>1644</v>
      </c>
      <c r="F672" s="1" t="s">
        <v>12550</v>
      </c>
      <c r="G672" s="1" t="s">
        <v>12551</v>
      </c>
      <c r="H672" s="1" t="s">
        <v>12552</v>
      </c>
      <c r="I672" s="1" t="s">
        <v>12553</v>
      </c>
      <c r="J672" s="1">
        <v>8983831511</v>
      </c>
      <c r="K672" s="1" t="s">
        <v>79</v>
      </c>
      <c r="L672" s="1" t="s">
        <v>9976</v>
      </c>
      <c r="M672" s="1" t="s">
        <v>81</v>
      </c>
      <c r="N672" s="1" t="s">
        <v>12554</v>
      </c>
      <c r="O672" s="1"/>
      <c r="P672" s="1" t="s">
        <v>472</v>
      </c>
      <c r="Q672" s="1" t="s">
        <v>12555</v>
      </c>
      <c r="R672" s="1" t="s">
        <v>1644</v>
      </c>
      <c r="S672" s="1">
        <v>9423953511</v>
      </c>
      <c r="T672" s="1" t="s">
        <v>6725</v>
      </c>
      <c r="U672" s="1" t="s">
        <v>6466</v>
      </c>
      <c r="V672" s="1">
        <v>8983831511</v>
      </c>
      <c r="W672" s="1" t="s">
        <v>273</v>
      </c>
      <c r="X672" s="1" t="s">
        <v>12556</v>
      </c>
      <c r="Y672" s="1" t="s">
        <v>304</v>
      </c>
      <c r="Z672" s="1" t="s">
        <v>92</v>
      </c>
      <c r="AA672" s="1" t="s">
        <v>12556</v>
      </c>
      <c r="AB672" s="1" t="s">
        <v>304</v>
      </c>
      <c r="AC672" s="1" t="s">
        <v>92</v>
      </c>
      <c r="AD672" s="1" t="s">
        <v>93</v>
      </c>
      <c r="AE672" s="1" t="s">
        <v>93</v>
      </c>
      <c r="AF672" s="1" t="s">
        <v>12557</v>
      </c>
      <c r="AG672" s="1" t="s">
        <v>12558</v>
      </c>
      <c r="AH672" s="1" t="s">
        <v>161</v>
      </c>
      <c r="AI672" s="1" t="s">
        <v>162</v>
      </c>
      <c r="AJ672" s="1">
        <v>79</v>
      </c>
      <c r="AK672" s="1"/>
      <c r="AL672" s="1" t="s">
        <v>12559</v>
      </c>
      <c r="AM672" s="1" t="s">
        <v>12558</v>
      </c>
      <c r="AN672" s="1" t="s">
        <v>165</v>
      </c>
      <c r="AO672" s="1" t="s">
        <v>166</v>
      </c>
      <c r="AP672" s="1">
        <v>66.31</v>
      </c>
      <c r="AQ672" s="1"/>
      <c r="AR672" s="1"/>
      <c r="AS672" s="1"/>
      <c r="AT672" s="1"/>
      <c r="AU672" s="1"/>
      <c r="AV672" s="1"/>
      <c r="AW672" s="1"/>
      <c r="AX672" s="1" t="s">
        <v>12560</v>
      </c>
      <c r="AY672" s="1" t="s">
        <v>12560</v>
      </c>
      <c r="AZ672" s="1" t="s">
        <v>169</v>
      </c>
      <c r="BA672" s="1" t="s">
        <v>1378</v>
      </c>
      <c r="BB672" s="1">
        <v>65.9</v>
      </c>
      <c r="BC672" s="1"/>
      <c r="BD672" s="1"/>
      <c r="BE672" s="1"/>
      <c r="BF672" s="1"/>
      <c r="BG672" s="1"/>
      <c r="BH672" s="1"/>
      <c r="BI672" s="1"/>
      <c r="BJ672" s="1" t="s">
        <v>12561</v>
      </c>
      <c r="BK672" s="1" t="s">
        <v>12562</v>
      </c>
      <c r="BL672" s="1" t="s">
        <v>762</v>
      </c>
      <c r="BM672" s="1" t="s">
        <v>12563</v>
      </c>
      <c r="BN672" s="1">
        <v>17</v>
      </c>
      <c r="BO672" s="1" t="s">
        <v>12564</v>
      </c>
      <c r="BP672" s="1" t="str">
        <f>HYPERLINK("https://nconnect.nicmar.ac.in/storage/profile/ProfilePhoto_P25700677_147963.jpg","Download")</f>
        <v>0</v>
      </c>
      <c r="BQ672" s="3"/>
      <c r="BR672" s="3"/>
    </row>
    <row r="673" spans="1:70">
      <c r="A673" s="1" t="s">
        <v>70</v>
      </c>
      <c r="B673" s="1" t="s">
        <v>441</v>
      </c>
      <c r="C673" s="1" t="s">
        <v>12565</v>
      </c>
      <c r="D673" s="1" t="s">
        <v>3220</v>
      </c>
      <c r="E673" s="1" t="s">
        <v>12566</v>
      </c>
      <c r="F673" s="1" t="s">
        <v>12567</v>
      </c>
      <c r="G673" s="1" t="s">
        <v>12568</v>
      </c>
      <c r="H673" s="1" t="s">
        <v>12569</v>
      </c>
      <c r="I673" s="1" t="s">
        <v>12570</v>
      </c>
      <c r="J673" s="1">
        <v>7972934945</v>
      </c>
      <c r="K673" s="1" t="s">
        <v>148</v>
      </c>
      <c r="L673" s="1" t="s">
        <v>5354</v>
      </c>
      <c r="M673" s="1" t="s">
        <v>81</v>
      </c>
      <c r="N673" s="1" t="s">
        <v>7455</v>
      </c>
      <c r="O673" s="1"/>
      <c r="P673" s="1" t="s">
        <v>450</v>
      </c>
      <c r="Q673" s="1" t="s">
        <v>12571</v>
      </c>
      <c r="R673" s="1" t="s">
        <v>12572</v>
      </c>
      <c r="S673" s="1">
        <v>9922695213</v>
      </c>
      <c r="T673" s="1" t="s">
        <v>820</v>
      </c>
      <c r="U673" s="1" t="s">
        <v>12573</v>
      </c>
      <c r="V673" s="1">
        <v>8087196329</v>
      </c>
      <c r="W673" s="1" t="s">
        <v>122</v>
      </c>
      <c r="X673" s="1" t="s">
        <v>12574</v>
      </c>
      <c r="Y673" s="1" t="s">
        <v>328</v>
      </c>
      <c r="Z673" s="1" t="s">
        <v>92</v>
      </c>
      <c r="AA673" s="1" t="s">
        <v>12574</v>
      </c>
      <c r="AB673" s="1" t="s">
        <v>328</v>
      </c>
      <c r="AC673" s="1" t="s">
        <v>92</v>
      </c>
      <c r="AD673" s="1">
        <v>7.59</v>
      </c>
      <c r="AE673" s="1" t="s">
        <v>93</v>
      </c>
      <c r="AF673" s="1" t="s">
        <v>12575</v>
      </c>
      <c r="AG673" s="1" t="s">
        <v>12576</v>
      </c>
      <c r="AH673" s="1" t="s">
        <v>101</v>
      </c>
      <c r="AI673" s="1" t="s">
        <v>433</v>
      </c>
      <c r="AJ673" s="1">
        <v>66.2</v>
      </c>
      <c r="AK673" s="1"/>
      <c r="AL673" s="1"/>
      <c r="AM673" s="1"/>
      <c r="AN673" s="1"/>
      <c r="AO673" s="1"/>
      <c r="AP673" s="1"/>
      <c r="AQ673" s="1"/>
      <c r="AR673" s="1" t="s">
        <v>434</v>
      </c>
      <c r="AS673" s="1" t="s">
        <v>12577</v>
      </c>
      <c r="AT673" s="1" t="s">
        <v>310</v>
      </c>
      <c r="AU673" s="1" t="s">
        <v>1378</v>
      </c>
      <c r="AV673" s="1">
        <v>73.79</v>
      </c>
      <c r="AW673" s="1"/>
      <c r="AX673" s="1" t="s">
        <v>361</v>
      </c>
      <c r="AY673" s="1" t="s">
        <v>12578</v>
      </c>
      <c r="AZ673" s="1" t="s">
        <v>1864</v>
      </c>
      <c r="BA673" s="1" t="s">
        <v>829</v>
      </c>
      <c r="BB673" s="1">
        <v>66.8</v>
      </c>
      <c r="BC673" s="1">
        <v>7.43</v>
      </c>
      <c r="BD673" s="1"/>
      <c r="BE673" s="1"/>
      <c r="BF673" s="1"/>
      <c r="BG673" s="1"/>
      <c r="BH673" s="1"/>
      <c r="BI673" s="1"/>
      <c r="BJ673" s="1" t="s">
        <v>12579</v>
      </c>
      <c r="BK673" s="1"/>
      <c r="BL673" s="1"/>
      <c r="BM673" s="1" t="s">
        <v>12580</v>
      </c>
      <c r="BN673" s="1">
        <v>17</v>
      </c>
      <c r="BO673" s="1"/>
      <c r="BP673" s="1" t="str">
        <f>HYPERLINK("https://nconnect.nicmar.ac.in/storage/profile/ProfilePhoto_P25700678_436728.jpg","Download")</f>
        <v>0</v>
      </c>
      <c r="BQ673" s="3"/>
      <c r="BR673" s="3"/>
    </row>
    <row r="674" spans="1:70">
      <c r="A674" s="1" t="s">
        <v>70</v>
      </c>
      <c r="B674" s="1" t="s">
        <v>441</v>
      </c>
      <c r="C674" s="1" t="s">
        <v>12581</v>
      </c>
      <c r="D674" s="1" t="s">
        <v>12582</v>
      </c>
      <c r="E674" s="1" t="s">
        <v>8309</v>
      </c>
      <c r="F674" s="1" t="s">
        <v>12583</v>
      </c>
      <c r="G674" s="1" t="s">
        <v>12584</v>
      </c>
      <c r="H674" s="1" t="s">
        <v>12585</v>
      </c>
      <c r="I674" s="1" t="s">
        <v>12586</v>
      </c>
      <c r="J674" s="1">
        <v>8010366158</v>
      </c>
      <c r="K674" s="1" t="s">
        <v>79</v>
      </c>
      <c r="L674" s="1" t="s">
        <v>12587</v>
      </c>
      <c r="M674" s="1" t="s">
        <v>81</v>
      </c>
      <c r="N674" s="1" t="s">
        <v>8702</v>
      </c>
      <c r="O674" s="1"/>
      <c r="P674" s="1" t="s">
        <v>450</v>
      </c>
      <c r="Q674" s="1" t="s">
        <v>12588</v>
      </c>
      <c r="R674" s="1" t="s">
        <v>12589</v>
      </c>
      <c r="S674" s="1">
        <v>9423892974</v>
      </c>
      <c r="T674" s="1" t="s">
        <v>632</v>
      </c>
      <c r="U674" s="1" t="s">
        <v>12590</v>
      </c>
      <c r="V674" s="1">
        <v>8767840940</v>
      </c>
      <c r="W674" s="1" t="s">
        <v>156</v>
      </c>
      <c r="X674" s="1" t="s">
        <v>12591</v>
      </c>
      <c r="Y674" s="1" t="s">
        <v>191</v>
      </c>
      <c r="Z674" s="1" t="s">
        <v>92</v>
      </c>
      <c r="AA674" s="1" t="s">
        <v>12591</v>
      </c>
      <c r="AB674" s="1" t="s">
        <v>191</v>
      </c>
      <c r="AC674" s="1" t="s">
        <v>92</v>
      </c>
      <c r="AD674" s="1" t="s">
        <v>93</v>
      </c>
      <c r="AE674" s="1" t="s">
        <v>93</v>
      </c>
      <c r="AF674" s="1" t="s">
        <v>12592</v>
      </c>
      <c r="AG674" s="1" t="s">
        <v>160</v>
      </c>
      <c r="AH674" s="1" t="s">
        <v>101</v>
      </c>
      <c r="AI674" s="1" t="s">
        <v>409</v>
      </c>
      <c r="AJ674" s="1">
        <v>72</v>
      </c>
      <c r="AK674" s="1">
        <v>0</v>
      </c>
      <c r="AL674" s="1" t="s">
        <v>12593</v>
      </c>
      <c r="AM674" s="1" t="s">
        <v>160</v>
      </c>
      <c r="AN674" s="1" t="s">
        <v>460</v>
      </c>
      <c r="AO674" s="1" t="s">
        <v>1169</v>
      </c>
      <c r="AP674" s="1">
        <v>80</v>
      </c>
      <c r="AQ674" s="1">
        <v>0</v>
      </c>
      <c r="AR674" s="1"/>
      <c r="AS674" s="1"/>
      <c r="AT674" s="1"/>
      <c r="AU674" s="1"/>
      <c r="AV674" s="1"/>
      <c r="AW674" s="1"/>
      <c r="AX674" s="1" t="s">
        <v>8711</v>
      </c>
      <c r="AY674" s="1" t="s">
        <v>12594</v>
      </c>
      <c r="AZ674" s="1" t="s">
        <v>539</v>
      </c>
      <c r="BA674" s="1" t="s">
        <v>829</v>
      </c>
      <c r="BB674" s="1">
        <v>73.2</v>
      </c>
      <c r="BC674" s="1">
        <v>8.07</v>
      </c>
      <c r="BD674" s="1"/>
      <c r="BE674" s="1"/>
      <c r="BF674" s="1"/>
      <c r="BG674" s="1"/>
      <c r="BH674" s="1"/>
      <c r="BI674" s="1"/>
      <c r="BJ674" s="1" t="s">
        <v>830</v>
      </c>
      <c r="BK674" s="1"/>
      <c r="BL674" s="1"/>
      <c r="BM674" s="1"/>
      <c r="BN674" s="1"/>
      <c r="BO674" s="1"/>
      <c r="BP674" s="1" t="str">
        <f>HYPERLINK("https://nconnect.nicmar.ac.in/storage/profile/ProfilePhoto_P25700679_568347.jpg","Download")</f>
        <v>0</v>
      </c>
      <c r="BQ674" s="3"/>
      <c r="BR674" s="3"/>
    </row>
    <row r="675" spans="1:70">
      <c r="A675" s="1" t="s">
        <v>70</v>
      </c>
      <c r="B675" s="1" t="s">
        <v>441</v>
      </c>
      <c r="C675" s="1" t="s">
        <v>12595</v>
      </c>
      <c r="D675" s="1" t="s">
        <v>12596</v>
      </c>
      <c r="E675" s="1" t="s">
        <v>1273</v>
      </c>
      <c r="F675" s="1" t="s">
        <v>12597</v>
      </c>
      <c r="G675" s="1" t="s">
        <v>12598</v>
      </c>
      <c r="H675" s="1" t="s">
        <v>12599</v>
      </c>
      <c r="I675" s="1" t="s">
        <v>12600</v>
      </c>
      <c r="J675" s="1">
        <v>9880722771</v>
      </c>
      <c r="K675" s="1" t="s">
        <v>79</v>
      </c>
      <c r="L675" s="1" t="s">
        <v>7771</v>
      </c>
      <c r="M675" s="1" t="s">
        <v>81</v>
      </c>
      <c r="N675" s="1" t="s">
        <v>12601</v>
      </c>
      <c r="O675" s="1"/>
      <c r="P675" s="1" t="s">
        <v>472</v>
      </c>
      <c r="Q675" s="1" t="s">
        <v>12602</v>
      </c>
      <c r="R675" s="1" t="s">
        <v>12603</v>
      </c>
      <c r="S675" s="1">
        <v>9448425872</v>
      </c>
      <c r="T675" s="1" t="s">
        <v>820</v>
      </c>
      <c r="U675" s="1" t="s">
        <v>12604</v>
      </c>
      <c r="V675" s="1">
        <v>9739377993</v>
      </c>
      <c r="W675" s="1" t="s">
        <v>273</v>
      </c>
      <c r="X675" s="1" t="s">
        <v>12605</v>
      </c>
      <c r="Y675" s="1" t="s">
        <v>3030</v>
      </c>
      <c r="Z675" s="1" t="s">
        <v>1187</v>
      </c>
      <c r="AA675" s="1" t="s">
        <v>12605</v>
      </c>
      <c r="AB675" s="1" t="s">
        <v>3030</v>
      </c>
      <c r="AC675" s="1" t="s">
        <v>1187</v>
      </c>
      <c r="AD675" s="1">
        <v>7.54</v>
      </c>
      <c r="AE675" s="1" t="s">
        <v>93</v>
      </c>
      <c r="AF675" s="1" t="s">
        <v>12606</v>
      </c>
      <c r="AG675" s="1" t="s">
        <v>12607</v>
      </c>
      <c r="AH675" s="1" t="s">
        <v>562</v>
      </c>
      <c r="AI675" s="1" t="s">
        <v>1043</v>
      </c>
      <c r="AJ675" s="1">
        <v>68.16</v>
      </c>
      <c r="AK675" s="1">
        <v>7.17</v>
      </c>
      <c r="AL675" s="1"/>
      <c r="AM675" s="1"/>
      <c r="AN675" s="1"/>
      <c r="AO675" s="1"/>
      <c r="AP675" s="1"/>
      <c r="AQ675" s="1"/>
      <c r="AR675" s="1" t="s">
        <v>434</v>
      </c>
      <c r="AS675" s="1" t="s">
        <v>12608</v>
      </c>
      <c r="AT675" s="1" t="s">
        <v>308</v>
      </c>
      <c r="AU675" s="1" t="s">
        <v>619</v>
      </c>
      <c r="AV675" s="1">
        <v>62.93</v>
      </c>
      <c r="AW675" s="1">
        <v>6.62</v>
      </c>
      <c r="AX675" s="1" t="s">
        <v>12609</v>
      </c>
      <c r="AY675" s="1" t="s">
        <v>12610</v>
      </c>
      <c r="AZ675" s="1" t="s">
        <v>1864</v>
      </c>
      <c r="BA675" s="1" t="s">
        <v>543</v>
      </c>
      <c r="BB675" s="1">
        <v>65.7</v>
      </c>
      <c r="BC675" s="1">
        <v>7.32</v>
      </c>
      <c r="BD675" s="1"/>
      <c r="BE675" s="1"/>
      <c r="BF675" s="1"/>
      <c r="BG675" s="1"/>
      <c r="BH675" s="1"/>
      <c r="BI675" s="1"/>
      <c r="BJ675" s="1" t="s">
        <v>12611</v>
      </c>
      <c r="BK675" s="1"/>
      <c r="BL675" s="1"/>
      <c r="BM675" s="1" t="s">
        <v>12612</v>
      </c>
      <c r="BN675" s="1">
        <v>16</v>
      </c>
      <c r="BO675" s="1" t="s">
        <v>12613</v>
      </c>
      <c r="BP675" s="1" t="str">
        <f>HYPERLINK("https://nconnect.nicmar.ac.in/storage/profile/ProfilePhoto_P25700680_758621.jpg","Download")</f>
        <v>0</v>
      </c>
      <c r="BQ675" s="3"/>
      <c r="BR675" s="3"/>
    </row>
    <row r="676" spans="1:70">
      <c r="A676" s="1" t="s">
        <v>70</v>
      </c>
      <c r="B676" s="1" t="s">
        <v>441</v>
      </c>
      <c r="C676" s="1" t="s">
        <v>12614</v>
      </c>
      <c r="D676" s="1" t="s">
        <v>1095</v>
      </c>
      <c r="E676" s="1" t="s">
        <v>12615</v>
      </c>
      <c r="F676" s="1" t="s">
        <v>12616</v>
      </c>
      <c r="G676" s="1" t="s">
        <v>12617</v>
      </c>
      <c r="H676" s="1" t="s">
        <v>12618</v>
      </c>
      <c r="I676" s="1" t="s">
        <v>12619</v>
      </c>
      <c r="J676" s="1">
        <v>9307961904</v>
      </c>
      <c r="K676" s="1" t="s">
        <v>79</v>
      </c>
      <c r="L676" s="1" t="s">
        <v>12620</v>
      </c>
      <c r="M676" s="1" t="s">
        <v>81</v>
      </c>
      <c r="N676" s="1" t="s">
        <v>883</v>
      </c>
      <c r="O676" s="1"/>
      <c r="P676" s="1" t="s">
        <v>450</v>
      </c>
      <c r="Q676" s="1" t="s">
        <v>12621</v>
      </c>
      <c r="R676" s="1" t="s">
        <v>12615</v>
      </c>
      <c r="S676" s="1">
        <v>9623816798</v>
      </c>
      <c r="T676" s="1" t="s">
        <v>12622</v>
      </c>
      <c r="U676" s="1" t="s">
        <v>3520</v>
      </c>
      <c r="V676" s="1">
        <v>7350062451</v>
      </c>
      <c r="W676" s="1" t="s">
        <v>156</v>
      </c>
      <c r="X676" s="1" t="s">
        <v>12623</v>
      </c>
      <c r="Y676" s="1" t="s">
        <v>191</v>
      </c>
      <c r="Z676" s="1" t="s">
        <v>92</v>
      </c>
      <c r="AA676" s="1" t="s">
        <v>12623</v>
      </c>
      <c r="AB676" s="1" t="s">
        <v>191</v>
      </c>
      <c r="AC676" s="1" t="s">
        <v>92</v>
      </c>
      <c r="AD676" s="1">
        <v>8.95</v>
      </c>
      <c r="AE676" s="1" t="s">
        <v>93</v>
      </c>
      <c r="AF676" s="1" t="s">
        <v>12624</v>
      </c>
      <c r="AG676" s="1" t="s">
        <v>7354</v>
      </c>
      <c r="AH676" s="1" t="s">
        <v>161</v>
      </c>
      <c r="AI676" s="1" t="s">
        <v>162</v>
      </c>
      <c r="AJ676" s="1">
        <v>86</v>
      </c>
      <c r="AK676" s="1"/>
      <c r="AL676" s="1"/>
      <c r="AM676" s="1"/>
      <c r="AN676" s="1"/>
      <c r="AO676" s="1"/>
      <c r="AP676" s="1"/>
      <c r="AQ676" s="1"/>
      <c r="AR676" s="1" t="s">
        <v>98</v>
      </c>
      <c r="AS676" s="1" t="s">
        <v>7850</v>
      </c>
      <c r="AT676" s="1" t="s">
        <v>1374</v>
      </c>
      <c r="AU676" s="1" t="s">
        <v>308</v>
      </c>
      <c r="AV676" s="1">
        <v>84.33</v>
      </c>
      <c r="AW676" s="1"/>
      <c r="AX676" s="1" t="s">
        <v>361</v>
      </c>
      <c r="AY676" s="1" t="s">
        <v>12625</v>
      </c>
      <c r="AZ676" s="1" t="s">
        <v>433</v>
      </c>
      <c r="BA676" s="1" t="s">
        <v>284</v>
      </c>
      <c r="BB676" s="1">
        <v>83.68</v>
      </c>
      <c r="BC676" s="1">
        <v>9.51</v>
      </c>
      <c r="BD676" s="1"/>
      <c r="BE676" s="1"/>
      <c r="BF676" s="1"/>
      <c r="BG676" s="1"/>
      <c r="BH676" s="1"/>
      <c r="BI676" s="1"/>
      <c r="BJ676" s="1" t="s">
        <v>12626</v>
      </c>
      <c r="BK676" s="1"/>
      <c r="BL676" s="1"/>
      <c r="BM676" s="1" t="s">
        <v>12627</v>
      </c>
      <c r="BN676" s="1">
        <v>8</v>
      </c>
      <c r="BO676" s="1" t="s">
        <v>12628</v>
      </c>
      <c r="BP676" s="1" t="str">
        <f>HYPERLINK("https://nconnect.nicmar.ac.in/storage/profile/ProfilePhoto_P25700681_619574.jpg","Download")</f>
        <v>0</v>
      </c>
      <c r="BQ676" s="3"/>
      <c r="BR676" s="3"/>
    </row>
    <row r="677" spans="1:70">
      <c r="A677" s="1" t="s">
        <v>70</v>
      </c>
      <c r="B677" s="1" t="s">
        <v>441</v>
      </c>
      <c r="C677" s="1" t="s">
        <v>12629</v>
      </c>
      <c r="D677" s="1" t="s">
        <v>12630</v>
      </c>
      <c r="E677" s="1" t="s">
        <v>9403</v>
      </c>
      <c r="F677" s="1" t="s">
        <v>12631</v>
      </c>
      <c r="G677" s="1" t="s">
        <v>12632</v>
      </c>
      <c r="H677" s="1" t="s">
        <v>12633</v>
      </c>
      <c r="I677" s="1" t="s">
        <v>12634</v>
      </c>
      <c r="J677" s="1">
        <v>9481655061</v>
      </c>
      <c r="K677" s="1" t="s">
        <v>79</v>
      </c>
      <c r="L677" s="1" t="s">
        <v>729</v>
      </c>
      <c r="M677" s="1" t="s">
        <v>81</v>
      </c>
      <c r="N677" s="1" t="s">
        <v>12635</v>
      </c>
      <c r="O677" s="1"/>
      <c r="P677" s="1" t="s">
        <v>450</v>
      </c>
      <c r="Q677" s="1" t="s">
        <v>12636</v>
      </c>
      <c r="R677" s="1" t="s">
        <v>12637</v>
      </c>
      <c r="S677" s="1">
        <v>9900028348</v>
      </c>
      <c r="T677" s="1" t="s">
        <v>820</v>
      </c>
      <c r="U677" s="1" t="s">
        <v>12638</v>
      </c>
      <c r="V677" s="1">
        <v>8105088699</v>
      </c>
      <c r="W677" s="1" t="s">
        <v>531</v>
      </c>
      <c r="X677" s="1" t="s">
        <v>12639</v>
      </c>
      <c r="Y677" s="1" t="s">
        <v>3151</v>
      </c>
      <c r="Z677" s="1" t="s">
        <v>1187</v>
      </c>
      <c r="AA677" s="1" t="s">
        <v>12639</v>
      </c>
      <c r="AB677" s="1" t="s">
        <v>3151</v>
      </c>
      <c r="AC677" s="1" t="s">
        <v>1187</v>
      </c>
      <c r="AD677" s="1">
        <v>7.9</v>
      </c>
      <c r="AE677" s="1" t="s">
        <v>93</v>
      </c>
      <c r="AF677" s="1" t="s">
        <v>12640</v>
      </c>
      <c r="AG677" s="1" t="s">
        <v>758</v>
      </c>
      <c r="AH677" s="1" t="s">
        <v>165</v>
      </c>
      <c r="AI677" s="1" t="s">
        <v>166</v>
      </c>
      <c r="AJ677" s="1">
        <v>77.2</v>
      </c>
      <c r="AK677" s="1"/>
      <c r="AL677" s="1" t="s">
        <v>12641</v>
      </c>
      <c r="AM677" s="1" t="s">
        <v>1193</v>
      </c>
      <c r="AN677" s="1" t="s">
        <v>433</v>
      </c>
      <c r="AO677" s="1" t="s">
        <v>173</v>
      </c>
      <c r="AP677" s="1">
        <v>76.3</v>
      </c>
      <c r="AQ677" s="1"/>
      <c r="AR677" s="1"/>
      <c r="AS677" s="1"/>
      <c r="AT677" s="1"/>
      <c r="AU677" s="1"/>
      <c r="AV677" s="1"/>
      <c r="AW677" s="1"/>
      <c r="AX677" s="1" t="s">
        <v>717</v>
      </c>
      <c r="AY677" s="1" t="s">
        <v>12642</v>
      </c>
      <c r="AZ677" s="1" t="s">
        <v>228</v>
      </c>
      <c r="BA677" s="1" t="s">
        <v>543</v>
      </c>
      <c r="BB677" s="1">
        <v>62.8</v>
      </c>
      <c r="BC677" s="1"/>
      <c r="BD677" s="1"/>
      <c r="BE677" s="1"/>
      <c r="BF677" s="1"/>
      <c r="BG677" s="1"/>
      <c r="BH677" s="1"/>
      <c r="BI677" s="1"/>
      <c r="BJ677" s="1" t="s">
        <v>12643</v>
      </c>
      <c r="BK677" s="1"/>
      <c r="BL677" s="1"/>
      <c r="BM677" s="1" t="s">
        <v>12644</v>
      </c>
      <c r="BN677" s="1">
        <v>23</v>
      </c>
      <c r="BO677" s="1"/>
      <c r="BP677" s="1" t="str">
        <f>HYPERLINK("https://nconnect.nicmar.ac.in/storage/profile/ProfilePhoto_P25700682_615498.jpg","Download")</f>
        <v>0</v>
      </c>
      <c r="BQ677" s="3"/>
      <c r="BR677" s="3"/>
    </row>
    <row r="678" spans="1:70">
      <c r="A678" s="1" t="s">
        <v>70</v>
      </c>
      <c r="B678" s="1" t="s">
        <v>441</v>
      </c>
      <c r="C678" s="1" t="s">
        <v>12645</v>
      </c>
      <c r="D678" s="1" t="s">
        <v>12646</v>
      </c>
      <c r="E678" s="1" t="s">
        <v>2419</v>
      </c>
      <c r="F678" s="1" t="s">
        <v>1156</v>
      </c>
      <c r="G678" s="1" t="s">
        <v>12647</v>
      </c>
      <c r="H678" s="1" t="s">
        <v>12648</v>
      </c>
      <c r="I678" s="1" t="s">
        <v>12649</v>
      </c>
      <c r="J678" s="1">
        <v>8551899733</v>
      </c>
      <c r="K678" s="1" t="s">
        <v>79</v>
      </c>
      <c r="L678" s="1" t="s">
        <v>3453</v>
      </c>
      <c r="M678" s="1" t="s">
        <v>81</v>
      </c>
      <c r="N678" s="1" t="s">
        <v>12100</v>
      </c>
      <c r="O678" s="1"/>
      <c r="P678" s="1" t="s">
        <v>472</v>
      </c>
      <c r="Q678" s="1" t="s">
        <v>12650</v>
      </c>
      <c r="R678" s="1" t="s">
        <v>12651</v>
      </c>
      <c r="S678" s="1">
        <v>7972740452</v>
      </c>
      <c r="T678" s="1" t="s">
        <v>154</v>
      </c>
      <c r="U678" s="1" t="s">
        <v>12652</v>
      </c>
      <c r="V678" s="1">
        <v>9049482678</v>
      </c>
      <c r="W678" s="1" t="s">
        <v>156</v>
      </c>
      <c r="X678" s="1" t="s">
        <v>12653</v>
      </c>
      <c r="Y678" s="1" t="s">
        <v>304</v>
      </c>
      <c r="Z678" s="1" t="s">
        <v>92</v>
      </c>
      <c r="AA678" s="1" t="s">
        <v>12654</v>
      </c>
      <c r="AB678" s="1" t="s">
        <v>304</v>
      </c>
      <c r="AC678" s="1" t="s">
        <v>92</v>
      </c>
      <c r="AD678" s="1">
        <v>7.89</v>
      </c>
      <c r="AE678" s="1" t="s">
        <v>93</v>
      </c>
      <c r="AF678" s="1" t="s">
        <v>12655</v>
      </c>
      <c r="AG678" s="1" t="s">
        <v>160</v>
      </c>
      <c r="AH678" s="1" t="s">
        <v>161</v>
      </c>
      <c r="AI678" s="1" t="s">
        <v>162</v>
      </c>
      <c r="AJ678" s="1">
        <v>77</v>
      </c>
      <c r="AK678" s="1">
        <v>0</v>
      </c>
      <c r="AL678" s="1"/>
      <c r="AM678" s="1"/>
      <c r="AN678" s="1"/>
      <c r="AO678" s="1"/>
      <c r="AP678" s="1"/>
      <c r="AQ678" s="1"/>
      <c r="AR678" s="1" t="s">
        <v>434</v>
      </c>
      <c r="AS678" s="1" t="s">
        <v>12656</v>
      </c>
      <c r="AT678" s="1" t="s">
        <v>134</v>
      </c>
      <c r="AU678" s="1" t="s">
        <v>433</v>
      </c>
      <c r="AV678" s="1">
        <v>69.52</v>
      </c>
      <c r="AW678" s="1"/>
      <c r="AX678" s="1" t="s">
        <v>12657</v>
      </c>
      <c r="AY678" s="1" t="s">
        <v>12656</v>
      </c>
      <c r="AZ678" s="1" t="s">
        <v>201</v>
      </c>
      <c r="BA678" s="1" t="s">
        <v>105</v>
      </c>
      <c r="BB678" s="1">
        <v>75.56</v>
      </c>
      <c r="BC678" s="1">
        <v>8.2</v>
      </c>
      <c r="BD678" s="1"/>
      <c r="BE678" s="1"/>
      <c r="BF678" s="1"/>
      <c r="BG678" s="1"/>
      <c r="BH678" s="1"/>
      <c r="BI678" s="1"/>
      <c r="BJ678" s="1" t="s">
        <v>12658</v>
      </c>
      <c r="BK678" s="1" t="s">
        <v>12659</v>
      </c>
      <c r="BL678" s="1" t="s">
        <v>2569</v>
      </c>
      <c r="BM678" s="1" t="s">
        <v>12660</v>
      </c>
      <c r="BN678" s="1">
        <v>30</v>
      </c>
      <c r="BO678" s="1" t="s">
        <v>12661</v>
      </c>
      <c r="BP678" s="1" t="str">
        <f>HYPERLINK("https://nconnect.nicmar.ac.in/storage/profile/ProfilePhoto_P25700683_957612.jpg","Download")</f>
        <v>0</v>
      </c>
      <c r="BQ678" s="3"/>
      <c r="BR678" s="3"/>
    </row>
    <row r="679" spans="1:70">
      <c r="A679" s="1" t="s">
        <v>70</v>
      </c>
      <c r="B679" s="1" t="s">
        <v>441</v>
      </c>
      <c r="C679" s="1" t="s">
        <v>12662</v>
      </c>
      <c r="D679" s="1" t="s">
        <v>12663</v>
      </c>
      <c r="E679" s="1" t="s">
        <v>793</v>
      </c>
      <c r="F679" s="1" t="s">
        <v>12664</v>
      </c>
      <c r="G679" s="1" t="s">
        <v>12665</v>
      </c>
      <c r="H679" s="1" t="s">
        <v>12666</v>
      </c>
      <c r="I679" s="1" t="s">
        <v>12667</v>
      </c>
      <c r="J679" s="1">
        <v>6238276637</v>
      </c>
      <c r="K679" s="1" t="s">
        <v>79</v>
      </c>
      <c r="L679" s="1" t="s">
        <v>12668</v>
      </c>
      <c r="M679" s="1" t="s">
        <v>81</v>
      </c>
      <c r="N679" s="1" t="s">
        <v>12669</v>
      </c>
      <c r="O679" s="1"/>
      <c r="P679" s="1" t="s">
        <v>472</v>
      </c>
      <c r="Q679" s="1" t="s">
        <v>12670</v>
      </c>
      <c r="R679" s="1" t="s">
        <v>12671</v>
      </c>
      <c r="S679" s="1">
        <v>9447988464</v>
      </c>
      <c r="T679" s="1" t="s">
        <v>12672</v>
      </c>
      <c r="U679" s="1" t="s">
        <v>12673</v>
      </c>
      <c r="V679" s="1">
        <v>9744754425</v>
      </c>
      <c r="W679" s="1" t="s">
        <v>12674</v>
      </c>
      <c r="X679" s="1" t="s">
        <v>12675</v>
      </c>
      <c r="Y679" s="1" t="s">
        <v>686</v>
      </c>
      <c r="Z679" s="1" t="s">
        <v>125</v>
      </c>
      <c r="AA679" s="1" t="s">
        <v>12675</v>
      </c>
      <c r="AB679" s="1" t="s">
        <v>686</v>
      </c>
      <c r="AC679" s="1" t="s">
        <v>125</v>
      </c>
      <c r="AD679" s="1">
        <v>8.68</v>
      </c>
      <c r="AE679" s="1" t="s">
        <v>93</v>
      </c>
      <c r="AF679" s="1" t="s">
        <v>12676</v>
      </c>
      <c r="AG679" s="1" t="s">
        <v>3174</v>
      </c>
      <c r="AH679" s="1" t="s">
        <v>161</v>
      </c>
      <c r="AI679" s="1" t="s">
        <v>614</v>
      </c>
      <c r="AJ679" s="1">
        <v>89.3</v>
      </c>
      <c r="AK679" s="1"/>
      <c r="AL679" s="1" t="s">
        <v>12677</v>
      </c>
      <c r="AM679" s="1" t="s">
        <v>3174</v>
      </c>
      <c r="AN679" s="1" t="s">
        <v>165</v>
      </c>
      <c r="AO679" s="1" t="s">
        <v>166</v>
      </c>
      <c r="AP679" s="1">
        <v>76.8</v>
      </c>
      <c r="AQ679" s="1"/>
      <c r="AR679" s="1"/>
      <c r="AS679" s="1"/>
      <c r="AT679" s="1"/>
      <c r="AU679" s="1"/>
      <c r="AV679" s="1"/>
      <c r="AW679" s="1"/>
      <c r="AX679" s="1" t="s">
        <v>132</v>
      </c>
      <c r="AY679" s="1" t="s">
        <v>12678</v>
      </c>
      <c r="AZ679" s="1" t="s">
        <v>1043</v>
      </c>
      <c r="BA679" s="1" t="s">
        <v>1864</v>
      </c>
      <c r="BB679" s="1">
        <v>73</v>
      </c>
      <c r="BC679" s="1">
        <v>7.3</v>
      </c>
      <c r="BD679" s="1"/>
      <c r="BE679" s="1"/>
      <c r="BF679" s="1"/>
      <c r="BG679" s="1"/>
      <c r="BH679" s="1"/>
      <c r="BI679" s="1"/>
      <c r="BJ679" s="1" t="s">
        <v>12679</v>
      </c>
      <c r="BK679" s="1" t="s">
        <v>12680</v>
      </c>
      <c r="BL679" s="1" t="s">
        <v>7635</v>
      </c>
      <c r="BM679" s="1" t="s">
        <v>12681</v>
      </c>
      <c r="BN679" s="1">
        <v>8</v>
      </c>
      <c r="BO679" s="1" t="s">
        <v>12682</v>
      </c>
      <c r="BP679" s="1" t="str">
        <f>HYPERLINK("https://nconnect.nicmar.ac.in/storage/profile/ProfilePhoto_P25700684_186534.jpg","Download")</f>
        <v>0</v>
      </c>
      <c r="BQ679" s="3"/>
      <c r="BR679" s="3"/>
    </row>
    <row r="680" spans="1:70">
      <c r="A680" s="1" t="s">
        <v>70</v>
      </c>
      <c r="B680" s="1" t="s">
        <v>441</v>
      </c>
      <c r="C680" s="1" t="s">
        <v>12683</v>
      </c>
      <c r="D680" s="1" t="s">
        <v>12684</v>
      </c>
      <c r="E680" s="1" t="s">
        <v>1744</v>
      </c>
      <c r="F680" s="1" t="s">
        <v>1156</v>
      </c>
      <c r="G680" s="1" t="s">
        <v>12685</v>
      </c>
      <c r="H680" s="1" t="s">
        <v>12686</v>
      </c>
      <c r="I680" s="1" t="s">
        <v>12687</v>
      </c>
      <c r="J680" s="1">
        <v>8767503950</v>
      </c>
      <c r="K680" s="1" t="s">
        <v>148</v>
      </c>
      <c r="L680" s="1" t="s">
        <v>12688</v>
      </c>
      <c r="M680" s="1" t="s">
        <v>81</v>
      </c>
      <c r="N680" s="1" t="s">
        <v>751</v>
      </c>
      <c r="O680" s="1"/>
      <c r="P680" s="1" t="s">
        <v>472</v>
      </c>
      <c r="Q680" s="1" t="s">
        <v>12689</v>
      </c>
      <c r="R680" s="1" t="s">
        <v>1744</v>
      </c>
      <c r="S680" s="1">
        <v>9552221322</v>
      </c>
      <c r="T680" s="1" t="s">
        <v>820</v>
      </c>
      <c r="U680" s="1" t="s">
        <v>5908</v>
      </c>
      <c r="V680" s="1">
        <v>9850372400</v>
      </c>
      <c r="W680" s="1" t="s">
        <v>156</v>
      </c>
      <c r="X680" s="1" t="s">
        <v>12690</v>
      </c>
      <c r="Y680" s="1" t="s">
        <v>5663</v>
      </c>
      <c r="Z680" s="1" t="s">
        <v>92</v>
      </c>
      <c r="AA680" s="1" t="s">
        <v>12690</v>
      </c>
      <c r="AB680" s="1" t="s">
        <v>5663</v>
      </c>
      <c r="AC680" s="1" t="s">
        <v>92</v>
      </c>
      <c r="AD680" s="1">
        <v>9.29</v>
      </c>
      <c r="AE680" s="1" t="s">
        <v>93</v>
      </c>
      <c r="AF680" s="1" t="s">
        <v>12691</v>
      </c>
      <c r="AG680" s="1" t="s">
        <v>160</v>
      </c>
      <c r="AH680" s="1" t="s">
        <v>281</v>
      </c>
      <c r="AI680" s="1" t="s">
        <v>409</v>
      </c>
      <c r="AJ680" s="1">
        <v>90</v>
      </c>
      <c r="AK680" s="1"/>
      <c r="AL680" s="1" t="s">
        <v>12692</v>
      </c>
      <c r="AM680" s="1" t="s">
        <v>160</v>
      </c>
      <c r="AN680" s="1" t="s">
        <v>409</v>
      </c>
      <c r="AO680" s="1" t="s">
        <v>1169</v>
      </c>
      <c r="AP680" s="1">
        <v>90</v>
      </c>
      <c r="AQ680" s="1"/>
      <c r="AR680" s="1"/>
      <c r="AS680" s="1"/>
      <c r="AT680" s="1"/>
      <c r="AU680" s="1"/>
      <c r="AV680" s="1"/>
      <c r="AW680" s="1"/>
      <c r="AX680" s="1" t="s">
        <v>102</v>
      </c>
      <c r="AY680" s="1" t="s">
        <v>12693</v>
      </c>
      <c r="AZ680" s="1" t="s">
        <v>852</v>
      </c>
      <c r="BA680" s="1" t="s">
        <v>1379</v>
      </c>
      <c r="BB680" s="1">
        <v>82.5</v>
      </c>
      <c r="BC680" s="1">
        <v>8.75</v>
      </c>
      <c r="BD680" s="1"/>
      <c r="BE680" s="1"/>
      <c r="BF680" s="1"/>
      <c r="BG680" s="1"/>
      <c r="BH680" s="1"/>
      <c r="BI680" s="1"/>
      <c r="BJ680" s="1" t="s">
        <v>12694</v>
      </c>
      <c r="BK680" s="1"/>
      <c r="BL680" s="1"/>
      <c r="BM680" s="1" t="s">
        <v>12695</v>
      </c>
      <c r="BN680" s="1">
        <v>21</v>
      </c>
      <c r="BO680" s="1" t="s">
        <v>12696</v>
      </c>
      <c r="BP680" s="1" t="str">
        <f>HYPERLINK("https://nconnect.nicmar.ac.in/storage/profile/ProfilePhoto_P25700685_324561.jpg","Download")</f>
        <v>0</v>
      </c>
      <c r="BQ680" s="3"/>
      <c r="BR680" s="3"/>
    </row>
    <row r="681" spans="1:70">
      <c r="A681" s="1" t="s">
        <v>70</v>
      </c>
      <c r="B681" s="1" t="s">
        <v>441</v>
      </c>
      <c r="C681" s="1" t="s">
        <v>12697</v>
      </c>
      <c r="D681" s="1" t="s">
        <v>12698</v>
      </c>
      <c r="E681" s="1" t="s">
        <v>4342</v>
      </c>
      <c r="F681" s="1" t="s">
        <v>12699</v>
      </c>
      <c r="G681" s="1" t="s">
        <v>12700</v>
      </c>
      <c r="H681" s="1" t="s">
        <v>12701</v>
      </c>
      <c r="I681" s="1" t="s">
        <v>12702</v>
      </c>
      <c r="J681" s="1">
        <v>8237958132</v>
      </c>
      <c r="K681" s="1" t="s">
        <v>79</v>
      </c>
      <c r="L681" s="1" t="s">
        <v>12703</v>
      </c>
      <c r="M681" s="1" t="s">
        <v>81</v>
      </c>
      <c r="N681" s="1" t="s">
        <v>2424</v>
      </c>
      <c r="O681" s="1"/>
      <c r="P681" s="1" t="s">
        <v>472</v>
      </c>
      <c r="Q681" s="1" t="s">
        <v>12704</v>
      </c>
      <c r="R681" s="1" t="s">
        <v>12705</v>
      </c>
      <c r="S681" s="1">
        <v>9320612182</v>
      </c>
      <c r="T681" s="1" t="s">
        <v>216</v>
      </c>
      <c r="U681" s="1" t="s">
        <v>12706</v>
      </c>
      <c r="V681" s="1">
        <v>8237445401</v>
      </c>
      <c r="W681" s="1" t="s">
        <v>216</v>
      </c>
      <c r="X681" s="1" t="s">
        <v>12707</v>
      </c>
      <c r="Y681" s="1" t="s">
        <v>991</v>
      </c>
      <c r="Z681" s="1" t="s">
        <v>92</v>
      </c>
      <c r="AA681" s="1" t="s">
        <v>12707</v>
      </c>
      <c r="AB681" s="1" t="s">
        <v>991</v>
      </c>
      <c r="AC681" s="1" t="s">
        <v>92</v>
      </c>
      <c r="AD681" s="1">
        <v>8.59</v>
      </c>
      <c r="AE681" s="1" t="s">
        <v>93</v>
      </c>
      <c r="AF681" s="1" t="s">
        <v>12708</v>
      </c>
      <c r="AG681" s="1" t="s">
        <v>160</v>
      </c>
      <c r="AH681" s="1" t="s">
        <v>96</v>
      </c>
      <c r="AI681" s="1" t="s">
        <v>131</v>
      </c>
      <c r="AJ681" s="1">
        <v>84.2</v>
      </c>
      <c r="AK681" s="1">
        <v>0</v>
      </c>
      <c r="AL681" s="1" t="s">
        <v>12709</v>
      </c>
      <c r="AM681" s="1" t="s">
        <v>160</v>
      </c>
      <c r="AN681" s="1" t="s">
        <v>279</v>
      </c>
      <c r="AO681" s="1" t="s">
        <v>165</v>
      </c>
      <c r="AP681" s="1">
        <v>62.15</v>
      </c>
      <c r="AQ681" s="1">
        <v>0</v>
      </c>
      <c r="AR681" s="1"/>
      <c r="AS681" s="1"/>
      <c r="AT681" s="1"/>
      <c r="AU681" s="1"/>
      <c r="AV681" s="1"/>
      <c r="AW681" s="1"/>
      <c r="AX681" s="1" t="s">
        <v>253</v>
      </c>
      <c r="AY681" s="1" t="s">
        <v>12710</v>
      </c>
      <c r="AZ681" s="1" t="s">
        <v>383</v>
      </c>
      <c r="BA681" s="1" t="s">
        <v>105</v>
      </c>
      <c r="BB681" s="1">
        <v>64.2</v>
      </c>
      <c r="BC681" s="1">
        <v>7.09</v>
      </c>
      <c r="BD681" s="1"/>
      <c r="BE681" s="1"/>
      <c r="BF681" s="1"/>
      <c r="BG681" s="1"/>
      <c r="BH681" s="1"/>
      <c r="BI681" s="1"/>
      <c r="BJ681" s="1" t="s">
        <v>255</v>
      </c>
      <c r="BK681" s="1" t="s">
        <v>12711</v>
      </c>
      <c r="BL681" s="1" t="s">
        <v>1540</v>
      </c>
      <c r="BM681" s="1" t="s">
        <v>12712</v>
      </c>
      <c r="BN681" s="1">
        <v>8</v>
      </c>
      <c r="BO681" s="1"/>
      <c r="BP681" s="1" t="str">
        <f>HYPERLINK("https://nconnect.nicmar.ac.in/storage/profile/ProfilePhoto_P25700686_647582.jpg","Download")</f>
        <v>0</v>
      </c>
      <c r="BQ681" s="3"/>
      <c r="BR681" s="3"/>
    </row>
    <row r="682" spans="1:70">
      <c r="A682" s="1" t="s">
        <v>70</v>
      </c>
      <c r="B682" s="1" t="s">
        <v>441</v>
      </c>
      <c r="C682" s="1" t="s">
        <v>12713</v>
      </c>
      <c r="D682" s="1" t="s">
        <v>234</v>
      </c>
      <c r="E682" s="1" t="s">
        <v>12714</v>
      </c>
      <c r="F682" s="1" t="s">
        <v>12715</v>
      </c>
      <c r="G682" s="1" t="s">
        <v>12716</v>
      </c>
      <c r="H682" s="1" t="s">
        <v>12717</v>
      </c>
      <c r="I682" s="1" t="s">
        <v>12718</v>
      </c>
      <c r="J682" s="1">
        <v>7218418264</v>
      </c>
      <c r="K682" s="1" t="s">
        <v>79</v>
      </c>
      <c r="L682" s="1" t="s">
        <v>12719</v>
      </c>
      <c r="M682" s="1" t="s">
        <v>81</v>
      </c>
      <c r="N682" s="1" t="s">
        <v>883</v>
      </c>
      <c r="O682" s="1"/>
      <c r="P682" s="1" t="s">
        <v>472</v>
      </c>
      <c r="Q682" s="1" t="s">
        <v>12720</v>
      </c>
      <c r="R682" s="1" t="s">
        <v>12721</v>
      </c>
      <c r="S682" s="1">
        <v>9503011061</v>
      </c>
      <c r="T682" s="1" t="s">
        <v>12722</v>
      </c>
      <c r="U682" s="1" t="s">
        <v>12723</v>
      </c>
      <c r="V682" s="1">
        <v>8390005616</v>
      </c>
      <c r="W682" s="1" t="s">
        <v>156</v>
      </c>
      <c r="X682" s="1" t="s">
        <v>12724</v>
      </c>
      <c r="Y682" s="1" t="s">
        <v>246</v>
      </c>
      <c r="Z682" s="1" t="s">
        <v>92</v>
      </c>
      <c r="AA682" s="1" t="s">
        <v>12724</v>
      </c>
      <c r="AB682" s="1" t="s">
        <v>246</v>
      </c>
      <c r="AC682" s="1" t="s">
        <v>92</v>
      </c>
      <c r="AD682" s="1" t="s">
        <v>93</v>
      </c>
      <c r="AE682" s="1" t="s">
        <v>93</v>
      </c>
      <c r="AF682" s="1" t="s">
        <v>12725</v>
      </c>
      <c r="AG682" s="1" t="s">
        <v>12726</v>
      </c>
      <c r="AH682" s="1" t="s">
        <v>1190</v>
      </c>
      <c r="AI682" s="1" t="s">
        <v>505</v>
      </c>
      <c r="AJ682" s="1">
        <v>67.8</v>
      </c>
      <c r="AK682" s="1"/>
      <c r="AL682" s="1" t="s">
        <v>12727</v>
      </c>
      <c r="AM682" s="1" t="s">
        <v>12726</v>
      </c>
      <c r="AN682" s="1" t="s">
        <v>161</v>
      </c>
      <c r="AO682" s="1" t="s">
        <v>507</v>
      </c>
      <c r="AP682" s="1">
        <v>60</v>
      </c>
      <c r="AQ682" s="1">
        <v>0</v>
      </c>
      <c r="AR682" s="1"/>
      <c r="AS682" s="1"/>
      <c r="AT682" s="1"/>
      <c r="AU682" s="1"/>
      <c r="AV682" s="1"/>
      <c r="AW682" s="1"/>
      <c r="AX682" s="1" t="s">
        <v>361</v>
      </c>
      <c r="AY682" s="1" t="s">
        <v>12728</v>
      </c>
      <c r="AZ682" s="1" t="s">
        <v>134</v>
      </c>
      <c r="BA682" s="1" t="s">
        <v>539</v>
      </c>
      <c r="BB682" s="1">
        <v>61.94</v>
      </c>
      <c r="BC682" s="1">
        <v>6.96</v>
      </c>
      <c r="BD682" s="1"/>
      <c r="BE682" s="1"/>
      <c r="BF682" s="1"/>
      <c r="BG682" s="1"/>
      <c r="BH682" s="1"/>
      <c r="BI682" s="1"/>
      <c r="BJ682" s="1" t="s">
        <v>7324</v>
      </c>
      <c r="BK682" s="1"/>
      <c r="BL682" s="1"/>
      <c r="BM682" s="1" t="s">
        <v>12729</v>
      </c>
      <c r="BN682" s="1">
        <v>121</v>
      </c>
      <c r="BO682" s="1"/>
      <c r="BP682" s="1" t="str">
        <f>HYPERLINK("https://nconnect.nicmar.ac.in/storage/profile/ProfilePhoto_P25700687_475918.jpg","Download")</f>
        <v>0</v>
      </c>
      <c r="BQ682" s="3"/>
      <c r="BR682" s="3"/>
    </row>
    <row r="683" spans="1:70">
      <c r="A683" s="1" t="s">
        <v>70</v>
      </c>
      <c r="B683" s="1" t="s">
        <v>441</v>
      </c>
      <c r="C683" s="1" t="s">
        <v>12730</v>
      </c>
      <c r="D683" s="1" t="s">
        <v>2070</v>
      </c>
      <c r="E683" s="1" t="s">
        <v>3349</v>
      </c>
      <c r="F683" s="1" t="s">
        <v>12715</v>
      </c>
      <c r="G683" s="1" t="s">
        <v>12731</v>
      </c>
      <c r="H683" s="1" t="s">
        <v>12732</v>
      </c>
      <c r="I683" s="1" t="s">
        <v>12733</v>
      </c>
      <c r="J683" s="1">
        <v>9923888100</v>
      </c>
      <c r="K683" s="1" t="s">
        <v>79</v>
      </c>
      <c r="L683" s="1" t="s">
        <v>9785</v>
      </c>
      <c r="M683" s="1" t="s">
        <v>81</v>
      </c>
      <c r="N683" s="1" t="s">
        <v>1140</v>
      </c>
      <c r="O683" s="1"/>
      <c r="P683" s="1" t="s">
        <v>1007</v>
      </c>
      <c r="Q683" s="1" t="s">
        <v>12734</v>
      </c>
      <c r="R683" s="1" t="s">
        <v>3349</v>
      </c>
      <c r="S683" s="1">
        <v>9923365555</v>
      </c>
      <c r="T683" s="1" t="s">
        <v>632</v>
      </c>
      <c r="U683" s="1" t="s">
        <v>1103</v>
      </c>
      <c r="V683" s="1">
        <v>8208881510</v>
      </c>
      <c r="W683" s="1" t="s">
        <v>4700</v>
      </c>
      <c r="X683" s="1" t="s">
        <v>12735</v>
      </c>
      <c r="Y683" s="1" t="s">
        <v>91</v>
      </c>
      <c r="Z683" s="1" t="s">
        <v>92</v>
      </c>
      <c r="AA683" s="1" t="s">
        <v>12735</v>
      </c>
      <c r="AB683" s="1" t="s">
        <v>91</v>
      </c>
      <c r="AC683" s="1" t="s">
        <v>92</v>
      </c>
      <c r="AD683" s="1">
        <v>7.62</v>
      </c>
      <c r="AE683" s="1" t="s">
        <v>93</v>
      </c>
      <c r="AF683" s="1" t="s">
        <v>12736</v>
      </c>
      <c r="AG683" s="1" t="s">
        <v>160</v>
      </c>
      <c r="AH683" s="1" t="s">
        <v>96</v>
      </c>
      <c r="AI683" s="1" t="s">
        <v>97</v>
      </c>
      <c r="AJ683" s="1">
        <v>80.2</v>
      </c>
      <c r="AK683" s="1"/>
      <c r="AL683" s="1" t="s">
        <v>12737</v>
      </c>
      <c r="AM683" s="1" t="s">
        <v>160</v>
      </c>
      <c r="AN683" s="1" t="s">
        <v>162</v>
      </c>
      <c r="AO683" s="1" t="s">
        <v>508</v>
      </c>
      <c r="AP683" s="1">
        <v>61.54</v>
      </c>
      <c r="AQ683" s="1"/>
      <c r="AR683" s="1"/>
      <c r="AS683" s="1"/>
      <c r="AT683" s="1"/>
      <c r="AU683" s="1"/>
      <c r="AV683" s="1"/>
      <c r="AW683" s="1"/>
      <c r="AX683" s="1" t="s">
        <v>361</v>
      </c>
      <c r="AY683" s="1" t="s">
        <v>4726</v>
      </c>
      <c r="AZ683" s="1" t="s">
        <v>2085</v>
      </c>
      <c r="BA683" s="1" t="s">
        <v>511</v>
      </c>
      <c r="BB683" s="1">
        <v>72.18</v>
      </c>
      <c r="BC683" s="1">
        <v>8.11</v>
      </c>
      <c r="BD683" s="1"/>
      <c r="BE683" s="1"/>
      <c r="BF683" s="1"/>
      <c r="BG683" s="1"/>
      <c r="BH683" s="1"/>
      <c r="BI683" s="1"/>
      <c r="BJ683" s="1" t="s">
        <v>2547</v>
      </c>
      <c r="BK683" s="1"/>
      <c r="BL683" s="1"/>
      <c r="BM683" s="1" t="s">
        <v>12738</v>
      </c>
      <c r="BN683" s="1">
        <v>38</v>
      </c>
      <c r="BO683" s="1"/>
      <c r="BP683" s="1" t="str">
        <f>HYPERLINK("https://nconnect.nicmar.ac.in/storage/profile/ProfilePhoto_P25700688_241639.jpg","Download")</f>
        <v>0</v>
      </c>
      <c r="BQ683" s="3"/>
      <c r="BR683" s="3"/>
    </row>
    <row r="684" spans="1:70">
      <c r="A684" s="1" t="s">
        <v>70</v>
      </c>
      <c r="B684" s="1" t="s">
        <v>441</v>
      </c>
      <c r="C684" s="1" t="s">
        <v>12739</v>
      </c>
      <c r="D684" s="1" t="s">
        <v>12740</v>
      </c>
      <c r="E684" s="1" t="s">
        <v>4970</v>
      </c>
      <c r="F684" s="1" t="s">
        <v>12741</v>
      </c>
      <c r="G684" s="1" t="s">
        <v>12742</v>
      </c>
      <c r="H684" s="1" t="s">
        <v>12743</v>
      </c>
      <c r="I684" s="1" t="s">
        <v>12744</v>
      </c>
      <c r="J684" s="1">
        <v>9356160041</v>
      </c>
      <c r="K684" s="1" t="s">
        <v>79</v>
      </c>
      <c r="L684" s="1" t="s">
        <v>9592</v>
      </c>
      <c r="M684" s="1" t="s">
        <v>81</v>
      </c>
      <c r="N684" s="1" t="s">
        <v>751</v>
      </c>
      <c r="O684" s="1"/>
      <c r="P684" s="1" t="s">
        <v>1007</v>
      </c>
      <c r="Q684" s="1" t="s">
        <v>12745</v>
      </c>
      <c r="R684" s="1" t="s">
        <v>12746</v>
      </c>
      <c r="S684" s="1">
        <v>8459435855</v>
      </c>
      <c r="T684" s="1" t="s">
        <v>154</v>
      </c>
      <c r="U684" s="1" t="s">
        <v>1103</v>
      </c>
      <c r="V684" s="1">
        <v>7620148479</v>
      </c>
      <c r="W684" s="1" t="s">
        <v>156</v>
      </c>
      <c r="X684" s="1" t="s">
        <v>12747</v>
      </c>
      <c r="Y684" s="1" t="s">
        <v>1963</v>
      </c>
      <c r="Z684" s="1" t="s">
        <v>92</v>
      </c>
      <c r="AA684" s="1" t="s">
        <v>12747</v>
      </c>
      <c r="AB684" s="1" t="s">
        <v>1963</v>
      </c>
      <c r="AC684" s="1" t="s">
        <v>92</v>
      </c>
      <c r="AD684" s="1">
        <v>7.36</v>
      </c>
      <c r="AE684" s="1" t="s">
        <v>93</v>
      </c>
      <c r="AF684" s="1" t="s">
        <v>12748</v>
      </c>
      <c r="AG684" s="1" t="s">
        <v>160</v>
      </c>
      <c r="AH684" s="1" t="s">
        <v>165</v>
      </c>
      <c r="AI684" s="1" t="s">
        <v>281</v>
      </c>
      <c r="AJ684" s="1">
        <v>81</v>
      </c>
      <c r="AK684" s="1"/>
      <c r="AL684" s="1"/>
      <c r="AM684" s="1"/>
      <c r="AN684" s="1"/>
      <c r="AO684" s="1"/>
      <c r="AP684" s="1"/>
      <c r="AQ684" s="1"/>
      <c r="AR684" s="1" t="s">
        <v>434</v>
      </c>
      <c r="AS684" s="1" t="s">
        <v>12749</v>
      </c>
      <c r="AT684" s="1" t="s">
        <v>1043</v>
      </c>
      <c r="AU684" s="1" t="s">
        <v>1378</v>
      </c>
      <c r="AV684" s="1">
        <v>78.32</v>
      </c>
      <c r="AW684" s="1"/>
      <c r="AX684" s="1" t="s">
        <v>1862</v>
      </c>
      <c r="AY684" s="1" t="s">
        <v>12750</v>
      </c>
      <c r="AZ684" s="1" t="s">
        <v>1864</v>
      </c>
      <c r="BA684" s="1" t="s">
        <v>829</v>
      </c>
      <c r="BB684" s="1">
        <v>62.8</v>
      </c>
      <c r="BC684" s="1"/>
      <c r="BD684" s="1"/>
      <c r="BE684" s="1"/>
      <c r="BF684" s="1"/>
      <c r="BG684" s="1"/>
      <c r="BH684" s="1"/>
      <c r="BI684" s="1"/>
      <c r="BJ684" s="1" t="s">
        <v>12751</v>
      </c>
      <c r="BK684" s="1"/>
      <c r="BL684" s="1"/>
      <c r="BM684" s="1" t="s">
        <v>12752</v>
      </c>
      <c r="BN684" s="1">
        <v>21</v>
      </c>
      <c r="BO684" s="1" t="s">
        <v>12753</v>
      </c>
      <c r="BP684" s="1" t="str">
        <f>HYPERLINK("https://nconnect.nicmar.ac.in/storage/profile/ProfilePhoto_P25700689_513962.jpg","Download")</f>
        <v>0</v>
      </c>
      <c r="BQ684" s="3"/>
      <c r="BR684" s="3"/>
    </row>
    <row r="685" spans="1:70">
      <c r="A685" s="1" t="s">
        <v>70</v>
      </c>
      <c r="B685" s="1" t="s">
        <v>441</v>
      </c>
      <c r="C685" s="1" t="s">
        <v>12754</v>
      </c>
      <c r="D685" s="1" t="s">
        <v>12755</v>
      </c>
      <c r="E685" s="1" t="s">
        <v>12756</v>
      </c>
      <c r="F685" s="1" t="s">
        <v>12757</v>
      </c>
      <c r="G685" s="1" t="s">
        <v>12758</v>
      </c>
      <c r="H685" s="1" t="s">
        <v>12759</v>
      </c>
      <c r="I685" s="1" t="s">
        <v>12760</v>
      </c>
      <c r="J685" s="1">
        <v>8999040700</v>
      </c>
      <c r="K685" s="1" t="s">
        <v>79</v>
      </c>
      <c r="L685" s="1" t="s">
        <v>12761</v>
      </c>
      <c r="M685" s="1" t="s">
        <v>81</v>
      </c>
      <c r="N685" s="1" t="s">
        <v>2424</v>
      </c>
      <c r="O685" s="1"/>
      <c r="P685" s="1" t="s">
        <v>497</v>
      </c>
      <c r="Q685" s="1" t="s">
        <v>12762</v>
      </c>
      <c r="R685" s="1" t="s">
        <v>12756</v>
      </c>
      <c r="S685" s="1">
        <v>9767192552</v>
      </c>
      <c r="T685" s="1" t="s">
        <v>12763</v>
      </c>
      <c r="U685" s="1" t="s">
        <v>12764</v>
      </c>
      <c r="V685" s="1">
        <v>7498328887</v>
      </c>
      <c r="W685" s="1" t="s">
        <v>156</v>
      </c>
      <c r="X685" s="1" t="s">
        <v>12765</v>
      </c>
      <c r="Y685" s="1" t="s">
        <v>191</v>
      </c>
      <c r="Z685" s="1" t="s">
        <v>92</v>
      </c>
      <c r="AA685" s="1" t="s">
        <v>12766</v>
      </c>
      <c r="AB685" s="1" t="s">
        <v>5185</v>
      </c>
      <c r="AC685" s="1" t="s">
        <v>92</v>
      </c>
      <c r="AD685" s="1">
        <v>8.31</v>
      </c>
      <c r="AE685" s="1" t="s">
        <v>93</v>
      </c>
      <c r="AF685" s="1" t="s">
        <v>12767</v>
      </c>
      <c r="AG685" s="1" t="s">
        <v>12768</v>
      </c>
      <c r="AH685" s="1" t="s">
        <v>165</v>
      </c>
      <c r="AI685" s="1" t="s">
        <v>281</v>
      </c>
      <c r="AJ685" s="1">
        <v>80.6</v>
      </c>
      <c r="AK685" s="1"/>
      <c r="AL685" s="1" t="s">
        <v>12767</v>
      </c>
      <c r="AM685" s="1" t="s">
        <v>12768</v>
      </c>
      <c r="AN685" s="1" t="s">
        <v>433</v>
      </c>
      <c r="AO685" s="1" t="s">
        <v>360</v>
      </c>
      <c r="AP685" s="1">
        <v>62.46</v>
      </c>
      <c r="AQ685" s="1"/>
      <c r="AR685" s="1"/>
      <c r="AS685" s="1"/>
      <c r="AT685" s="1"/>
      <c r="AU685" s="1"/>
      <c r="AV685" s="1"/>
      <c r="AW685" s="1"/>
      <c r="AX685" s="1" t="s">
        <v>253</v>
      </c>
      <c r="AY685" s="1" t="s">
        <v>12769</v>
      </c>
      <c r="AZ685" s="1" t="s">
        <v>460</v>
      </c>
      <c r="BA685" s="1" t="s">
        <v>543</v>
      </c>
      <c r="BB685" s="1">
        <v>64.24</v>
      </c>
      <c r="BC685" s="1">
        <v>7.06</v>
      </c>
      <c r="BD685" s="1"/>
      <c r="BE685" s="1"/>
      <c r="BF685" s="1"/>
      <c r="BG685" s="1"/>
      <c r="BH685" s="1"/>
      <c r="BI685" s="1"/>
      <c r="BJ685" s="1" t="s">
        <v>12770</v>
      </c>
      <c r="BK685" s="1"/>
      <c r="BL685" s="1"/>
      <c r="BM685" s="1" t="s">
        <v>12771</v>
      </c>
      <c r="BN685" s="1">
        <v>27</v>
      </c>
      <c r="BO685" s="1" t="s">
        <v>12772</v>
      </c>
      <c r="BP685" s="1" t="str">
        <f>HYPERLINK("https://nconnect.nicmar.ac.in/storage/profile/ProfilePhoto_P25700690_598276.jpg","Download")</f>
        <v>0</v>
      </c>
      <c r="BQ685" s="3"/>
      <c r="BR685" s="3"/>
    </row>
    <row r="686" spans="1:70">
      <c r="A686" s="1" t="s">
        <v>70</v>
      </c>
      <c r="B686" s="1" t="s">
        <v>441</v>
      </c>
      <c r="C686" s="1" t="s">
        <v>12773</v>
      </c>
      <c r="D686" s="1" t="s">
        <v>3368</v>
      </c>
      <c r="E686" s="1" t="s">
        <v>12774</v>
      </c>
      <c r="F686" s="1" t="s">
        <v>12775</v>
      </c>
      <c r="G686" s="1" t="s">
        <v>12776</v>
      </c>
      <c r="H686" s="1" t="s">
        <v>12777</v>
      </c>
      <c r="I686" s="1" t="s">
        <v>12778</v>
      </c>
      <c r="J686" s="1">
        <v>8104032269</v>
      </c>
      <c r="K686" s="1" t="s">
        <v>79</v>
      </c>
      <c r="L686" s="1" t="s">
        <v>12779</v>
      </c>
      <c r="M686" s="1" t="s">
        <v>81</v>
      </c>
      <c r="N686" s="1" t="s">
        <v>12405</v>
      </c>
      <c r="O686" s="1"/>
      <c r="P686" s="1" t="s">
        <v>450</v>
      </c>
      <c r="Q686" s="1" t="s">
        <v>12780</v>
      </c>
      <c r="R686" s="1" t="s">
        <v>12774</v>
      </c>
      <c r="S686" s="1">
        <v>9820397681</v>
      </c>
      <c r="T686" s="1" t="s">
        <v>12781</v>
      </c>
      <c r="U686" s="1" t="s">
        <v>10168</v>
      </c>
      <c r="V686" s="1">
        <v>9920367838</v>
      </c>
      <c r="W686" s="1" t="s">
        <v>156</v>
      </c>
      <c r="X686" s="1" t="s">
        <v>12782</v>
      </c>
      <c r="Y686" s="1" t="s">
        <v>2229</v>
      </c>
      <c r="Z686" s="1" t="s">
        <v>92</v>
      </c>
      <c r="AA686" s="1" t="s">
        <v>12782</v>
      </c>
      <c r="AB686" s="1" t="s">
        <v>2229</v>
      </c>
      <c r="AC686" s="1" t="s">
        <v>92</v>
      </c>
      <c r="AD686" s="1">
        <v>8.49</v>
      </c>
      <c r="AE686" s="1" t="s">
        <v>93</v>
      </c>
      <c r="AF686" s="1" t="s">
        <v>12783</v>
      </c>
      <c r="AG686" s="1" t="s">
        <v>12784</v>
      </c>
      <c r="AH686" s="1" t="s">
        <v>165</v>
      </c>
      <c r="AI686" s="1" t="s">
        <v>481</v>
      </c>
      <c r="AJ686" s="1">
        <v>83.2</v>
      </c>
      <c r="AK686" s="1"/>
      <c r="AL686" s="1" t="s">
        <v>12785</v>
      </c>
      <c r="AM686" s="1" t="s">
        <v>12784</v>
      </c>
      <c r="AN686" s="1" t="s">
        <v>433</v>
      </c>
      <c r="AO686" s="1" t="s">
        <v>360</v>
      </c>
      <c r="AP686" s="1">
        <v>62.62</v>
      </c>
      <c r="AQ686" s="1"/>
      <c r="AR686" s="1"/>
      <c r="AS686" s="1"/>
      <c r="AT686" s="1"/>
      <c r="AU686" s="1"/>
      <c r="AV686" s="1"/>
      <c r="AW686" s="1"/>
      <c r="AX686" s="1" t="s">
        <v>253</v>
      </c>
      <c r="AY686" s="1" t="s">
        <v>12786</v>
      </c>
      <c r="AZ686" s="1" t="s">
        <v>363</v>
      </c>
      <c r="BA686" s="1" t="s">
        <v>543</v>
      </c>
      <c r="BB686" s="1">
        <v>75.34</v>
      </c>
      <c r="BC686" s="1">
        <v>8.56</v>
      </c>
      <c r="BD686" s="1"/>
      <c r="BE686" s="1"/>
      <c r="BF686" s="1"/>
      <c r="BG686" s="1"/>
      <c r="BH686" s="1"/>
      <c r="BI686" s="1"/>
      <c r="BJ686" s="1" t="s">
        <v>12787</v>
      </c>
      <c r="BK686" s="1"/>
      <c r="BL686" s="1"/>
      <c r="BM686" s="1" t="s">
        <v>12788</v>
      </c>
      <c r="BN686" s="1">
        <v>34</v>
      </c>
      <c r="BO686" s="1"/>
      <c r="BP686" s="1" t="str">
        <f>HYPERLINK("https://nconnect.nicmar.ac.in/storage/profile/ProfilePhoto_P25700691_937165.jpg","Download")</f>
        <v>0</v>
      </c>
      <c r="BQ686" s="3"/>
      <c r="BR686" s="3"/>
    </row>
    <row r="687" spans="1:70">
      <c r="A687" s="1" t="s">
        <v>70</v>
      </c>
      <c r="B687" s="1" t="s">
        <v>441</v>
      </c>
      <c r="C687" s="1" t="s">
        <v>12789</v>
      </c>
      <c r="D687" s="1" t="s">
        <v>12790</v>
      </c>
      <c r="E687" s="1"/>
      <c r="F687" s="1" t="s">
        <v>12791</v>
      </c>
      <c r="G687" s="1" t="s">
        <v>12792</v>
      </c>
      <c r="H687" s="1" t="s">
        <v>12793</v>
      </c>
      <c r="I687" s="1" t="s">
        <v>12794</v>
      </c>
      <c r="J687" s="1">
        <v>9705938096</v>
      </c>
      <c r="K687" s="1" t="s">
        <v>148</v>
      </c>
      <c r="L687" s="1" t="s">
        <v>12149</v>
      </c>
      <c r="M687" s="1" t="s">
        <v>81</v>
      </c>
      <c r="N687" s="1" t="s">
        <v>3476</v>
      </c>
      <c r="O687" s="1"/>
      <c r="P687" s="1" t="s">
        <v>497</v>
      </c>
      <c r="Q687" s="1" t="s">
        <v>12795</v>
      </c>
      <c r="R687" s="1" t="s">
        <v>12796</v>
      </c>
      <c r="S687" s="1">
        <v>8121045396</v>
      </c>
      <c r="T687" s="1" t="s">
        <v>820</v>
      </c>
      <c r="U687" s="1" t="s">
        <v>12797</v>
      </c>
      <c r="V687" s="1">
        <v>9492879124</v>
      </c>
      <c r="W687" s="1" t="s">
        <v>820</v>
      </c>
      <c r="X687" s="1" t="s">
        <v>12798</v>
      </c>
      <c r="Y687" s="1" t="s">
        <v>191</v>
      </c>
      <c r="Z687" s="1" t="s">
        <v>92</v>
      </c>
      <c r="AA687" s="1" t="s">
        <v>12799</v>
      </c>
      <c r="AB687" s="1" t="s">
        <v>12800</v>
      </c>
      <c r="AC687" s="1" t="s">
        <v>276</v>
      </c>
      <c r="AD687" s="1">
        <v>7.39</v>
      </c>
      <c r="AE687" s="1" t="s">
        <v>93</v>
      </c>
      <c r="AF687" s="1" t="s">
        <v>12801</v>
      </c>
      <c r="AG687" s="1" t="s">
        <v>8523</v>
      </c>
      <c r="AH687" s="1" t="s">
        <v>562</v>
      </c>
      <c r="AI687" s="1" t="s">
        <v>166</v>
      </c>
      <c r="AJ687" s="1">
        <v>72.5</v>
      </c>
      <c r="AK687" s="1"/>
      <c r="AL687" s="1" t="s">
        <v>12802</v>
      </c>
      <c r="AM687" s="1" t="s">
        <v>2312</v>
      </c>
      <c r="AN687" s="1" t="s">
        <v>101</v>
      </c>
      <c r="AO687" s="1" t="s">
        <v>460</v>
      </c>
      <c r="AP687" s="1">
        <v>74.2</v>
      </c>
      <c r="AQ687" s="1">
        <v>7.42</v>
      </c>
      <c r="AR687" s="1"/>
      <c r="AS687" s="1"/>
      <c r="AT687" s="1"/>
      <c r="AU687" s="1"/>
      <c r="AV687" s="1"/>
      <c r="AW687" s="1"/>
      <c r="AX687" s="1" t="s">
        <v>12803</v>
      </c>
      <c r="AY687" s="1" t="s">
        <v>12804</v>
      </c>
      <c r="AZ687" s="1" t="s">
        <v>871</v>
      </c>
      <c r="BA687" s="1" t="s">
        <v>202</v>
      </c>
      <c r="BB687" s="1">
        <v>67.07</v>
      </c>
      <c r="BC687" s="1">
        <v>8.14</v>
      </c>
      <c r="BD687" s="1"/>
      <c r="BE687" s="1"/>
      <c r="BF687" s="1"/>
      <c r="BG687" s="1"/>
      <c r="BH687" s="1"/>
      <c r="BI687" s="1"/>
      <c r="BJ687" s="1" t="s">
        <v>12805</v>
      </c>
      <c r="BK687" s="1"/>
      <c r="BL687" s="1"/>
      <c r="BM687" s="1" t="s">
        <v>12806</v>
      </c>
      <c r="BN687" s="1">
        <v>47</v>
      </c>
      <c r="BO687" s="1"/>
      <c r="BP687" s="1" t="str">
        <f>HYPERLINK("https://nconnect.nicmar.ac.in/storage/profile/ProfilePhoto_P25700692_921468.jpg","Download")</f>
        <v>0</v>
      </c>
      <c r="BQ687" s="3"/>
      <c r="BR687" s="3"/>
    </row>
    <row r="688" spans="1:70">
      <c r="A688" s="1" t="s">
        <v>70</v>
      </c>
      <c r="B688" s="1" t="s">
        <v>441</v>
      </c>
      <c r="C688" s="1" t="s">
        <v>12807</v>
      </c>
      <c r="D688" s="1" t="s">
        <v>3368</v>
      </c>
      <c r="E688" s="1" t="s">
        <v>9214</v>
      </c>
      <c r="F688" s="1" t="s">
        <v>9181</v>
      </c>
      <c r="G688" s="1" t="s">
        <v>12808</v>
      </c>
      <c r="H688" s="1" t="s">
        <v>12809</v>
      </c>
      <c r="I688" s="1" t="s">
        <v>12810</v>
      </c>
      <c r="J688" s="1">
        <v>7499176590</v>
      </c>
      <c r="K688" s="1" t="s">
        <v>79</v>
      </c>
      <c r="L688" s="1" t="s">
        <v>12811</v>
      </c>
      <c r="M688" s="1" t="s">
        <v>81</v>
      </c>
      <c r="N688" s="1" t="s">
        <v>151</v>
      </c>
      <c r="O688" s="1"/>
      <c r="P688" s="1" t="s">
        <v>497</v>
      </c>
      <c r="Q688" s="1" t="s">
        <v>12812</v>
      </c>
      <c r="R688" s="1" t="s">
        <v>9214</v>
      </c>
      <c r="S688" s="1">
        <v>8888837485</v>
      </c>
      <c r="T688" s="1" t="s">
        <v>9236</v>
      </c>
      <c r="U688" s="1" t="s">
        <v>8520</v>
      </c>
      <c r="V688" s="1">
        <v>8888852231</v>
      </c>
      <c r="W688" s="1" t="s">
        <v>89</v>
      </c>
      <c r="X688" s="1" t="s">
        <v>12813</v>
      </c>
      <c r="Y688" s="1" t="s">
        <v>1754</v>
      </c>
      <c r="Z688" s="1" t="s">
        <v>92</v>
      </c>
      <c r="AA688" s="1" t="s">
        <v>12813</v>
      </c>
      <c r="AB688" s="1" t="s">
        <v>1754</v>
      </c>
      <c r="AC688" s="1" t="s">
        <v>92</v>
      </c>
      <c r="AD688" s="1">
        <v>7.62</v>
      </c>
      <c r="AE688" s="1" t="s">
        <v>93</v>
      </c>
      <c r="AF688" s="1" t="s">
        <v>12814</v>
      </c>
      <c r="AG688" s="1" t="s">
        <v>7354</v>
      </c>
      <c r="AH688" s="1" t="s">
        <v>162</v>
      </c>
      <c r="AI688" s="1" t="s">
        <v>562</v>
      </c>
      <c r="AJ688" s="1">
        <v>82.8</v>
      </c>
      <c r="AK688" s="1"/>
      <c r="AL688" s="1"/>
      <c r="AM688" s="1"/>
      <c r="AN688" s="1"/>
      <c r="AO688" s="1"/>
      <c r="AP688" s="1"/>
      <c r="AQ688" s="1"/>
      <c r="AR688" s="1" t="s">
        <v>434</v>
      </c>
      <c r="AS688" s="1" t="s">
        <v>12815</v>
      </c>
      <c r="AT688" s="1" t="s">
        <v>225</v>
      </c>
      <c r="AU688" s="1" t="s">
        <v>170</v>
      </c>
      <c r="AV688" s="1">
        <v>89</v>
      </c>
      <c r="AW688" s="1"/>
      <c r="AX688" s="1" t="s">
        <v>361</v>
      </c>
      <c r="AY688" s="1" t="s">
        <v>7901</v>
      </c>
      <c r="AZ688" s="1" t="s">
        <v>363</v>
      </c>
      <c r="BA688" s="1" t="s">
        <v>386</v>
      </c>
      <c r="BB688" s="1">
        <v>85.42</v>
      </c>
      <c r="BC688" s="1">
        <v>9.05</v>
      </c>
      <c r="BD688" s="1"/>
      <c r="BE688" s="1"/>
      <c r="BF688" s="1"/>
      <c r="BG688" s="1"/>
      <c r="BH688" s="1"/>
      <c r="BI688" s="1"/>
      <c r="BJ688" s="1" t="s">
        <v>12816</v>
      </c>
      <c r="BK688" s="1"/>
      <c r="BL688" s="1"/>
      <c r="BM688" s="1" t="s">
        <v>12817</v>
      </c>
      <c r="BN688" s="1">
        <v>60</v>
      </c>
      <c r="BO688" s="1"/>
      <c r="BP688" s="1" t="str">
        <f>HYPERLINK("https://nconnect.nicmar.ac.in/storage/profile/ProfilePhoto_P25700693_573496.jpg","Download")</f>
        <v>0</v>
      </c>
      <c r="BQ688" s="3"/>
      <c r="BR688" s="3"/>
    </row>
    <row r="689" spans="1:70">
      <c r="A689" s="1" t="s">
        <v>70</v>
      </c>
      <c r="B689" s="1" t="s">
        <v>441</v>
      </c>
      <c r="C689" s="1" t="s">
        <v>12818</v>
      </c>
      <c r="D689" s="1" t="s">
        <v>12714</v>
      </c>
      <c r="E689" s="1"/>
      <c r="F689" s="1" t="s">
        <v>12819</v>
      </c>
      <c r="G689" s="1" t="s">
        <v>12820</v>
      </c>
      <c r="H689" s="1" t="s">
        <v>12821</v>
      </c>
      <c r="I689" s="1" t="s">
        <v>12822</v>
      </c>
      <c r="J689" s="1">
        <v>8279486177</v>
      </c>
      <c r="K689" s="1" t="s">
        <v>79</v>
      </c>
      <c r="L689" s="1" t="s">
        <v>12823</v>
      </c>
      <c r="M689" s="1" t="s">
        <v>81</v>
      </c>
      <c r="N689" s="1" t="s">
        <v>8662</v>
      </c>
      <c r="O689" s="1"/>
      <c r="P689" s="1" t="s">
        <v>2035</v>
      </c>
      <c r="Q689" s="1" t="s">
        <v>12824</v>
      </c>
      <c r="R689" s="1" t="s">
        <v>12825</v>
      </c>
      <c r="S689" s="1">
        <v>9415027549</v>
      </c>
      <c r="T689" s="1" t="s">
        <v>1472</v>
      </c>
      <c r="U689" s="1" t="s">
        <v>5275</v>
      </c>
      <c r="V689" s="1">
        <v>9415027249</v>
      </c>
      <c r="W689" s="1" t="s">
        <v>1234</v>
      </c>
      <c r="X689" s="1" t="s">
        <v>12826</v>
      </c>
      <c r="Y689" s="1" t="s">
        <v>1038</v>
      </c>
      <c r="Z689" s="1" t="s">
        <v>534</v>
      </c>
      <c r="AA689" s="1" t="s">
        <v>12826</v>
      </c>
      <c r="AB689" s="1" t="s">
        <v>1038</v>
      </c>
      <c r="AC689" s="1" t="s">
        <v>534</v>
      </c>
      <c r="AD689" s="1">
        <v>8.51</v>
      </c>
      <c r="AE689" s="1" t="s">
        <v>93</v>
      </c>
      <c r="AF689" s="1" t="s">
        <v>12827</v>
      </c>
      <c r="AG689" s="1" t="s">
        <v>12828</v>
      </c>
      <c r="AH689" s="1" t="s">
        <v>12829</v>
      </c>
      <c r="AI689" s="1" t="s">
        <v>334</v>
      </c>
      <c r="AJ689" s="1">
        <v>77</v>
      </c>
      <c r="AK689" s="1"/>
      <c r="AL689" s="1" t="s">
        <v>12827</v>
      </c>
      <c r="AM689" s="1" t="s">
        <v>12828</v>
      </c>
      <c r="AN689" s="1" t="s">
        <v>249</v>
      </c>
      <c r="AO689" s="1" t="s">
        <v>1190</v>
      </c>
      <c r="AP689" s="1">
        <v>76.4</v>
      </c>
      <c r="AQ689" s="1"/>
      <c r="AR689" s="1"/>
      <c r="AS689" s="1"/>
      <c r="AT689" s="1"/>
      <c r="AU689" s="1"/>
      <c r="AV689" s="1"/>
      <c r="AW689" s="1"/>
      <c r="AX689" s="1" t="s">
        <v>12830</v>
      </c>
      <c r="AY689" s="1" t="s">
        <v>12831</v>
      </c>
      <c r="AZ689" s="1" t="s">
        <v>252</v>
      </c>
      <c r="BA689" s="1" t="s">
        <v>169</v>
      </c>
      <c r="BB689" s="1">
        <v>69.26</v>
      </c>
      <c r="BC689" s="1"/>
      <c r="BD689" s="1" t="s">
        <v>12830</v>
      </c>
      <c r="BE689" s="1" t="s">
        <v>1561</v>
      </c>
      <c r="BF689" s="1" t="s">
        <v>1777</v>
      </c>
      <c r="BG689" s="1" t="s">
        <v>1219</v>
      </c>
      <c r="BH689" s="1">
        <v>79.3</v>
      </c>
      <c r="BI689" s="1">
        <v>7.93</v>
      </c>
      <c r="BJ689" s="1" t="s">
        <v>567</v>
      </c>
      <c r="BK689" s="1" t="s">
        <v>12832</v>
      </c>
      <c r="BL689" s="1" t="s">
        <v>12833</v>
      </c>
      <c r="BM689" s="1" t="s">
        <v>12834</v>
      </c>
      <c r="BN689" s="1">
        <v>8</v>
      </c>
      <c r="BO689" s="1" t="s">
        <v>12835</v>
      </c>
      <c r="BP689" s="1" t="str">
        <f>HYPERLINK("https://nconnect.nicmar.ac.in/storage/profile/ProfilePhoto_P25700695_518436.jpg","Download")</f>
        <v>0</v>
      </c>
      <c r="BQ689" s="3"/>
      <c r="BR689" s="3"/>
    </row>
    <row r="690" spans="1:70">
      <c r="A690" s="1" t="s">
        <v>70</v>
      </c>
      <c r="B690" s="1" t="s">
        <v>441</v>
      </c>
      <c r="C690" s="1" t="s">
        <v>12836</v>
      </c>
      <c r="D690" s="1" t="s">
        <v>12837</v>
      </c>
      <c r="E690" s="1" t="s">
        <v>1464</v>
      </c>
      <c r="F690" s="1" t="s">
        <v>12838</v>
      </c>
      <c r="G690" s="1" t="s">
        <v>12839</v>
      </c>
      <c r="H690" s="1" t="s">
        <v>12840</v>
      </c>
      <c r="I690" s="1" t="s">
        <v>12841</v>
      </c>
      <c r="J690" s="1">
        <v>7892383736</v>
      </c>
      <c r="K690" s="1" t="s">
        <v>79</v>
      </c>
      <c r="L690" s="1" t="s">
        <v>4058</v>
      </c>
      <c r="M690" s="1" t="s">
        <v>81</v>
      </c>
      <c r="N690" s="1" t="s">
        <v>11019</v>
      </c>
      <c r="O690" s="1"/>
      <c r="P690" s="1" t="s">
        <v>450</v>
      </c>
      <c r="Q690" s="1" t="s">
        <v>12842</v>
      </c>
      <c r="R690" s="1" t="s">
        <v>12825</v>
      </c>
      <c r="S690" s="1">
        <v>7892472711</v>
      </c>
      <c r="T690" s="1" t="s">
        <v>820</v>
      </c>
      <c r="U690" s="1" t="s">
        <v>2210</v>
      </c>
      <c r="V690" s="1">
        <v>8217514975</v>
      </c>
      <c r="W690" s="1" t="s">
        <v>156</v>
      </c>
      <c r="X690" s="1" t="s">
        <v>12843</v>
      </c>
      <c r="Y690" s="1" t="s">
        <v>4001</v>
      </c>
      <c r="Z690" s="1" t="s">
        <v>1187</v>
      </c>
      <c r="AA690" s="1" t="s">
        <v>12843</v>
      </c>
      <c r="AB690" s="1" t="s">
        <v>4001</v>
      </c>
      <c r="AC690" s="1" t="s">
        <v>1187</v>
      </c>
      <c r="AD690" s="1">
        <v>7.91</v>
      </c>
      <c r="AE690" s="1" t="s">
        <v>93</v>
      </c>
      <c r="AF690" s="1" t="s">
        <v>11241</v>
      </c>
      <c r="AG690" s="1" t="s">
        <v>12844</v>
      </c>
      <c r="AH690" s="1" t="s">
        <v>101</v>
      </c>
      <c r="AI690" s="1" t="s">
        <v>537</v>
      </c>
      <c r="AJ690" s="1">
        <v>81.92</v>
      </c>
      <c r="AK690" s="1"/>
      <c r="AL690" s="1" t="s">
        <v>12845</v>
      </c>
      <c r="AM690" s="1" t="s">
        <v>12846</v>
      </c>
      <c r="AN690" s="1" t="s">
        <v>433</v>
      </c>
      <c r="AO690" s="1" t="s">
        <v>539</v>
      </c>
      <c r="AP690" s="1">
        <v>71.16</v>
      </c>
      <c r="AQ690" s="1"/>
      <c r="AR690" s="1"/>
      <c r="AS690" s="1"/>
      <c r="AT690" s="1"/>
      <c r="AU690" s="1"/>
      <c r="AV690" s="1"/>
      <c r="AW690" s="1"/>
      <c r="AX690" s="1" t="s">
        <v>1194</v>
      </c>
      <c r="AY690" s="1" t="s">
        <v>12847</v>
      </c>
      <c r="AZ690" s="1" t="s">
        <v>852</v>
      </c>
      <c r="BA690" s="1" t="s">
        <v>829</v>
      </c>
      <c r="BB690" s="1">
        <v>64.3</v>
      </c>
      <c r="BC690" s="1">
        <v>6.43</v>
      </c>
      <c r="BD690" s="1"/>
      <c r="BE690" s="1"/>
      <c r="BF690" s="1"/>
      <c r="BG690" s="1"/>
      <c r="BH690" s="1"/>
      <c r="BI690" s="1"/>
      <c r="BJ690" s="1" t="s">
        <v>364</v>
      </c>
      <c r="BK690" s="1"/>
      <c r="BL690" s="1"/>
      <c r="BM690" s="1" t="s">
        <v>12848</v>
      </c>
      <c r="BN690" s="1">
        <v>21</v>
      </c>
      <c r="BO690" s="1" t="s">
        <v>12849</v>
      </c>
      <c r="BP690" s="1" t="str">
        <f>HYPERLINK("https://nconnect.nicmar.ac.in/storage/profile/ProfilePhoto_P25700696_167394.jpg","Download")</f>
        <v>0</v>
      </c>
      <c r="BQ690" s="3"/>
      <c r="BR690" s="3"/>
    </row>
    <row r="691" spans="1:70">
      <c r="A691" s="1" t="s">
        <v>70</v>
      </c>
      <c r="B691" s="1" t="s">
        <v>441</v>
      </c>
      <c r="C691" s="1" t="s">
        <v>12850</v>
      </c>
      <c r="D691" s="1" t="s">
        <v>3119</v>
      </c>
      <c r="E691" s="1" t="s">
        <v>1053</v>
      </c>
      <c r="F691" s="1" t="s">
        <v>12851</v>
      </c>
      <c r="G691" s="1" t="s">
        <v>12852</v>
      </c>
      <c r="H691" s="1" t="s">
        <v>12853</v>
      </c>
      <c r="I691" s="1" t="s">
        <v>12854</v>
      </c>
      <c r="J691" s="1">
        <v>9881258305</v>
      </c>
      <c r="K691" s="1" t="s">
        <v>79</v>
      </c>
      <c r="L691" s="1" t="s">
        <v>12855</v>
      </c>
      <c r="M691" s="1" t="s">
        <v>81</v>
      </c>
      <c r="N691" s="1" t="s">
        <v>12856</v>
      </c>
      <c r="O691" s="1"/>
      <c r="P691" s="1"/>
      <c r="Q691" s="1" t="s">
        <v>12857</v>
      </c>
      <c r="R691" s="1" t="s">
        <v>12858</v>
      </c>
      <c r="S691" s="1">
        <v>9881258495</v>
      </c>
      <c r="T691" s="1" t="s">
        <v>2101</v>
      </c>
      <c r="U691" s="1" t="s">
        <v>12859</v>
      </c>
      <c r="V691" s="1">
        <v>9881258306</v>
      </c>
      <c r="W691" s="1" t="s">
        <v>273</v>
      </c>
      <c r="X691" s="1" t="s">
        <v>12860</v>
      </c>
      <c r="Y691" s="1" t="s">
        <v>158</v>
      </c>
      <c r="Z691" s="1" t="s">
        <v>92</v>
      </c>
      <c r="AA691" s="1" t="s">
        <v>12860</v>
      </c>
      <c r="AB691" s="1" t="s">
        <v>158</v>
      </c>
      <c r="AC691" s="1" t="s">
        <v>92</v>
      </c>
      <c r="AD691" s="1">
        <v>8.01</v>
      </c>
      <c r="AE691" s="1" t="s">
        <v>93</v>
      </c>
      <c r="AF691" s="1" t="s">
        <v>12861</v>
      </c>
      <c r="AG691" s="1" t="s">
        <v>12862</v>
      </c>
      <c r="AH691" s="1" t="s">
        <v>1043</v>
      </c>
      <c r="AI691" s="1" t="s">
        <v>409</v>
      </c>
      <c r="AJ691" s="1">
        <v>64.4</v>
      </c>
      <c r="AK691" s="1">
        <v>0</v>
      </c>
      <c r="AL691" s="1"/>
      <c r="AM691" s="1"/>
      <c r="AN691" s="1"/>
      <c r="AO691" s="1"/>
      <c r="AP691" s="1"/>
      <c r="AQ691" s="1"/>
      <c r="AR691" s="1" t="s">
        <v>12863</v>
      </c>
      <c r="AS691" s="1" t="s">
        <v>12864</v>
      </c>
      <c r="AT691" s="1" t="s">
        <v>201</v>
      </c>
      <c r="AU691" s="1" t="s">
        <v>1378</v>
      </c>
      <c r="AV691" s="1">
        <v>81.68</v>
      </c>
      <c r="AW691" s="1">
        <v>0</v>
      </c>
      <c r="AX691" s="1" t="s">
        <v>1581</v>
      </c>
      <c r="AY691" s="1" t="s">
        <v>12865</v>
      </c>
      <c r="AZ691" s="1" t="s">
        <v>1378</v>
      </c>
      <c r="BA691" s="1" t="s">
        <v>543</v>
      </c>
      <c r="BB691" s="1">
        <v>77.71</v>
      </c>
      <c r="BC691" s="1">
        <v>8.55</v>
      </c>
      <c r="BD691" s="1"/>
      <c r="BE691" s="1"/>
      <c r="BF691" s="1"/>
      <c r="BG691" s="1"/>
      <c r="BH691" s="1"/>
      <c r="BI691" s="1"/>
      <c r="BJ691" s="1" t="s">
        <v>364</v>
      </c>
      <c r="BK691" s="1"/>
      <c r="BL691" s="1"/>
      <c r="BM691" s="1" t="s">
        <v>12866</v>
      </c>
      <c r="BN691" s="1">
        <v>37</v>
      </c>
      <c r="BO691" s="1"/>
      <c r="BP691" s="1" t="str">
        <f>HYPERLINK("https://nconnect.nicmar.ac.in/storage/profile/ProfilePhoto_P25700697_765314.jpg","Download")</f>
        <v>0</v>
      </c>
      <c r="BQ691" s="3"/>
      <c r="BR691" s="3"/>
    </row>
    <row r="692" spans="1:70">
      <c r="A692" s="1" t="s">
        <v>70</v>
      </c>
      <c r="B692" s="1" t="s">
        <v>441</v>
      </c>
      <c r="C692" s="1" t="s">
        <v>12867</v>
      </c>
      <c r="D692" s="1" t="s">
        <v>12868</v>
      </c>
      <c r="E692" s="1" t="s">
        <v>11915</v>
      </c>
      <c r="F692" s="1" t="s">
        <v>12869</v>
      </c>
      <c r="G692" s="1" t="s">
        <v>12870</v>
      </c>
      <c r="H692" s="1" t="s">
        <v>12871</v>
      </c>
      <c r="I692" s="1" t="s">
        <v>12872</v>
      </c>
      <c r="J692" s="1">
        <v>8928317822</v>
      </c>
      <c r="K692" s="1" t="s">
        <v>79</v>
      </c>
      <c r="L692" s="1" t="s">
        <v>12873</v>
      </c>
      <c r="M692" s="1" t="s">
        <v>81</v>
      </c>
      <c r="N692" s="1" t="s">
        <v>605</v>
      </c>
      <c r="O692" s="1"/>
      <c r="P692" s="1" t="s">
        <v>497</v>
      </c>
      <c r="Q692" s="1" t="s">
        <v>12874</v>
      </c>
      <c r="R692" s="1" t="s">
        <v>11915</v>
      </c>
      <c r="S692" s="1">
        <v>7798511980</v>
      </c>
      <c r="T692" s="1" t="s">
        <v>632</v>
      </c>
      <c r="U692" s="1" t="s">
        <v>12875</v>
      </c>
      <c r="V692" s="1">
        <v>9765375083</v>
      </c>
      <c r="W692" s="1" t="s">
        <v>156</v>
      </c>
      <c r="X692" s="1" t="s">
        <v>12876</v>
      </c>
      <c r="Y692" s="1" t="s">
        <v>3557</v>
      </c>
      <c r="Z692" s="1" t="s">
        <v>92</v>
      </c>
      <c r="AA692" s="1" t="s">
        <v>12876</v>
      </c>
      <c r="AB692" s="1" t="s">
        <v>3557</v>
      </c>
      <c r="AC692" s="1" t="s">
        <v>92</v>
      </c>
      <c r="AD692" s="1">
        <v>7.64</v>
      </c>
      <c r="AE692" s="1" t="s">
        <v>93</v>
      </c>
      <c r="AF692" s="1" t="s">
        <v>12877</v>
      </c>
      <c r="AG692" s="1" t="s">
        <v>12878</v>
      </c>
      <c r="AH692" s="1" t="s">
        <v>161</v>
      </c>
      <c r="AI692" s="1" t="s">
        <v>1089</v>
      </c>
      <c r="AJ692" s="1">
        <v>79.4</v>
      </c>
      <c r="AK692" s="1"/>
      <c r="AL692" s="1" t="s">
        <v>12879</v>
      </c>
      <c r="AM692" s="1" t="s">
        <v>12878</v>
      </c>
      <c r="AN692" s="1" t="s">
        <v>165</v>
      </c>
      <c r="AO692" s="1" t="s">
        <v>1455</v>
      </c>
      <c r="AP692" s="1">
        <v>68.15</v>
      </c>
      <c r="AQ692" s="1"/>
      <c r="AR692" s="1"/>
      <c r="AS692" s="1"/>
      <c r="AT692" s="1"/>
      <c r="AU692" s="1"/>
      <c r="AV692" s="1"/>
      <c r="AW692" s="1"/>
      <c r="AX692" s="1" t="s">
        <v>666</v>
      </c>
      <c r="AY692" s="1" t="s">
        <v>12880</v>
      </c>
      <c r="AZ692" s="1" t="s">
        <v>1043</v>
      </c>
      <c r="BA692" s="1" t="s">
        <v>619</v>
      </c>
      <c r="BB692" s="1">
        <v>65.21</v>
      </c>
      <c r="BC692" s="1">
        <v>7.19</v>
      </c>
      <c r="BD692" s="1"/>
      <c r="BE692" s="1"/>
      <c r="BF692" s="1"/>
      <c r="BG692" s="1"/>
      <c r="BH692" s="1"/>
      <c r="BI692" s="1"/>
      <c r="BJ692" s="1" t="s">
        <v>8538</v>
      </c>
      <c r="BK692" s="1" t="s">
        <v>12881</v>
      </c>
      <c r="BL692" s="1" t="s">
        <v>569</v>
      </c>
      <c r="BM692" s="1" t="s">
        <v>12882</v>
      </c>
      <c r="BN692" s="1">
        <v>25</v>
      </c>
      <c r="BO692" s="1" t="s">
        <v>12883</v>
      </c>
      <c r="BP692" s="1" t="str">
        <f>HYPERLINK("https://nconnect.nicmar.ac.in/storage/profile/ProfilePhoto_P25700698_564379.jpg","Download")</f>
        <v>0</v>
      </c>
      <c r="BQ692" s="3"/>
      <c r="BR692" s="3"/>
    </row>
    <row r="693" spans="1:70">
      <c r="A693" s="1" t="s">
        <v>70</v>
      </c>
      <c r="B693" s="1" t="s">
        <v>441</v>
      </c>
      <c r="C693" s="1" t="s">
        <v>12884</v>
      </c>
      <c r="D693" s="1" t="s">
        <v>12885</v>
      </c>
      <c r="E693" s="1" t="s">
        <v>12886</v>
      </c>
      <c r="F693" s="1" t="s">
        <v>12887</v>
      </c>
      <c r="G693" s="1" t="s">
        <v>12888</v>
      </c>
      <c r="H693" s="1" t="s">
        <v>12889</v>
      </c>
      <c r="I693" s="1" t="s">
        <v>12890</v>
      </c>
      <c r="J693" s="1">
        <v>8591113784</v>
      </c>
      <c r="K693" s="1" t="s">
        <v>79</v>
      </c>
      <c r="L693" s="1" t="s">
        <v>12891</v>
      </c>
      <c r="M693" s="1" t="s">
        <v>81</v>
      </c>
      <c r="N693" s="1" t="s">
        <v>12892</v>
      </c>
      <c r="O693" s="1"/>
      <c r="P693" s="1" t="s">
        <v>450</v>
      </c>
      <c r="Q693" s="1" t="s">
        <v>12893</v>
      </c>
      <c r="R693" s="1" t="s">
        <v>12894</v>
      </c>
      <c r="S693" s="1">
        <v>9619191590</v>
      </c>
      <c r="T693" s="1" t="s">
        <v>87</v>
      </c>
      <c r="U693" s="1" t="s">
        <v>12895</v>
      </c>
      <c r="V693" s="1">
        <v>9619191330</v>
      </c>
      <c r="W693" s="1" t="s">
        <v>12896</v>
      </c>
      <c r="X693" s="1" t="s">
        <v>12897</v>
      </c>
      <c r="Y693" s="1" t="s">
        <v>1857</v>
      </c>
      <c r="Z693" s="1" t="s">
        <v>92</v>
      </c>
      <c r="AA693" s="1" t="s">
        <v>12897</v>
      </c>
      <c r="AB693" s="1" t="s">
        <v>1857</v>
      </c>
      <c r="AC693" s="1" t="s">
        <v>92</v>
      </c>
      <c r="AD693" s="1" t="s">
        <v>93</v>
      </c>
      <c r="AE693" s="1" t="s">
        <v>93</v>
      </c>
      <c r="AF693" s="1" t="s">
        <v>12898</v>
      </c>
      <c r="AG693" s="1" t="s">
        <v>12899</v>
      </c>
      <c r="AH693" s="1" t="s">
        <v>166</v>
      </c>
      <c r="AI693" s="1" t="s">
        <v>308</v>
      </c>
      <c r="AJ693" s="1">
        <v>83</v>
      </c>
      <c r="AK693" s="1">
        <v>8.7</v>
      </c>
      <c r="AL693" s="1" t="s">
        <v>12900</v>
      </c>
      <c r="AM693" s="1" t="s">
        <v>12901</v>
      </c>
      <c r="AN693" s="1" t="s">
        <v>310</v>
      </c>
      <c r="AO693" s="1" t="s">
        <v>436</v>
      </c>
      <c r="AP693" s="1">
        <v>79.8</v>
      </c>
      <c r="AQ693" s="1">
        <v>8.4</v>
      </c>
      <c r="AR693" s="1"/>
      <c r="AS693" s="1"/>
      <c r="AT693" s="1"/>
      <c r="AU693" s="1"/>
      <c r="AV693" s="1"/>
      <c r="AW693" s="1"/>
      <c r="AX693" s="1" t="s">
        <v>253</v>
      </c>
      <c r="AY693" s="1" t="s">
        <v>12902</v>
      </c>
      <c r="AZ693" s="1" t="s">
        <v>539</v>
      </c>
      <c r="BA693" s="1" t="s">
        <v>1379</v>
      </c>
      <c r="BB693" s="1">
        <v>60.86</v>
      </c>
      <c r="BC693" s="1">
        <v>6.63</v>
      </c>
      <c r="BD693" s="1"/>
      <c r="BE693" s="1"/>
      <c r="BF693" s="1"/>
      <c r="BG693" s="1"/>
      <c r="BH693" s="1"/>
      <c r="BI693" s="1"/>
      <c r="BJ693" s="1" t="s">
        <v>567</v>
      </c>
      <c r="BK693" s="1"/>
      <c r="BL693" s="1"/>
      <c r="BM693" s="1" t="s">
        <v>12903</v>
      </c>
      <c r="BN693" s="1">
        <v>18</v>
      </c>
      <c r="BO693" s="1"/>
      <c r="BP693" s="1" t="str">
        <f>HYPERLINK("https://nconnect.nicmar.ac.in/storage/profile/ProfilePhoto_P25700699_273694.jpg","Download")</f>
        <v>0</v>
      </c>
      <c r="BQ693" s="3"/>
      <c r="BR693" s="3"/>
    </row>
    <row r="694" spans="1:70">
      <c r="A694" s="1" t="s">
        <v>70</v>
      </c>
      <c r="B694" s="1" t="s">
        <v>441</v>
      </c>
      <c r="C694" s="1" t="s">
        <v>12904</v>
      </c>
      <c r="D694" s="1" t="s">
        <v>6593</v>
      </c>
      <c r="E694" s="1" t="s">
        <v>12905</v>
      </c>
      <c r="F694" s="1" t="s">
        <v>12906</v>
      </c>
      <c r="G694" s="1" t="s">
        <v>12907</v>
      </c>
      <c r="H694" s="1" t="s">
        <v>12908</v>
      </c>
      <c r="I694" s="1" t="s">
        <v>12909</v>
      </c>
      <c r="J694" s="1">
        <v>7499330075</v>
      </c>
      <c r="K694" s="1" t="s">
        <v>79</v>
      </c>
      <c r="L694" s="1" t="s">
        <v>12910</v>
      </c>
      <c r="M694" s="1" t="s">
        <v>81</v>
      </c>
      <c r="N694" s="1" t="s">
        <v>605</v>
      </c>
      <c r="O694" s="1"/>
      <c r="P694" s="1" t="s">
        <v>472</v>
      </c>
      <c r="Q694" s="1" t="s">
        <v>12911</v>
      </c>
      <c r="R694" s="1" t="s">
        <v>12912</v>
      </c>
      <c r="S694" s="1">
        <v>9152010059</v>
      </c>
      <c r="T694" s="1" t="s">
        <v>87</v>
      </c>
      <c r="U694" s="1" t="s">
        <v>7185</v>
      </c>
      <c r="V694" s="1">
        <v>7756891346</v>
      </c>
      <c r="W694" s="1" t="s">
        <v>122</v>
      </c>
      <c r="X694" s="1" t="s">
        <v>12913</v>
      </c>
      <c r="Y694" s="1" t="s">
        <v>191</v>
      </c>
      <c r="Z694" s="1" t="s">
        <v>92</v>
      </c>
      <c r="AA694" s="1" t="s">
        <v>12914</v>
      </c>
      <c r="AB694" s="1" t="s">
        <v>1963</v>
      </c>
      <c r="AC694" s="1" t="s">
        <v>92</v>
      </c>
      <c r="AD694" s="1">
        <v>8.49</v>
      </c>
      <c r="AE694" s="1" t="s">
        <v>93</v>
      </c>
      <c r="AF694" s="1" t="s">
        <v>12915</v>
      </c>
      <c r="AG694" s="1" t="s">
        <v>12916</v>
      </c>
      <c r="AH694" s="1" t="s">
        <v>614</v>
      </c>
      <c r="AI694" s="1" t="s">
        <v>195</v>
      </c>
      <c r="AJ694" s="1">
        <v>87.4</v>
      </c>
      <c r="AK694" s="1"/>
      <c r="AL694" s="1"/>
      <c r="AM694" s="1"/>
      <c r="AN694" s="1"/>
      <c r="AO694" s="1"/>
      <c r="AP694" s="1"/>
      <c r="AQ694" s="1"/>
      <c r="AR694" s="1" t="s">
        <v>434</v>
      </c>
      <c r="AS694" s="1" t="s">
        <v>12917</v>
      </c>
      <c r="AT694" s="1" t="s">
        <v>383</v>
      </c>
      <c r="AU694" s="1" t="s">
        <v>590</v>
      </c>
      <c r="AV694" s="1">
        <v>77.5</v>
      </c>
      <c r="AW694" s="1"/>
      <c r="AX694" s="1" t="s">
        <v>12918</v>
      </c>
      <c r="AY694" s="1" t="s">
        <v>12919</v>
      </c>
      <c r="AZ694" s="1" t="s">
        <v>1019</v>
      </c>
      <c r="BA694" s="1" t="s">
        <v>9945</v>
      </c>
      <c r="BB694" s="1">
        <v>74.83</v>
      </c>
      <c r="BC694" s="1"/>
      <c r="BD694" s="1"/>
      <c r="BE694" s="1"/>
      <c r="BF694" s="1"/>
      <c r="BG694" s="1"/>
      <c r="BH694" s="1"/>
      <c r="BI694" s="1"/>
      <c r="BJ694" s="1" t="s">
        <v>567</v>
      </c>
      <c r="BK694" s="1" t="s">
        <v>12920</v>
      </c>
      <c r="BL694" s="1" t="s">
        <v>9384</v>
      </c>
      <c r="BM694" s="1" t="s">
        <v>12921</v>
      </c>
      <c r="BN694" s="1">
        <v>17</v>
      </c>
      <c r="BO694" s="1"/>
      <c r="BP694" s="1" t="str">
        <f>HYPERLINK("https://nconnect.nicmar.ac.in/storage/profile/ProfilePhoto_P25700700_612583.jpg","Download")</f>
        <v>0</v>
      </c>
      <c r="BQ694" s="3"/>
      <c r="BR694" s="3"/>
    </row>
    <row r="695" spans="1:70">
      <c r="A695" s="1" t="s">
        <v>70</v>
      </c>
      <c r="B695" s="1" t="s">
        <v>441</v>
      </c>
      <c r="C695" s="1" t="s">
        <v>12922</v>
      </c>
      <c r="D695" s="1" t="s">
        <v>12923</v>
      </c>
      <c r="E695" s="1" t="s">
        <v>12924</v>
      </c>
      <c r="F695" s="1" t="s">
        <v>12925</v>
      </c>
      <c r="G695" s="1" t="s">
        <v>12926</v>
      </c>
      <c r="H695" s="1" t="s">
        <v>12927</v>
      </c>
      <c r="I695" s="1" t="s">
        <v>12928</v>
      </c>
      <c r="J695" s="1">
        <v>9987646219</v>
      </c>
      <c r="K695" s="1" t="s">
        <v>148</v>
      </c>
      <c r="L695" s="1" t="s">
        <v>12929</v>
      </c>
      <c r="M695" s="1" t="s">
        <v>81</v>
      </c>
      <c r="N695" s="1" t="s">
        <v>12930</v>
      </c>
      <c r="O695" s="1"/>
      <c r="P695" s="1" t="s">
        <v>497</v>
      </c>
      <c r="Q695" s="1" t="s">
        <v>12931</v>
      </c>
      <c r="R695" s="1" t="s">
        <v>12932</v>
      </c>
      <c r="S695" s="1">
        <v>9890186920</v>
      </c>
      <c r="T695" s="1" t="s">
        <v>12933</v>
      </c>
      <c r="U695" s="1" t="s">
        <v>12934</v>
      </c>
      <c r="V695" s="1">
        <v>9890504648</v>
      </c>
      <c r="W695" s="1" t="s">
        <v>12935</v>
      </c>
      <c r="X695" s="1" t="s">
        <v>12936</v>
      </c>
      <c r="Y695" s="1" t="s">
        <v>191</v>
      </c>
      <c r="Z695" s="1" t="s">
        <v>92</v>
      </c>
      <c r="AA695" s="1" t="s">
        <v>12936</v>
      </c>
      <c r="AB695" s="1" t="s">
        <v>191</v>
      </c>
      <c r="AC695" s="1" t="s">
        <v>92</v>
      </c>
      <c r="AD695" s="1">
        <v>7.69</v>
      </c>
      <c r="AE695" s="1" t="s">
        <v>93</v>
      </c>
      <c r="AF695" s="1" t="s">
        <v>12937</v>
      </c>
      <c r="AG695" s="1" t="s">
        <v>3071</v>
      </c>
      <c r="AH695" s="1" t="s">
        <v>165</v>
      </c>
      <c r="AI695" s="1" t="s">
        <v>101</v>
      </c>
      <c r="AJ695" s="1">
        <v>76.4</v>
      </c>
      <c r="AK695" s="1"/>
      <c r="AL695" s="1"/>
      <c r="AM695" s="1"/>
      <c r="AN695" s="1"/>
      <c r="AO695" s="1"/>
      <c r="AP695" s="1"/>
      <c r="AQ695" s="1"/>
      <c r="AR695" s="1" t="s">
        <v>98</v>
      </c>
      <c r="AS695" s="1" t="s">
        <v>12938</v>
      </c>
      <c r="AT695" s="1" t="s">
        <v>1043</v>
      </c>
      <c r="AU695" s="1" t="s">
        <v>284</v>
      </c>
      <c r="AV695" s="1">
        <v>79.58</v>
      </c>
      <c r="AW695" s="1"/>
      <c r="AX695" s="1" t="s">
        <v>361</v>
      </c>
      <c r="AY695" s="1" t="s">
        <v>12939</v>
      </c>
      <c r="AZ695" s="1" t="s">
        <v>1777</v>
      </c>
      <c r="BA695" s="1" t="s">
        <v>1379</v>
      </c>
      <c r="BB695" s="1">
        <v>65.6</v>
      </c>
      <c r="BC695" s="1">
        <v>7.31</v>
      </c>
      <c r="BD695" s="1"/>
      <c r="BE695" s="1"/>
      <c r="BF695" s="1"/>
      <c r="BG695" s="1"/>
      <c r="BH695" s="1"/>
      <c r="BI695" s="1"/>
      <c r="BJ695" s="1" t="s">
        <v>12940</v>
      </c>
      <c r="BK695" s="1"/>
      <c r="BL695" s="1"/>
      <c r="BM695" s="1" t="s">
        <v>12941</v>
      </c>
      <c r="BN695" s="1">
        <v>44</v>
      </c>
      <c r="BO695" s="1"/>
      <c r="BP695" s="1" t="str">
        <f>HYPERLINK("https://nconnect.nicmar.ac.in/storage/profile/6a64a0cad9a96.png","Download")</f>
        <v>0</v>
      </c>
      <c r="BQ695" s="3"/>
      <c r="BR695" s="3"/>
    </row>
    <row r="696" spans="1:70">
      <c r="A696" s="1" t="s">
        <v>70</v>
      </c>
      <c r="B696" s="1" t="s">
        <v>441</v>
      </c>
      <c r="C696" s="1" t="s">
        <v>12942</v>
      </c>
      <c r="D696" s="1" t="s">
        <v>1315</v>
      </c>
      <c r="E696" s="1"/>
      <c r="F696" s="1" t="s">
        <v>520</v>
      </c>
      <c r="G696" s="1" t="s">
        <v>12943</v>
      </c>
      <c r="H696" s="1" t="s">
        <v>12944</v>
      </c>
      <c r="I696" s="1" t="s">
        <v>12945</v>
      </c>
      <c r="J696" s="1">
        <v>8530789414</v>
      </c>
      <c r="K696" s="1" t="s">
        <v>79</v>
      </c>
      <c r="L696" s="1" t="s">
        <v>10560</v>
      </c>
      <c r="M696" s="1" t="s">
        <v>81</v>
      </c>
      <c r="N696" s="1" t="s">
        <v>751</v>
      </c>
      <c r="O696" s="1"/>
      <c r="P696" s="1" t="s">
        <v>497</v>
      </c>
      <c r="Q696" s="1" t="s">
        <v>12946</v>
      </c>
      <c r="R696" s="1" t="s">
        <v>12947</v>
      </c>
      <c r="S696" s="1">
        <v>9860278729</v>
      </c>
      <c r="T696" s="1" t="s">
        <v>12948</v>
      </c>
      <c r="U696" s="1" t="s">
        <v>12949</v>
      </c>
      <c r="V696" s="1">
        <v>9834480766</v>
      </c>
      <c r="W696" s="1" t="s">
        <v>12950</v>
      </c>
      <c r="X696" s="1" t="s">
        <v>12951</v>
      </c>
      <c r="Y696" s="1" t="s">
        <v>191</v>
      </c>
      <c r="Z696" s="1" t="s">
        <v>92</v>
      </c>
      <c r="AA696" s="1" t="s">
        <v>12951</v>
      </c>
      <c r="AB696" s="1" t="s">
        <v>191</v>
      </c>
      <c r="AC696" s="1" t="s">
        <v>92</v>
      </c>
      <c r="AD696" s="1">
        <v>7.37</v>
      </c>
      <c r="AE696" s="1" t="s">
        <v>93</v>
      </c>
      <c r="AF696" s="1" t="s">
        <v>11879</v>
      </c>
      <c r="AG696" s="1" t="s">
        <v>12952</v>
      </c>
      <c r="AH696" s="1" t="s">
        <v>1088</v>
      </c>
      <c r="AI696" s="1" t="s">
        <v>1089</v>
      </c>
      <c r="AJ696" s="1">
        <v>64.6</v>
      </c>
      <c r="AK696" s="1">
        <v>6.8</v>
      </c>
      <c r="AL696" s="1" t="s">
        <v>12953</v>
      </c>
      <c r="AM696" s="1" t="s">
        <v>12954</v>
      </c>
      <c r="AN696" s="1" t="s">
        <v>162</v>
      </c>
      <c r="AO696" s="1" t="s">
        <v>166</v>
      </c>
      <c r="AP696" s="1">
        <v>64.15</v>
      </c>
      <c r="AQ696" s="1"/>
      <c r="AR696" s="1"/>
      <c r="AS696" s="1"/>
      <c r="AT696" s="1"/>
      <c r="AU696" s="1"/>
      <c r="AV696" s="1"/>
      <c r="AW696" s="1"/>
      <c r="AX696" s="1" t="s">
        <v>361</v>
      </c>
      <c r="AY696" s="1" t="s">
        <v>12955</v>
      </c>
      <c r="AZ696" s="1" t="s">
        <v>169</v>
      </c>
      <c r="BA696" s="1" t="s">
        <v>511</v>
      </c>
      <c r="BB696" s="1">
        <v>61</v>
      </c>
      <c r="BC696" s="1">
        <v>8.14</v>
      </c>
      <c r="BD696" s="1"/>
      <c r="BE696" s="1"/>
      <c r="BF696" s="1"/>
      <c r="BG696" s="1"/>
      <c r="BH696" s="1"/>
      <c r="BI696" s="1"/>
      <c r="BJ696" s="1" t="s">
        <v>1822</v>
      </c>
      <c r="BK696" s="1"/>
      <c r="BL696" s="1"/>
      <c r="BM696" s="1" t="s">
        <v>12956</v>
      </c>
      <c r="BN696" s="1">
        <v>9</v>
      </c>
      <c r="BO696" s="1"/>
      <c r="BP696" s="1" t="str">
        <f>HYPERLINK("https://nconnect.nicmar.ac.in/storage/profile/ProfilePhoto_P25700702_167429.jpg","Download")</f>
        <v>0</v>
      </c>
      <c r="BQ696" s="3"/>
      <c r="BR696" s="3"/>
    </row>
    <row r="697" spans="1:70">
      <c r="A697" s="1" t="s">
        <v>70</v>
      </c>
      <c r="B697" s="1" t="s">
        <v>441</v>
      </c>
      <c r="C697" s="1" t="s">
        <v>12957</v>
      </c>
      <c r="D697" s="1" t="s">
        <v>12958</v>
      </c>
      <c r="E697" s="1"/>
      <c r="F697" s="1" t="s">
        <v>12959</v>
      </c>
      <c r="G697" s="1" t="s">
        <v>12960</v>
      </c>
      <c r="H697" s="1" t="s">
        <v>12961</v>
      </c>
      <c r="I697" s="1" t="s">
        <v>12962</v>
      </c>
      <c r="J697" s="1">
        <v>8849604655</v>
      </c>
      <c r="K697" s="1" t="s">
        <v>148</v>
      </c>
      <c r="L697" s="1" t="s">
        <v>12963</v>
      </c>
      <c r="M697" s="1" t="s">
        <v>150</v>
      </c>
      <c r="N697" s="1" t="s">
        <v>12964</v>
      </c>
      <c r="O697" s="1"/>
      <c r="P697" s="1" t="s">
        <v>450</v>
      </c>
      <c r="Q697" s="1" t="s">
        <v>12965</v>
      </c>
      <c r="R697" s="1" t="s">
        <v>12966</v>
      </c>
      <c r="S697" s="1">
        <v>9409087405</v>
      </c>
      <c r="T697" s="1" t="s">
        <v>120</v>
      </c>
      <c r="U697" s="1" t="s">
        <v>12967</v>
      </c>
      <c r="V697" s="1">
        <v>8849612019</v>
      </c>
      <c r="W697" s="1" t="s">
        <v>531</v>
      </c>
      <c r="X697" s="1" t="s">
        <v>12968</v>
      </c>
      <c r="Y697" s="1" t="s">
        <v>191</v>
      </c>
      <c r="Z697" s="1" t="s">
        <v>92</v>
      </c>
      <c r="AA697" s="1" t="s">
        <v>12969</v>
      </c>
      <c r="AB697" s="1" t="s">
        <v>5339</v>
      </c>
      <c r="AC697" s="1" t="s">
        <v>2955</v>
      </c>
      <c r="AD697" s="1">
        <v>8.56</v>
      </c>
      <c r="AE697" s="1" t="s">
        <v>93</v>
      </c>
      <c r="AF697" s="1" t="s">
        <v>12970</v>
      </c>
      <c r="AG697" s="1" t="s">
        <v>12971</v>
      </c>
      <c r="AH697" s="1" t="s">
        <v>7319</v>
      </c>
      <c r="AI697" s="1" t="s">
        <v>780</v>
      </c>
      <c r="AJ697" s="1">
        <v>81.38</v>
      </c>
      <c r="AK697" s="1"/>
      <c r="AL697" s="1" t="s">
        <v>12972</v>
      </c>
      <c r="AM697" s="1" t="s">
        <v>12973</v>
      </c>
      <c r="AN697" s="1" t="s">
        <v>4602</v>
      </c>
      <c r="AO697" s="1" t="s">
        <v>3981</v>
      </c>
      <c r="AP697" s="1">
        <v>81.53</v>
      </c>
      <c r="AQ697" s="1"/>
      <c r="AR697" s="1"/>
      <c r="AS697" s="1"/>
      <c r="AT697" s="1"/>
      <c r="AU697" s="1"/>
      <c r="AV697" s="1"/>
      <c r="AW697" s="1"/>
      <c r="AX697" s="1" t="s">
        <v>12974</v>
      </c>
      <c r="AY697" s="1" t="s">
        <v>12975</v>
      </c>
      <c r="AZ697" s="1" t="s">
        <v>128</v>
      </c>
      <c r="BA697" s="1" t="s">
        <v>383</v>
      </c>
      <c r="BB697" s="1">
        <v>65.37</v>
      </c>
      <c r="BC697" s="1"/>
      <c r="BD697" s="1"/>
      <c r="BE697" s="1"/>
      <c r="BF697" s="1"/>
      <c r="BG697" s="1"/>
      <c r="BH697" s="1"/>
      <c r="BI697" s="1"/>
      <c r="BJ697" s="1" t="s">
        <v>12976</v>
      </c>
      <c r="BK697" s="1" t="s">
        <v>12977</v>
      </c>
      <c r="BL697" s="1" t="s">
        <v>3444</v>
      </c>
      <c r="BM697" s="1" t="s">
        <v>12978</v>
      </c>
      <c r="BN697" s="1">
        <v>83</v>
      </c>
      <c r="BO697" s="1" t="s">
        <v>12979</v>
      </c>
      <c r="BP697" s="1" t="str">
        <f>HYPERLINK("https://nconnect.nicmar.ac.in/storage/profile/ProfilePhoto_P25700703_628351.jpg","Download")</f>
        <v>0</v>
      </c>
      <c r="BQ697" s="3"/>
      <c r="BR697" s="3"/>
    </row>
    <row r="698" spans="1:70">
      <c r="A698" s="1" t="s">
        <v>70</v>
      </c>
      <c r="B698" s="1" t="s">
        <v>441</v>
      </c>
      <c r="C698" s="1" t="s">
        <v>12980</v>
      </c>
      <c r="D698" s="1" t="s">
        <v>6936</v>
      </c>
      <c r="E698" s="1" t="s">
        <v>2492</v>
      </c>
      <c r="F698" s="1" t="s">
        <v>12981</v>
      </c>
      <c r="G698" s="1" t="s">
        <v>12982</v>
      </c>
      <c r="H698" s="1" t="s">
        <v>12983</v>
      </c>
      <c r="I698" s="1" t="s">
        <v>12984</v>
      </c>
      <c r="J698" s="1">
        <v>8766604754</v>
      </c>
      <c r="K698" s="1" t="s">
        <v>79</v>
      </c>
      <c r="L698" s="1" t="s">
        <v>12985</v>
      </c>
      <c r="M698" s="1" t="s">
        <v>81</v>
      </c>
      <c r="N698" s="1" t="s">
        <v>751</v>
      </c>
      <c r="O698" s="1"/>
      <c r="P698" s="1" t="s">
        <v>450</v>
      </c>
      <c r="Q698" s="1" t="s">
        <v>12986</v>
      </c>
      <c r="R698" s="1" t="s">
        <v>2492</v>
      </c>
      <c r="S698" s="1">
        <v>7588043653</v>
      </c>
      <c r="T698" s="1" t="s">
        <v>4780</v>
      </c>
      <c r="U698" s="1" t="s">
        <v>12987</v>
      </c>
      <c r="V698" s="1">
        <v>9325638120</v>
      </c>
      <c r="W698" s="1" t="s">
        <v>156</v>
      </c>
      <c r="X698" s="1" t="s">
        <v>12988</v>
      </c>
      <c r="Y698" s="1" t="s">
        <v>191</v>
      </c>
      <c r="Z698" s="1" t="s">
        <v>92</v>
      </c>
      <c r="AA698" s="1" t="s">
        <v>12989</v>
      </c>
      <c r="AB698" s="1" t="s">
        <v>91</v>
      </c>
      <c r="AC698" s="1" t="s">
        <v>92</v>
      </c>
      <c r="AD698" s="1">
        <v>7.77</v>
      </c>
      <c r="AE698" s="1" t="s">
        <v>93</v>
      </c>
      <c r="AF698" s="1" t="s">
        <v>12990</v>
      </c>
      <c r="AG698" s="1" t="s">
        <v>1942</v>
      </c>
      <c r="AH698" s="1" t="s">
        <v>101</v>
      </c>
      <c r="AI698" s="1" t="s">
        <v>409</v>
      </c>
      <c r="AJ698" s="1">
        <v>72.4</v>
      </c>
      <c r="AK698" s="1"/>
      <c r="AL698" s="1" t="s">
        <v>12991</v>
      </c>
      <c r="AM698" s="1" t="s">
        <v>1942</v>
      </c>
      <c r="AN698" s="1" t="s">
        <v>4744</v>
      </c>
      <c r="AO698" s="1" t="s">
        <v>826</v>
      </c>
      <c r="AP698" s="1">
        <v>69.17</v>
      </c>
      <c r="AQ698" s="1"/>
      <c r="AR698" s="1"/>
      <c r="AS698" s="1"/>
      <c r="AT698" s="1"/>
      <c r="AU698" s="1"/>
      <c r="AV698" s="1"/>
      <c r="AW698" s="1"/>
      <c r="AX698" s="1" t="s">
        <v>361</v>
      </c>
      <c r="AY698" s="1" t="s">
        <v>12992</v>
      </c>
      <c r="AZ698" s="1" t="s">
        <v>852</v>
      </c>
      <c r="BA698" s="1" t="s">
        <v>543</v>
      </c>
      <c r="BB698" s="1">
        <v>59.98</v>
      </c>
      <c r="BC698" s="1">
        <v>6.74</v>
      </c>
      <c r="BD698" s="1"/>
      <c r="BE698" s="1"/>
      <c r="BF698" s="1"/>
      <c r="BG698" s="1"/>
      <c r="BH698" s="1"/>
      <c r="BI698" s="1"/>
      <c r="BJ698" s="1" t="s">
        <v>12993</v>
      </c>
      <c r="BK698" s="1"/>
      <c r="BL698" s="1"/>
      <c r="BM698" s="1" t="s">
        <v>12994</v>
      </c>
      <c r="BN698" s="1">
        <v>13</v>
      </c>
      <c r="BO698" s="1" t="s">
        <v>12995</v>
      </c>
      <c r="BP698" s="1" t="str">
        <f>HYPERLINK("https://nconnect.nicmar.ac.in/storage/profile/ProfilePhoto_P25700704_865749.jpg","Download")</f>
        <v>0</v>
      </c>
      <c r="BQ698" s="3"/>
      <c r="BR698" s="3"/>
    </row>
    <row r="699" spans="1:70">
      <c r="A699" s="1" t="s">
        <v>70</v>
      </c>
      <c r="B699" s="1" t="s">
        <v>441</v>
      </c>
      <c r="C699" s="1" t="s">
        <v>12996</v>
      </c>
      <c r="D699" s="1" t="s">
        <v>12997</v>
      </c>
      <c r="E699" s="1"/>
      <c r="F699" s="1" t="s">
        <v>12998</v>
      </c>
      <c r="G699" s="1" t="s">
        <v>12999</v>
      </c>
      <c r="H699" s="1" t="s">
        <v>13000</v>
      </c>
      <c r="I699" s="1" t="s">
        <v>13001</v>
      </c>
      <c r="J699" s="1">
        <v>7729951562</v>
      </c>
      <c r="K699" s="1" t="s">
        <v>79</v>
      </c>
      <c r="L699" s="1" t="s">
        <v>13002</v>
      </c>
      <c r="M699" s="1" t="s">
        <v>81</v>
      </c>
      <c r="N699" s="1" t="s">
        <v>13003</v>
      </c>
      <c r="O699" s="1"/>
      <c r="P699" s="1" t="s">
        <v>450</v>
      </c>
      <c r="Q699" s="1" t="s">
        <v>13004</v>
      </c>
      <c r="R699" s="1" t="s">
        <v>13005</v>
      </c>
      <c r="S699" s="1">
        <v>8464861562</v>
      </c>
      <c r="T699" s="1" t="s">
        <v>820</v>
      </c>
      <c r="U699" s="1" t="s">
        <v>13006</v>
      </c>
      <c r="V699" s="1">
        <v>9182034044</v>
      </c>
      <c r="W699" s="1" t="s">
        <v>89</v>
      </c>
      <c r="X699" s="1" t="s">
        <v>13007</v>
      </c>
      <c r="Y699" s="1" t="s">
        <v>1414</v>
      </c>
      <c r="Z699" s="1" t="s">
        <v>276</v>
      </c>
      <c r="AA699" s="1" t="s">
        <v>13007</v>
      </c>
      <c r="AB699" s="1" t="s">
        <v>1414</v>
      </c>
      <c r="AC699" s="1" t="s">
        <v>276</v>
      </c>
      <c r="AD699" s="1">
        <v>8.2</v>
      </c>
      <c r="AE699" s="1" t="s">
        <v>93</v>
      </c>
      <c r="AF699" s="1" t="s">
        <v>13008</v>
      </c>
      <c r="AG699" s="1" t="s">
        <v>13009</v>
      </c>
      <c r="AH699" s="1" t="s">
        <v>165</v>
      </c>
      <c r="AI699" s="1" t="s">
        <v>281</v>
      </c>
      <c r="AJ699" s="1">
        <v>95</v>
      </c>
      <c r="AK699" s="1">
        <v>9.5</v>
      </c>
      <c r="AL699" s="1" t="s">
        <v>3543</v>
      </c>
      <c r="AM699" s="1" t="s">
        <v>2312</v>
      </c>
      <c r="AN699" s="1" t="s">
        <v>433</v>
      </c>
      <c r="AO699" s="1" t="s">
        <v>590</v>
      </c>
      <c r="AP699" s="1">
        <v>94</v>
      </c>
      <c r="AQ699" s="1">
        <v>9.4</v>
      </c>
      <c r="AR699" s="1"/>
      <c r="AS699" s="1"/>
      <c r="AT699" s="1"/>
      <c r="AU699" s="1"/>
      <c r="AV699" s="1"/>
      <c r="AW699" s="1"/>
      <c r="AX699" s="1" t="s">
        <v>13010</v>
      </c>
      <c r="AY699" s="1" t="s">
        <v>13010</v>
      </c>
      <c r="AZ699" s="1" t="s">
        <v>170</v>
      </c>
      <c r="BA699" s="1" t="s">
        <v>202</v>
      </c>
      <c r="BB699" s="1">
        <v>76.3</v>
      </c>
      <c r="BC699" s="1">
        <v>8.13</v>
      </c>
      <c r="BD699" s="1"/>
      <c r="BE699" s="1"/>
      <c r="BF699" s="1"/>
      <c r="BG699" s="1"/>
      <c r="BH699" s="1"/>
      <c r="BI699" s="1"/>
      <c r="BJ699" s="1" t="s">
        <v>13011</v>
      </c>
      <c r="BK699" s="1"/>
      <c r="BL699" s="1"/>
      <c r="BM699" s="1" t="s">
        <v>13012</v>
      </c>
      <c r="BN699" s="1">
        <v>16</v>
      </c>
      <c r="BO699" s="1" t="s">
        <v>13013</v>
      </c>
      <c r="BP699" s="1" t="str">
        <f>HYPERLINK("https://nconnect.nicmar.ac.in/storage/profile/ProfilePhoto_P25700705_645739.jpg","Download")</f>
        <v>0</v>
      </c>
      <c r="BQ699" s="3"/>
      <c r="BR699" s="3"/>
    </row>
    <row r="700" spans="1:70">
      <c r="A700" s="1" t="s">
        <v>70</v>
      </c>
      <c r="B700" s="1" t="s">
        <v>441</v>
      </c>
      <c r="C700" s="1" t="s">
        <v>13014</v>
      </c>
      <c r="D700" s="1" t="s">
        <v>13015</v>
      </c>
      <c r="E700" s="1" t="s">
        <v>144</v>
      </c>
      <c r="F700" s="1" t="s">
        <v>13016</v>
      </c>
      <c r="G700" s="1" t="s">
        <v>13017</v>
      </c>
      <c r="H700" s="1" t="s">
        <v>13018</v>
      </c>
      <c r="I700" s="1" t="s">
        <v>13019</v>
      </c>
      <c r="J700" s="1">
        <v>9765720252</v>
      </c>
      <c r="K700" s="1" t="s">
        <v>79</v>
      </c>
      <c r="L700" s="1" t="s">
        <v>349</v>
      </c>
      <c r="M700" s="1" t="s">
        <v>81</v>
      </c>
      <c r="N700" s="1" t="s">
        <v>1140</v>
      </c>
      <c r="O700" s="1"/>
      <c r="P700" s="1" t="s">
        <v>472</v>
      </c>
      <c r="Q700" s="1" t="s">
        <v>13020</v>
      </c>
      <c r="R700" s="1" t="s">
        <v>144</v>
      </c>
      <c r="S700" s="1">
        <v>9921944604</v>
      </c>
      <c r="T700" s="1" t="s">
        <v>820</v>
      </c>
      <c r="U700" s="1" t="s">
        <v>11377</v>
      </c>
      <c r="V700" s="1">
        <v>8007541104</v>
      </c>
      <c r="W700" s="1" t="s">
        <v>273</v>
      </c>
      <c r="X700" s="1" t="s">
        <v>13021</v>
      </c>
      <c r="Y700" s="1" t="s">
        <v>379</v>
      </c>
      <c r="Z700" s="1" t="s">
        <v>92</v>
      </c>
      <c r="AA700" s="1" t="s">
        <v>13021</v>
      </c>
      <c r="AB700" s="1" t="s">
        <v>379</v>
      </c>
      <c r="AC700" s="1" t="s">
        <v>92</v>
      </c>
      <c r="AD700" s="1">
        <v>7.61</v>
      </c>
      <c r="AE700" s="1" t="s">
        <v>93</v>
      </c>
      <c r="AF700" s="1" t="s">
        <v>13022</v>
      </c>
      <c r="AG700" s="1" t="s">
        <v>160</v>
      </c>
      <c r="AH700" s="1" t="s">
        <v>101</v>
      </c>
      <c r="AI700" s="1" t="s">
        <v>409</v>
      </c>
      <c r="AJ700" s="1">
        <v>71.8</v>
      </c>
      <c r="AK700" s="1"/>
      <c r="AL700" s="1"/>
      <c r="AM700" s="1"/>
      <c r="AN700" s="1"/>
      <c r="AO700" s="1"/>
      <c r="AP700" s="1"/>
      <c r="AQ700" s="1"/>
      <c r="AR700" s="1" t="s">
        <v>250</v>
      </c>
      <c r="AS700" s="1" t="s">
        <v>13023</v>
      </c>
      <c r="AT700" s="1" t="s">
        <v>13024</v>
      </c>
      <c r="AU700" s="1" t="s">
        <v>1378</v>
      </c>
      <c r="AV700" s="1">
        <v>79.05</v>
      </c>
      <c r="AW700" s="1"/>
      <c r="AX700" s="1" t="s">
        <v>361</v>
      </c>
      <c r="AY700" s="1" t="s">
        <v>13025</v>
      </c>
      <c r="AZ700" s="1" t="s">
        <v>1864</v>
      </c>
      <c r="BA700" s="1" t="s">
        <v>829</v>
      </c>
      <c r="BB700" s="1">
        <v>61.14</v>
      </c>
      <c r="BC700" s="1">
        <v>6.87</v>
      </c>
      <c r="BD700" s="1"/>
      <c r="BE700" s="1"/>
      <c r="BF700" s="1"/>
      <c r="BG700" s="1"/>
      <c r="BH700" s="1"/>
      <c r="BI700" s="1"/>
      <c r="BJ700" s="1" t="s">
        <v>13026</v>
      </c>
      <c r="BK700" s="1"/>
      <c r="BL700" s="1"/>
      <c r="BM700" s="1" t="s">
        <v>13027</v>
      </c>
      <c r="BN700" s="1">
        <v>13</v>
      </c>
      <c r="BO700" s="1" t="s">
        <v>13028</v>
      </c>
      <c r="BP700" s="1" t="str">
        <f>HYPERLINK("https://nconnect.nicmar.ac.in/storage/profile/ProfilePhoto_P25700706_624518.jpg","Download")</f>
        <v>0</v>
      </c>
      <c r="BQ700" s="3"/>
      <c r="BR700" s="3"/>
    </row>
    <row r="701" spans="1:70">
      <c r="A701" s="1" t="s">
        <v>70</v>
      </c>
      <c r="B701" s="1" t="s">
        <v>441</v>
      </c>
      <c r="C701" s="1" t="s">
        <v>13029</v>
      </c>
      <c r="D701" s="1" t="s">
        <v>7168</v>
      </c>
      <c r="E701" s="1" t="s">
        <v>13030</v>
      </c>
      <c r="F701" s="1" t="s">
        <v>13031</v>
      </c>
      <c r="G701" s="1" t="s">
        <v>13032</v>
      </c>
      <c r="H701" s="1" t="s">
        <v>13033</v>
      </c>
      <c r="I701" s="1" t="s">
        <v>13034</v>
      </c>
      <c r="J701" s="1">
        <v>9370294385</v>
      </c>
      <c r="K701" s="1" t="s">
        <v>79</v>
      </c>
      <c r="L701" s="1" t="s">
        <v>13035</v>
      </c>
      <c r="M701" s="1" t="s">
        <v>81</v>
      </c>
      <c r="N701" s="1" t="s">
        <v>13036</v>
      </c>
      <c r="O701" s="1"/>
      <c r="P701" s="1" t="s">
        <v>497</v>
      </c>
      <c r="Q701" s="1" t="s">
        <v>13037</v>
      </c>
      <c r="R701" s="1" t="s">
        <v>13038</v>
      </c>
      <c r="S701" s="1">
        <v>9881560984</v>
      </c>
      <c r="T701" s="1" t="s">
        <v>154</v>
      </c>
      <c r="U701" s="1" t="s">
        <v>13039</v>
      </c>
      <c r="V701" s="1">
        <v>9923888898</v>
      </c>
      <c r="W701" s="1" t="s">
        <v>13040</v>
      </c>
      <c r="X701" s="1" t="s">
        <v>13041</v>
      </c>
      <c r="Y701" s="1" t="s">
        <v>5034</v>
      </c>
      <c r="Z701" s="1" t="s">
        <v>92</v>
      </c>
      <c r="AA701" s="1" t="s">
        <v>13041</v>
      </c>
      <c r="AB701" s="1" t="s">
        <v>5034</v>
      </c>
      <c r="AC701" s="1" t="s">
        <v>92</v>
      </c>
      <c r="AD701" s="1">
        <v>8.44</v>
      </c>
      <c r="AE701" s="1" t="s">
        <v>93</v>
      </c>
      <c r="AF701" s="1" t="s">
        <v>13042</v>
      </c>
      <c r="AG701" s="1" t="s">
        <v>1942</v>
      </c>
      <c r="AH701" s="1" t="s">
        <v>165</v>
      </c>
      <c r="AI701" s="1" t="s">
        <v>481</v>
      </c>
      <c r="AJ701" s="1">
        <v>89.6</v>
      </c>
      <c r="AK701" s="1">
        <v>0</v>
      </c>
      <c r="AL701" s="1" t="s">
        <v>13042</v>
      </c>
      <c r="AM701" s="1" t="s">
        <v>1942</v>
      </c>
      <c r="AN701" s="1" t="s">
        <v>433</v>
      </c>
      <c r="AO701" s="1" t="s">
        <v>956</v>
      </c>
      <c r="AP701" s="1">
        <v>66</v>
      </c>
      <c r="AQ701" s="1">
        <v>0</v>
      </c>
      <c r="AR701" s="1"/>
      <c r="AS701" s="1"/>
      <c r="AT701" s="1"/>
      <c r="AU701" s="1"/>
      <c r="AV701" s="1"/>
      <c r="AW701" s="1"/>
      <c r="AX701" s="1" t="s">
        <v>361</v>
      </c>
      <c r="AY701" s="1" t="s">
        <v>13043</v>
      </c>
      <c r="AZ701" s="1" t="s">
        <v>173</v>
      </c>
      <c r="BA701" s="1" t="s">
        <v>202</v>
      </c>
      <c r="BB701" s="1">
        <v>66.4</v>
      </c>
      <c r="BC701" s="1">
        <v>7.39</v>
      </c>
      <c r="BD701" s="1"/>
      <c r="BE701" s="1"/>
      <c r="BF701" s="1"/>
      <c r="BG701" s="1"/>
      <c r="BH701" s="1"/>
      <c r="BI701" s="1"/>
      <c r="BJ701" s="1" t="s">
        <v>13044</v>
      </c>
      <c r="BK701" s="1"/>
      <c r="BL701" s="1"/>
      <c r="BM701" s="1" t="s">
        <v>13045</v>
      </c>
      <c r="BN701" s="1">
        <v>34</v>
      </c>
      <c r="BO701" s="1" t="s">
        <v>13046</v>
      </c>
      <c r="BP701" s="1" t="str">
        <f>HYPERLINK("https://nconnect.nicmar.ac.in/storage/profile/ProfilePhoto_P25700707_593176.jpg","Download")</f>
        <v>0</v>
      </c>
      <c r="BQ701" s="3"/>
      <c r="BR701" s="3"/>
    </row>
    <row r="702" spans="1:70">
      <c r="A702" s="1" t="s">
        <v>70</v>
      </c>
      <c r="B702" s="1" t="s">
        <v>441</v>
      </c>
      <c r="C702" s="1" t="s">
        <v>13047</v>
      </c>
      <c r="D702" s="1" t="s">
        <v>744</v>
      </c>
      <c r="E702" s="1" t="s">
        <v>13048</v>
      </c>
      <c r="F702" s="1" t="s">
        <v>13049</v>
      </c>
      <c r="G702" s="1" t="s">
        <v>13050</v>
      </c>
      <c r="H702" s="1" t="s">
        <v>13051</v>
      </c>
      <c r="I702" s="1" t="s">
        <v>13052</v>
      </c>
      <c r="J702" s="1">
        <v>9579792417</v>
      </c>
      <c r="K702" s="1" t="s">
        <v>79</v>
      </c>
      <c r="L702" s="1" t="s">
        <v>10045</v>
      </c>
      <c r="M702" s="1" t="s">
        <v>81</v>
      </c>
      <c r="N702" s="1" t="s">
        <v>13053</v>
      </c>
      <c r="O702" s="1"/>
      <c r="P702" s="1" t="s">
        <v>497</v>
      </c>
      <c r="Q702" s="1" t="s">
        <v>13054</v>
      </c>
      <c r="R702" s="1" t="s">
        <v>13055</v>
      </c>
      <c r="S702" s="1">
        <v>9850111787</v>
      </c>
      <c r="T702" s="1" t="s">
        <v>820</v>
      </c>
      <c r="U702" s="1" t="s">
        <v>13056</v>
      </c>
      <c r="V702" s="1">
        <v>7755954069</v>
      </c>
      <c r="W702" s="1" t="s">
        <v>156</v>
      </c>
      <c r="X702" s="1" t="s">
        <v>13057</v>
      </c>
      <c r="Y702" s="1" t="s">
        <v>328</v>
      </c>
      <c r="Z702" s="1" t="s">
        <v>92</v>
      </c>
      <c r="AA702" s="1" t="s">
        <v>13057</v>
      </c>
      <c r="AB702" s="1" t="s">
        <v>328</v>
      </c>
      <c r="AC702" s="1" t="s">
        <v>92</v>
      </c>
      <c r="AD702" s="1">
        <v>8.85</v>
      </c>
      <c r="AE702" s="1" t="s">
        <v>93</v>
      </c>
      <c r="AF702" s="1" t="s">
        <v>13058</v>
      </c>
      <c r="AG702" s="1" t="s">
        <v>13059</v>
      </c>
      <c r="AH702" s="1" t="s">
        <v>281</v>
      </c>
      <c r="AI702" s="1" t="s">
        <v>409</v>
      </c>
      <c r="AJ702" s="1">
        <v>87.6</v>
      </c>
      <c r="AK702" s="1">
        <v>0</v>
      </c>
      <c r="AL702" s="1"/>
      <c r="AM702" s="1"/>
      <c r="AN702" s="1"/>
      <c r="AO702" s="1"/>
      <c r="AP702" s="1"/>
      <c r="AQ702" s="1"/>
      <c r="AR702" s="1" t="s">
        <v>434</v>
      </c>
      <c r="AS702" s="1" t="s">
        <v>13060</v>
      </c>
      <c r="AT702" s="1" t="s">
        <v>201</v>
      </c>
      <c r="AU702" s="1" t="s">
        <v>1777</v>
      </c>
      <c r="AV702" s="1">
        <v>81</v>
      </c>
      <c r="AW702" s="1">
        <v>0</v>
      </c>
      <c r="AX702" s="1" t="s">
        <v>13061</v>
      </c>
      <c r="AY702" s="1" t="s">
        <v>3525</v>
      </c>
      <c r="AZ702" s="1" t="s">
        <v>1864</v>
      </c>
      <c r="BA702" s="1" t="s">
        <v>1379</v>
      </c>
      <c r="BB702" s="1">
        <v>64.81</v>
      </c>
      <c r="BC702" s="1">
        <v>7.43</v>
      </c>
      <c r="BD702" s="1"/>
      <c r="BE702" s="1"/>
      <c r="BF702" s="1"/>
      <c r="BG702" s="1"/>
      <c r="BH702" s="1"/>
      <c r="BI702" s="1"/>
      <c r="BJ702" s="1" t="s">
        <v>567</v>
      </c>
      <c r="BK702" s="1"/>
      <c r="BL702" s="1"/>
      <c r="BM702" s="1" t="s">
        <v>13062</v>
      </c>
      <c r="BN702" s="1">
        <v>11</v>
      </c>
      <c r="BO702" s="1"/>
      <c r="BP702" s="1" t="str">
        <f>HYPERLINK("https://nconnect.nicmar.ac.in/storage/profile/ProfilePhoto_P25700708_764359.jpg","Download")</f>
        <v>0</v>
      </c>
      <c r="BQ702" s="3"/>
      <c r="BR702" s="3"/>
    </row>
    <row r="703" spans="1:70">
      <c r="A703" s="1" t="s">
        <v>70</v>
      </c>
      <c r="B703" s="1" t="s">
        <v>441</v>
      </c>
      <c r="C703" s="1" t="s">
        <v>13063</v>
      </c>
      <c r="D703" s="1" t="s">
        <v>13064</v>
      </c>
      <c r="E703" s="1"/>
      <c r="F703" s="1" t="s">
        <v>13065</v>
      </c>
      <c r="G703" s="1" t="s">
        <v>13066</v>
      </c>
      <c r="H703" s="1" t="s">
        <v>13067</v>
      </c>
      <c r="I703" s="1" t="s">
        <v>13068</v>
      </c>
      <c r="J703" s="1">
        <v>9766780953</v>
      </c>
      <c r="K703" s="1" t="s">
        <v>148</v>
      </c>
      <c r="L703" s="1" t="s">
        <v>9957</v>
      </c>
      <c r="M703" s="1" t="s">
        <v>81</v>
      </c>
      <c r="N703" s="1" t="s">
        <v>1140</v>
      </c>
      <c r="O703" s="1"/>
      <c r="P703" s="1" t="s">
        <v>497</v>
      </c>
      <c r="Q703" s="1" t="s">
        <v>13069</v>
      </c>
      <c r="R703" s="1" t="s">
        <v>13070</v>
      </c>
      <c r="S703" s="1">
        <v>7887711477</v>
      </c>
      <c r="T703" s="1" t="s">
        <v>13071</v>
      </c>
      <c r="U703" s="1" t="s">
        <v>13072</v>
      </c>
      <c r="V703" s="1">
        <v>8530340222</v>
      </c>
      <c r="W703" s="1" t="s">
        <v>13073</v>
      </c>
      <c r="X703" s="1" t="s">
        <v>13074</v>
      </c>
      <c r="Y703" s="1" t="s">
        <v>991</v>
      </c>
      <c r="Z703" s="1" t="s">
        <v>92</v>
      </c>
      <c r="AA703" s="1" t="s">
        <v>13074</v>
      </c>
      <c r="AB703" s="1" t="s">
        <v>991</v>
      </c>
      <c r="AC703" s="1" t="s">
        <v>92</v>
      </c>
      <c r="AD703" s="1">
        <v>7.12</v>
      </c>
      <c r="AE703" s="1" t="s">
        <v>93</v>
      </c>
      <c r="AF703" s="1" t="s">
        <v>13075</v>
      </c>
      <c r="AG703" s="1" t="s">
        <v>13076</v>
      </c>
      <c r="AH703" s="1" t="s">
        <v>337</v>
      </c>
      <c r="AI703" s="1" t="s">
        <v>162</v>
      </c>
      <c r="AJ703" s="1">
        <v>75.4</v>
      </c>
      <c r="AK703" s="1"/>
      <c r="AL703" s="1" t="s">
        <v>13077</v>
      </c>
      <c r="AM703" s="1" t="s">
        <v>13078</v>
      </c>
      <c r="AN703" s="1" t="s">
        <v>383</v>
      </c>
      <c r="AO703" s="1" t="s">
        <v>166</v>
      </c>
      <c r="AP703" s="1">
        <v>73.2</v>
      </c>
      <c r="AQ703" s="1"/>
      <c r="AR703" s="1" t="s">
        <v>434</v>
      </c>
      <c r="AS703" s="1" t="s">
        <v>13079</v>
      </c>
      <c r="AT703" s="1" t="s">
        <v>1043</v>
      </c>
      <c r="AU703" s="1" t="s">
        <v>412</v>
      </c>
      <c r="AV703" s="1">
        <v>78.26</v>
      </c>
      <c r="AW703" s="1"/>
      <c r="AX703" s="1" t="s">
        <v>666</v>
      </c>
      <c r="AY703" s="1" t="s">
        <v>13080</v>
      </c>
      <c r="AZ703" s="1" t="s">
        <v>871</v>
      </c>
      <c r="BA703" s="1" t="s">
        <v>413</v>
      </c>
      <c r="BB703" s="1">
        <v>65.95</v>
      </c>
      <c r="BC703" s="1">
        <v>6.47</v>
      </c>
      <c r="BD703" s="1"/>
      <c r="BE703" s="1"/>
      <c r="BF703" s="1"/>
      <c r="BG703" s="1"/>
      <c r="BH703" s="1"/>
      <c r="BI703" s="1"/>
      <c r="BJ703" s="1" t="s">
        <v>255</v>
      </c>
      <c r="BK703" s="1"/>
      <c r="BL703" s="1"/>
      <c r="BM703" s="1" t="s">
        <v>13081</v>
      </c>
      <c r="BN703" s="1">
        <v>8</v>
      </c>
      <c r="BO703" s="1"/>
      <c r="BP703" s="1" t="str">
        <f>HYPERLINK("https://nconnect.nicmar.ac.in/storage/profile/ProfilePhoto_P25700709_218653.jpg","Download")</f>
        <v>0</v>
      </c>
      <c r="BQ703" s="3"/>
      <c r="BR703" s="3"/>
    </row>
    <row r="704" spans="1:70">
      <c r="A704" s="1" t="s">
        <v>70</v>
      </c>
      <c r="B704" s="1" t="s">
        <v>441</v>
      </c>
      <c r="C704" s="1" t="s">
        <v>13082</v>
      </c>
      <c r="D704" s="1" t="s">
        <v>7417</v>
      </c>
      <c r="E704" s="1" t="s">
        <v>13083</v>
      </c>
      <c r="F704" s="1" t="s">
        <v>4053</v>
      </c>
      <c r="G704" s="1" t="s">
        <v>13084</v>
      </c>
      <c r="H704" s="1" t="s">
        <v>13085</v>
      </c>
      <c r="I704" s="1" t="s">
        <v>13086</v>
      </c>
      <c r="J704" s="1">
        <v>8106398069</v>
      </c>
      <c r="K704" s="1" t="s">
        <v>79</v>
      </c>
      <c r="L704" s="1" t="s">
        <v>4475</v>
      </c>
      <c r="M704" s="1" t="s">
        <v>81</v>
      </c>
      <c r="N704" s="1" t="s">
        <v>1427</v>
      </c>
      <c r="O704" s="1"/>
      <c r="P704" s="1" t="s">
        <v>472</v>
      </c>
      <c r="Q704" s="1" t="s">
        <v>13087</v>
      </c>
      <c r="R704" s="1" t="s">
        <v>13088</v>
      </c>
      <c r="S704" s="1">
        <v>9440100936</v>
      </c>
      <c r="T704" s="1" t="s">
        <v>820</v>
      </c>
      <c r="U704" s="1" t="s">
        <v>13089</v>
      </c>
      <c r="V704" s="1">
        <v>8309908261</v>
      </c>
      <c r="W704" s="1" t="s">
        <v>273</v>
      </c>
      <c r="X704" s="1" t="s">
        <v>13090</v>
      </c>
      <c r="Y704" s="1" t="s">
        <v>13091</v>
      </c>
      <c r="Z704" s="1" t="s">
        <v>276</v>
      </c>
      <c r="AA704" s="1" t="s">
        <v>13090</v>
      </c>
      <c r="AB704" s="1" t="s">
        <v>13091</v>
      </c>
      <c r="AC704" s="1" t="s">
        <v>276</v>
      </c>
      <c r="AD704" s="1">
        <v>8.44</v>
      </c>
      <c r="AE704" s="1" t="s">
        <v>93</v>
      </c>
      <c r="AF704" s="1" t="s">
        <v>8337</v>
      </c>
      <c r="AG704" s="1" t="s">
        <v>13092</v>
      </c>
      <c r="AH704" s="1" t="s">
        <v>165</v>
      </c>
      <c r="AI704" s="1" t="s">
        <v>481</v>
      </c>
      <c r="AJ704" s="1">
        <v>95</v>
      </c>
      <c r="AK704" s="1">
        <v>9.5</v>
      </c>
      <c r="AL704" s="1" t="s">
        <v>3052</v>
      </c>
      <c r="AM704" s="1" t="s">
        <v>13093</v>
      </c>
      <c r="AN704" s="1" t="s">
        <v>166</v>
      </c>
      <c r="AO704" s="1" t="s">
        <v>460</v>
      </c>
      <c r="AP704" s="1">
        <v>93.4</v>
      </c>
      <c r="AQ704" s="1">
        <v>9.82</v>
      </c>
      <c r="AR704" s="1"/>
      <c r="AS704" s="1"/>
      <c r="AT704" s="1"/>
      <c r="AU704" s="1"/>
      <c r="AV704" s="1"/>
      <c r="AW704" s="1"/>
      <c r="AX704" s="1" t="s">
        <v>6932</v>
      </c>
      <c r="AY704" s="1" t="s">
        <v>11417</v>
      </c>
      <c r="AZ704" s="1" t="s">
        <v>460</v>
      </c>
      <c r="BA704" s="1" t="s">
        <v>1067</v>
      </c>
      <c r="BB704" s="1">
        <v>79.2</v>
      </c>
      <c r="BC704" s="1">
        <v>7.92</v>
      </c>
      <c r="BD704" s="1"/>
      <c r="BE704" s="1"/>
      <c r="BF704" s="1"/>
      <c r="BG704" s="1"/>
      <c r="BH704" s="1"/>
      <c r="BI704" s="1"/>
      <c r="BJ704" s="1" t="s">
        <v>364</v>
      </c>
      <c r="BK704" s="1"/>
      <c r="BL704" s="1"/>
      <c r="BM704" s="1" t="s">
        <v>13094</v>
      </c>
      <c r="BN704" s="1">
        <v>10</v>
      </c>
      <c r="BO704" s="1"/>
      <c r="BP704" s="1" t="str">
        <f>HYPERLINK("https://nconnect.nicmar.ac.in/storage/profile/ProfilePhoto_P25700710_586142.jpg","Download")</f>
        <v>0</v>
      </c>
      <c r="BQ704" s="3"/>
      <c r="BR704" s="3"/>
    </row>
    <row r="705" spans="1:70">
      <c r="A705" s="1" t="s">
        <v>70</v>
      </c>
      <c r="B705" s="1" t="s">
        <v>441</v>
      </c>
      <c r="C705" s="1" t="s">
        <v>13095</v>
      </c>
      <c r="D705" s="1" t="s">
        <v>13096</v>
      </c>
      <c r="E705" s="1" t="s">
        <v>13097</v>
      </c>
      <c r="F705" s="1" t="s">
        <v>13098</v>
      </c>
      <c r="G705" s="1" t="s">
        <v>13099</v>
      </c>
      <c r="H705" s="1" t="s">
        <v>13100</v>
      </c>
      <c r="I705" s="1" t="s">
        <v>13101</v>
      </c>
      <c r="J705" s="1">
        <v>9370752657</v>
      </c>
      <c r="K705" s="1" t="s">
        <v>79</v>
      </c>
      <c r="L705" s="1" t="s">
        <v>1892</v>
      </c>
      <c r="M705" s="1" t="s">
        <v>81</v>
      </c>
      <c r="N705" s="1" t="s">
        <v>13102</v>
      </c>
      <c r="O705" s="1"/>
      <c r="P705" s="1" t="s">
        <v>450</v>
      </c>
      <c r="Q705" s="1" t="s">
        <v>13103</v>
      </c>
      <c r="R705" s="1" t="s">
        <v>13097</v>
      </c>
      <c r="S705" s="1">
        <v>7038098693</v>
      </c>
      <c r="T705" s="1" t="s">
        <v>13104</v>
      </c>
      <c r="U705" s="1" t="s">
        <v>8505</v>
      </c>
      <c r="V705" s="1">
        <v>8999943904</v>
      </c>
      <c r="W705" s="1" t="s">
        <v>156</v>
      </c>
      <c r="X705" s="1" t="s">
        <v>13105</v>
      </c>
      <c r="Y705" s="1" t="s">
        <v>1963</v>
      </c>
      <c r="Z705" s="1" t="s">
        <v>92</v>
      </c>
      <c r="AA705" s="1" t="s">
        <v>13105</v>
      </c>
      <c r="AB705" s="1" t="s">
        <v>1963</v>
      </c>
      <c r="AC705" s="1" t="s">
        <v>92</v>
      </c>
      <c r="AD705" s="1">
        <v>7.97</v>
      </c>
      <c r="AE705" s="1" t="s">
        <v>93</v>
      </c>
      <c r="AF705" s="1" t="s">
        <v>13106</v>
      </c>
      <c r="AG705" s="1" t="s">
        <v>160</v>
      </c>
      <c r="AH705" s="1" t="s">
        <v>165</v>
      </c>
      <c r="AI705" s="1" t="s">
        <v>281</v>
      </c>
      <c r="AJ705" s="1">
        <v>95.8</v>
      </c>
      <c r="AK705" s="1"/>
      <c r="AL705" s="1" t="s">
        <v>13107</v>
      </c>
      <c r="AM705" s="1" t="s">
        <v>160</v>
      </c>
      <c r="AN705" s="1" t="s">
        <v>310</v>
      </c>
      <c r="AO705" s="1" t="s">
        <v>13108</v>
      </c>
      <c r="AP705" s="1">
        <v>63.68</v>
      </c>
      <c r="AQ705" s="1"/>
      <c r="AR705" s="1"/>
      <c r="AS705" s="1"/>
      <c r="AT705" s="1"/>
      <c r="AU705" s="1"/>
      <c r="AV705" s="1"/>
      <c r="AW705" s="1"/>
      <c r="AX705" s="1" t="s">
        <v>1017</v>
      </c>
      <c r="AY705" s="1" t="s">
        <v>13109</v>
      </c>
      <c r="AZ705" s="1" t="s">
        <v>542</v>
      </c>
      <c r="BA705" s="1" t="s">
        <v>543</v>
      </c>
      <c r="BB705" s="1">
        <v>65.17</v>
      </c>
      <c r="BC705" s="1">
        <v>6.86</v>
      </c>
      <c r="BD705" s="1"/>
      <c r="BE705" s="1"/>
      <c r="BF705" s="1"/>
      <c r="BG705" s="1"/>
      <c r="BH705" s="1"/>
      <c r="BI705" s="1"/>
      <c r="BJ705" s="1" t="s">
        <v>255</v>
      </c>
      <c r="BK705" s="1"/>
      <c r="BL705" s="1"/>
      <c r="BM705" s="1" t="s">
        <v>13110</v>
      </c>
      <c r="BN705" s="1">
        <v>21</v>
      </c>
      <c r="BO705" s="1" t="s">
        <v>13111</v>
      </c>
      <c r="BP705" s="1" t="str">
        <f>HYPERLINK("https://nconnect.nicmar.ac.in/storage/profile/ProfilePhoto_P25700711_478962.jpg","Download")</f>
        <v>0</v>
      </c>
      <c r="BQ705" s="3"/>
      <c r="BR705" s="3"/>
    </row>
    <row r="706" spans="1:70">
      <c r="A706" s="1" t="s">
        <v>70</v>
      </c>
      <c r="B706" s="1" t="s">
        <v>441</v>
      </c>
      <c r="C706" s="1" t="s">
        <v>13112</v>
      </c>
      <c r="D706" s="1" t="s">
        <v>2241</v>
      </c>
      <c r="E706" s="1" t="s">
        <v>5755</v>
      </c>
      <c r="F706" s="1" t="s">
        <v>1156</v>
      </c>
      <c r="G706" s="1" t="s">
        <v>13113</v>
      </c>
      <c r="H706" s="1" t="s">
        <v>13114</v>
      </c>
      <c r="I706" s="1" t="s">
        <v>13115</v>
      </c>
      <c r="J706" s="1">
        <v>7768921071</v>
      </c>
      <c r="K706" s="1" t="s">
        <v>79</v>
      </c>
      <c r="L706" s="1" t="s">
        <v>13116</v>
      </c>
      <c r="M706" s="1" t="s">
        <v>81</v>
      </c>
      <c r="N706" s="1" t="s">
        <v>3518</v>
      </c>
      <c r="O706" s="1"/>
      <c r="P706" s="1" t="s">
        <v>497</v>
      </c>
      <c r="Q706" s="1" t="s">
        <v>13117</v>
      </c>
      <c r="R706" s="1" t="s">
        <v>13118</v>
      </c>
      <c r="S706" s="1">
        <v>9527401071</v>
      </c>
      <c r="T706" s="1" t="s">
        <v>154</v>
      </c>
      <c r="U706" s="1" t="s">
        <v>13119</v>
      </c>
      <c r="V706" s="1">
        <v>7414971071</v>
      </c>
      <c r="W706" s="1" t="s">
        <v>156</v>
      </c>
      <c r="X706" s="1" t="s">
        <v>13120</v>
      </c>
      <c r="Y706" s="1" t="s">
        <v>158</v>
      </c>
      <c r="Z706" s="1" t="s">
        <v>92</v>
      </c>
      <c r="AA706" s="1" t="s">
        <v>13120</v>
      </c>
      <c r="AB706" s="1" t="s">
        <v>158</v>
      </c>
      <c r="AC706" s="1" t="s">
        <v>92</v>
      </c>
      <c r="AD706" s="1">
        <v>9.29</v>
      </c>
      <c r="AE706" s="1" t="s">
        <v>93</v>
      </c>
      <c r="AF706" s="1" t="s">
        <v>13121</v>
      </c>
      <c r="AG706" s="1" t="s">
        <v>160</v>
      </c>
      <c r="AH706" s="1" t="s">
        <v>96</v>
      </c>
      <c r="AI706" s="1" t="s">
        <v>97</v>
      </c>
      <c r="AJ706" s="1">
        <v>89.6</v>
      </c>
      <c r="AK706" s="1"/>
      <c r="AL706" s="1" t="s">
        <v>13122</v>
      </c>
      <c r="AM706" s="1" t="s">
        <v>160</v>
      </c>
      <c r="AN706" s="1" t="s">
        <v>162</v>
      </c>
      <c r="AO706" s="1" t="s">
        <v>508</v>
      </c>
      <c r="AP706" s="1">
        <v>71.85</v>
      </c>
      <c r="AQ706" s="1"/>
      <c r="AR706" s="1"/>
      <c r="AS706" s="1"/>
      <c r="AT706" s="1"/>
      <c r="AU706" s="1"/>
      <c r="AV706" s="1"/>
      <c r="AW706" s="1"/>
      <c r="AX706" s="1" t="s">
        <v>1017</v>
      </c>
      <c r="AY706" s="1" t="s">
        <v>13123</v>
      </c>
      <c r="AZ706" s="1" t="s">
        <v>383</v>
      </c>
      <c r="BA706" s="1" t="s">
        <v>828</v>
      </c>
      <c r="BB706" s="1">
        <v>79.2</v>
      </c>
      <c r="BC706" s="1">
        <v>8.67</v>
      </c>
      <c r="BD706" s="1"/>
      <c r="BE706" s="1"/>
      <c r="BF706" s="1"/>
      <c r="BG706" s="1"/>
      <c r="BH706" s="1"/>
      <c r="BI706" s="1"/>
      <c r="BJ706" s="1" t="s">
        <v>567</v>
      </c>
      <c r="BK706" s="1" t="s">
        <v>13124</v>
      </c>
      <c r="BL706" s="1" t="s">
        <v>4562</v>
      </c>
      <c r="BM706" s="1" t="s">
        <v>13125</v>
      </c>
      <c r="BN706" s="1">
        <v>8</v>
      </c>
      <c r="BO706" s="1"/>
      <c r="BP706" s="1" t="str">
        <f>HYPERLINK("https://nconnect.nicmar.ac.in/storage/profile/ProfilePhoto_P25700712_684593.jpg","Download")</f>
        <v>0</v>
      </c>
      <c r="BQ706" s="3"/>
      <c r="BR706" s="3"/>
    </row>
    <row r="707" spans="1:70">
      <c r="A707" s="1" t="s">
        <v>70</v>
      </c>
      <c r="B707" s="1" t="s">
        <v>441</v>
      </c>
      <c r="C707" s="1" t="s">
        <v>13126</v>
      </c>
      <c r="D707" s="1" t="s">
        <v>13127</v>
      </c>
      <c r="E707" s="1" t="s">
        <v>5175</v>
      </c>
      <c r="F707" s="1" t="s">
        <v>1298</v>
      </c>
      <c r="G707" s="1" t="s">
        <v>13128</v>
      </c>
      <c r="H707" s="1" t="s">
        <v>13129</v>
      </c>
      <c r="I707" s="1" t="s">
        <v>13130</v>
      </c>
      <c r="J707" s="1">
        <v>8919898312</v>
      </c>
      <c r="K707" s="1" t="s">
        <v>79</v>
      </c>
      <c r="L707" s="1" t="s">
        <v>13131</v>
      </c>
      <c r="M707" s="1" t="s">
        <v>81</v>
      </c>
      <c r="N707" s="1" t="s">
        <v>8331</v>
      </c>
      <c r="O707" s="1"/>
      <c r="P707" s="1" t="s">
        <v>497</v>
      </c>
      <c r="Q707" s="1" t="s">
        <v>13132</v>
      </c>
      <c r="R707" s="1" t="s">
        <v>13133</v>
      </c>
      <c r="S707" s="1">
        <v>9866271646</v>
      </c>
      <c r="T707" s="1" t="s">
        <v>13134</v>
      </c>
      <c r="U707" s="1" t="s">
        <v>13135</v>
      </c>
      <c r="V707" s="1">
        <v>7330835457</v>
      </c>
      <c r="W707" s="1" t="s">
        <v>89</v>
      </c>
      <c r="X707" s="1" t="s">
        <v>13136</v>
      </c>
      <c r="Y707" s="1" t="s">
        <v>1432</v>
      </c>
      <c r="Z707" s="1" t="s">
        <v>276</v>
      </c>
      <c r="AA707" s="1" t="s">
        <v>13137</v>
      </c>
      <c r="AB707" s="1" t="s">
        <v>1414</v>
      </c>
      <c r="AC707" s="1" t="s">
        <v>276</v>
      </c>
      <c r="AD707" s="1">
        <v>8.25</v>
      </c>
      <c r="AE707" s="1" t="s">
        <v>93</v>
      </c>
      <c r="AF707" s="1" t="s">
        <v>2663</v>
      </c>
      <c r="AG707" s="1" t="s">
        <v>13138</v>
      </c>
      <c r="AH707" s="1" t="s">
        <v>101</v>
      </c>
      <c r="AI707" s="1" t="s">
        <v>409</v>
      </c>
      <c r="AJ707" s="1">
        <v>97</v>
      </c>
      <c r="AK707" s="1">
        <v>9.7</v>
      </c>
      <c r="AL707" s="1" t="s">
        <v>1818</v>
      </c>
      <c r="AM707" s="1" t="s">
        <v>10350</v>
      </c>
      <c r="AN707" s="1" t="s">
        <v>433</v>
      </c>
      <c r="AO707" s="1" t="s">
        <v>1169</v>
      </c>
      <c r="AP707" s="1">
        <v>88.3</v>
      </c>
      <c r="AQ707" s="1"/>
      <c r="AR707" s="1"/>
      <c r="AS707" s="1"/>
      <c r="AT707" s="1"/>
      <c r="AU707" s="1"/>
      <c r="AV707" s="1"/>
      <c r="AW707" s="1"/>
      <c r="AX707" s="1" t="s">
        <v>11791</v>
      </c>
      <c r="AY707" s="1" t="s">
        <v>13139</v>
      </c>
      <c r="AZ707" s="1" t="s">
        <v>135</v>
      </c>
      <c r="BA707" s="1" t="s">
        <v>594</v>
      </c>
      <c r="BB707" s="1">
        <v>73.8</v>
      </c>
      <c r="BC707" s="1">
        <v>7.38</v>
      </c>
      <c r="BD707" s="1"/>
      <c r="BE707" s="1"/>
      <c r="BF707" s="1"/>
      <c r="BG707" s="1"/>
      <c r="BH707" s="1"/>
      <c r="BI707" s="1"/>
      <c r="BJ707" s="1" t="s">
        <v>13140</v>
      </c>
      <c r="BK707" s="1"/>
      <c r="BL707" s="1"/>
      <c r="BM707" s="1" t="s">
        <v>13141</v>
      </c>
      <c r="BN707" s="1">
        <v>12</v>
      </c>
      <c r="BO707" s="1"/>
      <c r="BP707" s="1" t="str">
        <f>HYPERLINK("https://nconnect.nicmar.ac.in/storage/profile/ProfilePhoto_P25700714_634851.jpg","Download")</f>
        <v>0</v>
      </c>
      <c r="BQ707" s="3"/>
      <c r="BR707" s="3"/>
    </row>
    <row r="708" spans="1:70">
      <c r="A708" s="1" t="s">
        <v>70</v>
      </c>
      <c r="B708" s="1" t="s">
        <v>441</v>
      </c>
      <c r="C708" s="1" t="s">
        <v>13142</v>
      </c>
      <c r="D708" s="1" t="s">
        <v>1297</v>
      </c>
      <c r="E708" s="1" t="s">
        <v>5755</v>
      </c>
      <c r="F708" s="1" t="s">
        <v>13143</v>
      </c>
      <c r="G708" s="1" t="s">
        <v>13144</v>
      </c>
      <c r="H708" s="1" t="s">
        <v>13145</v>
      </c>
      <c r="I708" s="1" t="s">
        <v>13146</v>
      </c>
      <c r="J708" s="1">
        <v>8669354345</v>
      </c>
      <c r="K708" s="1" t="s">
        <v>79</v>
      </c>
      <c r="L708" s="1" t="s">
        <v>7487</v>
      </c>
      <c r="M708" s="1" t="s">
        <v>81</v>
      </c>
      <c r="N708" s="1" t="s">
        <v>605</v>
      </c>
      <c r="O708" s="1"/>
      <c r="P708" s="1" t="s">
        <v>1007</v>
      </c>
      <c r="Q708" s="1" t="s">
        <v>13147</v>
      </c>
      <c r="R708" s="1" t="s">
        <v>13148</v>
      </c>
      <c r="S708" s="1">
        <v>9423434094</v>
      </c>
      <c r="T708" s="1" t="s">
        <v>13149</v>
      </c>
      <c r="U708" s="1" t="s">
        <v>13150</v>
      </c>
      <c r="V708" s="1">
        <v>9822392030</v>
      </c>
      <c r="W708" s="1" t="s">
        <v>273</v>
      </c>
      <c r="X708" s="1" t="s">
        <v>13151</v>
      </c>
      <c r="Y708" s="1" t="s">
        <v>191</v>
      </c>
      <c r="Z708" s="1" t="s">
        <v>92</v>
      </c>
      <c r="AA708" s="1" t="s">
        <v>13152</v>
      </c>
      <c r="AB708" s="1" t="s">
        <v>5087</v>
      </c>
      <c r="AC708" s="1" t="s">
        <v>92</v>
      </c>
      <c r="AD708" s="1">
        <v>8.24</v>
      </c>
      <c r="AE708" s="1" t="s">
        <v>93</v>
      </c>
      <c r="AF708" s="1" t="s">
        <v>13153</v>
      </c>
      <c r="AG708" s="1" t="s">
        <v>4335</v>
      </c>
      <c r="AH708" s="1" t="s">
        <v>101</v>
      </c>
      <c r="AI708" s="1" t="s">
        <v>409</v>
      </c>
      <c r="AJ708" s="1">
        <v>82.42</v>
      </c>
      <c r="AK708" s="1">
        <v>0</v>
      </c>
      <c r="AL708" s="1"/>
      <c r="AM708" s="1"/>
      <c r="AN708" s="1"/>
      <c r="AO708" s="1"/>
      <c r="AP708" s="1"/>
      <c r="AQ708" s="1"/>
      <c r="AR708" s="1" t="s">
        <v>98</v>
      </c>
      <c r="AS708" s="1" t="s">
        <v>13154</v>
      </c>
      <c r="AT708" s="1" t="s">
        <v>310</v>
      </c>
      <c r="AU708" s="1" t="s">
        <v>105</v>
      </c>
      <c r="AV708" s="1">
        <v>82.63</v>
      </c>
      <c r="AW708" s="1">
        <v>0</v>
      </c>
      <c r="AX708" s="1" t="s">
        <v>361</v>
      </c>
      <c r="AY708" s="1" t="s">
        <v>13155</v>
      </c>
      <c r="AZ708" s="1" t="s">
        <v>1864</v>
      </c>
      <c r="BA708" s="1" t="s">
        <v>1379</v>
      </c>
      <c r="BB708" s="1">
        <v>60.9</v>
      </c>
      <c r="BC708" s="1">
        <v>6.83</v>
      </c>
      <c r="BD708" s="1"/>
      <c r="BE708" s="1"/>
      <c r="BF708" s="1"/>
      <c r="BG708" s="1"/>
      <c r="BH708" s="1"/>
      <c r="BI708" s="1"/>
      <c r="BJ708" s="1" t="s">
        <v>13156</v>
      </c>
      <c r="BK708" s="1"/>
      <c r="BL708" s="1"/>
      <c r="BM708" s="1" t="s">
        <v>13157</v>
      </c>
      <c r="BN708" s="1">
        <v>16</v>
      </c>
      <c r="BO708" s="1"/>
      <c r="BP708" s="1" t="str">
        <f>HYPERLINK("https://nconnect.nicmar.ac.in/storage/profile/ProfilePhoto_P25700715_431895.jpg","Download")</f>
        <v>0</v>
      </c>
      <c r="BQ708" s="3"/>
      <c r="BR708" s="3"/>
    </row>
    <row r="709" spans="1:70">
      <c r="A709" s="1" t="s">
        <v>70</v>
      </c>
      <c r="B709" s="1" t="s">
        <v>441</v>
      </c>
      <c r="C709" s="1" t="s">
        <v>13158</v>
      </c>
      <c r="D709" s="1" t="s">
        <v>13159</v>
      </c>
      <c r="E709" s="1"/>
      <c r="F709" s="1" t="s">
        <v>13160</v>
      </c>
      <c r="G709" s="1" t="s">
        <v>13161</v>
      </c>
      <c r="H709" s="1" t="s">
        <v>13162</v>
      </c>
      <c r="I709" s="1" t="s">
        <v>13163</v>
      </c>
      <c r="J709" s="1">
        <v>9805566233</v>
      </c>
      <c r="K709" s="1" t="s">
        <v>79</v>
      </c>
      <c r="L709" s="1" t="s">
        <v>13164</v>
      </c>
      <c r="M709" s="1" t="s">
        <v>81</v>
      </c>
      <c r="N709" s="1" t="s">
        <v>13165</v>
      </c>
      <c r="O709" s="1"/>
      <c r="P709" s="1" t="s">
        <v>450</v>
      </c>
      <c r="Q709" s="1" t="s">
        <v>13166</v>
      </c>
      <c r="R709" s="1" t="s">
        <v>13167</v>
      </c>
      <c r="S709" s="1">
        <v>9418761430</v>
      </c>
      <c r="T709" s="1" t="s">
        <v>13168</v>
      </c>
      <c r="U709" s="1" t="s">
        <v>13169</v>
      </c>
      <c r="V709" s="1">
        <v>9459521418</v>
      </c>
      <c r="W709" s="1" t="s">
        <v>89</v>
      </c>
      <c r="X709" s="1" t="s">
        <v>13170</v>
      </c>
      <c r="Y709" s="1" t="s">
        <v>13171</v>
      </c>
      <c r="Z709" s="1" t="s">
        <v>2619</v>
      </c>
      <c r="AA709" s="1" t="s">
        <v>13170</v>
      </c>
      <c r="AB709" s="1" t="s">
        <v>13171</v>
      </c>
      <c r="AC709" s="1" t="s">
        <v>2619</v>
      </c>
      <c r="AD709" s="1">
        <v>8.46</v>
      </c>
      <c r="AE709" s="1" t="s">
        <v>93</v>
      </c>
      <c r="AF709" s="1" t="s">
        <v>9855</v>
      </c>
      <c r="AG709" s="1" t="s">
        <v>13172</v>
      </c>
      <c r="AH709" s="1" t="s">
        <v>162</v>
      </c>
      <c r="AI709" s="1" t="s">
        <v>165</v>
      </c>
      <c r="AJ709" s="1">
        <v>77.9</v>
      </c>
      <c r="AK709" s="1">
        <v>8.2</v>
      </c>
      <c r="AL709" s="1" t="s">
        <v>9855</v>
      </c>
      <c r="AM709" s="1" t="s">
        <v>13172</v>
      </c>
      <c r="AN709" s="1" t="s">
        <v>166</v>
      </c>
      <c r="AO709" s="1" t="s">
        <v>308</v>
      </c>
      <c r="AP709" s="1">
        <v>82.8</v>
      </c>
      <c r="AQ709" s="1"/>
      <c r="AR709" s="1"/>
      <c r="AS709" s="1"/>
      <c r="AT709" s="1"/>
      <c r="AU709" s="1"/>
      <c r="AV709" s="1"/>
      <c r="AW709" s="1"/>
      <c r="AX709" s="1" t="s">
        <v>641</v>
      </c>
      <c r="AY709" s="1" t="s">
        <v>13173</v>
      </c>
      <c r="AZ709" s="1" t="s">
        <v>2872</v>
      </c>
      <c r="BA709" s="1" t="s">
        <v>4582</v>
      </c>
      <c r="BB709" s="1">
        <v>90.2</v>
      </c>
      <c r="BC709" s="1">
        <v>9.02</v>
      </c>
      <c r="BD709" s="1"/>
      <c r="BE709" s="1"/>
      <c r="BF709" s="1"/>
      <c r="BG709" s="1"/>
      <c r="BH709" s="1"/>
      <c r="BI709" s="1"/>
      <c r="BJ709" s="1" t="s">
        <v>567</v>
      </c>
      <c r="BK709" s="1"/>
      <c r="BL709" s="1"/>
      <c r="BM709" s="1" t="s">
        <v>13174</v>
      </c>
      <c r="BN709" s="1">
        <v>62</v>
      </c>
      <c r="BO709" s="1"/>
      <c r="BP709" s="1" t="str">
        <f>HYPERLINK("https://nconnect.nicmar.ac.in/storage/profile/ProfilePhoto_P25700716_596743.jpg","Download")</f>
        <v>0</v>
      </c>
      <c r="BQ709" s="3"/>
      <c r="BR709" s="3"/>
    </row>
    <row r="710" spans="1:70">
      <c r="A710" s="1" t="s">
        <v>70</v>
      </c>
      <c r="B710" s="1" t="s">
        <v>441</v>
      </c>
      <c r="C710" s="1" t="s">
        <v>13175</v>
      </c>
      <c r="D710" s="1" t="s">
        <v>3119</v>
      </c>
      <c r="E710" s="1" t="s">
        <v>2071</v>
      </c>
      <c r="F710" s="1" t="s">
        <v>13176</v>
      </c>
      <c r="G710" s="1" t="s">
        <v>13177</v>
      </c>
      <c r="H710" s="1" t="s">
        <v>13178</v>
      </c>
      <c r="I710" s="1" t="s">
        <v>13179</v>
      </c>
      <c r="J710" s="1">
        <v>7218148484</v>
      </c>
      <c r="K710" s="1" t="s">
        <v>79</v>
      </c>
      <c r="L710" s="1" t="s">
        <v>6210</v>
      </c>
      <c r="M710" s="1" t="s">
        <v>81</v>
      </c>
      <c r="N710" s="1" t="s">
        <v>605</v>
      </c>
      <c r="O710" s="1"/>
      <c r="P710" s="1" t="s">
        <v>497</v>
      </c>
      <c r="Q710" s="1" t="s">
        <v>13180</v>
      </c>
      <c r="R710" s="1" t="s">
        <v>13181</v>
      </c>
      <c r="S710" s="1">
        <v>9921346858</v>
      </c>
      <c r="T710" s="1" t="s">
        <v>2972</v>
      </c>
      <c r="U710" s="1" t="s">
        <v>13182</v>
      </c>
      <c r="V710" s="1">
        <v>9130888918</v>
      </c>
      <c r="W710" s="1" t="s">
        <v>156</v>
      </c>
      <c r="X710" s="1" t="s">
        <v>13183</v>
      </c>
      <c r="Y710" s="1" t="s">
        <v>1963</v>
      </c>
      <c r="Z710" s="1" t="s">
        <v>92</v>
      </c>
      <c r="AA710" s="1" t="s">
        <v>13183</v>
      </c>
      <c r="AB710" s="1" t="s">
        <v>1963</v>
      </c>
      <c r="AC710" s="1" t="s">
        <v>92</v>
      </c>
      <c r="AD710" s="1">
        <v>7.77</v>
      </c>
      <c r="AE710" s="1" t="s">
        <v>93</v>
      </c>
      <c r="AF710" s="1" t="s">
        <v>13184</v>
      </c>
      <c r="AG710" s="1" t="s">
        <v>160</v>
      </c>
      <c r="AH710" s="1" t="s">
        <v>101</v>
      </c>
      <c r="AI710" s="1" t="s">
        <v>409</v>
      </c>
      <c r="AJ710" s="1">
        <v>84</v>
      </c>
      <c r="AK710" s="1"/>
      <c r="AL710" s="1"/>
      <c r="AM710" s="1"/>
      <c r="AN710" s="1"/>
      <c r="AO710" s="1"/>
      <c r="AP710" s="1"/>
      <c r="AQ710" s="1"/>
      <c r="AR710" s="1" t="s">
        <v>434</v>
      </c>
      <c r="AS710" s="1" t="s">
        <v>1147</v>
      </c>
      <c r="AT710" s="1" t="s">
        <v>201</v>
      </c>
      <c r="AU710" s="1" t="s">
        <v>1378</v>
      </c>
      <c r="AV710" s="1">
        <v>75.68</v>
      </c>
      <c r="AW710" s="1"/>
      <c r="AX710" s="1" t="s">
        <v>1862</v>
      </c>
      <c r="AY710" s="1" t="s">
        <v>12750</v>
      </c>
      <c r="AZ710" s="1" t="s">
        <v>1864</v>
      </c>
      <c r="BA710" s="1" t="s">
        <v>829</v>
      </c>
      <c r="BB710" s="1">
        <v>73.34</v>
      </c>
      <c r="BC710" s="1"/>
      <c r="BD710" s="1"/>
      <c r="BE710" s="1"/>
      <c r="BF710" s="1"/>
      <c r="BG710" s="1"/>
      <c r="BH710" s="1"/>
      <c r="BI710" s="1"/>
      <c r="BJ710" s="1" t="s">
        <v>13185</v>
      </c>
      <c r="BK710" s="1"/>
      <c r="BL710" s="1"/>
      <c r="BM710" s="1" t="s">
        <v>13186</v>
      </c>
      <c r="BN710" s="1">
        <v>21</v>
      </c>
      <c r="BO710" s="1" t="s">
        <v>13187</v>
      </c>
      <c r="BP710" s="1" t="str">
        <f>HYPERLINK("https://nconnect.nicmar.ac.in/storage/profile/ProfilePhoto_P25700717_983154.jpg","Download")</f>
        <v>0</v>
      </c>
      <c r="BQ710" s="3"/>
      <c r="BR710" s="3"/>
    </row>
    <row r="711" spans="1:70">
      <c r="A711" s="1" t="s">
        <v>70</v>
      </c>
      <c r="B711" s="1" t="s">
        <v>441</v>
      </c>
      <c r="C711" s="1" t="s">
        <v>13188</v>
      </c>
      <c r="D711" s="1" t="s">
        <v>2838</v>
      </c>
      <c r="E711" s="1" t="s">
        <v>12532</v>
      </c>
      <c r="F711" s="1" t="s">
        <v>13189</v>
      </c>
      <c r="G711" s="1" t="s">
        <v>13190</v>
      </c>
      <c r="H711" s="1" t="s">
        <v>13191</v>
      </c>
      <c r="I711" s="1" t="s">
        <v>13192</v>
      </c>
      <c r="J711" s="1">
        <v>8169556979</v>
      </c>
      <c r="K711" s="1" t="s">
        <v>79</v>
      </c>
      <c r="L711" s="1" t="s">
        <v>13193</v>
      </c>
      <c r="M711" s="1" t="s">
        <v>81</v>
      </c>
      <c r="N711" s="1" t="s">
        <v>1140</v>
      </c>
      <c r="O711" s="1"/>
      <c r="P711" s="1" t="s">
        <v>497</v>
      </c>
      <c r="Q711" s="1" t="s">
        <v>13194</v>
      </c>
      <c r="R711" s="1" t="s">
        <v>12532</v>
      </c>
      <c r="S711" s="1">
        <v>9820319276</v>
      </c>
      <c r="T711" s="1" t="s">
        <v>1529</v>
      </c>
      <c r="U711" s="1" t="s">
        <v>6501</v>
      </c>
      <c r="V711" s="1">
        <v>9321033327</v>
      </c>
      <c r="W711" s="1" t="s">
        <v>1529</v>
      </c>
      <c r="X711" s="1" t="s">
        <v>13195</v>
      </c>
      <c r="Y711" s="1" t="s">
        <v>991</v>
      </c>
      <c r="Z711" s="1" t="s">
        <v>92</v>
      </c>
      <c r="AA711" s="1" t="s">
        <v>13195</v>
      </c>
      <c r="AB711" s="1" t="s">
        <v>991</v>
      </c>
      <c r="AC711" s="1" t="s">
        <v>92</v>
      </c>
      <c r="AD711" s="1">
        <v>8.41</v>
      </c>
      <c r="AE711" s="1" t="s">
        <v>93</v>
      </c>
      <c r="AF711" s="1" t="s">
        <v>13196</v>
      </c>
      <c r="AG711" s="1" t="s">
        <v>160</v>
      </c>
      <c r="AH711" s="1" t="s">
        <v>1577</v>
      </c>
      <c r="AI711" s="1" t="s">
        <v>97</v>
      </c>
      <c r="AJ711" s="1">
        <v>61</v>
      </c>
      <c r="AK711" s="1"/>
      <c r="AL711" s="1" t="s">
        <v>13197</v>
      </c>
      <c r="AM711" s="1" t="s">
        <v>160</v>
      </c>
      <c r="AN711" s="1" t="s">
        <v>161</v>
      </c>
      <c r="AO711" s="1" t="s">
        <v>508</v>
      </c>
      <c r="AP711" s="1">
        <v>47.23</v>
      </c>
      <c r="AQ711" s="1"/>
      <c r="AR711" s="1" t="s">
        <v>98</v>
      </c>
      <c r="AS711" s="1" t="s">
        <v>13198</v>
      </c>
      <c r="AT711" s="1" t="s">
        <v>383</v>
      </c>
      <c r="AU711" s="1" t="s">
        <v>4744</v>
      </c>
      <c r="AV711" s="1">
        <v>73.76</v>
      </c>
      <c r="AW711" s="1"/>
      <c r="AX711" s="1" t="s">
        <v>253</v>
      </c>
      <c r="AY711" s="1" t="s">
        <v>13198</v>
      </c>
      <c r="AZ711" s="1" t="s">
        <v>363</v>
      </c>
      <c r="BA711" s="1" t="s">
        <v>174</v>
      </c>
      <c r="BB711" s="1">
        <v>71.91</v>
      </c>
      <c r="BC711" s="1"/>
      <c r="BD711" s="1"/>
      <c r="BE711" s="1"/>
      <c r="BF711" s="1"/>
      <c r="BG711" s="1"/>
      <c r="BH711" s="1"/>
      <c r="BI711" s="1"/>
      <c r="BJ711" s="1" t="s">
        <v>13199</v>
      </c>
      <c r="BK711" s="1" t="s">
        <v>13200</v>
      </c>
      <c r="BL711" s="1" t="s">
        <v>1540</v>
      </c>
      <c r="BM711" s="1" t="s">
        <v>13201</v>
      </c>
      <c r="BN711" s="1">
        <v>34</v>
      </c>
      <c r="BO711" s="1"/>
      <c r="BP711" s="1" t="str">
        <f>HYPERLINK("https://nconnect.nicmar.ac.in/storage/profile/ProfilePhoto_P25700718_186239.jpg","Download")</f>
        <v>0</v>
      </c>
      <c r="BQ711" s="3"/>
      <c r="BR711" s="3"/>
    </row>
    <row r="712" spans="1:70">
      <c r="A712" s="1" t="s">
        <v>70</v>
      </c>
      <c r="B712" s="1" t="s">
        <v>441</v>
      </c>
      <c r="C712" s="1" t="s">
        <v>13202</v>
      </c>
      <c r="D712" s="1" t="s">
        <v>13203</v>
      </c>
      <c r="E712" s="1"/>
      <c r="F712" s="1" t="s">
        <v>13204</v>
      </c>
      <c r="G712" s="1" t="s">
        <v>13205</v>
      </c>
      <c r="H712" s="1" t="s">
        <v>13206</v>
      </c>
      <c r="I712" s="1" t="s">
        <v>13207</v>
      </c>
      <c r="J712" s="1">
        <v>9861056081</v>
      </c>
      <c r="K712" s="1" t="s">
        <v>79</v>
      </c>
      <c r="L712" s="1" t="s">
        <v>13208</v>
      </c>
      <c r="M712" s="1" t="s">
        <v>81</v>
      </c>
      <c r="N712" s="1" t="s">
        <v>13209</v>
      </c>
      <c r="O712" s="1"/>
      <c r="P712" s="1" t="s">
        <v>450</v>
      </c>
      <c r="Q712" s="1" t="s">
        <v>13210</v>
      </c>
      <c r="R712" s="1" t="s">
        <v>13211</v>
      </c>
      <c r="S712" s="1">
        <v>9776551010</v>
      </c>
      <c r="T712" s="1" t="s">
        <v>13212</v>
      </c>
      <c r="U712" s="1" t="s">
        <v>13213</v>
      </c>
      <c r="V712" s="1">
        <v>8908214353</v>
      </c>
      <c r="W712" s="1" t="s">
        <v>1553</v>
      </c>
      <c r="X712" s="1" t="s">
        <v>13214</v>
      </c>
      <c r="Y712" s="1" t="s">
        <v>8409</v>
      </c>
      <c r="Z712" s="1" t="s">
        <v>846</v>
      </c>
      <c r="AA712" s="1" t="s">
        <v>13214</v>
      </c>
      <c r="AB712" s="1" t="s">
        <v>8409</v>
      </c>
      <c r="AC712" s="1" t="s">
        <v>846</v>
      </c>
      <c r="AD712" s="1">
        <v>8.65</v>
      </c>
      <c r="AE712" s="1" t="s">
        <v>93</v>
      </c>
      <c r="AF712" s="1" t="s">
        <v>13215</v>
      </c>
      <c r="AG712" s="1" t="s">
        <v>13216</v>
      </c>
      <c r="AH712" s="1" t="s">
        <v>279</v>
      </c>
      <c r="AI712" s="1" t="s">
        <v>165</v>
      </c>
      <c r="AJ712" s="1">
        <v>81.7</v>
      </c>
      <c r="AK712" s="1">
        <v>8.6</v>
      </c>
      <c r="AL712" s="1" t="s">
        <v>13217</v>
      </c>
      <c r="AM712" s="1" t="s">
        <v>13216</v>
      </c>
      <c r="AN712" s="1" t="s">
        <v>383</v>
      </c>
      <c r="AO712" s="1" t="s">
        <v>308</v>
      </c>
      <c r="AP712" s="1">
        <v>64.83</v>
      </c>
      <c r="AQ712" s="1"/>
      <c r="AR712" s="1"/>
      <c r="AS712" s="1"/>
      <c r="AT712" s="1"/>
      <c r="AU712" s="1"/>
      <c r="AV712" s="1"/>
      <c r="AW712" s="1"/>
      <c r="AX712" s="1" t="s">
        <v>13218</v>
      </c>
      <c r="AY712" s="1" t="s">
        <v>13219</v>
      </c>
      <c r="AZ712" s="1" t="s">
        <v>201</v>
      </c>
      <c r="BA712" s="1" t="s">
        <v>229</v>
      </c>
      <c r="BB712" s="1">
        <v>78.2</v>
      </c>
      <c r="BC712" s="1">
        <v>8.32</v>
      </c>
      <c r="BD712" s="1"/>
      <c r="BE712" s="1"/>
      <c r="BF712" s="1"/>
      <c r="BG712" s="1"/>
      <c r="BH712" s="1"/>
      <c r="BI712" s="1"/>
      <c r="BJ712" s="1" t="s">
        <v>567</v>
      </c>
      <c r="BK712" s="1" t="s">
        <v>13220</v>
      </c>
      <c r="BL712" s="1" t="s">
        <v>4165</v>
      </c>
      <c r="BM712" s="1" t="s">
        <v>13221</v>
      </c>
      <c r="BN712" s="1">
        <v>9</v>
      </c>
      <c r="BO712" s="1" t="s">
        <v>13222</v>
      </c>
      <c r="BP712" s="1" t="str">
        <f>HYPERLINK("https://nconnect.nicmar.ac.in/storage/profile/ProfilePhoto_P25700719_518623.jpg","Download")</f>
        <v>0</v>
      </c>
      <c r="BQ712" s="3"/>
      <c r="BR712" s="3"/>
    </row>
    <row r="713" spans="1:70">
      <c r="A713" s="1" t="s">
        <v>70</v>
      </c>
      <c r="B713" s="1" t="s">
        <v>441</v>
      </c>
      <c r="C713" s="1" t="s">
        <v>13223</v>
      </c>
      <c r="D713" s="1" t="s">
        <v>13224</v>
      </c>
      <c r="E713" s="1" t="s">
        <v>13225</v>
      </c>
      <c r="F713" s="1" t="s">
        <v>13226</v>
      </c>
      <c r="G713" s="1" t="s">
        <v>13227</v>
      </c>
      <c r="H713" s="1" t="s">
        <v>13228</v>
      </c>
      <c r="I713" s="1" t="s">
        <v>13229</v>
      </c>
      <c r="J713" s="1">
        <v>9130767406</v>
      </c>
      <c r="K713" s="1" t="s">
        <v>148</v>
      </c>
      <c r="L713" s="1" t="s">
        <v>13230</v>
      </c>
      <c r="M713" s="1" t="s">
        <v>81</v>
      </c>
      <c r="N713" s="1" t="s">
        <v>13231</v>
      </c>
      <c r="O713" s="1"/>
      <c r="P713" s="1" t="s">
        <v>497</v>
      </c>
      <c r="Q713" s="1" t="s">
        <v>13232</v>
      </c>
      <c r="R713" s="1" t="s">
        <v>13225</v>
      </c>
      <c r="S713" s="1">
        <v>9518307871</v>
      </c>
      <c r="T713" s="1" t="s">
        <v>7827</v>
      </c>
      <c r="U713" s="1" t="s">
        <v>13233</v>
      </c>
      <c r="V713" s="1">
        <v>7798772221</v>
      </c>
      <c r="W713" s="1" t="s">
        <v>156</v>
      </c>
      <c r="X713" s="1" t="s">
        <v>13234</v>
      </c>
      <c r="Y713" s="1" t="s">
        <v>4313</v>
      </c>
      <c r="Z713" s="1" t="s">
        <v>92</v>
      </c>
      <c r="AA713" s="1" t="s">
        <v>13234</v>
      </c>
      <c r="AB713" s="1" t="s">
        <v>4313</v>
      </c>
      <c r="AC713" s="1" t="s">
        <v>92</v>
      </c>
      <c r="AD713" s="1">
        <v>8.39</v>
      </c>
      <c r="AE713" s="1" t="s">
        <v>93</v>
      </c>
      <c r="AF713" s="1" t="s">
        <v>13235</v>
      </c>
      <c r="AG713" s="1" t="s">
        <v>160</v>
      </c>
      <c r="AH713" s="1" t="s">
        <v>161</v>
      </c>
      <c r="AI713" s="1" t="s">
        <v>614</v>
      </c>
      <c r="AJ713" s="1">
        <v>74.2</v>
      </c>
      <c r="AK713" s="1"/>
      <c r="AL713" s="1"/>
      <c r="AM713" s="1"/>
      <c r="AN713" s="1"/>
      <c r="AO713" s="1"/>
      <c r="AP713" s="1"/>
      <c r="AQ713" s="1"/>
      <c r="AR713" s="1" t="s">
        <v>13236</v>
      </c>
      <c r="AS713" s="1" t="s">
        <v>8136</v>
      </c>
      <c r="AT713" s="1" t="s">
        <v>134</v>
      </c>
      <c r="AU713" s="1" t="s">
        <v>590</v>
      </c>
      <c r="AV713" s="1">
        <v>80.12</v>
      </c>
      <c r="AW713" s="1"/>
      <c r="AX713" s="1" t="s">
        <v>253</v>
      </c>
      <c r="AY713" s="1" t="s">
        <v>13237</v>
      </c>
      <c r="AZ713" s="1" t="s">
        <v>460</v>
      </c>
      <c r="BA713" s="1" t="s">
        <v>174</v>
      </c>
      <c r="BB713" s="1">
        <v>76.02</v>
      </c>
      <c r="BC713" s="1">
        <v>8.67</v>
      </c>
      <c r="BD713" s="1"/>
      <c r="BE713" s="1"/>
      <c r="BF713" s="1"/>
      <c r="BG713" s="1"/>
      <c r="BH713" s="1"/>
      <c r="BI713" s="1"/>
      <c r="BJ713" s="1" t="s">
        <v>13238</v>
      </c>
      <c r="BK713" s="1" t="s">
        <v>13239</v>
      </c>
      <c r="BL713" s="1" t="s">
        <v>1129</v>
      </c>
      <c r="BM713" s="1" t="s">
        <v>13240</v>
      </c>
      <c r="BN713" s="1">
        <v>156</v>
      </c>
      <c r="BO713" s="1"/>
      <c r="BP713" s="1" t="str">
        <f>HYPERLINK("https://nconnect.nicmar.ac.in/storage/profile/ProfilePhoto_P25700721_783129.jpg","Download")</f>
        <v>0</v>
      </c>
      <c r="BQ713" s="3"/>
      <c r="BR713" s="3"/>
    </row>
    <row r="714" spans="1:70">
      <c r="A714" s="1" t="s">
        <v>70</v>
      </c>
      <c r="B714" s="1" t="s">
        <v>441</v>
      </c>
      <c r="C714" s="1" t="s">
        <v>13241</v>
      </c>
      <c r="D714" s="1" t="s">
        <v>13242</v>
      </c>
      <c r="E714" s="1" t="s">
        <v>5369</v>
      </c>
      <c r="F714" s="1" t="s">
        <v>2419</v>
      </c>
      <c r="G714" s="1" t="s">
        <v>13243</v>
      </c>
      <c r="H714" s="1" t="s">
        <v>13244</v>
      </c>
      <c r="I714" s="1" t="s">
        <v>13245</v>
      </c>
      <c r="J714" s="1">
        <v>8308814033</v>
      </c>
      <c r="K714" s="1" t="s">
        <v>148</v>
      </c>
      <c r="L714" s="1" t="s">
        <v>6723</v>
      </c>
      <c r="M714" s="1" t="s">
        <v>81</v>
      </c>
      <c r="N714" s="1" t="s">
        <v>605</v>
      </c>
      <c r="O714" s="1"/>
      <c r="P714" s="1" t="s">
        <v>1007</v>
      </c>
      <c r="Q714" s="1" t="s">
        <v>13246</v>
      </c>
      <c r="R714" s="1" t="s">
        <v>13247</v>
      </c>
      <c r="S714" s="1">
        <v>8805014036</v>
      </c>
      <c r="T714" s="1" t="s">
        <v>632</v>
      </c>
      <c r="U714" s="1" t="s">
        <v>13248</v>
      </c>
      <c r="V714" s="1">
        <v>7350011641</v>
      </c>
      <c r="W714" s="1" t="s">
        <v>156</v>
      </c>
      <c r="X714" s="1" t="s">
        <v>13249</v>
      </c>
      <c r="Y714" s="1" t="s">
        <v>191</v>
      </c>
      <c r="Z714" s="1" t="s">
        <v>92</v>
      </c>
      <c r="AA714" s="1" t="s">
        <v>13249</v>
      </c>
      <c r="AB714" s="1" t="s">
        <v>191</v>
      </c>
      <c r="AC714" s="1" t="s">
        <v>92</v>
      </c>
      <c r="AD714" s="1">
        <v>8.42</v>
      </c>
      <c r="AE714" s="1" t="s">
        <v>93</v>
      </c>
      <c r="AF714" s="1" t="s">
        <v>13250</v>
      </c>
      <c r="AG714" s="1" t="s">
        <v>160</v>
      </c>
      <c r="AH714" s="1" t="s">
        <v>162</v>
      </c>
      <c r="AI714" s="1" t="s">
        <v>195</v>
      </c>
      <c r="AJ714" s="1">
        <v>84.2</v>
      </c>
      <c r="AK714" s="1"/>
      <c r="AL714" s="1" t="s">
        <v>13251</v>
      </c>
      <c r="AM714" s="1" t="s">
        <v>160</v>
      </c>
      <c r="AN714" s="1" t="s">
        <v>101</v>
      </c>
      <c r="AO714" s="1" t="s">
        <v>198</v>
      </c>
      <c r="AP714" s="1">
        <v>65.69</v>
      </c>
      <c r="AQ714" s="1"/>
      <c r="AR714" s="1"/>
      <c r="AS714" s="1"/>
      <c r="AT714" s="1"/>
      <c r="AU714" s="1"/>
      <c r="AV714" s="1"/>
      <c r="AW714" s="1"/>
      <c r="AX714" s="1" t="s">
        <v>361</v>
      </c>
      <c r="AY714" s="1" t="s">
        <v>13252</v>
      </c>
      <c r="AZ714" s="1" t="s">
        <v>229</v>
      </c>
      <c r="BA714" s="1" t="s">
        <v>1292</v>
      </c>
      <c r="BB714" s="1">
        <v>62.3</v>
      </c>
      <c r="BC714" s="1">
        <v>6.98</v>
      </c>
      <c r="BD714" s="1"/>
      <c r="BE714" s="1"/>
      <c r="BF714" s="1"/>
      <c r="BG714" s="1"/>
      <c r="BH714" s="1"/>
      <c r="BI714" s="1"/>
      <c r="BJ714" s="1" t="s">
        <v>13253</v>
      </c>
      <c r="BK714" s="1" t="s">
        <v>13254</v>
      </c>
      <c r="BL714" s="1" t="s">
        <v>2089</v>
      </c>
      <c r="BM714" s="1" t="s">
        <v>13255</v>
      </c>
      <c r="BN714" s="1">
        <v>28</v>
      </c>
      <c r="BO714" s="1"/>
      <c r="BP714" s="1" t="str">
        <f>HYPERLINK("https://nconnect.nicmar.ac.in/storage/profile/ProfilePhoto_P25700722_325679.jpg","Download")</f>
        <v>0</v>
      </c>
      <c r="BQ714" s="3"/>
      <c r="BR714" s="3"/>
    </row>
    <row r="715" spans="1:70">
      <c r="A715" s="1" t="s">
        <v>70</v>
      </c>
      <c r="B715" s="1" t="s">
        <v>441</v>
      </c>
      <c r="C715" s="1" t="s">
        <v>13256</v>
      </c>
      <c r="D715" s="1" t="s">
        <v>13257</v>
      </c>
      <c r="E715" s="1"/>
      <c r="F715" s="1" t="s">
        <v>13258</v>
      </c>
      <c r="G715" s="1" t="s">
        <v>13259</v>
      </c>
      <c r="H715" s="1" t="s">
        <v>13260</v>
      </c>
      <c r="I715" s="1" t="s">
        <v>13261</v>
      </c>
      <c r="J715" s="1">
        <v>9444724700</v>
      </c>
      <c r="K715" s="1" t="s">
        <v>79</v>
      </c>
      <c r="L715" s="1" t="s">
        <v>13262</v>
      </c>
      <c r="M715" s="1" t="s">
        <v>81</v>
      </c>
      <c r="N715" s="1" t="s">
        <v>13263</v>
      </c>
      <c r="O715" s="1"/>
      <c r="P715" s="1" t="s">
        <v>497</v>
      </c>
      <c r="Q715" s="1" t="s">
        <v>13264</v>
      </c>
      <c r="R715" s="1" t="s">
        <v>13265</v>
      </c>
      <c r="S715" s="1">
        <v>9444253375</v>
      </c>
      <c r="T715" s="1" t="s">
        <v>13266</v>
      </c>
      <c r="U715" s="1" t="s">
        <v>13267</v>
      </c>
      <c r="V715" s="1">
        <v>9445379605</v>
      </c>
      <c r="W715" s="1" t="s">
        <v>531</v>
      </c>
      <c r="X715" s="1" t="s">
        <v>13268</v>
      </c>
      <c r="Y715" s="1" t="s">
        <v>1475</v>
      </c>
      <c r="Z715" s="1" t="s">
        <v>559</v>
      </c>
      <c r="AA715" s="1" t="s">
        <v>13269</v>
      </c>
      <c r="AB715" s="1" t="s">
        <v>1981</v>
      </c>
      <c r="AC715" s="1" t="s">
        <v>559</v>
      </c>
      <c r="AD715" s="1">
        <v>8.95</v>
      </c>
      <c r="AE715" s="1" t="s">
        <v>93</v>
      </c>
      <c r="AF715" s="1" t="s">
        <v>13270</v>
      </c>
      <c r="AG715" s="1" t="s">
        <v>7274</v>
      </c>
      <c r="AH715" s="1" t="s">
        <v>481</v>
      </c>
      <c r="AI715" s="1" t="s">
        <v>308</v>
      </c>
      <c r="AJ715" s="1">
        <v>92.4</v>
      </c>
      <c r="AK715" s="1"/>
      <c r="AL715" s="1" t="s">
        <v>13271</v>
      </c>
      <c r="AM715" s="1" t="s">
        <v>7274</v>
      </c>
      <c r="AN715" s="1" t="s">
        <v>460</v>
      </c>
      <c r="AO715" s="1" t="s">
        <v>539</v>
      </c>
      <c r="AP715" s="1">
        <v>95.6</v>
      </c>
      <c r="AQ715" s="1"/>
      <c r="AR715" s="1"/>
      <c r="AS715" s="1"/>
      <c r="AT715" s="1"/>
      <c r="AU715" s="1"/>
      <c r="AV715" s="1"/>
      <c r="AW715" s="1"/>
      <c r="AX715" s="1" t="s">
        <v>13272</v>
      </c>
      <c r="AY715" s="1" t="s">
        <v>13272</v>
      </c>
      <c r="AZ715" s="1" t="s">
        <v>593</v>
      </c>
      <c r="BA715" s="1" t="s">
        <v>829</v>
      </c>
      <c r="BB715" s="1">
        <v>89.35</v>
      </c>
      <c r="BC715" s="1">
        <v>8.93</v>
      </c>
      <c r="BD715" s="1"/>
      <c r="BE715" s="1"/>
      <c r="BF715" s="1"/>
      <c r="BG715" s="1"/>
      <c r="BH715" s="1"/>
      <c r="BI715" s="1"/>
      <c r="BJ715" s="1" t="s">
        <v>13273</v>
      </c>
      <c r="BK715" s="1"/>
      <c r="BL715" s="1"/>
      <c r="BM715" s="1" t="s">
        <v>13274</v>
      </c>
      <c r="BN715" s="1">
        <v>9</v>
      </c>
      <c r="BO715" s="1"/>
      <c r="BP715" s="1" t="str">
        <f>HYPERLINK("https://nconnect.nicmar.ac.in/storage/profile/ProfilePhoto_P25700723_862314.jpg","Download")</f>
        <v>0</v>
      </c>
      <c r="BQ715" s="3"/>
      <c r="BR715" s="3"/>
    </row>
    <row r="716" spans="1:70">
      <c r="A716" s="1" t="s">
        <v>70</v>
      </c>
      <c r="B716" s="1" t="s">
        <v>441</v>
      </c>
      <c r="C716" s="1" t="s">
        <v>13275</v>
      </c>
      <c r="D716" s="1" t="s">
        <v>6135</v>
      </c>
      <c r="E716" s="1" t="s">
        <v>13276</v>
      </c>
      <c r="F716" s="1" t="s">
        <v>13277</v>
      </c>
      <c r="G716" s="1" t="s">
        <v>13278</v>
      </c>
      <c r="H716" s="1" t="s">
        <v>13279</v>
      </c>
      <c r="I716" s="1" t="s">
        <v>13280</v>
      </c>
      <c r="J716" s="1">
        <v>9503958058</v>
      </c>
      <c r="K716" s="1" t="s">
        <v>79</v>
      </c>
      <c r="L716" s="1" t="s">
        <v>12929</v>
      </c>
      <c r="M716" s="1" t="s">
        <v>81</v>
      </c>
      <c r="N716" s="1" t="s">
        <v>13281</v>
      </c>
      <c r="O716" s="1"/>
      <c r="P716" s="1" t="s">
        <v>1007</v>
      </c>
      <c r="Q716" s="1" t="s">
        <v>13282</v>
      </c>
      <c r="R716" s="1" t="s">
        <v>13283</v>
      </c>
      <c r="S716" s="1">
        <v>9819541679</v>
      </c>
      <c r="T716" s="1" t="s">
        <v>632</v>
      </c>
      <c r="U716" s="1" t="s">
        <v>13284</v>
      </c>
      <c r="V716" s="1">
        <v>9503958058</v>
      </c>
      <c r="W716" s="1" t="s">
        <v>13285</v>
      </c>
      <c r="X716" s="1" t="s">
        <v>13286</v>
      </c>
      <c r="Y716" s="1" t="s">
        <v>1857</v>
      </c>
      <c r="Z716" s="1" t="s">
        <v>92</v>
      </c>
      <c r="AA716" s="1" t="s">
        <v>13287</v>
      </c>
      <c r="AB716" s="1" t="s">
        <v>4313</v>
      </c>
      <c r="AC716" s="1" t="s">
        <v>92</v>
      </c>
      <c r="AD716" s="1">
        <v>7.98</v>
      </c>
      <c r="AE716" s="1" t="s">
        <v>93</v>
      </c>
      <c r="AF716" s="1" t="s">
        <v>2602</v>
      </c>
      <c r="AG716" s="1" t="s">
        <v>13288</v>
      </c>
      <c r="AH716" s="1" t="s">
        <v>165</v>
      </c>
      <c r="AI716" s="1" t="s">
        <v>101</v>
      </c>
      <c r="AJ716" s="1">
        <v>75</v>
      </c>
      <c r="AK716" s="1">
        <v>0</v>
      </c>
      <c r="AL716" s="1"/>
      <c r="AM716" s="1"/>
      <c r="AN716" s="1"/>
      <c r="AO716" s="1"/>
      <c r="AP716" s="1"/>
      <c r="AQ716" s="1"/>
      <c r="AR716" s="1" t="s">
        <v>434</v>
      </c>
      <c r="AS716" s="1" t="s">
        <v>13289</v>
      </c>
      <c r="AT716" s="1" t="s">
        <v>169</v>
      </c>
      <c r="AU716" s="1" t="s">
        <v>826</v>
      </c>
      <c r="AV716" s="1">
        <v>88.63</v>
      </c>
      <c r="AW716" s="1">
        <v>0</v>
      </c>
      <c r="AX716" s="1" t="s">
        <v>666</v>
      </c>
      <c r="AY716" s="1" t="s">
        <v>13290</v>
      </c>
      <c r="AZ716" s="1" t="s">
        <v>539</v>
      </c>
      <c r="BA716" s="1" t="s">
        <v>1067</v>
      </c>
      <c r="BB716" s="1">
        <v>64.09</v>
      </c>
      <c r="BC716" s="1">
        <v>6.95</v>
      </c>
      <c r="BD716" s="1"/>
      <c r="BE716" s="1"/>
      <c r="BF716" s="1"/>
      <c r="BG716" s="1"/>
      <c r="BH716" s="1"/>
      <c r="BI716" s="1"/>
      <c r="BJ716" s="1" t="s">
        <v>830</v>
      </c>
      <c r="BK716" s="1" t="s">
        <v>13291</v>
      </c>
      <c r="BL716" s="1" t="s">
        <v>873</v>
      </c>
      <c r="BM716" s="1" t="s">
        <v>13292</v>
      </c>
      <c r="BN716" s="1">
        <v>63</v>
      </c>
      <c r="BO716" s="1" t="s">
        <v>13293</v>
      </c>
      <c r="BP716" s="1" t="str">
        <f>HYPERLINK("https://nconnect.nicmar.ac.in/storage/profile/ProfilePhoto_P25700724_394512.jpg","Download")</f>
        <v>0</v>
      </c>
      <c r="BQ716" s="3"/>
      <c r="BR716" s="3"/>
    </row>
    <row r="717" spans="1:70">
      <c r="A717" s="1" t="s">
        <v>70</v>
      </c>
      <c r="B717" s="1" t="s">
        <v>441</v>
      </c>
      <c r="C717" s="1" t="s">
        <v>13294</v>
      </c>
      <c r="D717" s="1" t="s">
        <v>13295</v>
      </c>
      <c r="E717" s="1" t="s">
        <v>13296</v>
      </c>
      <c r="F717" s="1" t="s">
        <v>13297</v>
      </c>
      <c r="G717" s="1" t="s">
        <v>13298</v>
      </c>
      <c r="H717" s="1" t="s">
        <v>13299</v>
      </c>
      <c r="I717" s="1" t="s">
        <v>13300</v>
      </c>
      <c r="J717" s="1">
        <v>9527484106</v>
      </c>
      <c r="K717" s="1" t="s">
        <v>148</v>
      </c>
      <c r="L717" s="1" t="s">
        <v>13301</v>
      </c>
      <c r="M717" s="1" t="s">
        <v>81</v>
      </c>
      <c r="N717" s="1" t="s">
        <v>3083</v>
      </c>
      <c r="O717" s="1"/>
      <c r="P717" s="1" t="s">
        <v>1007</v>
      </c>
      <c r="Q717" s="1" t="s">
        <v>13302</v>
      </c>
      <c r="R717" s="1" t="s">
        <v>13303</v>
      </c>
      <c r="S717" s="1">
        <v>9860313247</v>
      </c>
      <c r="T717" s="1" t="s">
        <v>154</v>
      </c>
      <c r="U717" s="1" t="s">
        <v>13304</v>
      </c>
      <c r="V717" s="1">
        <v>9021453140</v>
      </c>
      <c r="W717" s="1" t="s">
        <v>156</v>
      </c>
      <c r="X717" s="1" t="s">
        <v>13305</v>
      </c>
      <c r="Y717" s="1" t="s">
        <v>191</v>
      </c>
      <c r="Z717" s="1" t="s">
        <v>92</v>
      </c>
      <c r="AA717" s="1" t="s">
        <v>13306</v>
      </c>
      <c r="AB717" s="1" t="s">
        <v>191</v>
      </c>
      <c r="AC717" s="1" t="s">
        <v>92</v>
      </c>
      <c r="AD717" s="1">
        <v>8.78</v>
      </c>
      <c r="AE717" s="1" t="s">
        <v>93</v>
      </c>
      <c r="AF717" s="1" t="s">
        <v>13307</v>
      </c>
      <c r="AG717" s="1" t="s">
        <v>160</v>
      </c>
      <c r="AH717" s="1" t="s">
        <v>96</v>
      </c>
      <c r="AI717" s="1" t="s">
        <v>97</v>
      </c>
      <c r="AJ717" s="1">
        <v>86.4</v>
      </c>
      <c r="AK717" s="1"/>
      <c r="AL717" s="1"/>
      <c r="AM717" s="1"/>
      <c r="AN717" s="1"/>
      <c r="AO717" s="1"/>
      <c r="AP717" s="1"/>
      <c r="AQ717" s="1"/>
      <c r="AR717" s="1" t="s">
        <v>98</v>
      </c>
      <c r="AS717" s="1" t="s">
        <v>13308</v>
      </c>
      <c r="AT717" s="1" t="s">
        <v>337</v>
      </c>
      <c r="AU717" s="1" t="s">
        <v>101</v>
      </c>
      <c r="AV717" s="1">
        <v>81.82</v>
      </c>
      <c r="AW717" s="1"/>
      <c r="AX717" s="1" t="s">
        <v>361</v>
      </c>
      <c r="AY717" s="1" t="s">
        <v>13309</v>
      </c>
      <c r="AZ717" s="1" t="s">
        <v>1043</v>
      </c>
      <c r="BA717" s="1" t="s">
        <v>539</v>
      </c>
      <c r="BB717" s="1">
        <v>71.9</v>
      </c>
      <c r="BC717" s="1">
        <v>7.94</v>
      </c>
      <c r="BD717" s="1"/>
      <c r="BE717" s="1"/>
      <c r="BF717" s="1"/>
      <c r="BG717" s="1"/>
      <c r="BH717" s="1"/>
      <c r="BI717" s="1"/>
      <c r="BJ717" s="1" t="s">
        <v>13310</v>
      </c>
      <c r="BK717" s="1" t="s">
        <v>13311</v>
      </c>
      <c r="BL717" s="1" t="s">
        <v>1824</v>
      </c>
      <c r="BM717" s="1" t="s">
        <v>13312</v>
      </c>
      <c r="BN717" s="1">
        <v>8</v>
      </c>
      <c r="BO717" s="1"/>
      <c r="BP717" s="1" t="str">
        <f>HYPERLINK("https://nconnect.nicmar.ac.in/storage/profile/ProfilePhoto_P25700725_384512.jpg","Download")</f>
        <v>0</v>
      </c>
      <c r="BQ717" s="3"/>
      <c r="BR717" s="3"/>
    </row>
    <row r="718" spans="1:70">
      <c r="A718" s="1" t="s">
        <v>70</v>
      </c>
      <c r="B718" s="1" t="s">
        <v>441</v>
      </c>
      <c r="C718" s="1" t="s">
        <v>13313</v>
      </c>
      <c r="D718" s="1" t="s">
        <v>12531</v>
      </c>
      <c r="E718" s="1" t="s">
        <v>2419</v>
      </c>
      <c r="F718" s="1" t="s">
        <v>5471</v>
      </c>
      <c r="G718" s="1" t="s">
        <v>13314</v>
      </c>
      <c r="H718" s="1" t="s">
        <v>13315</v>
      </c>
      <c r="I718" s="1" t="s">
        <v>13316</v>
      </c>
      <c r="J718" s="1">
        <v>8432321636</v>
      </c>
      <c r="K718" s="1" t="s">
        <v>79</v>
      </c>
      <c r="L718" s="1" t="s">
        <v>3569</v>
      </c>
      <c r="M718" s="1" t="s">
        <v>81</v>
      </c>
      <c r="N718" s="1" t="s">
        <v>605</v>
      </c>
      <c r="O718" s="1"/>
      <c r="P718" s="1" t="s">
        <v>472</v>
      </c>
      <c r="Q718" s="1" t="s">
        <v>13317</v>
      </c>
      <c r="R718" s="1" t="s">
        <v>13318</v>
      </c>
      <c r="S718" s="1">
        <v>9860461636</v>
      </c>
      <c r="T718" s="1" t="s">
        <v>1391</v>
      </c>
      <c r="U718" s="1" t="s">
        <v>13319</v>
      </c>
      <c r="V718" s="1">
        <v>9860203052</v>
      </c>
      <c r="W718" s="1" t="s">
        <v>156</v>
      </c>
      <c r="X718" s="1" t="s">
        <v>13320</v>
      </c>
      <c r="Y718" s="1" t="s">
        <v>1012</v>
      </c>
      <c r="Z718" s="1" t="s">
        <v>92</v>
      </c>
      <c r="AA718" s="1" t="s">
        <v>13320</v>
      </c>
      <c r="AB718" s="1" t="s">
        <v>1012</v>
      </c>
      <c r="AC718" s="1" t="s">
        <v>92</v>
      </c>
      <c r="AD718" s="1">
        <v>7.71</v>
      </c>
      <c r="AE718" s="1" t="s">
        <v>93</v>
      </c>
      <c r="AF718" s="1" t="s">
        <v>13321</v>
      </c>
      <c r="AG718" s="1" t="s">
        <v>1942</v>
      </c>
      <c r="AH718" s="1" t="s">
        <v>101</v>
      </c>
      <c r="AI718" s="1" t="s">
        <v>433</v>
      </c>
      <c r="AJ718" s="1">
        <v>69.4</v>
      </c>
      <c r="AK718" s="1"/>
      <c r="AL718" s="1"/>
      <c r="AM718" s="1"/>
      <c r="AN718" s="1"/>
      <c r="AO718" s="1"/>
      <c r="AP718" s="1"/>
      <c r="AQ718" s="1"/>
      <c r="AR718" s="1" t="s">
        <v>434</v>
      </c>
      <c r="AS718" s="1" t="s">
        <v>13322</v>
      </c>
      <c r="AT718" s="1" t="s">
        <v>201</v>
      </c>
      <c r="AU718" s="1" t="s">
        <v>1800</v>
      </c>
      <c r="AV718" s="1">
        <v>72.37</v>
      </c>
      <c r="AW718" s="1"/>
      <c r="AX718" s="1" t="s">
        <v>361</v>
      </c>
      <c r="AY718" s="1" t="s">
        <v>13323</v>
      </c>
      <c r="AZ718" s="1" t="s">
        <v>2775</v>
      </c>
      <c r="BA718" s="1" t="s">
        <v>829</v>
      </c>
      <c r="BB718" s="1">
        <v>60.52</v>
      </c>
      <c r="BC718" s="1">
        <v>6.8</v>
      </c>
      <c r="BD718" s="1"/>
      <c r="BE718" s="1"/>
      <c r="BF718" s="1"/>
      <c r="BG718" s="1"/>
      <c r="BH718" s="1"/>
      <c r="BI718" s="1"/>
      <c r="BJ718" s="1" t="s">
        <v>567</v>
      </c>
      <c r="BK718" s="1"/>
      <c r="BL718" s="1"/>
      <c r="BM718" s="1" t="s">
        <v>13324</v>
      </c>
      <c r="BN718" s="1">
        <v>13</v>
      </c>
      <c r="BO718" s="1"/>
      <c r="BP718" s="1" t="str">
        <f>HYPERLINK("https://nconnect.nicmar.ac.in/storage/profile/ProfilePhoto_P25700727_591248.jpg","Download")</f>
        <v>0</v>
      </c>
      <c r="BQ718" s="3"/>
      <c r="BR718" s="3"/>
    </row>
    <row r="719" spans="1:70">
      <c r="A719" s="1" t="s">
        <v>70</v>
      </c>
      <c r="B719" s="1" t="s">
        <v>441</v>
      </c>
      <c r="C719" s="1" t="s">
        <v>13325</v>
      </c>
      <c r="D719" s="1" t="s">
        <v>13326</v>
      </c>
      <c r="E719" s="1" t="s">
        <v>13327</v>
      </c>
      <c r="F719" s="1" t="s">
        <v>13328</v>
      </c>
      <c r="G719" s="1" t="s">
        <v>13329</v>
      </c>
      <c r="H719" s="1" t="s">
        <v>13330</v>
      </c>
      <c r="I719" s="1" t="s">
        <v>13331</v>
      </c>
      <c r="J719" s="1">
        <v>9404523678</v>
      </c>
      <c r="K719" s="1" t="s">
        <v>148</v>
      </c>
      <c r="L719" s="1" t="s">
        <v>7929</v>
      </c>
      <c r="M719" s="1" t="s">
        <v>81</v>
      </c>
      <c r="N719" s="1" t="s">
        <v>4289</v>
      </c>
      <c r="O719" s="1"/>
      <c r="P719" s="1" t="s">
        <v>450</v>
      </c>
      <c r="Q719" s="1" t="s">
        <v>13332</v>
      </c>
      <c r="R719" s="1" t="s">
        <v>13333</v>
      </c>
      <c r="S719" s="1">
        <v>9823203559</v>
      </c>
      <c r="T719" s="1" t="s">
        <v>906</v>
      </c>
      <c r="U719" s="1" t="s">
        <v>13334</v>
      </c>
      <c r="V719" s="1">
        <v>9823047628</v>
      </c>
      <c r="W719" s="1" t="s">
        <v>156</v>
      </c>
      <c r="X719" s="1" t="s">
        <v>13335</v>
      </c>
      <c r="Y719" s="1" t="s">
        <v>191</v>
      </c>
      <c r="Z719" s="1" t="s">
        <v>92</v>
      </c>
      <c r="AA719" s="1" t="s">
        <v>13336</v>
      </c>
      <c r="AB719" s="1" t="s">
        <v>5087</v>
      </c>
      <c r="AC719" s="1" t="s">
        <v>92</v>
      </c>
      <c r="AD719" s="1">
        <v>8.86</v>
      </c>
      <c r="AE719" s="1" t="s">
        <v>93</v>
      </c>
      <c r="AF719" s="1" t="s">
        <v>13337</v>
      </c>
      <c r="AG719" s="1" t="s">
        <v>13338</v>
      </c>
      <c r="AH719" s="1" t="s">
        <v>562</v>
      </c>
      <c r="AI719" s="1" t="s">
        <v>166</v>
      </c>
      <c r="AJ719" s="1">
        <v>70.4</v>
      </c>
      <c r="AK719" s="1"/>
      <c r="AL719" s="1" t="s">
        <v>13339</v>
      </c>
      <c r="AM719" s="1" t="s">
        <v>13338</v>
      </c>
      <c r="AN719" s="1" t="s">
        <v>433</v>
      </c>
      <c r="AO719" s="1" t="s">
        <v>173</v>
      </c>
      <c r="AP719" s="1">
        <v>72</v>
      </c>
      <c r="AQ719" s="1"/>
      <c r="AR719" s="1"/>
      <c r="AS719" s="1"/>
      <c r="AT719" s="1"/>
      <c r="AU719" s="1"/>
      <c r="AV719" s="1"/>
      <c r="AW719" s="1"/>
      <c r="AX719" s="1" t="s">
        <v>13340</v>
      </c>
      <c r="AY719" s="1" t="s">
        <v>13341</v>
      </c>
      <c r="AZ719" s="1" t="s">
        <v>228</v>
      </c>
      <c r="BA719" s="1" t="s">
        <v>829</v>
      </c>
      <c r="BB719" s="1">
        <v>61.2</v>
      </c>
      <c r="BC719" s="1">
        <v>6.87</v>
      </c>
      <c r="BD719" s="1"/>
      <c r="BE719" s="1"/>
      <c r="BF719" s="1"/>
      <c r="BG719" s="1"/>
      <c r="BH719" s="1"/>
      <c r="BI719" s="1"/>
      <c r="BJ719" s="1" t="s">
        <v>13342</v>
      </c>
      <c r="BK719" s="1"/>
      <c r="BL719" s="1"/>
      <c r="BM719" s="1" t="s">
        <v>13343</v>
      </c>
      <c r="BN719" s="1">
        <v>25</v>
      </c>
      <c r="BO719" s="1"/>
      <c r="BP719" s="1" t="str">
        <f>HYPERLINK("https://nconnect.nicmar.ac.in/storage/profile/ProfilePhoto_P25700729_957261.jpg","Download")</f>
        <v>0</v>
      </c>
      <c r="BQ719" s="3"/>
      <c r="BR719" s="3"/>
    </row>
    <row r="720" spans="1:70">
      <c r="A720" s="1" t="s">
        <v>70</v>
      </c>
      <c r="B720" s="1" t="s">
        <v>441</v>
      </c>
      <c r="C720" s="1" t="s">
        <v>13344</v>
      </c>
      <c r="D720" s="1" t="s">
        <v>13345</v>
      </c>
      <c r="E720" s="1" t="s">
        <v>13346</v>
      </c>
      <c r="F720" s="1" t="s">
        <v>13347</v>
      </c>
      <c r="G720" s="1" t="s">
        <v>13348</v>
      </c>
      <c r="H720" s="1" t="s">
        <v>13349</v>
      </c>
      <c r="I720" s="1" t="s">
        <v>13350</v>
      </c>
      <c r="J720" s="1">
        <v>9687889891</v>
      </c>
      <c r="K720" s="1" t="s">
        <v>79</v>
      </c>
      <c r="L720" s="1" t="s">
        <v>9616</v>
      </c>
      <c r="M720" s="1" t="s">
        <v>81</v>
      </c>
      <c r="N720" s="1" t="s">
        <v>7173</v>
      </c>
      <c r="O720" s="1"/>
      <c r="P720" s="1" t="s">
        <v>472</v>
      </c>
      <c r="Q720" s="1" t="s">
        <v>13351</v>
      </c>
      <c r="R720" s="1" t="s">
        <v>13352</v>
      </c>
      <c r="S720" s="1">
        <v>9825609420</v>
      </c>
      <c r="T720" s="1" t="s">
        <v>820</v>
      </c>
      <c r="U720" s="1" t="s">
        <v>13353</v>
      </c>
      <c r="V720" s="1">
        <v>9825028397</v>
      </c>
      <c r="W720" s="1" t="s">
        <v>156</v>
      </c>
      <c r="X720" s="1" t="s">
        <v>13354</v>
      </c>
      <c r="Y720" s="1" t="s">
        <v>13355</v>
      </c>
      <c r="Z720" s="1" t="s">
        <v>662</v>
      </c>
      <c r="AA720" s="1" t="s">
        <v>13354</v>
      </c>
      <c r="AB720" s="1" t="s">
        <v>13355</v>
      </c>
      <c r="AC720" s="1" t="s">
        <v>662</v>
      </c>
      <c r="AD720" s="1">
        <v>7.91</v>
      </c>
      <c r="AE720" s="1" t="s">
        <v>93</v>
      </c>
      <c r="AF720" s="1" t="s">
        <v>13356</v>
      </c>
      <c r="AG720" s="1" t="s">
        <v>13357</v>
      </c>
      <c r="AH720" s="1" t="s">
        <v>562</v>
      </c>
      <c r="AI720" s="1" t="s">
        <v>166</v>
      </c>
      <c r="AJ720" s="1">
        <v>82.6</v>
      </c>
      <c r="AK720" s="1"/>
      <c r="AL720" s="1" t="s">
        <v>13358</v>
      </c>
      <c r="AM720" s="1" t="s">
        <v>13357</v>
      </c>
      <c r="AN720" s="1" t="s">
        <v>308</v>
      </c>
      <c r="AO720" s="1" t="s">
        <v>173</v>
      </c>
      <c r="AP720" s="1">
        <v>69.8</v>
      </c>
      <c r="AQ720" s="1"/>
      <c r="AR720" s="1"/>
      <c r="AS720" s="1"/>
      <c r="AT720" s="1"/>
      <c r="AU720" s="1"/>
      <c r="AV720" s="1"/>
      <c r="AW720" s="1"/>
      <c r="AX720" s="1" t="s">
        <v>13359</v>
      </c>
      <c r="AY720" s="1" t="s">
        <v>13360</v>
      </c>
      <c r="AZ720" s="1" t="s">
        <v>852</v>
      </c>
      <c r="BA720" s="1" t="s">
        <v>543</v>
      </c>
      <c r="BB720" s="1">
        <v>67.6</v>
      </c>
      <c r="BC720" s="1">
        <v>6.76</v>
      </c>
      <c r="BD720" s="1"/>
      <c r="BE720" s="1"/>
      <c r="BF720" s="1"/>
      <c r="BG720" s="1"/>
      <c r="BH720" s="1"/>
      <c r="BI720" s="1"/>
      <c r="BJ720" s="1" t="s">
        <v>830</v>
      </c>
      <c r="BK720" s="1"/>
      <c r="BL720" s="1"/>
      <c r="BM720" s="1" t="s">
        <v>13361</v>
      </c>
      <c r="BN720" s="1">
        <v>8</v>
      </c>
      <c r="BO720" s="1" t="s">
        <v>13362</v>
      </c>
      <c r="BP720" s="1" t="str">
        <f>HYPERLINK("https://nconnect.nicmar.ac.in/storage/profile/ProfilePhoto_P25700730_295671.jpg","Download")</f>
        <v>0</v>
      </c>
      <c r="BQ720" s="3"/>
      <c r="BR720" s="3"/>
    </row>
    <row r="721" spans="1:70">
      <c r="A721" s="1" t="s">
        <v>70</v>
      </c>
      <c r="B721" s="1" t="s">
        <v>441</v>
      </c>
      <c r="C721" s="1" t="s">
        <v>13363</v>
      </c>
      <c r="D721" s="1" t="s">
        <v>13364</v>
      </c>
      <c r="E721" s="1"/>
      <c r="F721" s="1" t="s">
        <v>13365</v>
      </c>
      <c r="G721" s="1" t="s">
        <v>13366</v>
      </c>
      <c r="H721" s="1" t="s">
        <v>13367</v>
      </c>
      <c r="I721" s="1" t="s">
        <v>13368</v>
      </c>
      <c r="J721" s="1">
        <v>9110683371</v>
      </c>
      <c r="K721" s="1" t="s">
        <v>79</v>
      </c>
      <c r="L721" s="1" t="s">
        <v>13369</v>
      </c>
      <c r="M721" s="1" t="s">
        <v>81</v>
      </c>
      <c r="N721" s="1" t="s">
        <v>13370</v>
      </c>
      <c r="O721" s="1"/>
      <c r="P721" s="1" t="s">
        <v>472</v>
      </c>
      <c r="Q721" s="1" t="s">
        <v>13371</v>
      </c>
      <c r="R721" s="1" t="s">
        <v>13372</v>
      </c>
      <c r="S721" s="1">
        <v>8453273495</v>
      </c>
      <c r="T721" s="1" t="s">
        <v>13373</v>
      </c>
      <c r="U721" s="1" t="s">
        <v>13374</v>
      </c>
      <c r="V721" s="1">
        <v>9148260681</v>
      </c>
      <c r="W721" s="1" t="s">
        <v>273</v>
      </c>
      <c r="X721" s="1" t="s">
        <v>13375</v>
      </c>
      <c r="Y721" s="1" t="s">
        <v>13376</v>
      </c>
      <c r="Z721" s="1" t="s">
        <v>1187</v>
      </c>
      <c r="AA721" s="1" t="s">
        <v>13375</v>
      </c>
      <c r="AB721" s="1" t="s">
        <v>13376</v>
      </c>
      <c r="AC721" s="1" t="s">
        <v>1187</v>
      </c>
      <c r="AD721" s="1">
        <v>8.08</v>
      </c>
      <c r="AE721" s="1" t="s">
        <v>93</v>
      </c>
      <c r="AF721" s="1" t="s">
        <v>13377</v>
      </c>
      <c r="AG721" s="1" t="s">
        <v>13378</v>
      </c>
      <c r="AH721" s="1" t="s">
        <v>96</v>
      </c>
      <c r="AI721" s="1" t="s">
        <v>131</v>
      </c>
      <c r="AJ721" s="1">
        <v>62.33</v>
      </c>
      <c r="AK721" s="1"/>
      <c r="AL721" s="1" t="s">
        <v>13379</v>
      </c>
      <c r="AM721" s="1" t="s">
        <v>3751</v>
      </c>
      <c r="AN721" s="1" t="s">
        <v>161</v>
      </c>
      <c r="AO721" s="1" t="s">
        <v>562</v>
      </c>
      <c r="AP721" s="1">
        <v>71.83</v>
      </c>
      <c r="AQ721" s="1"/>
      <c r="AR721" s="1"/>
      <c r="AS721" s="1"/>
      <c r="AT721" s="1"/>
      <c r="AU721" s="1"/>
      <c r="AV721" s="1"/>
      <c r="AW721" s="1"/>
      <c r="AX721" s="1" t="s">
        <v>7583</v>
      </c>
      <c r="AY721" s="1" t="s">
        <v>13380</v>
      </c>
      <c r="AZ721" s="1" t="s">
        <v>225</v>
      </c>
      <c r="BA721" s="1" t="s">
        <v>539</v>
      </c>
      <c r="BB721" s="1">
        <v>77.8</v>
      </c>
      <c r="BC721" s="1">
        <v>7.78</v>
      </c>
      <c r="BD721" s="1"/>
      <c r="BE721" s="1"/>
      <c r="BF721" s="1"/>
      <c r="BG721" s="1"/>
      <c r="BH721" s="1"/>
      <c r="BI721" s="1"/>
      <c r="BJ721" s="1" t="s">
        <v>13381</v>
      </c>
      <c r="BK721" s="1" t="s">
        <v>13382</v>
      </c>
      <c r="BL721" s="1" t="s">
        <v>4948</v>
      </c>
      <c r="BM721" s="1" t="s">
        <v>13383</v>
      </c>
      <c r="BN721" s="1">
        <v>10</v>
      </c>
      <c r="BO721" s="1" t="s">
        <v>13384</v>
      </c>
      <c r="BP721" s="1" t="str">
        <f>HYPERLINK("https://nconnect.nicmar.ac.in/storage/profile/ProfilePhoto_P25700731_859741.jpg","Download")</f>
        <v>0</v>
      </c>
      <c r="BQ721" s="3"/>
      <c r="BR721" s="3"/>
    </row>
    <row r="722" spans="1:70">
      <c r="A722" s="1" t="s">
        <v>70</v>
      </c>
      <c r="B722" s="1" t="s">
        <v>441</v>
      </c>
      <c r="C722" s="1" t="s">
        <v>13385</v>
      </c>
      <c r="D722" s="1" t="s">
        <v>13386</v>
      </c>
      <c r="E722" s="1" t="s">
        <v>1297</v>
      </c>
      <c r="F722" s="1" t="s">
        <v>5672</v>
      </c>
      <c r="G722" s="1" t="s">
        <v>13387</v>
      </c>
      <c r="H722" s="1" t="s">
        <v>13388</v>
      </c>
      <c r="I722" s="1" t="s">
        <v>13389</v>
      </c>
      <c r="J722" s="1">
        <v>9082473497</v>
      </c>
      <c r="K722" s="1" t="s">
        <v>79</v>
      </c>
      <c r="L722" s="1" t="s">
        <v>10737</v>
      </c>
      <c r="M722" s="1" t="s">
        <v>81</v>
      </c>
      <c r="N722" s="1" t="s">
        <v>13390</v>
      </c>
      <c r="O722" s="1"/>
      <c r="P722" s="1" t="s">
        <v>450</v>
      </c>
      <c r="Q722" s="1" t="s">
        <v>13391</v>
      </c>
      <c r="R722" s="1" t="s">
        <v>5672</v>
      </c>
      <c r="S722" s="1">
        <v>9594154201</v>
      </c>
      <c r="T722" s="1" t="s">
        <v>820</v>
      </c>
      <c r="U722" s="1" t="s">
        <v>13392</v>
      </c>
      <c r="V722" s="1">
        <v>9324547252</v>
      </c>
      <c r="W722" s="1" t="s">
        <v>8442</v>
      </c>
      <c r="X722" s="1" t="s">
        <v>13393</v>
      </c>
      <c r="Y722" s="1" t="s">
        <v>991</v>
      </c>
      <c r="Z722" s="1" t="s">
        <v>92</v>
      </c>
      <c r="AA722" s="1" t="s">
        <v>13393</v>
      </c>
      <c r="AB722" s="1" t="s">
        <v>991</v>
      </c>
      <c r="AC722" s="1" t="s">
        <v>92</v>
      </c>
      <c r="AD722" s="1">
        <v>7.28</v>
      </c>
      <c r="AE722" s="1" t="s">
        <v>93</v>
      </c>
      <c r="AF722" s="1" t="s">
        <v>13394</v>
      </c>
      <c r="AG722" s="1" t="s">
        <v>13395</v>
      </c>
      <c r="AH722" s="1" t="s">
        <v>3303</v>
      </c>
      <c r="AI722" s="1" t="s">
        <v>195</v>
      </c>
      <c r="AJ722" s="1">
        <v>63.8</v>
      </c>
      <c r="AK722" s="1"/>
      <c r="AL722" s="1"/>
      <c r="AM722" s="1"/>
      <c r="AN722" s="1"/>
      <c r="AO722" s="1"/>
      <c r="AP722" s="1"/>
      <c r="AQ722" s="1"/>
      <c r="AR722" s="1" t="s">
        <v>10745</v>
      </c>
      <c r="AS722" s="1" t="s">
        <v>13396</v>
      </c>
      <c r="AT722" s="1" t="s">
        <v>383</v>
      </c>
      <c r="AU722" s="1" t="s">
        <v>228</v>
      </c>
      <c r="AV722" s="1">
        <v>88.21</v>
      </c>
      <c r="AW722" s="1"/>
      <c r="AX722" s="1" t="s">
        <v>666</v>
      </c>
      <c r="AY722" s="1" t="s">
        <v>13397</v>
      </c>
      <c r="AZ722" s="1" t="s">
        <v>363</v>
      </c>
      <c r="BA722" s="1" t="s">
        <v>174</v>
      </c>
      <c r="BB722" s="1">
        <v>74.28</v>
      </c>
      <c r="BC722" s="1"/>
      <c r="BD722" s="1"/>
      <c r="BE722" s="1"/>
      <c r="BF722" s="1"/>
      <c r="BG722" s="1"/>
      <c r="BH722" s="1"/>
      <c r="BI722" s="1"/>
      <c r="BJ722" s="1" t="s">
        <v>1659</v>
      </c>
      <c r="BK722" s="1" t="s">
        <v>13398</v>
      </c>
      <c r="BL722" s="1" t="s">
        <v>2434</v>
      </c>
      <c r="BM722" s="1" t="s">
        <v>13399</v>
      </c>
      <c r="BN722" s="1">
        <v>18</v>
      </c>
      <c r="BO722" s="1"/>
      <c r="BP722" s="1" t="str">
        <f>HYPERLINK("https://nconnect.nicmar.ac.in/storage/profile/ProfilePhoto_P25700732_983572.jpg","Download")</f>
        <v>0</v>
      </c>
      <c r="BQ722" s="3"/>
      <c r="BR722" s="3"/>
    </row>
    <row r="723" spans="1:70">
      <c r="A723" s="1" t="s">
        <v>70</v>
      </c>
      <c r="B723" s="1" t="s">
        <v>441</v>
      </c>
      <c r="C723" s="1" t="s">
        <v>13400</v>
      </c>
      <c r="D723" s="1" t="s">
        <v>13401</v>
      </c>
      <c r="E723" s="1" t="s">
        <v>144</v>
      </c>
      <c r="F723" s="1" t="s">
        <v>13402</v>
      </c>
      <c r="G723" s="1" t="s">
        <v>13403</v>
      </c>
      <c r="H723" s="1" t="s">
        <v>13404</v>
      </c>
      <c r="I723" s="1" t="s">
        <v>13405</v>
      </c>
      <c r="J723" s="1">
        <v>9284971811</v>
      </c>
      <c r="K723" s="1" t="s">
        <v>79</v>
      </c>
      <c r="L723" s="1" t="s">
        <v>3165</v>
      </c>
      <c r="M723" s="1" t="s">
        <v>81</v>
      </c>
      <c r="N723" s="1" t="s">
        <v>5374</v>
      </c>
      <c r="O723" s="1"/>
      <c r="P723" s="1" t="s">
        <v>450</v>
      </c>
      <c r="Q723" s="1" t="s">
        <v>13406</v>
      </c>
      <c r="R723" s="1" t="s">
        <v>13407</v>
      </c>
      <c r="S723" s="1">
        <v>9823162652</v>
      </c>
      <c r="T723" s="1" t="s">
        <v>13408</v>
      </c>
      <c r="U723" s="1" t="s">
        <v>13409</v>
      </c>
      <c r="V723" s="1">
        <v>8806536869</v>
      </c>
      <c r="W723" s="1" t="s">
        <v>13408</v>
      </c>
      <c r="X723" s="1" t="s">
        <v>13410</v>
      </c>
      <c r="Y723" s="1" t="s">
        <v>7897</v>
      </c>
      <c r="Z723" s="1" t="s">
        <v>92</v>
      </c>
      <c r="AA723" s="1" t="s">
        <v>13410</v>
      </c>
      <c r="AB723" s="1" t="s">
        <v>7897</v>
      </c>
      <c r="AC723" s="1" t="s">
        <v>92</v>
      </c>
      <c r="AD723" s="1">
        <v>7.97</v>
      </c>
      <c r="AE723" s="1" t="s">
        <v>93</v>
      </c>
      <c r="AF723" s="1" t="s">
        <v>13411</v>
      </c>
      <c r="AG723" s="1" t="s">
        <v>160</v>
      </c>
      <c r="AH723" s="1" t="s">
        <v>101</v>
      </c>
      <c r="AI723" s="1" t="s">
        <v>433</v>
      </c>
      <c r="AJ723" s="1">
        <v>86.2</v>
      </c>
      <c r="AK723" s="1"/>
      <c r="AL723" s="1" t="s">
        <v>13412</v>
      </c>
      <c r="AM723" s="1" t="s">
        <v>160</v>
      </c>
      <c r="AN723" s="1" t="s">
        <v>460</v>
      </c>
      <c r="AO723" s="1" t="s">
        <v>828</v>
      </c>
      <c r="AP723" s="1">
        <v>91.33</v>
      </c>
      <c r="AQ723" s="1"/>
      <c r="AR723" s="1"/>
      <c r="AS723" s="1"/>
      <c r="AT723" s="1"/>
      <c r="AU723" s="1"/>
      <c r="AV723" s="1"/>
      <c r="AW723" s="1"/>
      <c r="AX723" s="1" t="s">
        <v>361</v>
      </c>
      <c r="AY723" s="1" t="s">
        <v>13413</v>
      </c>
      <c r="AZ723" s="1" t="s">
        <v>852</v>
      </c>
      <c r="BA723" s="1" t="s">
        <v>829</v>
      </c>
      <c r="BB723" s="1">
        <v>63.09</v>
      </c>
      <c r="BC723" s="1">
        <v>7.18</v>
      </c>
      <c r="BD723" s="1"/>
      <c r="BE723" s="1"/>
      <c r="BF723" s="1"/>
      <c r="BG723" s="1"/>
      <c r="BH723" s="1"/>
      <c r="BI723" s="1"/>
      <c r="BJ723" s="1" t="s">
        <v>567</v>
      </c>
      <c r="BK723" s="1"/>
      <c r="BL723" s="1"/>
      <c r="BM723" s="1" t="s">
        <v>13414</v>
      </c>
      <c r="BN723" s="1">
        <v>10</v>
      </c>
      <c r="BO723" s="1" t="s">
        <v>830</v>
      </c>
      <c r="BP723" s="1" t="str">
        <f>HYPERLINK("https://nconnect.nicmar.ac.in/storage/profile/ProfilePhoto_P25700733_564197.jpg","Download")</f>
        <v>0</v>
      </c>
      <c r="BQ723" s="3"/>
      <c r="BR723" s="3"/>
    </row>
    <row r="724" spans="1:70">
      <c r="A724" s="1" t="s">
        <v>70</v>
      </c>
      <c r="B724" s="1" t="s">
        <v>441</v>
      </c>
      <c r="C724" s="1" t="s">
        <v>13415</v>
      </c>
      <c r="D724" s="1" t="s">
        <v>13416</v>
      </c>
      <c r="E724" s="1"/>
      <c r="F724" s="1" t="s">
        <v>1298</v>
      </c>
      <c r="G724" s="1" t="s">
        <v>13417</v>
      </c>
      <c r="H724" s="1" t="s">
        <v>13418</v>
      </c>
      <c r="I724" s="1" t="s">
        <v>13419</v>
      </c>
      <c r="J724" s="1">
        <v>7530000295</v>
      </c>
      <c r="K724" s="1" t="s">
        <v>79</v>
      </c>
      <c r="L724" s="1" t="s">
        <v>13420</v>
      </c>
      <c r="M724" s="1" t="s">
        <v>81</v>
      </c>
      <c r="N724" s="1" t="s">
        <v>13421</v>
      </c>
      <c r="O724" s="1" t="s">
        <v>13422</v>
      </c>
      <c r="P724" s="1" t="s">
        <v>214</v>
      </c>
      <c r="Q724" s="1" t="s">
        <v>13423</v>
      </c>
      <c r="R724" s="1" t="s">
        <v>13424</v>
      </c>
      <c r="S724" s="1">
        <v>9801086376</v>
      </c>
      <c r="T724" s="1" t="s">
        <v>13425</v>
      </c>
      <c r="U724" s="1" t="s">
        <v>13426</v>
      </c>
      <c r="V724" s="1">
        <v>8252292956</v>
      </c>
      <c r="W724" s="1" t="s">
        <v>13427</v>
      </c>
      <c r="X724" s="1" t="s">
        <v>13428</v>
      </c>
      <c r="Y724" s="1" t="s">
        <v>2173</v>
      </c>
      <c r="Z724" s="1" t="s">
        <v>636</v>
      </c>
      <c r="AA724" s="1" t="s">
        <v>13428</v>
      </c>
      <c r="AB724" s="1" t="s">
        <v>2173</v>
      </c>
      <c r="AC724" s="1" t="s">
        <v>636</v>
      </c>
      <c r="AD724" s="1">
        <v>9.15</v>
      </c>
      <c r="AE724" s="1" t="s">
        <v>93</v>
      </c>
      <c r="AF724" s="1" t="s">
        <v>13429</v>
      </c>
      <c r="AG724" s="1" t="s">
        <v>13430</v>
      </c>
      <c r="AH724" s="1" t="s">
        <v>128</v>
      </c>
      <c r="AI724" s="1" t="s">
        <v>1190</v>
      </c>
      <c r="AJ724" s="1">
        <v>78.6</v>
      </c>
      <c r="AK724" s="1"/>
      <c r="AL724" s="1" t="s">
        <v>13431</v>
      </c>
      <c r="AM724" s="1" t="s">
        <v>13430</v>
      </c>
      <c r="AN724" s="1" t="s">
        <v>1190</v>
      </c>
      <c r="AO724" s="1" t="s">
        <v>131</v>
      </c>
      <c r="AP724" s="1">
        <v>71.2</v>
      </c>
      <c r="AQ724" s="1"/>
      <c r="AR724" s="1"/>
      <c r="AS724" s="1"/>
      <c r="AT724" s="1"/>
      <c r="AU724" s="1"/>
      <c r="AV724" s="1"/>
      <c r="AW724" s="1"/>
      <c r="AX724" s="1" t="s">
        <v>13432</v>
      </c>
      <c r="AY724" s="1" t="s">
        <v>13433</v>
      </c>
      <c r="AZ724" s="1" t="s">
        <v>162</v>
      </c>
      <c r="BA724" s="1" t="s">
        <v>460</v>
      </c>
      <c r="BB724" s="1">
        <v>83.7</v>
      </c>
      <c r="BC724" s="1">
        <v>8.37</v>
      </c>
      <c r="BD724" s="1"/>
      <c r="BE724" s="1"/>
      <c r="BF724" s="1"/>
      <c r="BG724" s="1"/>
      <c r="BH724" s="1"/>
      <c r="BI724" s="1"/>
      <c r="BJ724" s="1" t="s">
        <v>13434</v>
      </c>
      <c r="BK724" s="1" t="s">
        <v>13435</v>
      </c>
      <c r="BL724" s="1" t="s">
        <v>13436</v>
      </c>
      <c r="BM724" s="1" t="s">
        <v>13437</v>
      </c>
      <c r="BN724" s="1">
        <v>13</v>
      </c>
      <c r="BO724" s="1" t="s">
        <v>13438</v>
      </c>
      <c r="BP724" s="1" t="str">
        <f>HYPERLINK("https://nconnect.nicmar.ac.in/storage/profile/ProfilePhoto_P25700734_648325.jpg","Download")</f>
        <v>0</v>
      </c>
      <c r="BQ724" s="3"/>
      <c r="BR724" s="3"/>
    </row>
    <row r="725" spans="1:70">
      <c r="A725" s="1" t="s">
        <v>70</v>
      </c>
      <c r="B725" s="1" t="s">
        <v>441</v>
      </c>
      <c r="C725" s="1" t="s">
        <v>13439</v>
      </c>
      <c r="D725" s="1" t="s">
        <v>353</v>
      </c>
      <c r="E725" s="1"/>
      <c r="F725" s="1" t="s">
        <v>13440</v>
      </c>
      <c r="G725" s="1" t="s">
        <v>13441</v>
      </c>
      <c r="H725" s="1" t="s">
        <v>13442</v>
      </c>
      <c r="I725" s="1" t="s">
        <v>13443</v>
      </c>
      <c r="J725" s="1">
        <v>9009499412</v>
      </c>
      <c r="K725" s="1" t="s">
        <v>148</v>
      </c>
      <c r="L725" s="1" t="s">
        <v>5238</v>
      </c>
      <c r="M725" s="1" t="s">
        <v>81</v>
      </c>
      <c r="N725" s="1" t="s">
        <v>13444</v>
      </c>
      <c r="O725" s="1"/>
      <c r="P725" s="1" t="s">
        <v>497</v>
      </c>
      <c r="Q725" s="1" t="s">
        <v>13445</v>
      </c>
      <c r="R725" s="1" t="s">
        <v>13446</v>
      </c>
      <c r="S725" s="1">
        <v>9425075619</v>
      </c>
      <c r="T725" s="1" t="s">
        <v>13447</v>
      </c>
      <c r="U725" s="1" t="s">
        <v>13448</v>
      </c>
      <c r="V725" s="1">
        <v>9424073297</v>
      </c>
      <c r="W725" s="1" t="s">
        <v>156</v>
      </c>
      <c r="X725" s="1" t="s">
        <v>13449</v>
      </c>
      <c r="Y725" s="1" t="s">
        <v>5645</v>
      </c>
      <c r="Z725" s="1" t="s">
        <v>3437</v>
      </c>
      <c r="AA725" s="1" t="s">
        <v>13449</v>
      </c>
      <c r="AB725" s="1" t="s">
        <v>5645</v>
      </c>
      <c r="AC725" s="1" t="s">
        <v>3437</v>
      </c>
      <c r="AD725" s="1">
        <v>8.59</v>
      </c>
      <c r="AE725" s="1" t="s">
        <v>93</v>
      </c>
      <c r="AF725" s="1" t="s">
        <v>13450</v>
      </c>
      <c r="AG725" s="1" t="s">
        <v>307</v>
      </c>
      <c r="AH725" s="1" t="s">
        <v>279</v>
      </c>
      <c r="AI725" s="1" t="s">
        <v>165</v>
      </c>
      <c r="AJ725" s="1">
        <v>95</v>
      </c>
      <c r="AK725" s="1">
        <v>10</v>
      </c>
      <c r="AL725" s="1" t="s">
        <v>13451</v>
      </c>
      <c r="AM725" s="1" t="s">
        <v>307</v>
      </c>
      <c r="AN725" s="1" t="s">
        <v>481</v>
      </c>
      <c r="AO725" s="1" t="s">
        <v>308</v>
      </c>
      <c r="AP725" s="1">
        <v>76.4</v>
      </c>
      <c r="AQ725" s="1">
        <v>0</v>
      </c>
      <c r="AR725" s="1"/>
      <c r="AS725" s="1"/>
      <c r="AT725" s="1"/>
      <c r="AU725" s="1"/>
      <c r="AV725" s="1"/>
      <c r="AW725" s="1"/>
      <c r="AX725" s="1" t="s">
        <v>5228</v>
      </c>
      <c r="AY725" s="1" t="s">
        <v>13452</v>
      </c>
      <c r="AZ725" s="1" t="s">
        <v>201</v>
      </c>
      <c r="BA725" s="1" t="s">
        <v>202</v>
      </c>
      <c r="BB725" s="1">
        <v>77.6</v>
      </c>
      <c r="BC725" s="1">
        <v>7.76</v>
      </c>
      <c r="BD725" s="1"/>
      <c r="BE725" s="1"/>
      <c r="BF725" s="1"/>
      <c r="BG725" s="1"/>
      <c r="BH725" s="1"/>
      <c r="BI725" s="1"/>
      <c r="BJ725" s="1" t="s">
        <v>13453</v>
      </c>
      <c r="BK725" s="1" t="s">
        <v>13454</v>
      </c>
      <c r="BL725" s="1" t="s">
        <v>4165</v>
      </c>
      <c r="BM725" s="1" t="s">
        <v>13455</v>
      </c>
      <c r="BN725" s="1">
        <v>33</v>
      </c>
      <c r="BO725" s="1"/>
      <c r="BP725" s="1" t="str">
        <f>HYPERLINK("https://nconnect.nicmar.ac.in/storage/profile/ProfilePhoto_P25700735_173845.jpg","Download")</f>
        <v>0</v>
      </c>
      <c r="BQ725" s="3"/>
      <c r="BR725" s="3"/>
    </row>
    <row r="726" spans="1:70">
      <c r="A726" s="1" t="s">
        <v>70</v>
      </c>
      <c r="B726" s="1" t="s">
        <v>441</v>
      </c>
      <c r="C726" s="1" t="s">
        <v>13456</v>
      </c>
      <c r="D726" s="1" t="s">
        <v>4824</v>
      </c>
      <c r="E726" s="1" t="s">
        <v>13457</v>
      </c>
      <c r="F726" s="1" t="s">
        <v>13458</v>
      </c>
      <c r="G726" s="1" t="s">
        <v>13459</v>
      </c>
      <c r="H726" s="1" t="s">
        <v>13460</v>
      </c>
      <c r="I726" s="1" t="s">
        <v>13461</v>
      </c>
      <c r="J726" s="1">
        <v>9850488999</v>
      </c>
      <c r="K726" s="1" t="s">
        <v>79</v>
      </c>
      <c r="L726" s="1" t="s">
        <v>13462</v>
      </c>
      <c r="M726" s="1" t="s">
        <v>81</v>
      </c>
      <c r="N726" s="1" t="s">
        <v>883</v>
      </c>
      <c r="O726" s="1"/>
      <c r="P726" s="1" t="s">
        <v>472</v>
      </c>
      <c r="Q726" s="1" t="s">
        <v>13463</v>
      </c>
      <c r="R726" s="1" t="s">
        <v>13464</v>
      </c>
      <c r="S726" s="1">
        <v>9422087715</v>
      </c>
      <c r="T726" s="1" t="s">
        <v>13465</v>
      </c>
      <c r="U726" s="1" t="s">
        <v>13466</v>
      </c>
      <c r="V726" s="1">
        <v>9422087716</v>
      </c>
      <c r="W726" s="1" t="s">
        <v>156</v>
      </c>
      <c r="X726" s="1" t="s">
        <v>13467</v>
      </c>
      <c r="Y726" s="1" t="s">
        <v>2229</v>
      </c>
      <c r="Z726" s="1" t="s">
        <v>92</v>
      </c>
      <c r="AA726" s="1" t="s">
        <v>13467</v>
      </c>
      <c r="AB726" s="1" t="s">
        <v>2229</v>
      </c>
      <c r="AC726" s="1" t="s">
        <v>92</v>
      </c>
      <c r="AD726" s="1">
        <v>7.71</v>
      </c>
      <c r="AE726" s="1" t="s">
        <v>93</v>
      </c>
      <c r="AF726" s="1" t="s">
        <v>13468</v>
      </c>
      <c r="AG726" s="1" t="s">
        <v>13469</v>
      </c>
      <c r="AH726" s="1" t="s">
        <v>3439</v>
      </c>
      <c r="AI726" s="1" t="s">
        <v>1239</v>
      </c>
      <c r="AJ726" s="1">
        <v>77.9</v>
      </c>
      <c r="AK726" s="1">
        <v>8.2</v>
      </c>
      <c r="AL726" s="1" t="s">
        <v>13470</v>
      </c>
      <c r="AM726" s="1" t="s">
        <v>13471</v>
      </c>
      <c r="AN726" s="1" t="s">
        <v>131</v>
      </c>
      <c r="AO726" s="1" t="s">
        <v>614</v>
      </c>
      <c r="AP726" s="1">
        <v>62.2</v>
      </c>
      <c r="AQ726" s="1"/>
      <c r="AR726" s="1"/>
      <c r="AS726" s="1"/>
      <c r="AT726" s="1"/>
      <c r="AU726" s="1"/>
      <c r="AV726" s="1"/>
      <c r="AW726" s="1"/>
      <c r="AX726" s="1" t="s">
        <v>253</v>
      </c>
      <c r="AY726" s="1" t="s">
        <v>13472</v>
      </c>
      <c r="AZ726" s="1" t="s">
        <v>1374</v>
      </c>
      <c r="BA726" s="1" t="s">
        <v>539</v>
      </c>
      <c r="BB726" s="1">
        <v>62.74</v>
      </c>
      <c r="BC726" s="1"/>
      <c r="BD726" s="1"/>
      <c r="BE726" s="1"/>
      <c r="BF726" s="1"/>
      <c r="BG726" s="1"/>
      <c r="BH726" s="1"/>
      <c r="BI726" s="1"/>
      <c r="BJ726" s="1" t="s">
        <v>1822</v>
      </c>
      <c r="BK726" s="1"/>
      <c r="BL726" s="1"/>
      <c r="BM726" s="1" t="s">
        <v>13473</v>
      </c>
      <c r="BN726" s="1">
        <v>12</v>
      </c>
      <c r="BO726" s="1"/>
      <c r="BP726" s="1" t="str">
        <f>HYPERLINK("https://nconnect.nicmar.ac.in/storage/profile/ProfilePhoto_P25700736_278395.jpg","Download")</f>
        <v>0</v>
      </c>
      <c r="BQ726" s="3"/>
      <c r="BR726" s="3"/>
    </row>
    <row r="727" spans="1:70">
      <c r="A727" s="1" t="s">
        <v>70</v>
      </c>
      <c r="B727" s="1" t="s">
        <v>441</v>
      </c>
      <c r="C727" s="1" t="s">
        <v>13474</v>
      </c>
      <c r="D727" s="1" t="s">
        <v>143</v>
      </c>
      <c r="E727" s="1" t="s">
        <v>13475</v>
      </c>
      <c r="F727" s="1" t="s">
        <v>13476</v>
      </c>
      <c r="G727" s="1" t="s">
        <v>13477</v>
      </c>
      <c r="H727" s="1" t="s">
        <v>13478</v>
      </c>
      <c r="I727" s="1" t="s">
        <v>13479</v>
      </c>
      <c r="J727" s="1">
        <v>9284278147</v>
      </c>
      <c r="K727" s="1" t="s">
        <v>148</v>
      </c>
      <c r="L727" s="1" t="s">
        <v>13480</v>
      </c>
      <c r="M727" s="1" t="s">
        <v>81</v>
      </c>
      <c r="N727" s="1" t="s">
        <v>13481</v>
      </c>
      <c r="O727" s="1"/>
      <c r="P727" s="1" t="s">
        <v>472</v>
      </c>
      <c r="Q727" s="1" t="s">
        <v>13482</v>
      </c>
      <c r="R727" s="1" t="s">
        <v>13475</v>
      </c>
      <c r="S727" s="1">
        <v>7972058735</v>
      </c>
      <c r="T727" s="1" t="s">
        <v>632</v>
      </c>
      <c r="U727" s="1" t="s">
        <v>13119</v>
      </c>
      <c r="V727" s="1">
        <v>9156795657</v>
      </c>
      <c r="W727" s="1" t="s">
        <v>156</v>
      </c>
      <c r="X727" s="1" t="s">
        <v>13483</v>
      </c>
      <c r="Y727" s="1" t="s">
        <v>191</v>
      </c>
      <c r="Z727" s="1" t="s">
        <v>92</v>
      </c>
      <c r="AA727" s="1" t="s">
        <v>13483</v>
      </c>
      <c r="AB727" s="1" t="s">
        <v>191</v>
      </c>
      <c r="AC727" s="1" t="s">
        <v>92</v>
      </c>
      <c r="AD727" s="1">
        <v>8.28</v>
      </c>
      <c r="AE727" s="1" t="s">
        <v>93</v>
      </c>
      <c r="AF727" s="1" t="s">
        <v>13484</v>
      </c>
      <c r="AG727" s="1" t="s">
        <v>9600</v>
      </c>
      <c r="AH727" s="1" t="s">
        <v>1435</v>
      </c>
      <c r="AI727" s="1" t="s">
        <v>505</v>
      </c>
      <c r="AJ727" s="1">
        <v>61.6</v>
      </c>
      <c r="AK727" s="1">
        <v>6.8</v>
      </c>
      <c r="AL727" s="1" t="s">
        <v>13485</v>
      </c>
      <c r="AM727" s="1" t="s">
        <v>9600</v>
      </c>
      <c r="AN727" s="1" t="s">
        <v>1089</v>
      </c>
      <c r="AO727" s="1" t="s">
        <v>508</v>
      </c>
      <c r="AP727" s="1">
        <v>58.15</v>
      </c>
      <c r="AQ727" s="1"/>
      <c r="AR727" s="1" t="s">
        <v>98</v>
      </c>
      <c r="AS727" s="1" t="s">
        <v>13486</v>
      </c>
      <c r="AT727" s="1" t="s">
        <v>225</v>
      </c>
      <c r="AU727" s="1" t="s">
        <v>4744</v>
      </c>
      <c r="AV727" s="1">
        <v>77.21</v>
      </c>
      <c r="AW727" s="1"/>
      <c r="AX727" s="1" t="s">
        <v>7814</v>
      </c>
      <c r="AY727" s="1" t="s">
        <v>7545</v>
      </c>
      <c r="AZ727" s="1" t="s">
        <v>1622</v>
      </c>
      <c r="BA727" s="1" t="s">
        <v>935</v>
      </c>
      <c r="BB727" s="1">
        <v>83.7</v>
      </c>
      <c r="BC727" s="1">
        <v>9.12</v>
      </c>
      <c r="BD727" s="1"/>
      <c r="BE727" s="1"/>
      <c r="BF727" s="1"/>
      <c r="BG727" s="1"/>
      <c r="BH727" s="1"/>
      <c r="BI727" s="1"/>
      <c r="BJ727" s="1" t="s">
        <v>255</v>
      </c>
      <c r="BK727" s="1" t="s">
        <v>13487</v>
      </c>
      <c r="BL727" s="1" t="s">
        <v>463</v>
      </c>
      <c r="BM727" s="1" t="s">
        <v>13488</v>
      </c>
      <c r="BN727" s="1">
        <v>21</v>
      </c>
      <c r="BO727" s="1"/>
      <c r="BP727" s="1" t="str">
        <f>HYPERLINK("https://nconnect.nicmar.ac.in/storage/profile/ProfilePhoto_P25700737_218935.jpg","Download")</f>
        <v>0</v>
      </c>
      <c r="BQ727" s="3"/>
      <c r="BR727" s="3"/>
    </row>
    <row r="728" spans="1:70">
      <c r="A728" s="1" t="s">
        <v>70</v>
      </c>
      <c r="B728" s="1" t="s">
        <v>441</v>
      </c>
      <c r="C728" s="1" t="s">
        <v>13489</v>
      </c>
      <c r="D728" s="1" t="s">
        <v>13490</v>
      </c>
      <c r="E728" s="1" t="s">
        <v>208</v>
      </c>
      <c r="F728" s="1" t="s">
        <v>13491</v>
      </c>
      <c r="G728" s="1" t="s">
        <v>13492</v>
      </c>
      <c r="H728" s="1" t="s">
        <v>13493</v>
      </c>
      <c r="I728" s="1" t="s">
        <v>13494</v>
      </c>
      <c r="J728" s="1">
        <v>9067711293</v>
      </c>
      <c r="K728" s="1" t="s">
        <v>148</v>
      </c>
      <c r="L728" s="1" t="s">
        <v>13495</v>
      </c>
      <c r="M728" s="1" t="s">
        <v>81</v>
      </c>
      <c r="N728" s="1" t="s">
        <v>13390</v>
      </c>
      <c r="O728" s="1"/>
      <c r="P728" s="1" t="s">
        <v>472</v>
      </c>
      <c r="Q728" s="1" t="s">
        <v>13496</v>
      </c>
      <c r="R728" s="1" t="s">
        <v>208</v>
      </c>
      <c r="S728" s="1">
        <v>9921096886</v>
      </c>
      <c r="T728" s="1" t="s">
        <v>6725</v>
      </c>
      <c r="U728" s="1" t="s">
        <v>1874</v>
      </c>
      <c r="V728" s="1">
        <v>8379057343</v>
      </c>
      <c r="W728" s="1" t="s">
        <v>156</v>
      </c>
      <c r="X728" s="1" t="s">
        <v>13497</v>
      </c>
      <c r="Y728" s="1" t="s">
        <v>191</v>
      </c>
      <c r="Z728" s="1" t="s">
        <v>92</v>
      </c>
      <c r="AA728" s="1" t="s">
        <v>13497</v>
      </c>
      <c r="AB728" s="1" t="s">
        <v>191</v>
      </c>
      <c r="AC728" s="1" t="s">
        <v>92</v>
      </c>
      <c r="AD728" s="1">
        <v>8.64</v>
      </c>
      <c r="AE728" s="1" t="s">
        <v>93</v>
      </c>
      <c r="AF728" s="1" t="s">
        <v>13498</v>
      </c>
      <c r="AG728" s="1" t="s">
        <v>160</v>
      </c>
      <c r="AH728" s="1" t="s">
        <v>101</v>
      </c>
      <c r="AI728" s="1" t="s">
        <v>433</v>
      </c>
      <c r="AJ728" s="1">
        <v>87.6</v>
      </c>
      <c r="AK728" s="1"/>
      <c r="AL728" s="1" t="s">
        <v>13499</v>
      </c>
      <c r="AM728" s="1" t="s">
        <v>13500</v>
      </c>
      <c r="AN728" s="1" t="s">
        <v>310</v>
      </c>
      <c r="AO728" s="1" t="s">
        <v>436</v>
      </c>
      <c r="AP728" s="1">
        <v>88.5</v>
      </c>
      <c r="AQ728" s="1"/>
      <c r="AR728" s="1"/>
      <c r="AS728" s="1"/>
      <c r="AT728" s="1"/>
      <c r="AU728" s="1"/>
      <c r="AV728" s="1"/>
      <c r="AW728" s="1"/>
      <c r="AX728" s="1" t="s">
        <v>361</v>
      </c>
      <c r="AY728" s="1" t="s">
        <v>13501</v>
      </c>
      <c r="AZ728" s="1" t="s">
        <v>852</v>
      </c>
      <c r="BA728" s="1" t="s">
        <v>829</v>
      </c>
      <c r="BB728" s="1">
        <v>74.9</v>
      </c>
      <c r="BC728" s="1">
        <v>8.24</v>
      </c>
      <c r="BD728" s="1"/>
      <c r="BE728" s="1"/>
      <c r="BF728" s="1"/>
      <c r="BG728" s="1"/>
      <c r="BH728" s="1"/>
      <c r="BI728" s="1"/>
      <c r="BJ728" s="1" t="s">
        <v>13502</v>
      </c>
      <c r="BK728" s="1"/>
      <c r="BL728" s="1"/>
      <c r="BM728" s="1" t="s">
        <v>13503</v>
      </c>
      <c r="BN728" s="1">
        <v>13</v>
      </c>
      <c r="BO728" s="1" t="s">
        <v>13504</v>
      </c>
      <c r="BP728" s="1" t="str">
        <f>HYPERLINK("https://nconnect.nicmar.ac.in/storage/profile/ProfilePhoto_P25700739_914235.jpg","Download")</f>
        <v>0</v>
      </c>
      <c r="BQ728" s="3"/>
      <c r="BR728" s="3"/>
    </row>
    <row r="729" spans="1:70">
      <c r="A729" s="1" t="s">
        <v>70</v>
      </c>
      <c r="B729" s="1" t="s">
        <v>441</v>
      </c>
      <c r="C729" s="1" t="s">
        <v>13505</v>
      </c>
      <c r="D729" s="1" t="s">
        <v>13506</v>
      </c>
      <c r="E729" s="1" t="s">
        <v>8497</v>
      </c>
      <c r="F729" s="1" t="s">
        <v>2072</v>
      </c>
      <c r="G729" s="1" t="s">
        <v>13507</v>
      </c>
      <c r="H729" s="1" t="s">
        <v>13508</v>
      </c>
      <c r="I729" s="1" t="s">
        <v>13509</v>
      </c>
      <c r="J729" s="1">
        <v>9767312000</v>
      </c>
      <c r="K729" s="1" t="s">
        <v>148</v>
      </c>
      <c r="L729" s="1" t="s">
        <v>13510</v>
      </c>
      <c r="M729" s="1" t="s">
        <v>81</v>
      </c>
      <c r="N729" s="1" t="s">
        <v>883</v>
      </c>
      <c r="O729" s="1"/>
      <c r="P729" s="1" t="s">
        <v>472</v>
      </c>
      <c r="Q729" s="1" t="s">
        <v>13511</v>
      </c>
      <c r="R729" s="1" t="s">
        <v>13512</v>
      </c>
      <c r="S729" s="1">
        <v>9225520079</v>
      </c>
      <c r="T729" s="1" t="s">
        <v>120</v>
      </c>
      <c r="U729" s="1" t="s">
        <v>13513</v>
      </c>
      <c r="V729" s="1">
        <v>8329339987</v>
      </c>
      <c r="W729" s="1" t="s">
        <v>156</v>
      </c>
      <c r="X729" s="1" t="s">
        <v>13514</v>
      </c>
      <c r="Y729" s="1" t="s">
        <v>191</v>
      </c>
      <c r="Z729" s="1" t="s">
        <v>92</v>
      </c>
      <c r="AA729" s="1" t="s">
        <v>13514</v>
      </c>
      <c r="AB729" s="1" t="s">
        <v>191</v>
      </c>
      <c r="AC729" s="1" t="s">
        <v>92</v>
      </c>
      <c r="AD729" s="1">
        <v>7.36</v>
      </c>
      <c r="AE729" s="1" t="s">
        <v>93</v>
      </c>
      <c r="AF729" s="1" t="s">
        <v>13515</v>
      </c>
      <c r="AG729" s="1" t="s">
        <v>2680</v>
      </c>
      <c r="AH729" s="1" t="s">
        <v>161</v>
      </c>
      <c r="AI729" s="1" t="s">
        <v>162</v>
      </c>
      <c r="AJ729" s="1">
        <v>67.8</v>
      </c>
      <c r="AK729" s="1"/>
      <c r="AL729" s="1" t="s">
        <v>13516</v>
      </c>
      <c r="AM729" s="1" t="s">
        <v>2680</v>
      </c>
      <c r="AN729" s="1" t="s">
        <v>165</v>
      </c>
      <c r="AO729" s="1" t="s">
        <v>1455</v>
      </c>
      <c r="AP729" s="1">
        <v>52.15</v>
      </c>
      <c r="AQ729" s="1"/>
      <c r="AR729" s="1"/>
      <c r="AS729" s="1"/>
      <c r="AT729" s="1"/>
      <c r="AU729" s="1"/>
      <c r="AV729" s="1"/>
      <c r="AW729" s="1"/>
      <c r="AX729" s="1" t="s">
        <v>13517</v>
      </c>
      <c r="AY729" s="1" t="s">
        <v>13518</v>
      </c>
      <c r="AZ729" s="1" t="s">
        <v>310</v>
      </c>
      <c r="BA729" s="1" t="s">
        <v>9507</v>
      </c>
      <c r="BB729" s="1">
        <v>63.01</v>
      </c>
      <c r="BC729" s="1"/>
      <c r="BD729" s="1"/>
      <c r="BE729" s="1"/>
      <c r="BF729" s="1"/>
      <c r="BG729" s="1"/>
      <c r="BH729" s="1"/>
      <c r="BI729" s="1"/>
      <c r="BJ729" s="1" t="s">
        <v>13519</v>
      </c>
      <c r="BK729" s="1"/>
      <c r="BL729" s="1"/>
      <c r="BM729" s="1"/>
      <c r="BN729" s="1"/>
      <c r="BO729" s="1"/>
      <c r="BP729" s="1" t="str">
        <f>HYPERLINK("https://nconnect.nicmar.ac.in/storage/profile/ProfilePhoto_P25700740_145692.jpg","Download")</f>
        <v>0</v>
      </c>
      <c r="BQ729" s="3"/>
      <c r="BR729" s="3"/>
    </row>
    <row r="730" spans="1:70">
      <c r="A730" s="1" t="s">
        <v>70</v>
      </c>
      <c r="B730" s="1" t="s">
        <v>441</v>
      </c>
      <c r="C730" s="1" t="s">
        <v>13520</v>
      </c>
      <c r="D730" s="1" t="s">
        <v>7785</v>
      </c>
      <c r="E730" s="1" t="s">
        <v>2492</v>
      </c>
      <c r="F730" s="1" t="s">
        <v>5250</v>
      </c>
      <c r="G730" s="1" t="s">
        <v>13521</v>
      </c>
      <c r="H730" s="1" t="s">
        <v>13522</v>
      </c>
      <c r="I730" s="1" t="s">
        <v>13523</v>
      </c>
      <c r="J730" s="1">
        <v>8308779295</v>
      </c>
      <c r="K730" s="1" t="s">
        <v>79</v>
      </c>
      <c r="L730" s="1" t="s">
        <v>13524</v>
      </c>
      <c r="M730" s="1" t="s">
        <v>81</v>
      </c>
      <c r="N730" s="1" t="s">
        <v>605</v>
      </c>
      <c r="O730" s="1"/>
      <c r="P730" s="1" t="s">
        <v>497</v>
      </c>
      <c r="Q730" s="1" t="s">
        <v>13525</v>
      </c>
      <c r="R730" s="1" t="s">
        <v>13526</v>
      </c>
      <c r="S730" s="1">
        <v>9420012124</v>
      </c>
      <c r="T730" s="1" t="s">
        <v>13527</v>
      </c>
      <c r="U730" s="1" t="s">
        <v>13528</v>
      </c>
      <c r="V730" s="1">
        <v>9168619132</v>
      </c>
      <c r="W730" s="1" t="s">
        <v>156</v>
      </c>
      <c r="X730" s="1" t="s">
        <v>13529</v>
      </c>
      <c r="Y730" s="1" t="s">
        <v>191</v>
      </c>
      <c r="Z730" s="1" t="s">
        <v>92</v>
      </c>
      <c r="AA730" s="1" t="s">
        <v>13530</v>
      </c>
      <c r="AB730" s="1" t="s">
        <v>2678</v>
      </c>
      <c r="AC730" s="1" t="s">
        <v>92</v>
      </c>
      <c r="AD730" s="1">
        <v>8.28</v>
      </c>
      <c r="AE730" s="1" t="s">
        <v>93</v>
      </c>
      <c r="AF730" s="1" t="s">
        <v>13531</v>
      </c>
      <c r="AG730" s="1" t="s">
        <v>13532</v>
      </c>
      <c r="AH730" s="1" t="s">
        <v>161</v>
      </c>
      <c r="AI730" s="1" t="s">
        <v>1089</v>
      </c>
      <c r="AJ730" s="1">
        <v>87.8</v>
      </c>
      <c r="AK730" s="1"/>
      <c r="AL730" s="1" t="s">
        <v>13533</v>
      </c>
      <c r="AM730" s="1" t="s">
        <v>13534</v>
      </c>
      <c r="AN730" s="1" t="s">
        <v>165</v>
      </c>
      <c r="AO730" s="1" t="s">
        <v>1455</v>
      </c>
      <c r="AP730" s="1">
        <v>72</v>
      </c>
      <c r="AQ730" s="1"/>
      <c r="AR730" s="1"/>
      <c r="AS730" s="1"/>
      <c r="AT730" s="1"/>
      <c r="AU730" s="1"/>
      <c r="AV730" s="1"/>
      <c r="AW730" s="1"/>
      <c r="AX730" s="1" t="s">
        <v>361</v>
      </c>
      <c r="AY730" s="1" t="s">
        <v>13535</v>
      </c>
      <c r="AZ730" s="1" t="s">
        <v>1043</v>
      </c>
      <c r="BA730" s="1" t="s">
        <v>105</v>
      </c>
      <c r="BB730" s="1">
        <v>78.23</v>
      </c>
      <c r="BC730" s="1">
        <v>8.79</v>
      </c>
      <c r="BD730" s="1"/>
      <c r="BE730" s="1"/>
      <c r="BF730" s="1"/>
      <c r="BG730" s="1"/>
      <c r="BH730" s="1"/>
      <c r="BI730" s="1"/>
      <c r="BJ730" s="1" t="s">
        <v>13536</v>
      </c>
      <c r="BK730" s="1" t="s">
        <v>13537</v>
      </c>
      <c r="BL730" s="1" t="s">
        <v>2215</v>
      </c>
      <c r="BM730" s="1" t="s">
        <v>13538</v>
      </c>
      <c r="BN730" s="1">
        <v>31</v>
      </c>
      <c r="BO730" s="1" t="s">
        <v>13539</v>
      </c>
      <c r="BP730" s="1" t="str">
        <f>HYPERLINK("https://nconnect.nicmar.ac.in/storage/profile/ProfilePhoto_P25700741_246781.jpg","Download")</f>
        <v>0</v>
      </c>
      <c r="BQ730" s="3"/>
      <c r="BR730" s="3"/>
    </row>
    <row r="731" spans="1:70">
      <c r="A731" s="1" t="s">
        <v>70</v>
      </c>
      <c r="B731" s="1" t="s">
        <v>441</v>
      </c>
      <c r="C731" s="1" t="s">
        <v>13540</v>
      </c>
      <c r="D731" s="1" t="s">
        <v>13541</v>
      </c>
      <c r="E731" s="1" t="s">
        <v>13542</v>
      </c>
      <c r="F731" s="1" t="s">
        <v>13543</v>
      </c>
      <c r="G731" s="1" t="s">
        <v>13544</v>
      </c>
      <c r="H731" s="1" t="s">
        <v>13545</v>
      </c>
      <c r="I731" s="1" t="s">
        <v>13546</v>
      </c>
      <c r="J731" s="1">
        <v>9657693953</v>
      </c>
      <c r="K731" s="1" t="s">
        <v>79</v>
      </c>
      <c r="L731" s="1" t="s">
        <v>13547</v>
      </c>
      <c r="M731" s="1" t="s">
        <v>81</v>
      </c>
      <c r="N731" s="1" t="s">
        <v>1140</v>
      </c>
      <c r="O731" s="1"/>
      <c r="P731" s="1" t="s">
        <v>450</v>
      </c>
      <c r="Q731" s="1" t="s">
        <v>13548</v>
      </c>
      <c r="R731" s="1" t="s">
        <v>13549</v>
      </c>
      <c r="S731" s="1">
        <v>9860177171</v>
      </c>
      <c r="T731" s="1" t="s">
        <v>1529</v>
      </c>
      <c r="U731" s="1" t="s">
        <v>3520</v>
      </c>
      <c r="V731" s="1">
        <v>9075584869</v>
      </c>
      <c r="W731" s="1" t="s">
        <v>1529</v>
      </c>
      <c r="X731" s="1" t="s">
        <v>13550</v>
      </c>
      <c r="Y731" s="1" t="s">
        <v>1754</v>
      </c>
      <c r="Z731" s="1" t="s">
        <v>92</v>
      </c>
      <c r="AA731" s="1" t="s">
        <v>13550</v>
      </c>
      <c r="AB731" s="1" t="s">
        <v>1754</v>
      </c>
      <c r="AC731" s="1" t="s">
        <v>92</v>
      </c>
      <c r="AD731" s="1" t="s">
        <v>93</v>
      </c>
      <c r="AE731" s="1" t="s">
        <v>93</v>
      </c>
      <c r="AF731" s="1" t="s">
        <v>13551</v>
      </c>
      <c r="AG731" s="1" t="s">
        <v>160</v>
      </c>
      <c r="AH731" s="1" t="s">
        <v>161</v>
      </c>
      <c r="AI731" s="1" t="s">
        <v>1089</v>
      </c>
      <c r="AJ731" s="1">
        <v>85.6</v>
      </c>
      <c r="AK731" s="1">
        <v>0</v>
      </c>
      <c r="AL731" s="1" t="s">
        <v>13552</v>
      </c>
      <c r="AM731" s="1" t="s">
        <v>160</v>
      </c>
      <c r="AN731" s="1" t="s">
        <v>165</v>
      </c>
      <c r="AO731" s="1" t="s">
        <v>281</v>
      </c>
      <c r="AP731" s="1">
        <v>70.77</v>
      </c>
      <c r="AQ731" s="1">
        <v>0</v>
      </c>
      <c r="AR731" s="1"/>
      <c r="AS731" s="1"/>
      <c r="AT731" s="1"/>
      <c r="AU731" s="1"/>
      <c r="AV731" s="1"/>
      <c r="AW731" s="1"/>
      <c r="AX731" s="1" t="s">
        <v>13553</v>
      </c>
      <c r="AY731" s="1" t="s">
        <v>13554</v>
      </c>
      <c r="AZ731" s="1" t="s">
        <v>101</v>
      </c>
      <c r="BA731" s="1" t="s">
        <v>174</v>
      </c>
      <c r="BB731" s="1">
        <v>61.21</v>
      </c>
      <c r="BC731" s="1">
        <v>6.87</v>
      </c>
      <c r="BD731" s="1"/>
      <c r="BE731" s="1"/>
      <c r="BF731" s="1"/>
      <c r="BG731" s="1"/>
      <c r="BH731" s="1"/>
      <c r="BI731" s="1"/>
      <c r="BJ731" s="1" t="s">
        <v>13555</v>
      </c>
      <c r="BK731" s="1"/>
      <c r="BL731" s="1"/>
      <c r="BM731" s="1" t="s">
        <v>13556</v>
      </c>
      <c r="BN731" s="1">
        <v>13</v>
      </c>
      <c r="BO731" s="1"/>
      <c r="BP731" s="1" t="str">
        <f>HYPERLINK("https://nconnect.nicmar.ac.in/storage/profile/ProfilePhoto_P25700742_926831.jpg","Download")</f>
        <v>0</v>
      </c>
      <c r="BQ731" s="3"/>
      <c r="BR731" s="3"/>
    </row>
    <row r="732" spans="1:70">
      <c r="A732" s="1" t="s">
        <v>70</v>
      </c>
      <c r="B732" s="1" t="s">
        <v>441</v>
      </c>
      <c r="C732" s="1" t="s">
        <v>13557</v>
      </c>
      <c r="D732" s="1" t="s">
        <v>4992</v>
      </c>
      <c r="E732" s="1" t="s">
        <v>4321</v>
      </c>
      <c r="F732" s="1" t="s">
        <v>2072</v>
      </c>
      <c r="G732" s="1" t="s">
        <v>13558</v>
      </c>
      <c r="H732" s="1" t="s">
        <v>13559</v>
      </c>
      <c r="I732" s="1" t="s">
        <v>13560</v>
      </c>
      <c r="J732" s="1">
        <v>8390188617</v>
      </c>
      <c r="K732" s="1" t="s">
        <v>148</v>
      </c>
      <c r="L732" s="1" t="s">
        <v>13561</v>
      </c>
      <c r="M732" s="1" t="s">
        <v>81</v>
      </c>
      <c r="N732" s="1" t="s">
        <v>13562</v>
      </c>
      <c r="O732" s="1"/>
      <c r="P732" s="1" t="s">
        <v>497</v>
      </c>
      <c r="Q732" s="1" t="s">
        <v>13563</v>
      </c>
      <c r="R732" s="1" t="s">
        <v>4321</v>
      </c>
      <c r="S732" s="1">
        <v>9096505040</v>
      </c>
      <c r="T732" s="1" t="s">
        <v>7809</v>
      </c>
      <c r="U732" s="1" t="s">
        <v>13564</v>
      </c>
      <c r="V732" s="1">
        <v>7057282386</v>
      </c>
      <c r="W732" s="1" t="s">
        <v>156</v>
      </c>
      <c r="X732" s="1" t="s">
        <v>13565</v>
      </c>
      <c r="Y732" s="1" t="s">
        <v>5185</v>
      </c>
      <c r="Z732" s="1" t="s">
        <v>92</v>
      </c>
      <c r="AA732" s="1" t="s">
        <v>13565</v>
      </c>
      <c r="AB732" s="1" t="s">
        <v>5185</v>
      </c>
      <c r="AC732" s="1" t="s">
        <v>92</v>
      </c>
      <c r="AD732" s="1" t="s">
        <v>93</v>
      </c>
      <c r="AE732" s="1" t="s">
        <v>93</v>
      </c>
      <c r="AF732" s="1" t="s">
        <v>13566</v>
      </c>
      <c r="AG732" s="1" t="s">
        <v>2021</v>
      </c>
      <c r="AH732" s="1" t="s">
        <v>1190</v>
      </c>
      <c r="AI732" s="1" t="s">
        <v>97</v>
      </c>
      <c r="AJ732" s="1">
        <v>76.6</v>
      </c>
      <c r="AK732" s="1">
        <v>8.06</v>
      </c>
      <c r="AL732" s="1" t="s">
        <v>5803</v>
      </c>
      <c r="AM732" s="1" t="s">
        <v>2021</v>
      </c>
      <c r="AN732" s="1" t="s">
        <v>162</v>
      </c>
      <c r="AO732" s="1" t="s">
        <v>1455</v>
      </c>
      <c r="AP732" s="1">
        <v>57.08</v>
      </c>
      <c r="AQ732" s="1">
        <v>6</v>
      </c>
      <c r="AR732" s="1"/>
      <c r="AS732" s="1"/>
      <c r="AT732" s="1"/>
      <c r="AU732" s="1"/>
      <c r="AV732" s="1"/>
      <c r="AW732" s="1"/>
      <c r="AX732" s="1" t="s">
        <v>361</v>
      </c>
      <c r="AY732" s="1" t="s">
        <v>13567</v>
      </c>
      <c r="AZ732" s="1" t="s">
        <v>169</v>
      </c>
      <c r="BA732" s="1" t="s">
        <v>174</v>
      </c>
      <c r="BB732" s="1">
        <v>60.5</v>
      </c>
      <c r="BC732" s="1">
        <v>6.8</v>
      </c>
      <c r="BD732" s="1"/>
      <c r="BE732" s="1"/>
      <c r="BF732" s="1"/>
      <c r="BG732" s="1"/>
      <c r="BH732" s="1"/>
      <c r="BI732" s="1"/>
      <c r="BJ732" s="1" t="s">
        <v>13568</v>
      </c>
      <c r="BK732" s="1"/>
      <c r="BL732" s="1"/>
      <c r="BM732" s="1" t="s">
        <v>13569</v>
      </c>
      <c r="BN732" s="1">
        <v>61</v>
      </c>
      <c r="BO732" s="1"/>
      <c r="BP732" s="1" t="str">
        <f>HYPERLINK("https://nconnect.nicmar.ac.in/storage/profile/ProfilePhoto_P25700743_731954.jpg","Download")</f>
        <v>0</v>
      </c>
      <c r="BQ732" s="3"/>
      <c r="BR732" s="3"/>
    </row>
    <row r="733" spans="1:70">
      <c r="A733" s="1" t="s">
        <v>70</v>
      </c>
      <c r="B733" s="1" t="s">
        <v>441</v>
      </c>
      <c r="C733" s="1" t="s">
        <v>13570</v>
      </c>
      <c r="D733" s="1" t="s">
        <v>13571</v>
      </c>
      <c r="E733" s="1" t="s">
        <v>13572</v>
      </c>
      <c r="F733" s="1" t="s">
        <v>10966</v>
      </c>
      <c r="G733" s="1" t="s">
        <v>13573</v>
      </c>
      <c r="H733" s="1" t="s">
        <v>13574</v>
      </c>
      <c r="I733" s="1" t="s">
        <v>13575</v>
      </c>
      <c r="J733" s="1">
        <v>7219287393</v>
      </c>
      <c r="K733" s="1" t="s">
        <v>79</v>
      </c>
      <c r="L733" s="1" t="s">
        <v>13576</v>
      </c>
      <c r="M733" s="1" t="s">
        <v>81</v>
      </c>
      <c r="N733" s="1" t="s">
        <v>1140</v>
      </c>
      <c r="O733" s="1"/>
      <c r="P733" s="1" t="s">
        <v>2035</v>
      </c>
      <c r="Q733" s="1" t="s">
        <v>13577</v>
      </c>
      <c r="R733" s="1" t="s">
        <v>13572</v>
      </c>
      <c r="S733" s="1">
        <v>7219287393</v>
      </c>
      <c r="T733" s="1" t="s">
        <v>632</v>
      </c>
      <c r="U733" s="1" t="s">
        <v>13578</v>
      </c>
      <c r="V733" s="1">
        <v>7720965080</v>
      </c>
      <c r="W733" s="1" t="s">
        <v>632</v>
      </c>
      <c r="X733" s="1" t="s">
        <v>13579</v>
      </c>
      <c r="Y733" s="1" t="s">
        <v>191</v>
      </c>
      <c r="Z733" s="1" t="s">
        <v>92</v>
      </c>
      <c r="AA733" s="1" t="s">
        <v>13580</v>
      </c>
      <c r="AB733" s="1" t="s">
        <v>158</v>
      </c>
      <c r="AC733" s="1" t="s">
        <v>92</v>
      </c>
      <c r="AD733" s="1">
        <v>8.08</v>
      </c>
      <c r="AE733" s="1" t="s">
        <v>93</v>
      </c>
      <c r="AF733" s="1" t="s">
        <v>5607</v>
      </c>
      <c r="AG733" s="1" t="s">
        <v>10533</v>
      </c>
      <c r="AH733" s="1" t="s">
        <v>165</v>
      </c>
      <c r="AI733" s="1" t="s">
        <v>281</v>
      </c>
      <c r="AJ733" s="1">
        <v>86.2</v>
      </c>
      <c r="AK733" s="1"/>
      <c r="AL733" s="1" t="s">
        <v>13581</v>
      </c>
      <c r="AM733" s="1" t="s">
        <v>10533</v>
      </c>
      <c r="AN733" s="1" t="s">
        <v>308</v>
      </c>
      <c r="AO733" s="1" t="s">
        <v>360</v>
      </c>
      <c r="AP733" s="1">
        <v>63.38</v>
      </c>
      <c r="AQ733" s="1"/>
      <c r="AR733" s="1"/>
      <c r="AS733" s="1"/>
      <c r="AT733" s="1"/>
      <c r="AU733" s="1"/>
      <c r="AV733" s="1"/>
      <c r="AW733" s="1"/>
      <c r="AX733" s="1" t="s">
        <v>13582</v>
      </c>
      <c r="AY733" s="1" t="s">
        <v>13583</v>
      </c>
      <c r="AZ733" s="1" t="s">
        <v>460</v>
      </c>
      <c r="BA733" s="1" t="s">
        <v>1067</v>
      </c>
      <c r="BB733" s="1">
        <v>70.32</v>
      </c>
      <c r="BC733" s="1">
        <v>7.42</v>
      </c>
      <c r="BD733" s="1"/>
      <c r="BE733" s="1"/>
      <c r="BF733" s="1"/>
      <c r="BG733" s="1"/>
      <c r="BH733" s="1"/>
      <c r="BI733" s="1"/>
      <c r="BJ733" s="1" t="s">
        <v>13584</v>
      </c>
      <c r="BK733" s="1"/>
      <c r="BL733" s="1"/>
      <c r="BM733" s="1" t="s">
        <v>13585</v>
      </c>
      <c r="BN733" s="1">
        <v>102</v>
      </c>
      <c r="BO733" s="1"/>
      <c r="BP733" s="1" t="str">
        <f>HYPERLINK("https://nconnect.nicmar.ac.in/storage/profile/ProfilePhoto_P25700744_713894.jpg","Download")</f>
        <v>0</v>
      </c>
      <c r="BQ733" s="3"/>
      <c r="BR733" s="3"/>
    </row>
    <row r="734" spans="1:70">
      <c r="A734" s="1" t="s">
        <v>70</v>
      </c>
      <c r="B734" s="1" t="s">
        <v>441</v>
      </c>
      <c r="C734" s="1" t="s">
        <v>13586</v>
      </c>
      <c r="D734" s="1" t="s">
        <v>1272</v>
      </c>
      <c r="E734" s="1" t="s">
        <v>13587</v>
      </c>
      <c r="F734" s="1" t="s">
        <v>13588</v>
      </c>
      <c r="G734" s="1" t="s">
        <v>13589</v>
      </c>
      <c r="H734" s="1" t="s">
        <v>13590</v>
      </c>
      <c r="I734" s="1" t="s">
        <v>13591</v>
      </c>
      <c r="J734" s="1">
        <v>9423748033</v>
      </c>
      <c r="K734" s="1" t="s">
        <v>79</v>
      </c>
      <c r="L734" s="1" t="s">
        <v>8661</v>
      </c>
      <c r="M734" s="1" t="s">
        <v>81</v>
      </c>
      <c r="N734" s="1" t="s">
        <v>13592</v>
      </c>
      <c r="O734" s="1"/>
      <c r="P734" s="1" t="s">
        <v>497</v>
      </c>
      <c r="Q734" s="1" t="s">
        <v>13593</v>
      </c>
      <c r="R734" s="1" t="s">
        <v>13594</v>
      </c>
      <c r="S734" s="1">
        <v>9421200333</v>
      </c>
      <c r="T734" s="1" t="s">
        <v>4496</v>
      </c>
      <c r="U734" s="1" t="s">
        <v>9587</v>
      </c>
      <c r="V734" s="1">
        <v>9423748033</v>
      </c>
      <c r="W734" s="1" t="s">
        <v>273</v>
      </c>
      <c r="X734" s="1" t="s">
        <v>13595</v>
      </c>
      <c r="Y734" s="1" t="s">
        <v>1963</v>
      </c>
      <c r="Z734" s="1" t="s">
        <v>92</v>
      </c>
      <c r="AA734" s="1" t="s">
        <v>13595</v>
      </c>
      <c r="AB734" s="1" t="s">
        <v>1963</v>
      </c>
      <c r="AC734" s="1" t="s">
        <v>92</v>
      </c>
      <c r="AD734" s="1">
        <v>6.98</v>
      </c>
      <c r="AE734" s="1" t="s">
        <v>93</v>
      </c>
      <c r="AF734" s="1" t="s">
        <v>13596</v>
      </c>
      <c r="AG734" s="1" t="s">
        <v>13597</v>
      </c>
      <c r="AH734" s="1" t="s">
        <v>714</v>
      </c>
      <c r="AI734" s="1" t="s">
        <v>562</v>
      </c>
      <c r="AJ734" s="1">
        <v>51.5</v>
      </c>
      <c r="AK734" s="1"/>
      <c r="AL734" s="1" t="s">
        <v>13598</v>
      </c>
      <c r="AM734" s="1" t="s">
        <v>13597</v>
      </c>
      <c r="AN734" s="1" t="s">
        <v>165</v>
      </c>
      <c r="AO734" s="1" t="s">
        <v>198</v>
      </c>
      <c r="AP734" s="1">
        <v>62</v>
      </c>
      <c r="AQ734" s="1"/>
      <c r="AR734" s="1"/>
      <c r="AS734" s="1"/>
      <c r="AT734" s="1"/>
      <c r="AU734" s="1"/>
      <c r="AV734" s="1"/>
      <c r="AW734" s="1"/>
      <c r="AX734" s="1" t="s">
        <v>1862</v>
      </c>
      <c r="AY734" s="1" t="s">
        <v>13599</v>
      </c>
      <c r="AZ734" s="1" t="s">
        <v>537</v>
      </c>
      <c r="BA734" s="1" t="s">
        <v>9945</v>
      </c>
      <c r="BB734" s="1">
        <v>72.54</v>
      </c>
      <c r="BC734" s="1">
        <v>7.54</v>
      </c>
      <c r="BD734" s="1"/>
      <c r="BE734" s="1"/>
      <c r="BF734" s="1"/>
      <c r="BG734" s="1"/>
      <c r="BH734" s="1"/>
      <c r="BI734" s="1"/>
      <c r="BJ734" s="1" t="s">
        <v>13600</v>
      </c>
      <c r="BK734" s="1" t="s">
        <v>13601</v>
      </c>
      <c r="BL734" s="1" t="s">
        <v>4165</v>
      </c>
      <c r="BM734" s="1" t="s">
        <v>13602</v>
      </c>
      <c r="BN734" s="1">
        <v>9</v>
      </c>
      <c r="BO734" s="1" t="s">
        <v>13603</v>
      </c>
      <c r="BP734" s="1" t="str">
        <f>HYPERLINK("https://nconnect.nicmar.ac.in/storage/profile/ProfilePhoto_P25700745_729431.jpg","Download")</f>
        <v>0</v>
      </c>
      <c r="BQ734" s="3"/>
      <c r="BR734" s="3"/>
    </row>
    <row r="735" spans="1:70">
      <c r="A735" s="1" t="s">
        <v>70</v>
      </c>
      <c r="B735" s="1" t="s">
        <v>441</v>
      </c>
      <c r="C735" s="1" t="s">
        <v>13604</v>
      </c>
      <c r="D735" s="1" t="s">
        <v>13605</v>
      </c>
      <c r="E735" s="1"/>
      <c r="F735" s="1" t="s">
        <v>13606</v>
      </c>
      <c r="G735" s="1" t="s">
        <v>13607</v>
      </c>
      <c r="H735" s="1" t="s">
        <v>13608</v>
      </c>
      <c r="I735" s="1" t="s">
        <v>13609</v>
      </c>
      <c r="J735" s="1">
        <v>9682336540</v>
      </c>
      <c r="K735" s="1" t="s">
        <v>148</v>
      </c>
      <c r="L735" s="1" t="s">
        <v>4860</v>
      </c>
      <c r="M735" s="1" t="s">
        <v>81</v>
      </c>
      <c r="N735" s="1" t="s">
        <v>13610</v>
      </c>
      <c r="O735" s="1"/>
      <c r="P735" s="1" t="s">
        <v>497</v>
      </c>
      <c r="Q735" s="1" t="s">
        <v>13611</v>
      </c>
      <c r="R735" s="1" t="s">
        <v>13612</v>
      </c>
      <c r="S735" s="1">
        <v>7006351954</v>
      </c>
      <c r="T735" s="1" t="s">
        <v>1472</v>
      </c>
      <c r="U735" s="1" t="s">
        <v>13613</v>
      </c>
      <c r="V735" s="1">
        <v>8825057284</v>
      </c>
      <c r="W735" s="1" t="s">
        <v>122</v>
      </c>
      <c r="X735" s="1" t="s">
        <v>13614</v>
      </c>
      <c r="Y735" s="1" t="s">
        <v>191</v>
      </c>
      <c r="Z735" s="1" t="s">
        <v>92</v>
      </c>
      <c r="AA735" s="1" t="s">
        <v>13615</v>
      </c>
      <c r="AB735" s="1" t="s">
        <v>13616</v>
      </c>
      <c r="AC735" s="1" t="s">
        <v>8877</v>
      </c>
      <c r="AD735" s="1">
        <v>8.58</v>
      </c>
      <c r="AE735" s="1" t="s">
        <v>93</v>
      </c>
      <c r="AF735" s="1" t="s">
        <v>13617</v>
      </c>
      <c r="AG735" s="1" t="s">
        <v>13618</v>
      </c>
      <c r="AH735" s="1" t="s">
        <v>13619</v>
      </c>
      <c r="AI735" s="1" t="s">
        <v>13620</v>
      </c>
      <c r="AJ735" s="1">
        <v>90</v>
      </c>
      <c r="AK735" s="1"/>
      <c r="AL735" s="1" t="s">
        <v>13617</v>
      </c>
      <c r="AM735" s="1" t="s">
        <v>13618</v>
      </c>
      <c r="AN735" s="1" t="s">
        <v>13621</v>
      </c>
      <c r="AO735" s="1" t="s">
        <v>359</v>
      </c>
      <c r="AP735" s="1">
        <v>81.4</v>
      </c>
      <c r="AQ735" s="1"/>
      <c r="AR735" s="1"/>
      <c r="AS735" s="1"/>
      <c r="AT735" s="1"/>
      <c r="AU735" s="1"/>
      <c r="AV735" s="1"/>
      <c r="AW735" s="1"/>
      <c r="AX735" s="1" t="s">
        <v>13622</v>
      </c>
      <c r="AY735" s="1" t="s">
        <v>13623</v>
      </c>
      <c r="AZ735" s="1" t="s">
        <v>871</v>
      </c>
      <c r="BA735" s="1" t="s">
        <v>1067</v>
      </c>
      <c r="BB735" s="1">
        <v>77</v>
      </c>
      <c r="BC735" s="1">
        <v>8.45</v>
      </c>
      <c r="BD735" s="1"/>
      <c r="BE735" s="1"/>
      <c r="BF735" s="1"/>
      <c r="BG735" s="1"/>
      <c r="BH735" s="1"/>
      <c r="BI735" s="1"/>
      <c r="BJ735" s="1" t="s">
        <v>13624</v>
      </c>
      <c r="BK735" s="1" t="s">
        <v>13625</v>
      </c>
      <c r="BL735" s="1" t="s">
        <v>463</v>
      </c>
      <c r="BM735" s="1" t="s">
        <v>13626</v>
      </c>
      <c r="BN735" s="1">
        <v>12</v>
      </c>
      <c r="BO735" s="1" t="s">
        <v>13627</v>
      </c>
      <c r="BP735" s="1" t="str">
        <f>HYPERLINK("https://nconnect.nicmar.ac.in/storage/profile/ProfilePhoto_P25700746_271548.jpg","Download")</f>
        <v>0</v>
      </c>
      <c r="BQ735" s="3"/>
      <c r="BR735" s="3"/>
    </row>
    <row r="736" spans="1:70">
      <c r="A736" s="1" t="s">
        <v>70</v>
      </c>
      <c r="B736" s="1" t="s">
        <v>441</v>
      </c>
      <c r="C736" s="1" t="s">
        <v>13628</v>
      </c>
      <c r="D736" s="1" t="s">
        <v>13629</v>
      </c>
      <c r="E736" s="1" t="s">
        <v>2439</v>
      </c>
      <c r="F736" s="1" t="s">
        <v>9894</v>
      </c>
      <c r="G736" s="1" t="s">
        <v>13630</v>
      </c>
      <c r="H736" s="1" t="s">
        <v>13631</v>
      </c>
      <c r="I736" s="1" t="s">
        <v>13632</v>
      </c>
      <c r="J736" s="1">
        <v>9511292333</v>
      </c>
      <c r="K736" s="1" t="s">
        <v>79</v>
      </c>
      <c r="L736" s="1" t="s">
        <v>926</v>
      </c>
      <c r="M736" s="1" t="s">
        <v>81</v>
      </c>
      <c r="N736" s="1" t="s">
        <v>1140</v>
      </c>
      <c r="O736" s="1"/>
      <c r="P736" s="1" t="s">
        <v>472</v>
      </c>
      <c r="Q736" s="1" t="s">
        <v>13633</v>
      </c>
      <c r="R736" s="1" t="s">
        <v>13634</v>
      </c>
      <c r="S736" s="1">
        <v>8355977043</v>
      </c>
      <c r="T736" s="1" t="s">
        <v>632</v>
      </c>
      <c r="U736" s="1" t="s">
        <v>13635</v>
      </c>
      <c r="V736" s="1">
        <v>9511292333</v>
      </c>
      <c r="W736" s="1" t="s">
        <v>13635</v>
      </c>
      <c r="X736" s="1" t="s">
        <v>13636</v>
      </c>
      <c r="Y736" s="1" t="s">
        <v>991</v>
      </c>
      <c r="Z736" s="1" t="s">
        <v>92</v>
      </c>
      <c r="AA736" s="1" t="s">
        <v>13636</v>
      </c>
      <c r="AB736" s="1" t="s">
        <v>991</v>
      </c>
      <c r="AC736" s="1" t="s">
        <v>92</v>
      </c>
      <c r="AD736" s="1">
        <v>8.28</v>
      </c>
      <c r="AE736" s="1" t="s">
        <v>93</v>
      </c>
      <c r="AF736" s="1" t="s">
        <v>13637</v>
      </c>
      <c r="AG736" s="1" t="s">
        <v>1942</v>
      </c>
      <c r="AH736" s="1" t="s">
        <v>97</v>
      </c>
      <c r="AI736" s="1" t="s">
        <v>1089</v>
      </c>
      <c r="AJ736" s="1">
        <v>61.2</v>
      </c>
      <c r="AK736" s="1"/>
      <c r="AL736" s="1" t="s">
        <v>13638</v>
      </c>
      <c r="AM736" s="1" t="s">
        <v>1942</v>
      </c>
      <c r="AN736" s="1" t="s">
        <v>508</v>
      </c>
      <c r="AO736" s="1" t="s">
        <v>1455</v>
      </c>
      <c r="AP736" s="1">
        <v>53.23</v>
      </c>
      <c r="AQ736" s="1"/>
      <c r="AR736" s="1" t="s">
        <v>98</v>
      </c>
      <c r="AS736" s="1" t="s">
        <v>13639</v>
      </c>
      <c r="AT736" s="1" t="s">
        <v>166</v>
      </c>
      <c r="AU736" s="1" t="s">
        <v>170</v>
      </c>
      <c r="AV736" s="1">
        <v>88.53</v>
      </c>
      <c r="AW736" s="1"/>
      <c r="AX736" s="1" t="s">
        <v>253</v>
      </c>
      <c r="AY736" s="1" t="s">
        <v>13640</v>
      </c>
      <c r="AZ736" s="1" t="s">
        <v>828</v>
      </c>
      <c r="BA736" s="1" t="s">
        <v>174</v>
      </c>
      <c r="BB736" s="1">
        <v>80.38</v>
      </c>
      <c r="BC736" s="1">
        <v>8.94</v>
      </c>
      <c r="BD736" s="1"/>
      <c r="BE736" s="1"/>
      <c r="BF736" s="1"/>
      <c r="BG736" s="1"/>
      <c r="BH736" s="1"/>
      <c r="BI736" s="1"/>
      <c r="BJ736" s="1" t="s">
        <v>364</v>
      </c>
      <c r="BK736" s="1" t="s">
        <v>13641</v>
      </c>
      <c r="BL736" s="1" t="s">
        <v>2295</v>
      </c>
      <c r="BM736" s="1" t="s">
        <v>13642</v>
      </c>
      <c r="BN736" s="1">
        <v>38</v>
      </c>
      <c r="BO736" s="1" t="s">
        <v>13643</v>
      </c>
      <c r="BP736" s="1" t="str">
        <f>HYPERLINK("https://nconnect.nicmar.ac.in/storage/profile/ProfilePhoto_P25700747_987124.jpg","Download")</f>
        <v>0</v>
      </c>
      <c r="BQ736" s="3"/>
      <c r="BR736" s="3"/>
    </row>
    <row r="737" spans="1:70">
      <c r="A737" s="1" t="s">
        <v>70</v>
      </c>
      <c r="B737" s="1" t="s">
        <v>441</v>
      </c>
      <c r="C737" s="1" t="s">
        <v>13644</v>
      </c>
      <c r="D737" s="1" t="s">
        <v>13645</v>
      </c>
      <c r="E737" s="1"/>
      <c r="F737" s="1" t="s">
        <v>7747</v>
      </c>
      <c r="G737" s="1" t="s">
        <v>13646</v>
      </c>
      <c r="H737" s="1" t="s">
        <v>13647</v>
      </c>
      <c r="I737" s="1" t="s">
        <v>13648</v>
      </c>
      <c r="J737" s="1">
        <v>9052255892</v>
      </c>
      <c r="K737" s="1" t="s">
        <v>79</v>
      </c>
      <c r="L737" s="1" t="s">
        <v>13649</v>
      </c>
      <c r="M737" s="1" t="s">
        <v>81</v>
      </c>
      <c r="N737" s="1" t="s">
        <v>13650</v>
      </c>
      <c r="O737" s="1"/>
      <c r="P737" s="1" t="s">
        <v>450</v>
      </c>
      <c r="Q737" s="1" t="s">
        <v>13651</v>
      </c>
      <c r="R737" s="1" t="s">
        <v>13652</v>
      </c>
      <c r="S737" s="1">
        <v>9948438837</v>
      </c>
      <c r="T737" s="1" t="s">
        <v>820</v>
      </c>
      <c r="U737" s="1" t="s">
        <v>13653</v>
      </c>
      <c r="V737" s="1">
        <v>9666638837</v>
      </c>
      <c r="W737" s="1" t="s">
        <v>531</v>
      </c>
      <c r="X737" s="1" t="s">
        <v>11623</v>
      </c>
      <c r="Y737" s="1" t="s">
        <v>191</v>
      </c>
      <c r="Z737" s="1" t="s">
        <v>92</v>
      </c>
      <c r="AA737" s="1" t="s">
        <v>13654</v>
      </c>
      <c r="AB737" s="1" t="s">
        <v>3050</v>
      </c>
      <c r="AC737" s="1" t="s">
        <v>456</v>
      </c>
      <c r="AD737" s="1">
        <v>7.44</v>
      </c>
      <c r="AE737" s="1" t="s">
        <v>93</v>
      </c>
      <c r="AF737" s="1" t="s">
        <v>13655</v>
      </c>
      <c r="AG737" s="1" t="s">
        <v>13656</v>
      </c>
      <c r="AH737" s="1" t="s">
        <v>161</v>
      </c>
      <c r="AI737" s="1" t="s">
        <v>1089</v>
      </c>
      <c r="AJ737" s="1">
        <v>87.4</v>
      </c>
      <c r="AK737" s="1">
        <v>9.2</v>
      </c>
      <c r="AL737" s="1" t="s">
        <v>3052</v>
      </c>
      <c r="AM737" s="1" t="s">
        <v>13656</v>
      </c>
      <c r="AN737" s="1" t="s">
        <v>165</v>
      </c>
      <c r="AO737" s="1" t="s">
        <v>281</v>
      </c>
      <c r="AP737" s="1">
        <v>81.01</v>
      </c>
      <c r="AQ737" s="1">
        <v>0</v>
      </c>
      <c r="AR737" s="1"/>
      <c r="AS737" s="1"/>
      <c r="AT737" s="1"/>
      <c r="AU737" s="1"/>
      <c r="AV737" s="1"/>
      <c r="AW737" s="1"/>
      <c r="AX737" s="1" t="s">
        <v>5536</v>
      </c>
      <c r="AY737" s="1" t="s">
        <v>13657</v>
      </c>
      <c r="AZ737" s="1" t="s">
        <v>1043</v>
      </c>
      <c r="BA737" s="1" t="s">
        <v>229</v>
      </c>
      <c r="BB737" s="1">
        <v>61.8</v>
      </c>
      <c r="BC737" s="1">
        <v>6.68</v>
      </c>
      <c r="BD737" s="1"/>
      <c r="BE737" s="1"/>
      <c r="BF737" s="1"/>
      <c r="BG737" s="1"/>
      <c r="BH737" s="1"/>
      <c r="BI737" s="1"/>
      <c r="BJ737" s="1" t="s">
        <v>13658</v>
      </c>
      <c r="BK737" s="1" t="s">
        <v>13659</v>
      </c>
      <c r="BL737" s="1" t="s">
        <v>287</v>
      </c>
      <c r="BM737" s="1" t="s">
        <v>13660</v>
      </c>
      <c r="BN737" s="1">
        <v>27</v>
      </c>
      <c r="BO737" s="1" t="s">
        <v>13661</v>
      </c>
      <c r="BP737" s="1" t="str">
        <f>HYPERLINK("https://nconnect.nicmar.ac.in/storage/profile/ProfilePhoto_P25700748_457291.jpg","Download")</f>
        <v>0</v>
      </c>
      <c r="BQ737" s="3"/>
      <c r="BR737" s="3"/>
    </row>
    <row r="738" spans="1:70">
      <c r="A738" s="1" t="s">
        <v>70</v>
      </c>
      <c r="B738" s="1" t="s">
        <v>441</v>
      </c>
      <c r="C738" s="1" t="s">
        <v>13662</v>
      </c>
      <c r="D738" s="1" t="s">
        <v>1867</v>
      </c>
      <c r="E738" s="1" t="s">
        <v>13663</v>
      </c>
      <c r="F738" s="1" t="s">
        <v>1156</v>
      </c>
      <c r="G738" s="1" t="s">
        <v>13664</v>
      </c>
      <c r="H738" s="1" t="s">
        <v>13665</v>
      </c>
      <c r="I738" s="1" t="s">
        <v>13666</v>
      </c>
      <c r="J738" s="1">
        <v>9022524954</v>
      </c>
      <c r="K738" s="1" t="s">
        <v>79</v>
      </c>
      <c r="L738" s="1" t="s">
        <v>13667</v>
      </c>
      <c r="M738" s="1" t="s">
        <v>81</v>
      </c>
      <c r="N738" s="1" t="s">
        <v>7455</v>
      </c>
      <c r="O738" s="1"/>
      <c r="P738" s="1" t="s">
        <v>497</v>
      </c>
      <c r="Q738" s="1" t="s">
        <v>13668</v>
      </c>
      <c r="R738" s="1" t="s">
        <v>13669</v>
      </c>
      <c r="S738" s="1">
        <v>8529530120</v>
      </c>
      <c r="T738" s="1" t="s">
        <v>1082</v>
      </c>
      <c r="U738" s="1" t="s">
        <v>5275</v>
      </c>
      <c r="V738" s="1">
        <v>8529530120</v>
      </c>
      <c r="W738" s="1" t="s">
        <v>156</v>
      </c>
      <c r="X738" s="1" t="s">
        <v>13670</v>
      </c>
      <c r="Y738" s="1" t="s">
        <v>5663</v>
      </c>
      <c r="Z738" s="1" t="s">
        <v>92</v>
      </c>
      <c r="AA738" s="1" t="s">
        <v>13670</v>
      </c>
      <c r="AB738" s="1" t="s">
        <v>5663</v>
      </c>
      <c r="AC738" s="1" t="s">
        <v>92</v>
      </c>
      <c r="AD738" s="1">
        <v>8.15</v>
      </c>
      <c r="AE738" s="1" t="s">
        <v>93</v>
      </c>
      <c r="AF738" s="1" t="s">
        <v>5664</v>
      </c>
      <c r="AG738" s="1" t="s">
        <v>975</v>
      </c>
      <c r="AH738" s="1" t="s">
        <v>162</v>
      </c>
      <c r="AI738" s="1" t="s">
        <v>562</v>
      </c>
      <c r="AJ738" s="1">
        <v>84.2</v>
      </c>
      <c r="AK738" s="1"/>
      <c r="AL738" s="1" t="s">
        <v>13671</v>
      </c>
      <c r="AM738" s="1" t="s">
        <v>975</v>
      </c>
      <c r="AN738" s="1" t="s">
        <v>481</v>
      </c>
      <c r="AO738" s="1" t="s">
        <v>537</v>
      </c>
      <c r="AP738" s="1">
        <v>70.92</v>
      </c>
      <c r="AQ738" s="1"/>
      <c r="AR738" s="1"/>
      <c r="AS738" s="1"/>
      <c r="AT738" s="1"/>
      <c r="AU738" s="1"/>
      <c r="AV738" s="1"/>
      <c r="AW738" s="1"/>
      <c r="AX738" s="1" t="s">
        <v>13672</v>
      </c>
      <c r="AY738" s="1" t="s">
        <v>13673</v>
      </c>
      <c r="AZ738" s="1" t="s">
        <v>201</v>
      </c>
      <c r="BA738" s="1" t="s">
        <v>174</v>
      </c>
      <c r="BB738" s="1">
        <v>74.72</v>
      </c>
      <c r="BC738" s="1"/>
      <c r="BD738" s="1"/>
      <c r="BE738" s="1"/>
      <c r="BF738" s="1"/>
      <c r="BG738" s="1"/>
      <c r="BH738" s="1"/>
      <c r="BI738" s="1"/>
      <c r="BJ738" s="1" t="s">
        <v>13674</v>
      </c>
      <c r="BK738" s="1" t="s">
        <v>13675</v>
      </c>
      <c r="BL738" s="1" t="s">
        <v>741</v>
      </c>
      <c r="BM738" s="1" t="s">
        <v>13676</v>
      </c>
      <c r="BN738" s="1">
        <v>25</v>
      </c>
      <c r="BO738" s="1"/>
      <c r="BP738" s="1" t="str">
        <f>HYPERLINK("https://nconnect.nicmar.ac.in/storage/profile/ProfilePhoto_P25700749_463951.jpg","Download")</f>
        <v>0</v>
      </c>
      <c r="BQ738" s="3"/>
      <c r="BR738" s="3"/>
    </row>
    <row r="739" spans="1:70">
      <c r="A739" s="1" t="s">
        <v>70</v>
      </c>
      <c r="B739" s="1" t="s">
        <v>441</v>
      </c>
      <c r="C739" s="1" t="s">
        <v>13677</v>
      </c>
      <c r="D739" s="1" t="s">
        <v>13678</v>
      </c>
      <c r="E739" s="1" t="s">
        <v>12061</v>
      </c>
      <c r="F739" s="1" t="s">
        <v>13679</v>
      </c>
      <c r="G739" s="1" t="s">
        <v>13680</v>
      </c>
      <c r="H739" s="1" t="s">
        <v>13681</v>
      </c>
      <c r="I739" s="1" t="s">
        <v>13682</v>
      </c>
      <c r="J739" s="1">
        <v>9409672677</v>
      </c>
      <c r="K739" s="1" t="s">
        <v>148</v>
      </c>
      <c r="L739" s="1" t="s">
        <v>7929</v>
      </c>
      <c r="M739" s="1" t="s">
        <v>81</v>
      </c>
      <c r="N739" s="1" t="s">
        <v>7173</v>
      </c>
      <c r="O739" s="1"/>
      <c r="P739" s="1" t="s">
        <v>1007</v>
      </c>
      <c r="Q739" s="1" t="s">
        <v>13683</v>
      </c>
      <c r="R739" s="1" t="s">
        <v>13684</v>
      </c>
      <c r="S739" s="1">
        <v>9426833608</v>
      </c>
      <c r="T739" s="1" t="s">
        <v>906</v>
      </c>
      <c r="U739" s="1" t="s">
        <v>13685</v>
      </c>
      <c r="V739" s="1">
        <v>8200824257</v>
      </c>
      <c r="W739" s="1" t="s">
        <v>156</v>
      </c>
      <c r="X739" s="1" t="s">
        <v>13686</v>
      </c>
      <c r="Y739" s="1" t="s">
        <v>13687</v>
      </c>
      <c r="Z739" s="1" t="s">
        <v>662</v>
      </c>
      <c r="AA739" s="1" t="s">
        <v>13686</v>
      </c>
      <c r="AB739" s="1" t="s">
        <v>13687</v>
      </c>
      <c r="AC739" s="1" t="s">
        <v>662</v>
      </c>
      <c r="AD739" s="1">
        <v>8.92</v>
      </c>
      <c r="AE739" s="1" t="s">
        <v>93</v>
      </c>
      <c r="AF739" s="1" t="s">
        <v>13688</v>
      </c>
      <c r="AG739" s="1" t="s">
        <v>13688</v>
      </c>
      <c r="AH739" s="1" t="s">
        <v>165</v>
      </c>
      <c r="AI739" s="1" t="s">
        <v>101</v>
      </c>
      <c r="AJ739" s="1">
        <v>86.4</v>
      </c>
      <c r="AK739" s="1">
        <v>0</v>
      </c>
      <c r="AL739" s="1" t="s">
        <v>13689</v>
      </c>
      <c r="AM739" s="1" t="s">
        <v>13689</v>
      </c>
      <c r="AN739" s="1" t="s">
        <v>433</v>
      </c>
      <c r="AO739" s="1" t="s">
        <v>460</v>
      </c>
      <c r="AP739" s="1">
        <v>60.6</v>
      </c>
      <c r="AQ739" s="1">
        <v>0</v>
      </c>
      <c r="AR739" s="1"/>
      <c r="AS739" s="1"/>
      <c r="AT739" s="1"/>
      <c r="AU739" s="1"/>
      <c r="AV739" s="1"/>
      <c r="AW739" s="1"/>
      <c r="AX739" s="1" t="s">
        <v>13690</v>
      </c>
      <c r="AY739" s="1" t="s">
        <v>13691</v>
      </c>
      <c r="AZ739" s="1" t="s">
        <v>170</v>
      </c>
      <c r="BA739" s="1" t="s">
        <v>1379</v>
      </c>
      <c r="BB739" s="1">
        <v>68.9</v>
      </c>
      <c r="BC739" s="1">
        <v>0</v>
      </c>
      <c r="BD739" s="1"/>
      <c r="BE739" s="1"/>
      <c r="BF739" s="1"/>
      <c r="BG739" s="1"/>
      <c r="BH739" s="1"/>
      <c r="BI739" s="1"/>
      <c r="BJ739" s="1" t="s">
        <v>13692</v>
      </c>
      <c r="BK739" s="1"/>
      <c r="BL739" s="1"/>
      <c r="BM739" s="1" t="s">
        <v>13693</v>
      </c>
      <c r="BN739" s="1">
        <v>40</v>
      </c>
      <c r="BO739" s="1" t="s">
        <v>13694</v>
      </c>
      <c r="BP739" s="1" t="str">
        <f>HYPERLINK("https://nconnect.nicmar.ac.in/storage/profile/ProfilePhoto_P25700750_571468.jpg","Download")</f>
        <v>0</v>
      </c>
      <c r="BQ739" s="3"/>
      <c r="BR739" s="3"/>
    </row>
    <row r="740" spans="1:70">
      <c r="A740" s="1" t="s">
        <v>70</v>
      </c>
      <c r="B740" s="1" t="s">
        <v>441</v>
      </c>
      <c r="C740" s="1" t="s">
        <v>13695</v>
      </c>
      <c r="D740" s="1" t="s">
        <v>5754</v>
      </c>
      <c r="E740" s="1" t="s">
        <v>2141</v>
      </c>
      <c r="F740" s="1" t="s">
        <v>13696</v>
      </c>
      <c r="G740" s="1" t="s">
        <v>13697</v>
      </c>
      <c r="H740" s="1" t="s">
        <v>13698</v>
      </c>
      <c r="I740" s="1" t="s">
        <v>13699</v>
      </c>
      <c r="J740" s="1">
        <v>8767100704</v>
      </c>
      <c r="K740" s="1" t="s">
        <v>79</v>
      </c>
      <c r="L740" s="1" t="s">
        <v>13700</v>
      </c>
      <c r="M740" s="1" t="s">
        <v>81</v>
      </c>
      <c r="N740" s="1" t="s">
        <v>883</v>
      </c>
      <c r="O740" s="1"/>
      <c r="P740" s="1" t="s">
        <v>450</v>
      </c>
      <c r="Q740" s="1" t="s">
        <v>13701</v>
      </c>
      <c r="R740" s="1" t="s">
        <v>2141</v>
      </c>
      <c r="S740" s="1">
        <v>9623446029</v>
      </c>
      <c r="T740" s="1" t="s">
        <v>906</v>
      </c>
      <c r="U740" s="1" t="s">
        <v>8505</v>
      </c>
      <c r="V740" s="1">
        <v>9623446022</v>
      </c>
      <c r="W740" s="1" t="s">
        <v>156</v>
      </c>
      <c r="X740" s="1" t="s">
        <v>13702</v>
      </c>
      <c r="Y740" s="1" t="s">
        <v>5185</v>
      </c>
      <c r="Z740" s="1" t="s">
        <v>92</v>
      </c>
      <c r="AA740" s="1" t="s">
        <v>13702</v>
      </c>
      <c r="AB740" s="1" t="s">
        <v>5185</v>
      </c>
      <c r="AC740" s="1" t="s">
        <v>92</v>
      </c>
      <c r="AD740" s="1">
        <v>8.59</v>
      </c>
      <c r="AE740" s="1" t="s">
        <v>93</v>
      </c>
      <c r="AF740" s="1" t="s">
        <v>13703</v>
      </c>
      <c r="AG740" s="1" t="s">
        <v>307</v>
      </c>
      <c r="AH740" s="1" t="s">
        <v>101</v>
      </c>
      <c r="AI740" s="1" t="s">
        <v>308</v>
      </c>
      <c r="AJ740" s="1">
        <v>75.04</v>
      </c>
      <c r="AK740" s="1"/>
      <c r="AL740" s="1" t="s">
        <v>13704</v>
      </c>
      <c r="AM740" s="1" t="s">
        <v>13705</v>
      </c>
      <c r="AN740" s="1" t="s">
        <v>460</v>
      </c>
      <c r="AO740" s="1" t="s">
        <v>436</v>
      </c>
      <c r="AP740" s="1">
        <v>88.5</v>
      </c>
      <c r="AQ740" s="1"/>
      <c r="AR740" s="1"/>
      <c r="AS740" s="1"/>
      <c r="AT740" s="1"/>
      <c r="AU740" s="1"/>
      <c r="AV740" s="1"/>
      <c r="AW740" s="1"/>
      <c r="AX740" s="1" t="s">
        <v>13706</v>
      </c>
      <c r="AY740" s="1" t="s">
        <v>13707</v>
      </c>
      <c r="AZ740" s="1" t="s">
        <v>436</v>
      </c>
      <c r="BA740" s="1" t="s">
        <v>829</v>
      </c>
      <c r="BB740" s="1">
        <v>69</v>
      </c>
      <c r="BC740" s="1">
        <v>7.65</v>
      </c>
      <c r="BD740" s="1"/>
      <c r="BE740" s="1"/>
      <c r="BF740" s="1"/>
      <c r="BG740" s="1"/>
      <c r="BH740" s="1"/>
      <c r="BI740" s="1"/>
      <c r="BJ740" s="1" t="s">
        <v>567</v>
      </c>
      <c r="BK740" s="1"/>
      <c r="BL740" s="1"/>
      <c r="BM740" s="1" t="s">
        <v>13708</v>
      </c>
      <c r="BN740" s="1">
        <v>15</v>
      </c>
      <c r="BO740" s="1" t="s">
        <v>13709</v>
      </c>
      <c r="BP740" s="1" t="str">
        <f>HYPERLINK("https://nconnect.nicmar.ac.in/storage/profile/ProfilePhoto_P25700751_185649.jpg","Download")</f>
        <v>0</v>
      </c>
      <c r="BQ740" s="3"/>
      <c r="BR740" s="3"/>
    </row>
    <row r="741" spans="1:70">
      <c r="A741" s="1" t="s">
        <v>70</v>
      </c>
      <c r="B741" s="1" t="s">
        <v>441</v>
      </c>
      <c r="C741" s="1" t="s">
        <v>13710</v>
      </c>
      <c r="D741" s="1" t="s">
        <v>13711</v>
      </c>
      <c r="E741" s="1" t="s">
        <v>181</v>
      </c>
      <c r="F741" s="1" t="s">
        <v>13712</v>
      </c>
      <c r="G741" s="1" t="s">
        <v>13713</v>
      </c>
      <c r="H741" s="1" t="s">
        <v>13714</v>
      </c>
      <c r="I741" s="1" t="s">
        <v>13715</v>
      </c>
      <c r="J741" s="1">
        <v>7338470128</v>
      </c>
      <c r="K741" s="1" t="s">
        <v>148</v>
      </c>
      <c r="L741" s="1" t="s">
        <v>8486</v>
      </c>
      <c r="M741" s="1" t="s">
        <v>81</v>
      </c>
      <c r="N741" s="1" t="s">
        <v>13716</v>
      </c>
      <c r="O741" s="1"/>
      <c r="P741" s="1" t="s">
        <v>472</v>
      </c>
      <c r="Q741" s="1" t="s">
        <v>13717</v>
      </c>
      <c r="R741" s="1" t="s">
        <v>13718</v>
      </c>
      <c r="S741" s="1">
        <v>9480454967</v>
      </c>
      <c r="T741" s="1" t="s">
        <v>1529</v>
      </c>
      <c r="U741" s="1" t="s">
        <v>13719</v>
      </c>
      <c r="V741" s="1">
        <v>9986002722</v>
      </c>
      <c r="W741" s="1" t="s">
        <v>1529</v>
      </c>
      <c r="X741" s="1" t="s">
        <v>13720</v>
      </c>
      <c r="Y741" s="1" t="s">
        <v>6863</v>
      </c>
      <c r="Z741" s="1" t="s">
        <v>1187</v>
      </c>
      <c r="AA741" s="1" t="s">
        <v>13720</v>
      </c>
      <c r="AB741" s="1" t="s">
        <v>6863</v>
      </c>
      <c r="AC741" s="1" t="s">
        <v>1187</v>
      </c>
      <c r="AD741" s="1">
        <v>7.9</v>
      </c>
      <c r="AE741" s="1" t="s">
        <v>93</v>
      </c>
      <c r="AF741" s="1" t="s">
        <v>13721</v>
      </c>
      <c r="AG741" s="1" t="s">
        <v>307</v>
      </c>
      <c r="AH741" s="1" t="s">
        <v>162</v>
      </c>
      <c r="AI741" s="1" t="s">
        <v>165</v>
      </c>
      <c r="AJ741" s="1">
        <v>81.7</v>
      </c>
      <c r="AK741" s="1">
        <v>8</v>
      </c>
      <c r="AL741" s="1" t="s">
        <v>13722</v>
      </c>
      <c r="AM741" s="1" t="s">
        <v>13723</v>
      </c>
      <c r="AN741" s="1" t="s">
        <v>5538</v>
      </c>
      <c r="AO741" s="1" t="s">
        <v>104</v>
      </c>
      <c r="AP741" s="1">
        <v>79.5</v>
      </c>
      <c r="AQ741" s="1">
        <v>8</v>
      </c>
      <c r="AR741" s="1"/>
      <c r="AS741" s="1"/>
      <c r="AT741" s="1"/>
      <c r="AU741" s="1"/>
      <c r="AV741" s="1"/>
      <c r="AW741" s="1"/>
      <c r="AX741" s="1" t="s">
        <v>13724</v>
      </c>
      <c r="AY741" s="1" t="s">
        <v>13725</v>
      </c>
      <c r="AZ741" s="1" t="s">
        <v>2872</v>
      </c>
      <c r="BA741" s="1" t="s">
        <v>1246</v>
      </c>
      <c r="BB741" s="1">
        <v>66.5</v>
      </c>
      <c r="BC741" s="1">
        <v>7.4</v>
      </c>
      <c r="BD741" s="1"/>
      <c r="BE741" s="1"/>
      <c r="BF741" s="1"/>
      <c r="BG741" s="1"/>
      <c r="BH741" s="1"/>
      <c r="BI741" s="1"/>
      <c r="BJ741" s="1" t="s">
        <v>13726</v>
      </c>
      <c r="BK741" s="1"/>
      <c r="BL741" s="1"/>
      <c r="BM741" s="1" t="s">
        <v>13727</v>
      </c>
      <c r="BN741" s="1">
        <v>24</v>
      </c>
      <c r="BO741" s="1" t="s">
        <v>13728</v>
      </c>
      <c r="BP741" s="1" t="str">
        <f>HYPERLINK("https://nconnect.nicmar.ac.in/storage/profile/ProfilePhoto_P25700752_395618.jpg","Download")</f>
        <v>0</v>
      </c>
      <c r="BQ741" s="3"/>
      <c r="BR741" s="3"/>
    </row>
    <row r="742" spans="1:70">
      <c r="A742" s="1" t="s">
        <v>70</v>
      </c>
      <c r="B742" s="1" t="s">
        <v>441</v>
      </c>
      <c r="C742" s="1" t="s">
        <v>13729</v>
      </c>
      <c r="D742" s="1" t="s">
        <v>877</v>
      </c>
      <c r="E742" s="1" t="s">
        <v>6685</v>
      </c>
      <c r="F742" s="1" t="s">
        <v>13730</v>
      </c>
      <c r="G742" s="1" t="s">
        <v>13731</v>
      </c>
      <c r="H742" s="1" t="s">
        <v>13732</v>
      </c>
      <c r="I742" s="1" t="s">
        <v>13733</v>
      </c>
      <c r="J742" s="1">
        <v>9112221126</v>
      </c>
      <c r="K742" s="1" t="s">
        <v>79</v>
      </c>
      <c r="L742" s="1" t="s">
        <v>13734</v>
      </c>
      <c r="M742" s="1" t="s">
        <v>81</v>
      </c>
      <c r="N742" s="1" t="s">
        <v>605</v>
      </c>
      <c r="O742" s="1"/>
      <c r="P742" s="1" t="s">
        <v>450</v>
      </c>
      <c r="Q742" s="1" t="s">
        <v>13735</v>
      </c>
      <c r="R742" s="1" t="s">
        <v>13736</v>
      </c>
      <c r="S742" s="1">
        <v>9112221106</v>
      </c>
      <c r="T742" s="1" t="s">
        <v>632</v>
      </c>
      <c r="U742" s="1" t="s">
        <v>13737</v>
      </c>
      <c r="V742" s="1">
        <v>9762252869</v>
      </c>
      <c r="W742" s="1" t="s">
        <v>13738</v>
      </c>
      <c r="X742" s="1" t="s">
        <v>13739</v>
      </c>
      <c r="Y742" s="1" t="s">
        <v>191</v>
      </c>
      <c r="Z742" s="1" t="s">
        <v>92</v>
      </c>
      <c r="AA742" s="1" t="s">
        <v>13740</v>
      </c>
      <c r="AB742" s="1" t="s">
        <v>890</v>
      </c>
      <c r="AC742" s="1" t="s">
        <v>92</v>
      </c>
      <c r="AD742" s="1">
        <v>7.54</v>
      </c>
      <c r="AE742" s="1" t="s">
        <v>93</v>
      </c>
      <c r="AF742" s="1" t="s">
        <v>13741</v>
      </c>
      <c r="AG742" s="1" t="s">
        <v>975</v>
      </c>
      <c r="AH742" s="1" t="s">
        <v>13742</v>
      </c>
      <c r="AI742" s="1" t="s">
        <v>195</v>
      </c>
      <c r="AJ742" s="1">
        <v>59.2</v>
      </c>
      <c r="AK742" s="1"/>
      <c r="AL742" s="1"/>
      <c r="AM742" s="1"/>
      <c r="AN742" s="1"/>
      <c r="AO742" s="1"/>
      <c r="AP742" s="1"/>
      <c r="AQ742" s="1"/>
      <c r="AR742" s="1" t="s">
        <v>434</v>
      </c>
      <c r="AS742" s="1" t="s">
        <v>13743</v>
      </c>
      <c r="AT742" s="1" t="s">
        <v>225</v>
      </c>
      <c r="AU742" s="1" t="s">
        <v>228</v>
      </c>
      <c r="AV742" s="1">
        <v>85.11</v>
      </c>
      <c r="AW742" s="1"/>
      <c r="AX742" s="1" t="s">
        <v>3193</v>
      </c>
      <c r="AY742" s="1" t="s">
        <v>13744</v>
      </c>
      <c r="AZ742" s="1" t="s">
        <v>363</v>
      </c>
      <c r="BA742" s="1" t="s">
        <v>4109</v>
      </c>
      <c r="BB742" s="1">
        <v>78.24</v>
      </c>
      <c r="BC742" s="1">
        <v>8.52</v>
      </c>
      <c r="BD742" s="1"/>
      <c r="BE742" s="1"/>
      <c r="BF742" s="1"/>
      <c r="BG742" s="1"/>
      <c r="BH742" s="1"/>
      <c r="BI742" s="1"/>
      <c r="BJ742" s="1" t="s">
        <v>13745</v>
      </c>
      <c r="BK742" s="1" t="s">
        <v>13746</v>
      </c>
      <c r="BL742" s="1" t="s">
        <v>2215</v>
      </c>
      <c r="BM742" s="1" t="s">
        <v>13747</v>
      </c>
      <c r="BN742" s="1">
        <v>8</v>
      </c>
      <c r="BO742" s="1"/>
      <c r="BP742" s="1" t="str">
        <f>HYPERLINK("https://nconnect.nicmar.ac.in/storage/profile/ProfilePhoto_P25700753_639218.jpg","Download")</f>
        <v>0</v>
      </c>
      <c r="BQ742" s="3"/>
      <c r="BR742" s="3"/>
    </row>
    <row r="743" spans="1:70">
      <c r="A743" s="1" t="s">
        <v>70</v>
      </c>
      <c r="B743" s="1" t="s">
        <v>441</v>
      </c>
      <c r="C743" s="1" t="s">
        <v>13748</v>
      </c>
      <c r="D743" s="1" t="s">
        <v>9798</v>
      </c>
      <c r="E743" s="1" t="s">
        <v>2669</v>
      </c>
      <c r="F743" s="1" t="s">
        <v>13749</v>
      </c>
      <c r="G743" s="1" t="s">
        <v>13750</v>
      </c>
      <c r="H743" s="1" t="s">
        <v>13751</v>
      </c>
      <c r="I743" s="1" t="s">
        <v>13752</v>
      </c>
      <c r="J743" s="1">
        <v>9545691000</v>
      </c>
      <c r="K743" s="1" t="s">
        <v>79</v>
      </c>
      <c r="L743" s="1" t="s">
        <v>13753</v>
      </c>
      <c r="M743" s="1" t="s">
        <v>81</v>
      </c>
      <c r="N743" s="1" t="s">
        <v>605</v>
      </c>
      <c r="O743" s="1"/>
      <c r="P743" s="1" t="s">
        <v>450</v>
      </c>
      <c r="Q743" s="1" t="s">
        <v>13754</v>
      </c>
      <c r="R743" s="1" t="s">
        <v>2669</v>
      </c>
      <c r="S743" s="1">
        <v>9850406909</v>
      </c>
      <c r="T743" s="1" t="s">
        <v>154</v>
      </c>
      <c r="U743" s="1" t="s">
        <v>2151</v>
      </c>
      <c r="V743" s="1">
        <v>9422068022</v>
      </c>
      <c r="W743" s="1" t="s">
        <v>156</v>
      </c>
      <c r="X743" s="1" t="s">
        <v>13755</v>
      </c>
      <c r="Y743" s="1" t="s">
        <v>158</v>
      </c>
      <c r="Z743" s="1" t="s">
        <v>92</v>
      </c>
      <c r="AA743" s="1" t="s">
        <v>13755</v>
      </c>
      <c r="AB743" s="1" t="s">
        <v>158</v>
      </c>
      <c r="AC743" s="1" t="s">
        <v>92</v>
      </c>
      <c r="AD743" s="1">
        <v>8.34</v>
      </c>
      <c r="AE743" s="1" t="s">
        <v>93</v>
      </c>
      <c r="AF743" s="1" t="s">
        <v>13756</v>
      </c>
      <c r="AG743" s="1" t="s">
        <v>975</v>
      </c>
      <c r="AH743" s="1" t="s">
        <v>337</v>
      </c>
      <c r="AI743" s="1" t="s">
        <v>195</v>
      </c>
      <c r="AJ743" s="1">
        <v>81.4</v>
      </c>
      <c r="AK743" s="1"/>
      <c r="AL743" s="1" t="s">
        <v>13757</v>
      </c>
      <c r="AM743" s="1" t="s">
        <v>975</v>
      </c>
      <c r="AN743" s="1" t="s">
        <v>383</v>
      </c>
      <c r="AO743" s="1" t="s">
        <v>198</v>
      </c>
      <c r="AP743" s="1">
        <v>56</v>
      </c>
      <c r="AQ743" s="1"/>
      <c r="AR743" s="1"/>
      <c r="AS743" s="1"/>
      <c r="AT743" s="1"/>
      <c r="AU743" s="1"/>
      <c r="AV743" s="1"/>
      <c r="AW743" s="1"/>
      <c r="AX743" s="1" t="s">
        <v>1017</v>
      </c>
      <c r="AY743" s="1" t="s">
        <v>13758</v>
      </c>
      <c r="AZ743" s="1" t="s">
        <v>433</v>
      </c>
      <c r="BA743" s="1" t="s">
        <v>1067</v>
      </c>
      <c r="BB743" s="1">
        <v>75.75</v>
      </c>
      <c r="BC743" s="1">
        <v>8.05</v>
      </c>
      <c r="BD743" s="1"/>
      <c r="BE743" s="1"/>
      <c r="BF743" s="1"/>
      <c r="BG743" s="1"/>
      <c r="BH743" s="1"/>
      <c r="BI743" s="1"/>
      <c r="BJ743" s="1" t="s">
        <v>364</v>
      </c>
      <c r="BK743" s="1" t="s">
        <v>13759</v>
      </c>
      <c r="BL743" s="1" t="s">
        <v>741</v>
      </c>
      <c r="BM743" s="1" t="s">
        <v>13760</v>
      </c>
      <c r="BN743" s="1">
        <v>8</v>
      </c>
      <c r="BO743" s="1"/>
      <c r="BP743" s="1" t="str">
        <f>HYPERLINK("https://nconnect.nicmar.ac.in/storage/profile/ProfilePhoto_P25700754_876213.jpg","Download")</f>
        <v>0</v>
      </c>
      <c r="BQ743" s="3"/>
      <c r="BR743" s="3"/>
    </row>
    <row r="744" spans="1:70">
      <c r="A744" s="1" t="s">
        <v>70</v>
      </c>
      <c r="B744" s="1" t="s">
        <v>441</v>
      </c>
      <c r="C744" s="1" t="s">
        <v>13761</v>
      </c>
      <c r="D744" s="1" t="s">
        <v>13762</v>
      </c>
      <c r="E744" s="1" t="s">
        <v>1644</v>
      </c>
      <c r="F744" s="1" t="s">
        <v>13763</v>
      </c>
      <c r="G744" s="1" t="s">
        <v>13764</v>
      </c>
      <c r="H744" s="1" t="s">
        <v>13765</v>
      </c>
      <c r="I744" s="1" t="s">
        <v>13766</v>
      </c>
      <c r="J744" s="1">
        <v>7620324474</v>
      </c>
      <c r="K744" s="1" t="s">
        <v>79</v>
      </c>
      <c r="L744" s="1" t="s">
        <v>13767</v>
      </c>
      <c r="M744" s="1" t="s">
        <v>81</v>
      </c>
      <c r="N744" s="1" t="s">
        <v>1140</v>
      </c>
      <c r="O744" s="1"/>
      <c r="P744" s="1" t="s">
        <v>450</v>
      </c>
      <c r="Q744" s="1" t="s">
        <v>13768</v>
      </c>
      <c r="R744" s="1" t="s">
        <v>1644</v>
      </c>
      <c r="S744" s="1">
        <v>9850099291</v>
      </c>
      <c r="T744" s="1" t="s">
        <v>13408</v>
      </c>
      <c r="U744" s="1" t="s">
        <v>2250</v>
      </c>
      <c r="V744" s="1">
        <v>8669326550</v>
      </c>
      <c r="W744" s="1">
        <v>10</v>
      </c>
      <c r="X744" s="1" t="s">
        <v>13769</v>
      </c>
      <c r="Y744" s="1" t="s">
        <v>191</v>
      </c>
      <c r="Z744" s="1" t="s">
        <v>92</v>
      </c>
      <c r="AA744" s="1" t="s">
        <v>13770</v>
      </c>
      <c r="AB744" s="1" t="s">
        <v>91</v>
      </c>
      <c r="AC744" s="1" t="s">
        <v>92</v>
      </c>
      <c r="AD744" s="1" t="s">
        <v>93</v>
      </c>
      <c r="AE744" s="1" t="s">
        <v>93</v>
      </c>
      <c r="AF744" s="1" t="s">
        <v>13771</v>
      </c>
      <c r="AG744" s="1" t="s">
        <v>358</v>
      </c>
      <c r="AH744" s="1" t="s">
        <v>97</v>
      </c>
      <c r="AI744" s="1" t="s">
        <v>1089</v>
      </c>
      <c r="AJ744" s="1">
        <v>84.4</v>
      </c>
      <c r="AK744" s="1"/>
      <c r="AL744" s="1"/>
      <c r="AM744" s="1"/>
      <c r="AN744" s="1"/>
      <c r="AO744" s="1"/>
      <c r="AP744" s="1"/>
      <c r="AQ744" s="1"/>
      <c r="AR744" s="1" t="s">
        <v>7251</v>
      </c>
      <c r="AS744" s="1" t="s">
        <v>13772</v>
      </c>
      <c r="AT744" s="1" t="s">
        <v>162</v>
      </c>
      <c r="AU744" s="1" t="s">
        <v>433</v>
      </c>
      <c r="AV744" s="1">
        <v>77.21</v>
      </c>
      <c r="AW744" s="1"/>
      <c r="AX744" s="1" t="s">
        <v>361</v>
      </c>
      <c r="AY744" s="1" t="s">
        <v>13773</v>
      </c>
      <c r="AZ744" s="1" t="s">
        <v>201</v>
      </c>
      <c r="BA744" s="1" t="s">
        <v>105</v>
      </c>
      <c r="BB744" s="1">
        <v>81.52</v>
      </c>
      <c r="BC744" s="1">
        <v>9.16</v>
      </c>
      <c r="BD744" s="1"/>
      <c r="BE744" s="1"/>
      <c r="BF744" s="1"/>
      <c r="BG744" s="1"/>
      <c r="BH744" s="1"/>
      <c r="BI744" s="1"/>
      <c r="BJ744" s="1" t="s">
        <v>13774</v>
      </c>
      <c r="BK744" s="1" t="s">
        <v>13775</v>
      </c>
      <c r="BL744" s="1" t="s">
        <v>721</v>
      </c>
      <c r="BM744" s="1" t="s">
        <v>13776</v>
      </c>
      <c r="BN744" s="1">
        <v>9</v>
      </c>
      <c r="BO744" s="1"/>
      <c r="BP744" s="1" t="str">
        <f>HYPERLINK("https://nconnect.nicmar.ac.in/storage/profile/ProfilePhoto_P25700755_215487.jpg","Download")</f>
        <v>0</v>
      </c>
      <c r="BQ744" s="3"/>
      <c r="BR744" s="3"/>
    </row>
    <row r="745" spans="1:70">
      <c r="A745" s="1" t="s">
        <v>70</v>
      </c>
      <c r="B745" s="1" t="s">
        <v>441</v>
      </c>
      <c r="C745" s="1" t="s">
        <v>13777</v>
      </c>
      <c r="D745" s="1" t="s">
        <v>649</v>
      </c>
      <c r="E745" s="1" t="s">
        <v>2439</v>
      </c>
      <c r="F745" s="1" t="s">
        <v>13778</v>
      </c>
      <c r="G745" s="1" t="s">
        <v>13779</v>
      </c>
      <c r="H745" s="1" t="s">
        <v>13780</v>
      </c>
      <c r="I745" s="1" t="s">
        <v>13781</v>
      </c>
      <c r="J745" s="1">
        <v>7972030932</v>
      </c>
      <c r="K745" s="1" t="s">
        <v>79</v>
      </c>
      <c r="L745" s="1" t="s">
        <v>13782</v>
      </c>
      <c r="M745" s="1" t="s">
        <v>81</v>
      </c>
      <c r="N745" s="1" t="s">
        <v>605</v>
      </c>
      <c r="O745" s="1"/>
      <c r="P745" s="1" t="s">
        <v>472</v>
      </c>
      <c r="Q745" s="1" t="s">
        <v>13783</v>
      </c>
      <c r="R745" s="1" t="s">
        <v>13784</v>
      </c>
      <c r="S745" s="1">
        <v>9702864718</v>
      </c>
      <c r="T745" s="1" t="s">
        <v>13285</v>
      </c>
      <c r="U745" s="1" t="s">
        <v>13785</v>
      </c>
      <c r="V745" s="1">
        <v>8692824268</v>
      </c>
      <c r="W745" s="1" t="s">
        <v>89</v>
      </c>
      <c r="X745" s="1" t="s">
        <v>13786</v>
      </c>
      <c r="Y745" s="1" t="s">
        <v>4313</v>
      </c>
      <c r="Z745" s="1" t="s">
        <v>92</v>
      </c>
      <c r="AA745" s="1" t="s">
        <v>13786</v>
      </c>
      <c r="AB745" s="1" t="s">
        <v>4313</v>
      </c>
      <c r="AC745" s="1" t="s">
        <v>92</v>
      </c>
      <c r="AD745" s="1">
        <v>8.61</v>
      </c>
      <c r="AE745" s="1" t="s">
        <v>93</v>
      </c>
      <c r="AF745" s="1" t="s">
        <v>13787</v>
      </c>
      <c r="AG745" s="1" t="s">
        <v>6253</v>
      </c>
      <c r="AH745" s="1" t="s">
        <v>1559</v>
      </c>
      <c r="AI745" s="1" t="s">
        <v>505</v>
      </c>
      <c r="AJ745" s="1">
        <v>61.8</v>
      </c>
      <c r="AK745" s="1"/>
      <c r="AL745" s="1" t="s">
        <v>13788</v>
      </c>
      <c r="AM745" s="1" t="s">
        <v>6253</v>
      </c>
      <c r="AN745" s="1" t="s">
        <v>161</v>
      </c>
      <c r="AO745" s="1" t="s">
        <v>507</v>
      </c>
      <c r="AP745" s="1">
        <v>56.92</v>
      </c>
      <c r="AQ745" s="1"/>
      <c r="AR745" s="1" t="s">
        <v>13789</v>
      </c>
      <c r="AS745" s="1" t="s">
        <v>13790</v>
      </c>
      <c r="AT745" s="1" t="s">
        <v>134</v>
      </c>
      <c r="AU745" s="1" t="s">
        <v>166</v>
      </c>
      <c r="AV745" s="1">
        <v>81.99</v>
      </c>
      <c r="AW745" s="1">
        <v>9.11</v>
      </c>
      <c r="AX745" s="1" t="s">
        <v>13791</v>
      </c>
      <c r="AY745" s="1" t="s">
        <v>13790</v>
      </c>
      <c r="AZ745" s="1" t="s">
        <v>1043</v>
      </c>
      <c r="BA745" s="1" t="s">
        <v>826</v>
      </c>
      <c r="BB745" s="1">
        <v>79.5</v>
      </c>
      <c r="BC745" s="1">
        <v>7.95</v>
      </c>
      <c r="BD745" s="1"/>
      <c r="BE745" s="1"/>
      <c r="BF745" s="1"/>
      <c r="BG745" s="1"/>
      <c r="BH745" s="1"/>
      <c r="BI745" s="1"/>
      <c r="BJ745" s="1" t="s">
        <v>13792</v>
      </c>
      <c r="BK745" s="1" t="s">
        <v>13793</v>
      </c>
      <c r="BL745" s="1" t="s">
        <v>3987</v>
      </c>
      <c r="BM745" s="1" t="s">
        <v>13794</v>
      </c>
      <c r="BN745" s="1">
        <v>8</v>
      </c>
      <c r="BO745" s="1"/>
      <c r="BP745" s="1" t="str">
        <f>HYPERLINK("https://nconnect.nicmar.ac.in/storage/profile/ProfilePhoto_P25700281_579136.jpg","Download")</f>
        <v>0</v>
      </c>
      <c r="BQ745" s="3"/>
      <c r="BR745" s="3"/>
    </row>
    <row r="746" spans="1:70">
      <c r="A746" s="1" t="s">
        <v>70</v>
      </c>
      <c r="B746" s="1" t="s">
        <v>441</v>
      </c>
      <c r="C746" s="1" t="s">
        <v>13795</v>
      </c>
      <c r="D746" s="1" t="s">
        <v>6135</v>
      </c>
      <c r="E746" s="1" t="s">
        <v>4651</v>
      </c>
      <c r="F746" s="1" t="s">
        <v>13796</v>
      </c>
      <c r="G746" s="1" t="s">
        <v>13797</v>
      </c>
      <c r="H746" s="1" t="s">
        <v>13798</v>
      </c>
      <c r="I746" s="1" t="s">
        <v>13799</v>
      </c>
      <c r="J746" s="1">
        <v>7588796873</v>
      </c>
      <c r="K746" s="1" t="s">
        <v>79</v>
      </c>
      <c r="L746" s="1" t="s">
        <v>13800</v>
      </c>
      <c r="M746" s="1" t="s">
        <v>81</v>
      </c>
      <c r="N746" s="1" t="s">
        <v>13801</v>
      </c>
      <c r="O746" s="1"/>
      <c r="P746" s="1" t="s">
        <v>497</v>
      </c>
      <c r="Q746" s="1" t="s">
        <v>13802</v>
      </c>
      <c r="R746" s="1" t="s">
        <v>4651</v>
      </c>
      <c r="S746" s="1">
        <v>9850341198</v>
      </c>
      <c r="T746" s="1" t="s">
        <v>820</v>
      </c>
      <c r="U746" s="1" t="s">
        <v>12119</v>
      </c>
      <c r="V746" s="1">
        <v>9307325971</v>
      </c>
      <c r="W746" s="1" t="s">
        <v>89</v>
      </c>
      <c r="X746" s="1" t="s">
        <v>13803</v>
      </c>
      <c r="Y746" s="1" t="s">
        <v>405</v>
      </c>
      <c r="Z746" s="1" t="s">
        <v>92</v>
      </c>
      <c r="AA746" s="1" t="s">
        <v>13804</v>
      </c>
      <c r="AB746" s="1" t="s">
        <v>405</v>
      </c>
      <c r="AC746" s="1" t="s">
        <v>92</v>
      </c>
      <c r="AD746" s="1">
        <v>8.9</v>
      </c>
      <c r="AE746" s="1" t="s">
        <v>93</v>
      </c>
      <c r="AF746" s="1" t="s">
        <v>13805</v>
      </c>
      <c r="AG746" s="1" t="s">
        <v>13806</v>
      </c>
      <c r="AH746" s="1" t="s">
        <v>689</v>
      </c>
      <c r="AI746" s="1" t="s">
        <v>166</v>
      </c>
      <c r="AJ746" s="1">
        <v>73.6</v>
      </c>
      <c r="AK746" s="1"/>
      <c r="AL746" s="1" t="s">
        <v>13805</v>
      </c>
      <c r="AM746" s="1" t="s">
        <v>13807</v>
      </c>
      <c r="AN746" s="1" t="s">
        <v>433</v>
      </c>
      <c r="AO746" s="1" t="s">
        <v>173</v>
      </c>
      <c r="AP746" s="1">
        <v>77</v>
      </c>
      <c r="AQ746" s="1"/>
      <c r="AR746" s="1"/>
      <c r="AS746" s="1"/>
      <c r="AT746" s="1"/>
      <c r="AU746" s="1"/>
      <c r="AV746" s="1"/>
      <c r="AW746" s="1"/>
      <c r="AX746" s="1" t="s">
        <v>4784</v>
      </c>
      <c r="AY746" s="1" t="s">
        <v>13808</v>
      </c>
      <c r="AZ746" s="1" t="s">
        <v>363</v>
      </c>
      <c r="BA746" s="1" t="s">
        <v>1067</v>
      </c>
      <c r="BB746" s="1">
        <v>70.6</v>
      </c>
      <c r="BC746" s="1">
        <v>7.81</v>
      </c>
      <c r="BD746" s="1"/>
      <c r="BE746" s="1"/>
      <c r="BF746" s="1"/>
      <c r="BG746" s="1"/>
      <c r="BH746" s="1"/>
      <c r="BI746" s="1"/>
      <c r="BJ746" s="1" t="s">
        <v>13809</v>
      </c>
      <c r="BK746" s="1"/>
      <c r="BL746" s="1"/>
      <c r="BM746" s="1" t="s">
        <v>13810</v>
      </c>
      <c r="BN746" s="1">
        <v>25</v>
      </c>
      <c r="BO746" s="1" t="s">
        <v>13811</v>
      </c>
      <c r="BP746" s="1" t="str">
        <f>HYPERLINK("https://nconnect.nicmar.ac.in/storage/profile/ProfilePhoto_P25700325_532469.jpg","Download")</f>
        <v>0</v>
      </c>
      <c r="BQ746" s="3"/>
      <c r="BR746" s="3"/>
    </row>
    <row r="747" spans="1:70">
      <c r="A747" s="1" t="s">
        <v>70</v>
      </c>
      <c r="B747" s="1" t="s">
        <v>441</v>
      </c>
      <c r="C747" s="1" t="s">
        <v>13812</v>
      </c>
      <c r="D747" s="1" t="s">
        <v>13813</v>
      </c>
      <c r="E747" s="1" t="s">
        <v>599</v>
      </c>
      <c r="F747" s="1" t="s">
        <v>4053</v>
      </c>
      <c r="G747" s="1" t="s">
        <v>13814</v>
      </c>
      <c r="H747" s="1" t="s">
        <v>13815</v>
      </c>
      <c r="I747" s="1" t="s">
        <v>13816</v>
      </c>
      <c r="J747" s="1">
        <v>6309295777</v>
      </c>
      <c r="K747" s="1" t="s">
        <v>79</v>
      </c>
      <c r="L747" s="1" t="s">
        <v>985</v>
      </c>
      <c r="M747" s="1" t="s">
        <v>81</v>
      </c>
      <c r="N747" s="1" t="s">
        <v>13817</v>
      </c>
      <c r="O747" s="1"/>
      <c r="P747" s="1" t="s">
        <v>497</v>
      </c>
      <c r="Q747" s="1" t="s">
        <v>13818</v>
      </c>
      <c r="R747" s="1" t="s">
        <v>13819</v>
      </c>
      <c r="S747" s="1">
        <v>9849721040</v>
      </c>
      <c r="T747" s="1" t="s">
        <v>3807</v>
      </c>
      <c r="U747" s="1" t="s">
        <v>13820</v>
      </c>
      <c r="V747" s="1">
        <v>9652271081</v>
      </c>
      <c r="W747" s="1" t="s">
        <v>122</v>
      </c>
      <c r="X747" s="1" t="s">
        <v>13821</v>
      </c>
      <c r="Y747" s="1" t="s">
        <v>3863</v>
      </c>
      <c r="Z747" s="1" t="s">
        <v>276</v>
      </c>
      <c r="AA747" s="1" t="s">
        <v>13821</v>
      </c>
      <c r="AB747" s="1" t="s">
        <v>3863</v>
      </c>
      <c r="AC747" s="1" t="s">
        <v>276</v>
      </c>
      <c r="AD747" s="1">
        <v>7.97</v>
      </c>
      <c r="AE747" s="1" t="s">
        <v>93</v>
      </c>
      <c r="AF747" s="1" t="s">
        <v>4850</v>
      </c>
      <c r="AG747" s="1" t="s">
        <v>13822</v>
      </c>
      <c r="AH747" s="1" t="s">
        <v>165</v>
      </c>
      <c r="AI747" s="1" t="s">
        <v>481</v>
      </c>
      <c r="AJ747" s="1">
        <v>93</v>
      </c>
      <c r="AK747" s="1">
        <v>9.3</v>
      </c>
      <c r="AL747" s="1" t="s">
        <v>3052</v>
      </c>
      <c r="AM747" s="1" t="s">
        <v>10138</v>
      </c>
      <c r="AN747" s="1" t="s">
        <v>433</v>
      </c>
      <c r="AO747" s="1" t="s">
        <v>173</v>
      </c>
      <c r="AP747" s="1">
        <v>90.4</v>
      </c>
      <c r="AQ747" s="1">
        <v>9.48</v>
      </c>
      <c r="AR747" s="1"/>
      <c r="AS747" s="1"/>
      <c r="AT747" s="1"/>
      <c r="AU747" s="1"/>
      <c r="AV747" s="1"/>
      <c r="AW747" s="1"/>
      <c r="AX747" s="1" t="s">
        <v>6932</v>
      </c>
      <c r="AY747" s="1" t="s">
        <v>6932</v>
      </c>
      <c r="AZ747" s="1" t="s">
        <v>1019</v>
      </c>
      <c r="BA747" s="1" t="s">
        <v>5282</v>
      </c>
      <c r="BB747" s="1">
        <v>71.1</v>
      </c>
      <c r="BC747" s="1">
        <v>7.11</v>
      </c>
      <c r="BD747" s="1"/>
      <c r="BE747" s="1"/>
      <c r="BF747" s="1"/>
      <c r="BG747" s="1"/>
      <c r="BH747" s="1"/>
      <c r="BI747" s="1"/>
      <c r="BJ747" s="1" t="s">
        <v>567</v>
      </c>
      <c r="BK747" s="1"/>
      <c r="BL747" s="1"/>
      <c r="BM747" s="1" t="s">
        <v>13823</v>
      </c>
      <c r="BN747" s="1">
        <v>12</v>
      </c>
      <c r="BO747" s="1" t="s">
        <v>13824</v>
      </c>
      <c r="BP747" s="1" t="str">
        <f>HYPERLINK("https://nconnect.nicmar.ac.in/storage/profile/ProfilePhoto_P25700367_329568.jpg","Download")</f>
        <v>0</v>
      </c>
      <c r="BQ747" s="3"/>
      <c r="BR747" s="3"/>
    </row>
    <row r="748" spans="1:70">
      <c r="A748" s="1" t="s">
        <v>70</v>
      </c>
      <c r="B748" s="1" t="s">
        <v>441</v>
      </c>
      <c r="C748" s="1" t="s">
        <v>13825</v>
      </c>
      <c r="D748" s="1" t="s">
        <v>13826</v>
      </c>
      <c r="E748" s="1" t="s">
        <v>13827</v>
      </c>
      <c r="F748" s="1" t="s">
        <v>13828</v>
      </c>
      <c r="G748" s="1" t="s">
        <v>13829</v>
      </c>
      <c r="H748" s="1" t="s">
        <v>13830</v>
      </c>
      <c r="I748" s="1" t="s">
        <v>13831</v>
      </c>
      <c r="J748" s="1">
        <v>9975069808</v>
      </c>
      <c r="K748" s="1" t="s">
        <v>79</v>
      </c>
      <c r="L748" s="1" t="s">
        <v>13832</v>
      </c>
      <c r="M748" s="1" t="s">
        <v>81</v>
      </c>
      <c r="N748" s="1" t="s">
        <v>883</v>
      </c>
      <c r="O748" s="1" t="s">
        <v>152</v>
      </c>
      <c r="P748" s="1" t="s">
        <v>84</v>
      </c>
      <c r="Q748" s="1" t="s">
        <v>13833</v>
      </c>
      <c r="R748" s="1" t="s">
        <v>13834</v>
      </c>
      <c r="S748" s="1">
        <v>9850497606</v>
      </c>
      <c r="T748" s="1" t="s">
        <v>632</v>
      </c>
      <c r="U748" s="1" t="s">
        <v>13835</v>
      </c>
      <c r="V748" s="1">
        <v>9822570691</v>
      </c>
      <c r="W748" s="1" t="s">
        <v>156</v>
      </c>
      <c r="X748" s="1" t="s">
        <v>13836</v>
      </c>
      <c r="Y748" s="1" t="s">
        <v>191</v>
      </c>
      <c r="Z748" s="1" t="s">
        <v>92</v>
      </c>
      <c r="AA748" s="1" t="s">
        <v>13837</v>
      </c>
      <c r="AB748" s="1" t="s">
        <v>191</v>
      </c>
      <c r="AC748" s="1" t="s">
        <v>92</v>
      </c>
      <c r="AD748" s="1" t="s">
        <v>93</v>
      </c>
      <c r="AE748" s="1" t="s">
        <v>93</v>
      </c>
      <c r="AF748" s="1" t="s">
        <v>13838</v>
      </c>
      <c r="AG748" s="1" t="s">
        <v>13839</v>
      </c>
      <c r="AH748" s="1" t="s">
        <v>130</v>
      </c>
      <c r="AI748" s="1" t="s">
        <v>97</v>
      </c>
      <c r="AJ748" s="1">
        <v>73.4</v>
      </c>
      <c r="AK748" s="1">
        <v>0</v>
      </c>
      <c r="AL748" s="1" t="s">
        <v>13840</v>
      </c>
      <c r="AM748" s="1" t="s">
        <v>13841</v>
      </c>
      <c r="AN748" s="1" t="s">
        <v>5344</v>
      </c>
      <c r="AO748" s="1" t="s">
        <v>689</v>
      </c>
      <c r="AP748" s="1">
        <v>65.54</v>
      </c>
      <c r="AQ748" s="1">
        <v>0</v>
      </c>
      <c r="AR748" s="1"/>
      <c r="AS748" s="1"/>
      <c r="AT748" s="1"/>
      <c r="AU748" s="1"/>
      <c r="AV748" s="1"/>
      <c r="AW748" s="1"/>
      <c r="AX748" s="1" t="s">
        <v>361</v>
      </c>
      <c r="AY748" s="1" t="s">
        <v>13842</v>
      </c>
      <c r="AZ748" s="1" t="s">
        <v>383</v>
      </c>
      <c r="BA748" s="1" t="s">
        <v>619</v>
      </c>
      <c r="BB748" s="1">
        <v>82</v>
      </c>
      <c r="BC748" s="1">
        <v>9.1</v>
      </c>
      <c r="BD748" s="1"/>
      <c r="BE748" s="1"/>
      <c r="BF748" s="1"/>
      <c r="BG748" s="1"/>
      <c r="BH748" s="1"/>
      <c r="BI748" s="1"/>
      <c r="BJ748" s="1" t="s">
        <v>13843</v>
      </c>
      <c r="BK748" s="1" t="s">
        <v>13844</v>
      </c>
      <c r="BL748" s="1" t="s">
        <v>340</v>
      </c>
      <c r="BM748" s="1" t="s">
        <v>13845</v>
      </c>
      <c r="BN748" s="1">
        <v>32</v>
      </c>
      <c r="BO748" s="1"/>
      <c r="BP748" s="1" t="str">
        <f>HYPERLINK("https://nconnect.nicmar.ac.in/storage/profile/ProfilePhoto_P25700694_372165.jpg","Download")</f>
        <v>0</v>
      </c>
      <c r="BQ748" s="3"/>
      <c r="BR748" s="3"/>
    </row>
    <row r="749" spans="1:70">
      <c r="A749" s="1" t="s">
        <v>70</v>
      </c>
      <c r="B749" s="1" t="s">
        <v>13846</v>
      </c>
      <c r="C749" s="1" t="s">
        <v>13847</v>
      </c>
      <c r="D749" s="1"/>
      <c r="E749" s="1"/>
      <c r="F749" s="1"/>
      <c r="G749" s="1"/>
      <c r="H749" s="1" t="s">
        <v>13848</v>
      </c>
      <c r="I749" s="1" t="s">
        <v>13848</v>
      </c>
      <c r="J749" s="1"/>
      <c r="K749" s="1"/>
      <c r="L749" s="1"/>
      <c r="M749" s="1"/>
      <c r="N749" s="1"/>
      <c r="O749" s="1"/>
      <c r="P749" s="1"/>
      <c r="Q749" s="1"/>
      <c r="R749" s="1"/>
      <c r="S749" s="1"/>
      <c r="T749" s="1"/>
      <c r="U749" s="1"/>
      <c r="V749" s="1"/>
      <c r="W749" s="1"/>
      <c r="X749" s="1"/>
      <c r="Y749" s="1"/>
      <c r="Z749" s="1"/>
      <c r="AA749" s="1"/>
      <c r="AB749" s="1"/>
      <c r="AC749" s="1"/>
      <c r="AD749" s="1" t="s">
        <v>93</v>
      </c>
      <c r="AE749" s="1" t="s">
        <v>93</v>
      </c>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t="s">
        <v>9609</v>
      </c>
      <c r="BQ749" s="3"/>
      <c r="BR749" s="3"/>
    </row>
    <row r="750" spans="1:70">
      <c r="A750" s="1" t="s">
        <v>70</v>
      </c>
      <c r="B750" s="1" t="s">
        <v>13846</v>
      </c>
      <c r="C750" s="1" t="s">
        <v>13849</v>
      </c>
      <c r="D750" s="1"/>
      <c r="E750" s="1"/>
      <c r="F750" s="1"/>
      <c r="G750" s="1"/>
      <c r="H750" s="1" t="s">
        <v>13850</v>
      </c>
      <c r="I750" s="1" t="s">
        <v>13850</v>
      </c>
      <c r="J750" s="1"/>
      <c r="K750" s="1"/>
      <c r="L750" s="1"/>
      <c r="M750" s="1"/>
      <c r="N750" s="1"/>
      <c r="O750" s="1"/>
      <c r="P750" s="1"/>
      <c r="Q750" s="1"/>
      <c r="R750" s="1"/>
      <c r="S750" s="1"/>
      <c r="T750" s="1"/>
      <c r="U750" s="1"/>
      <c r="V750" s="1"/>
      <c r="W750" s="1"/>
      <c r="X750" s="1"/>
      <c r="Y750" s="1"/>
      <c r="Z750" s="1"/>
      <c r="AA750" s="1"/>
      <c r="AB750" s="1"/>
      <c r="AC750" s="1"/>
      <c r="AD750" s="1" t="s">
        <v>93</v>
      </c>
      <c r="AE750" s="1" t="s">
        <v>93</v>
      </c>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t="s">
        <v>9609</v>
      </c>
      <c r="BQ750" s="3"/>
      <c r="BR750" s="3"/>
    </row>
    <row r="751" spans="1:70">
      <c r="A751" s="1" t="s">
        <v>70</v>
      </c>
      <c r="B751" s="1" t="s">
        <v>13846</v>
      </c>
      <c r="C751" s="1" t="s">
        <v>13851</v>
      </c>
      <c r="D751" s="1"/>
      <c r="E751" s="1"/>
      <c r="F751" s="1"/>
      <c r="G751" s="1"/>
      <c r="H751" s="1" t="s">
        <v>13852</v>
      </c>
      <c r="I751" s="1" t="s">
        <v>13852</v>
      </c>
      <c r="J751" s="1"/>
      <c r="K751" s="1"/>
      <c r="L751" s="1"/>
      <c r="M751" s="1"/>
      <c r="N751" s="1"/>
      <c r="O751" s="1"/>
      <c r="P751" s="1"/>
      <c r="Q751" s="1"/>
      <c r="R751" s="1"/>
      <c r="S751" s="1"/>
      <c r="T751" s="1"/>
      <c r="U751" s="1"/>
      <c r="V751" s="1"/>
      <c r="W751" s="1"/>
      <c r="X751" s="1"/>
      <c r="Y751" s="1"/>
      <c r="Z751" s="1"/>
      <c r="AA751" s="1"/>
      <c r="AB751" s="1"/>
      <c r="AC751" s="1"/>
      <c r="AD751" s="1" t="s">
        <v>93</v>
      </c>
      <c r="AE751" s="1" t="s">
        <v>93</v>
      </c>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t="s">
        <v>9609</v>
      </c>
      <c r="BQ751" s="3"/>
      <c r="BR751" s="3"/>
    </row>
    <row r="752" spans="1:70">
      <c r="A752" s="1" t="s">
        <v>70</v>
      </c>
      <c r="B752" s="1" t="s">
        <v>13846</v>
      </c>
      <c r="C752" s="1" t="s">
        <v>13853</v>
      </c>
      <c r="D752" s="1"/>
      <c r="E752" s="1"/>
      <c r="F752" s="1"/>
      <c r="G752" s="1"/>
      <c r="H752" s="1" t="s">
        <v>13854</v>
      </c>
      <c r="I752" s="1" t="s">
        <v>13854</v>
      </c>
      <c r="J752" s="1"/>
      <c r="K752" s="1"/>
      <c r="L752" s="1"/>
      <c r="M752" s="1"/>
      <c r="N752" s="1"/>
      <c r="O752" s="1"/>
      <c r="P752" s="1"/>
      <c r="Q752" s="1"/>
      <c r="R752" s="1"/>
      <c r="S752" s="1"/>
      <c r="T752" s="1"/>
      <c r="U752" s="1"/>
      <c r="V752" s="1"/>
      <c r="W752" s="1"/>
      <c r="X752" s="1"/>
      <c r="Y752" s="1"/>
      <c r="Z752" s="1"/>
      <c r="AA752" s="1"/>
      <c r="AB752" s="1"/>
      <c r="AC752" s="1"/>
      <c r="AD752" s="1" t="s">
        <v>93</v>
      </c>
      <c r="AE752" s="1" t="s">
        <v>93</v>
      </c>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t="s">
        <v>9609</v>
      </c>
      <c r="BQ752" s="3"/>
      <c r="BR752" s="3"/>
    </row>
    <row r="753" spans="1:70">
      <c r="A753" s="1" t="s">
        <v>70</v>
      </c>
      <c r="B753" s="1" t="s">
        <v>13846</v>
      </c>
      <c r="C753" s="1" t="s">
        <v>13855</v>
      </c>
      <c r="D753" s="1"/>
      <c r="E753" s="1"/>
      <c r="F753" s="1"/>
      <c r="G753" s="1"/>
      <c r="H753" s="1" t="s">
        <v>13856</v>
      </c>
      <c r="I753" s="1" t="s">
        <v>13856</v>
      </c>
      <c r="J753" s="1"/>
      <c r="K753" s="1"/>
      <c r="L753" s="1"/>
      <c r="M753" s="1"/>
      <c r="N753" s="1"/>
      <c r="O753" s="1"/>
      <c r="P753" s="1"/>
      <c r="Q753" s="1"/>
      <c r="R753" s="1"/>
      <c r="S753" s="1"/>
      <c r="T753" s="1"/>
      <c r="U753" s="1"/>
      <c r="V753" s="1"/>
      <c r="W753" s="1"/>
      <c r="X753" s="1"/>
      <c r="Y753" s="1"/>
      <c r="Z753" s="1"/>
      <c r="AA753" s="1"/>
      <c r="AB753" s="1"/>
      <c r="AC753" s="1"/>
      <c r="AD753" s="1" t="s">
        <v>93</v>
      </c>
      <c r="AE753" s="1" t="s">
        <v>93</v>
      </c>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t="s">
        <v>9609</v>
      </c>
      <c r="BQ753" s="3"/>
      <c r="BR753" s="3"/>
    </row>
    <row r="754" spans="1:70">
      <c r="A754" s="1" t="s">
        <v>70</v>
      </c>
      <c r="B754" s="1" t="s">
        <v>13846</v>
      </c>
      <c r="C754" s="1" t="s">
        <v>13857</v>
      </c>
      <c r="D754" s="1"/>
      <c r="E754" s="1"/>
      <c r="F754" s="1"/>
      <c r="G754" s="1"/>
      <c r="H754" s="1" t="s">
        <v>13858</v>
      </c>
      <c r="I754" s="1" t="s">
        <v>13858</v>
      </c>
      <c r="J754" s="1"/>
      <c r="K754" s="1"/>
      <c r="L754" s="1"/>
      <c r="M754" s="1"/>
      <c r="N754" s="1"/>
      <c r="O754" s="1"/>
      <c r="P754" s="1"/>
      <c r="Q754" s="1"/>
      <c r="R754" s="1"/>
      <c r="S754" s="1"/>
      <c r="T754" s="1"/>
      <c r="U754" s="1"/>
      <c r="V754" s="1"/>
      <c r="W754" s="1"/>
      <c r="X754" s="1"/>
      <c r="Y754" s="1"/>
      <c r="Z754" s="1"/>
      <c r="AA754" s="1"/>
      <c r="AB754" s="1"/>
      <c r="AC754" s="1"/>
      <c r="AD754" s="1" t="s">
        <v>93</v>
      </c>
      <c r="AE754" s="1" t="s">
        <v>93</v>
      </c>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t="s">
        <v>9609</v>
      </c>
      <c r="BQ754" s="3"/>
      <c r="BR754" s="3"/>
    </row>
    <row r="755" spans="1:70">
      <c r="A755" s="1" t="s">
        <v>70</v>
      </c>
      <c r="B755" s="1" t="s">
        <v>13846</v>
      </c>
      <c r="C755" s="1" t="s">
        <v>13859</v>
      </c>
      <c r="D755" s="1"/>
      <c r="E755" s="1"/>
      <c r="F755" s="1"/>
      <c r="G755" s="1"/>
      <c r="H755" s="1" t="s">
        <v>13860</v>
      </c>
      <c r="I755" s="1" t="s">
        <v>13860</v>
      </c>
      <c r="J755" s="1"/>
      <c r="K755" s="1"/>
      <c r="L755" s="1"/>
      <c r="M755" s="1"/>
      <c r="N755" s="1"/>
      <c r="O755" s="1"/>
      <c r="P755" s="1"/>
      <c r="Q755" s="1"/>
      <c r="R755" s="1"/>
      <c r="S755" s="1"/>
      <c r="T755" s="1"/>
      <c r="U755" s="1"/>
      <c r="V755" s="1"/>
      <c r="W755" s="1"/>
      <c r="X755" s="1"/>
      <c r="Y755" s="1"/>
      <c r="Z755" s="1"/>
      <c r="AA755" s="1"/>
      <c r="AB755" s="1"/>
      <c r="AC755" s="1"/>
      <c r="AD755" s="1" t="s">
        <v>93</v>
      </c>
      <c r="AE755" s="1" t="s">
        <v>93</v>
      </c>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t="s">
        <v>9609</v>
      </c>
      <c r="BQ755" s="3"/>
      <c r="BR755" s="3"/>
    </row>
    <row r="756" spans="1:70">
      <c r="A756" s="1" t="s">
        <v>70</v>
      </c>
      <c r="B756" s="1" t="s">
        <v>13846</v>
      </c>
      <c r="C756" s="1" t="s">
        <v>13861</v>
      </c>
      <c r="D756" s="1"/>
      <c r="E756" s="1"/>
      <c r="F756" s="1"/>
      <c r="G756" s="1"/>
      <c r="H756" s="1" t="s">
        <v>13862</v>
      </c>
      <c r="I756" s="1" t="s">
        <v>13862</v>
      </c>
      <c r="J756" s="1"/>
      <c r="K756" s="1"/>
      <c r="L756" s="1"/>
      <c r="M756" s="1"/>
      <c r="N756" s="1"/>
      <c r="O756" s="1"/>
      <c r="P756" s="1"/>
      <c r="Q756" s="1"/>
      <c r="R756" s="1"/>
      <c r="S756" s="1"/>
      <c r="T756" s="1"/>
      <c r="U756" s="1"/>
      <c r="V756" s="1"/>
      <c r="W756" s="1"/>
      <c r="X756" s="1"/>
      <c r="Y756" s="1"/>
      <c r="Z756" s="1"/>
      <c r="AA756" s="1"/>
      <c r="AB756" s="1"/>
      <c r="AC756" s="1"/>
      <c r="AD756" s="1" t="s">
        <v>93</v>
      </c>
      <c r="AE756" s="1" t="s">
        <v>93</v>
      </c>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t="s">
        <v>9609</v>
      </c>
      <c r="BQ756" s="3"/>
      <c r="BR756" s="3"/>
    </row>
    <row r="757" spans="1:70">
      <c r="A757" s="1" t="s">
        <v>70</v>
      </c>
      <c r="B757" s="1" t="s">
        <v>13846</v>
      </c>
      <c r="C757" s="1" t="s">
        <v>13863</v>
      </c>
      <c r="D757" s="1"/>
      <c r="E757" s="1"/>
      <c r="F757" s="1"/>
      <c r="G757" s="1"/>
      <c r="H757" s="1" t="s">
        <v>13864</v>
      </c>
      <c r="I757" s="1" t="s">
        <v>13864</v>
      </c>
      <c r="J757" s="1"/>
      <c r="K757" s="1"/>
      <c r="L757" s="1"/>
      <c r="M757" s="1"/>
      <c r="N757" s="1"/>
      <c r="O757" s="1"/>
      <c r="P757" s="1"/>
      <c r="Q757" s="1"/>
      <c r="R757" s="1"/>
      <c r="S757" s="1"/>
      <c r="T757" s="1"/>
      <c r="U757" s="1"/>
      <c r="V757" s="1"/>
      <c r="W757" s="1"/>
      <c r="X757" s="1"/>
      <c r="Y757" s="1"/>
      <c r="Z757" s="1"/>
      <c r="AA757" s="1"/>
      <c r="AB757" s="1"/>
      <c r="AC757" s="1"/>
      <c r="AD757" s="1" t="s">
        <v>93</v>
      </c>
      <c r="AE757" s="1" t="s">
        <v>93</v>
      </c>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t="s">
        <v>9609</v>
      </c>
      <c r="BQ757" s="3"/>
      <c r="BR757" s="3"/>
    </row>
    <row r="758" spans="1:70">
      <c r="A758" s="1" t="s">
        <v>70</v>
      </c>
      <c r="B758" s="1" t="s">
        <v>13846</v>
      </c>
      <c r="C758" s="1" t="s">
        <v>13865</v>
      </c>
      <c r="D758" s="1"/>
      <c r="E758" s="1"/>
      <c r="F758" s="1"/>
      <c r="G758" s="1"/>
      <c r="H758" s="1" t="s">
        <v>13866</v>
      </c>
      <c r="I758" s="1" t="s">
        <v>13866</v>
      </c>
      <c r="J758" s="1"/>
      <c r="K758" s="1"/>
      <c r="L758" s="1"/>
      <c r="M758" s="1"/>
      <c r="N758" s="1"/>
      <c r="O758" s="1"/>
      <c r="P758" s="1"/>
      <c r="Q758" s="1"/>
      <c r="R758" s="1"/>
      <c r="S758" s="1"/>
      <c r="T758" s="1"/>
      <c r="U758" s="1"/>
      <c r="V758" s="1"/>
      <c r="W758" s="1"/>
      <c r="X758" s="1"/>
      <c r="Y758" s="1"/>
      <c r="Z758" s="1"/>
      <c r="AA758" s="1"/>
      <c r="AB758" s="1"/>
      <c r="AC758" s="1"/>
      <c r="AD758" s="1" t="s">
        <v>93</v>
      </c>
      <c r="AE758" s="1" t="s">
        <v>93</v>
      </c>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t="s">
        <v>9609</v>
      </c>
      <c r="BQ758" s="3"/>
      <c r="BR758" s="3"/>
    </row>
    <row r="759" spans="1:70">
      <c r="A759" s="1" t="s">
        <v>70</v>
      </c>
      <c r="B759" s="1" t="s">
        <v>13846</v>
      </c>
      <c r="C759" s="1" t="s">
        <v>13867</v>
      </c>
      <c r="D759" s="1"/>
      <c r="E759" s="1"/>
      <c r="F759" s="1"/>
      <c r="G759" s="1"/>
      <c r="H759" s="1" t="s">
        <v>13868</v>
      </c>
      <c r="I759" s="1" t="s">
        <v>13868</v>
      </c>
      <c r="J759" s="1"/>
      <c r="K759" s="1"/>
      <c r="L759" s="1"/>
      <c r="M759" s="1"/>
      <c r="N759" s="1"/>
      <c r="O759" s="1"/>
      <c r="P759" s="1"/>
      <c r="Q759" s="1"/>
      <c r="R759" s="1"/>
      <c r="S759" s="1"/>
      <c r="T759" s="1"/>
      <c r="U759" s="1"/>
      <c r="V759" s="1"/>
      <c r="W759" s="1"/>
      <c r="X759" s="1"/>
      <c r="Y759" s="1"/>
      <c r="Z759" s="1"/>
      <c r="AA759" s="1"/>
      <c r="AB759" s="1"/>
      <c r="AC759" s="1"/>
      <c r="AD759" s="1" t="s">
        <v>93</v>
      </c>
      <c r="AE759" s="1" t="s">
        <v>93</v>
      </c>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t="s">
        <v>9609</v>
      </c>
      <c r="BQ759" s="3"/>
      <c r="BR759" s="3"/>
    </row>
    <row r="760" spans="1:70">
      <c r="A760" s="1" t="s">
        <v>70</v>
      </c>
      <c r="B760" s="1" t="s">
        <v>13846</v>
      </c>
      <c r="C760" s="1" t="s">
        <v>13869</v>
      </c>
      <c r="D760" s="1"/>
      <c r="E760" s="1"/>
      <c r="F760" s="1"/>
      <c r="G760" s="1"/>
      <c r="H760" s="1" t="s">
        <v>13870</v>
      </c>
      <c r="I760" s="1" t="s">
        <v>13870</v>
      </c>
      <c r="J760" s="1"/>
      <c r="K760" s="1"/>
      <c r="L760" s="1"/>
      <c r="M760" s="1"/>
      <c r="N760" s="1"/>
      <c r="O760" s="1"/>
      <c r="P760" s="1"/>
      <c r="Q760" s="1"/>
      <c r="R760" s="1"/>
      <c r="S760" s="1"/>
      <c r="T760" s="1"/>
      <c r="U760" s="1"/>
      <c r="V760" s="1"/>
      <c r="W760" s="1"/>
      <c r="X760" s="1"/>
      <c r="Y760" s="1"/>
      <c r="Z760" s="1"/>
      <c r="AA760" s="1"/>
      <c r="AB760" s="1"/>
      <c r="AC760" s="1"/>
      <c r="AD760" s="1" t="s">
        <v>93</v>
      </c>
      <c r="AE760" s="1" t="s">
        <v>93</v>
      </c>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t="s">
        <v>9609</v>
      </c>
      <c r="BQ760" s="3"/>
      <c r="BR760" s="3"/>
    </row>
    <row r="761" spans="1:70">
      <c r="A761" s="1" t="s">
        <v>70</v>
      </c>
      <c r="B761" s="1" t="s">
        <v>13846</v>
      </c>
      <c r="C761" s="1" t="s">
        <v>13871</v>
      </c>
      <c r="D761" s="1"/>
      <c r="E761" s="1"/>
      <c r="F761" s="1"/>
      <c r="G761" s="1"/>
      <c r="H761" s="1" t="s">
        <v>13872</v>
      </c>
      <c r="I761" s="1" t="s">
        <v>13872</v>
      </c>
      <c r="J761" s="1"/>
      <c r="K761" s="1"/>
      <c r="L761" s="1"/>
      <c r="M761" s="1"/>
      <c r="N761" s="1"/>
      <c r="O761" s="1"/>
      <c r="P761" s="1"/>
      <c r="Q761" s="1"/>
      <c r="R761" s="1"/>
      <c r="S761" s="1"/>
      <c r="T761" s="1"/>
      <c r="U761" s="1"/>
      <c r="V761" s="1"/>
      <c r="W761" s="1"/>
      <c r="X761" s="1"/>
      <c r="Y761" s="1"/>
      <c r="Z761" s="1"/>
      <c r="AA761" s="1"/>
      <c r="AB761" s="1"/>
      <c r="AC761" s="1"/>
      <c r="AD761" s="1" t="s">
        <v>93</v>
      </c>
      <c r="AE761" s="1" t="s">
        <v>93</v>
      </c>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t="s">
        <v>9609</v>
      </c>
      <c r="BQ761" s="3"/>
      <c r="BR761" s="3"/>
    </row>
    <row r="762" spans="1:70">
      <c r="A762" s="1" t="s">
        <v>70</v>
      </c>
      <c r="B762" s="1" t="s">
        <v>13846</v>
      </c>
      <c r="C762" s="1" t="s">
        <v>13873</v>
      </c>
      <c r="D762" s="1"/>
      <c r="E762" s="1"/>
      <c r="F762" s="1"/>
      <c r="G762" s="1"/>
      <c r="H762" s="1" t="s">
        <v>13874</v>
      </c>
      <c r="I762" s="1" t="s">
        <v>13874</v>
      </c>
      <c r="J762" s="1"/>
      <c r="K762" s="1"/>
      <c r="L762" s="1"/>
      <c r="M762" s="1"/>
      <c r="N762" s="1"/>
      <c r="O762" s="1"/>
      <c r="P762" s="1"/>
      <c r="Q762" s="1"/>
      <c r="R762" s="1"/>
      <c r="S762" s="1"/>
      <c r="T762" s="1"/>
      <c r="U762" s="1"/>
      <c r="V762" s="1"/>
      <c r="W762" s="1"/>
      <c r="X762" s="1"/>
      <c r="Y762" s="1"/>
      <c r="Z762" s="1"/>
      <c r="AA762" s="1"/>
      <c r="AB762" s="1"/>
      <c r="AC762" s="1"/>
      <c r="AD762" s="1" t="s">
        <v>93</v>
      </c>
      <c r="AE762" s="1" t="s">
        <v>93</v>
      </c>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t="s">
        <v>9609</v>
      </c>
      <c r="BQ762" s="3"/>
      <c r="BR762" s="3"/>
    </row>
    <row r="763" spans="1:70">
      <c r="A763" s="1" t="s">
        <v>70</v>
      </c>
      <c r="B763" s="1" t="s">
        <v>13846</v>
      </c>
      <c r="C763" s="1" t="s">
        <v>13875</v>
      </c>
      <c r="D763" s="1"/>
      <c r="E763" s="1"/>
      <c r="F763" s="1"/>
      <c r="G763" s="1"/>
      <c r="H763" s="1" t="s">
        <v>13876</v>
      </c>
      <c r="I763" s="1" t="s">
        <v>13876</v>
      </c>
      <c r="J763" s="1"/>
      <c r="K763" s="1"/>
      <c r="L763" s="1"/>
      <c r="M763" s="1"/>
      <c r="N763" s="1"/>
      <c r="O763" s="1"/>
      <c r="P763" s="1"/>
      <c r="Q763" s="1"/>
      <c r="R763" s="1"/>
      <c r="S763" s="1"/>
      <c r="T763" s="1"/>
      <c r="U763" s="1"/>
      <c r="V763" s="1"/>
      <c r="W763" s="1"/>
      <c r="X763" s="1"/>
      <c r="Y763" s="1"/>
      <c r="Z763" s="1"/>
      <c r="AA763" s="1"/>
      <c r="AB763" s="1"/>
      <c r="AC763" s="1"/>
      <c r="AD763" s="1" t="s">
        <v>93</v>
      </c>
      <c r="AE763" s="1" t="s">
        <v>93</v>
      </c>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t="s">
        <v>9609</v>
      </c>
      <c r="BQ763" s="3"/>
      <c r="BR763" s="3"/>
    </row>
    <row r="764" spans="1:70">
      <c r="A764" s="1" t="s">
        <v>70</v>
      </c>
      <c r="B764" s="1" t="s">
        <v>13846</v>
      </c>
      <c r="C764" s="1" t="s">
        <v>13877</v>
      </c>
      <c r="D764" s="1"/>
      <c r="E764" s="1"/>
      <c r="F764" s="1"/>
      <c r="G764" s="1"/>
      <c r="H764" s="1" t="s">
        <v>13878</v>
      </c>
      <c r="I764" s="1" t="s">
        <v>13878</v>
      </c>
      <c r="J764" s="1"/>
      <c r="K764" s="1"/>
      <c r="L764" s="1"/>
      <c r="M764" s="1"/>
      <c r="N764" s="1"/>
      <c r="O764" s="1"/>
      <c r="P764" s="1"/>
      <c r="Q764" s="1"/>
      <c r="R764" s="1"/>
      <c r="S764" s="1"/>
      <c r="T764" s="1"/>
      <c r="U764" s="1"/>
      <c r="V764" s="1"/>
      <c r="W764" s="1"/>
      <c r="X764" s="1"/>
      <c r="Y764" s="1"/>
      <c r="Z764" s="1"/>
      <c r="AA764" s="1"/>
      <c r="AB764" s="1"/>
      <c r="AC764" s="1"/>
      <c r="AD764" s="1" t="s">
        <v>93</v>
      </c>
      <c r="AE764" s="1" t="s">
        <v>93</v>
      </c>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t="s">
        <v>9609</v>
      </c>
      <c r="BQ764" s="3"/>
      <c r="BR764" s="3"/>
    </row>
    <row r="765" spans="1:70">
      <c r="A765" s="1" t="s">
        <v>70</v>
      </c>
      <c r="B765" s="1" t="s">
        <v>13846</v>
      </c>
      <c r="C765" s="1" t="s">
        <v>13879</v>
      </c>
      <c r="D765" s="1"/>
      <c r="E765" s="1"/>
      <c r="F765" s="1"/>
      <c r="G765" s="1"/>
      <c r="H765" s="1" t="s">
        <v>13880</v>
      </c>
      <c r="I765" s="1" t="s">
        <v>13880</v>
      </c>
      <c r="J765" s="1"/>
      <c r="K765" s="1"/>
      <c r="L765" s="1"/>
      <c r="M765" s="1"/>
      <c r="N765" s="1"/>
      <c r="O765" s="1"/>
      <c r="P765" s="1"/>
      <c r="Q765" s="1"/>
      <c r="R765" s="1"/>
      <c r="S765" s="1"/>
      <c r="T765" s="1"/>
      <c r="U765" s="1"/>
      <c r="V765" s="1"/>
      <c r="W765" s="1"/>
      <c r="X765" s="1"/>
      <c r="Y765" s="1"/>
      <c r="Z765" s="1"/>
      <c r="AA765" s="1"/>
      <c r="AB765" s="1"/>
      <c r="AC765" s="1"/>
      <c r="AD765" s="1" t="s">
        <v>93</v>
      </c>
      <c r="AE765" s="1" t="s">
        <v>93</v>
      </c>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t="s">
        <v>9609</v>
      </c>
      <c r="BQ765" s="3"/>
      <c r="BR765" s="3"/>
    </row>
    <row r="766" spans="1:70">
      <c r="A766" s="1" t="s">
        <v>70</v>
      </c>
      <c r="B766" s="1" t="s">
        <v>13846</v>
      </c>
      <c r="C766" s="1" t="s">
        <v>13881</v>
      </c>
      <c r="D766" s="1"/>
      <c r="E766" s="1"/>
      <c r="F766" s="1"/>
      <c r="G766" s="1"/>
      <c r="H766" s="1" t="s">
        <v>13882</v>
      </c>
      <c r="I766" s="1" t="s">
        <v>13882</v>
      </c>
      <c r="J766" s="1"/>
      <c r="K766" s="1"/>
      <c r="L766" s="1"/>
      <c r="M766" s="1"/>
      <c r="N766" s="1"/>
      <c r="O766" s="1"/>
      <c r="P766" s="1"/>
      <c r="Q766" s="1"/>
      <c r="R766" s="1"/>
      <c r="S766" s="1"/>
      <c r="T766" s="1"/>
      <c r="U766" s="1"/>
      <c r="V766" s="1"/>
      <c r="W766" s="1"/>
      <c r="X766" s="1"/>
      <c r="Y766" s="1"/>
      <c r="Z766" s="1"/>
      <c r="AA766" s="1"/>
      <c r="AB766" s="1"/>
      <c r="AC766" s="1"/>
      <c r="AD766" s="1" t="s">
        <v>93</v>
      </c>
      <c r="AE766" s="1" t="s">
        <v>93</v>
      </c>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t="s">
        <v>9609</v>
      </c>
      <c r="BQ766" s="3"/>
      <c r="BR766" s="3"/>
    </row>
    <row r="767" spans="1:70">
      <c r="A767" s="1" t="s">
        <v>70</v>
      </c>
      <c r="B767" s="1" t="s">
        <v>13846</v>
      </c>
      <c r="C767" s="1" t="s">
        <v>13883</v>
      </c>
      <c r="D767" s="1"/>
      <c r="E767" s="1"/>
      <c r="F767" s="1"/>
      <c r="G767" s="1"/>
      <c r="H767" s="1" t="s">
        <v>13884</v>
      </c>
      <c r="I767" s="1" t="s">
        <v>13884</v>
      </c>
      <c r="J767" s="1"/>
      <c r="K767" s="1"/>
      <c r="L767" s="1"/>
      <c r="M767" s="1"/>
      <c r="N767" s="1"/>
      <c r="O767" s="1"/>
      <c r="P767" s="1"/>
      <c r="Q767" s="1"/>
      <c r="R767" s="1"/>
      <c r="S767" s="1"/>
      <c r="T767" s="1"/>
      <c r="U767" s="1"/>
      <c r="V767" s="1"/>
      <c r="W767" s="1"/>
      <c r="X767" s="1"/>
      <c r="Y767" s="1"/>
      <c r="Z767" s="1"/>
      <c r="AA767" s="1"/>
      <c r="AB767" s="1"/>
      <c r="AC767" s="1"/>
      <c r="AD767" s="1" t="s">
        <v>93</v>
      </c>
      <c r="AE767" s="1" t="s">
        <v>93</v>
      </c>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t="s">
        <v>9609</v>
      </c>
      <c r="BQ767" s="3"/>
      <c r="BR767" s="3"/>
    </row>
    <row r="768" spans="1:70">
      <c r="A768" s="1" t="s">
        <v>70</v>
      </c>
      <c r="B768" s="1" t="s">
        <v>13846</v>
      </c>
      <c r="C768" s="1" t="s">
        <v>13885</v>
      </c>
      <c r="D768" s="1"/>
      <c r="E768" s="1"/>
      <c r="F768" s="1"/>
      <c r="G768" s="1"/>
      <c r="H768" s="1" t="s">
        <v>13886</v>
      </c>
      <c r="I768" s="1" t="s">
        <v>13886</v>
      </c>
      <c r="J768" s="1"/>
      <c r="K768" s="1"/>
      <c r="L768" s="1"/>
      <c r="M768" s="1"/>
      <c r="N768" s="1"/>
      <c r="O768" s="1"/>
      <c r="P768" s="1"/>
      <c r="Q768" s="1"/>
      <c r="R768" s="1"/>
      <c r="S768" s="1"/>
      <c r="T768" s="1"/>
      <c r="U768" s="1"/>
      <c r="V768" s="1"/>
      <c r="W768" s="1"/>
      <c r="X768" s="1"/>
      <c r="Y768" s="1"/>
      <c r="Z768" s="1"/>
      <c r="AA768" s="1"/>
      <c r="AB768" s="1"/>
      <c r="AC768" s="1"/>
      <c r="AD768" s="1" t="s">
        <v>93</v>
      </c>
      <c r="AE768" s="1" t="s">
        <v>93</v>
      </c>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t="s">
        <v>9609</v>
      </c>
      <c r="BQ768" s="3"/>
      <c r="BR768" s="3"/>
    </row>
    <row r="769" spans="1:70">
      <c r="A769" s="1" t="s">
        <v>70</v>
      </c>
      <c r="B769" s="1" t="s">
        <v>13846</v>
      </c>
      <c r="C769" s="1" t="s">
        <v>13887</v>
      </c>
      <c r="D769" s="1"/>
      <c r="E769" s="1"/>
      <c r="F769" s="1"/>
      <c r="G769" s="1"/>
      <c r="H769" s="1" t="s">
        <v>13888</v>
      </c>
      <c r="I769" s="1" t="s">
        <v>13888</v>
      </c>
      <c r="J769" s="1"/>
      <c r="K769" s="1"/>
      <c r="L769" s="1"/>
      <c r="M769" s="1"/>
      <c r="N769" s="1"/>
      <c r="O769" s="1"/>
      <c r="P769" s="1"/>
      <c r="Q769" s="1"/>
      <c r="R769" s="1"/>
      <c r="S769" s="1"/>
      <c r="T769" s="1"/>
      <c r="U769" s="1"/>
      <c r="V769" s="1"/>
      <c r="W769" s="1"/>
      <c r="X769" s="1"/>
      <c r="Y769" s="1"/>
      <c r="Z769" s="1"/>
      <c r="AA769" s="1"/>
      <c r="AB769" s="1"/>
      <c r="AC769" s="1"/>
      <c r="AD769" s="1" t="s">
        <v>93</v>
      </c>
      <c r="AE769" s="1" t="s">
        <v>93</v>
      </c>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t="s">
        <v>9609</v>
      </c>
      <c r="BQ769" s="3"/>
      <c r="BR769" s="3"/>
    </row>
    <row r="770" spans="1:70">
      <c r="A770" s="1" t="s">
        <v>70</v>
      </c>
      <c r="B770" s="1" t="s">
        <v>13846</v>
      </c>
      <c r="C770" s="1" t="s">
        <v>13889</v>
      </c>
      <c r="D770" s="1"/>
      <c r="E770" s="1"/>
      <c r="F770" s="1"/>
      <c r="G770" s="1"/>
      <c r="H770" s="1" t="s">
        <v>13890</v>
      </c>
      <c r="I770" s="1" t="s">
        <v>13890</v>
      </c>
      <c r="J770" s="1"/>
      <c r="K770" s="1"/>
      <c r="L770" s="1"/>
      <c r="M770" s="1"/>
      <c r="N770" s="1"/>
      <c r="O770" s="1"/>
      <c r="P770" s="1"/>
      <c r="Q770" s="1"/>
      <c r="R770" s="1"/>
      <c r="S770" s="1"/>
      <c r="T770" s="1"/>
      <c r="U770" s="1"/>
      <c r="V770" s="1"/>
      <c r="W770" s="1"/>
      <c r="X770" s="1"/>
      <c r="Y770" s="1"/>
      <c r="Z770" s="1"/>
      <c r="AA770" s="1"/>
      <c r="AB770" s="1"/>
      <c r="AC770" s="1"/>
      <c r="AD770" s="1" t="s">
        <v>93</v>
      </c>
      <c r="AE770" s="1" t="s">
        <v>93</v>
      </c>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t="s">
        <v>9609</v>
      </c>
      <c r="BQ770" s="3"/>
      <c r="BR770" s="3"/>
    </row>
    <row r="771" spans="1:70">
      <c r="A771" s="1" t="s">
        <v>70</v>
      </c>
      <c r="B771" s="1" t="s">
        <v>13846</v>
      </c>
      <c r="C771" s="1" t="s">
        <v>13891</v>
      </c>
      <c r="D771" s="1"/>
      <c r="E771" s="1"/>
      <c r="F771" s="1"/>
      <c r="G771" s="1"/>
      <c r="H771" s="1" t="s">
        <v>13892</v>
      </c>
      <c r="I771" s="1" t="s">
        <v>13892</v>
      </c>
      <c r="J771" s="1"/>
      <c r="K771" s="1"/>
      <c r="L771" s="1"/>
      <c r="M771" s="1"/>
      <c r="N771" s="1"/>
      <c r="O771" s="1"/>
      <c r="P771" s="1"/>
      <c r="Q771" s="1"/>
      <c r="R771" s="1"/>
      <c r="S771" s="1"/>
      <c r="T771" s="1"/>
      <c r="U771" s="1"/>
      <c r="V771" s="1"/>
      <c r="W771" s="1"/>
      <c r="X771" s="1"/>
      <c r="Y771" s="1"/>
      <c r="Z771" s="1"/>
      <c r="AA771" s="1"/>
      <c r="AB771" s="1"/>
      <c r="AC771" s="1"/>
      <c r="AD771" s="1" t="s">
        <v>93</v>
      </c>
      <c r="AE771" s="1" t="s">
        <v>93</v>
      </c>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t="s">
        <v>9609</v>
      </c>
      <c r="BQ771" s="3"/>
      <c r="BR771" s="3"/>
    </row>
    <row r="772" spans="1:70">
      <c r="A772" s="1" t="s">
        <v>70</v>
      </c>
      <c r="B772" s="1" t="s">
        <v>13846</v>
      </c>
      <c r="C772" s="1" t="s">
        <v>13893</v>
      </c>
      <c r="D772" s="1"/>
      <c r="E772" s="1"/>
      <c r="F772" s="1"/>
      <c r="G772" s="1"/>
      <c r="H772" s="1" t="s">
        <v>13894</v>
      </c>
      <c r="I772" s="1" t="s">
        <v>13894</v>
      </c>
      <c r="J772" s="1"/>
      <c r="K772" s="1"/>
      <c r="L772" s="1"/>
      <c r="M772" s="1"/>
      <c r="N772" s="1"/>
      <c r="O772" s="1"/>
      <c r="P772" s="1"/>
      <c r="Q772" s="1"/>
      <c r="R772" s="1"/>
      <c r="S772" s="1"/>
      <c r="T772" s="1"/>
      <c r="U772" s="1"/>
      <c r="V772" s="1"/>
      <c r="W772" s="1"/>
      <c r="X772" s="1"/>
      <c r="Y772" s="1"/>
      <c r="Z772" s="1"/>
      <c r="AA772" s="1"/>
      <c r="AB772" s="1"/>
      <c r="AC772" s="1"/>
      <c r="AD772" s="1" t="s">
        <v>93</v>
      </c>
      <c r="AE772" s="1" t="s">
        <v>93</v>
      </c>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t="s">
        <v>9609</v>
      </c>
      <c r="BQ772" s="3"/>
      <c r="BR772" s="3"/>
    </row>
    <row r="773" spans="1:70">
      <c r="A773" s="1" t="s">
        <v>70</v>
      </c>
      <c r="B773" s="1" t="s">
        <v>13846</v>
      </c>
      <c r="C773" s="1" t="s">
        <v>13895</v>
      </c>
      <c r="D773" s="1"/>
      <c r="E773" s="1"/>
      <c r="F773" s="1"/>
      <c r="G773" s="1"/>
      <c r="H773" s="1" t="s">
        <v>13896</v>
      </c>
      <c r="I773" s="1" t="s">
        <v>13896</v>
      </c>
      <c r="J773" s="1"/>
      <c r="K773" s="1"/>
      <c r="L773" s="1"/>
      <c r="M773" s="1"/>
      <c r="N773" s="1"/>
      <c r="O773" s="1"/>
      <c r="P773" s="1"/>
      <c r="Q773" s="1"/>
      <c r="R773" s="1"/>
      <c r="S773" s="1"/>
      <c r="T773" s="1"/>
      <c r="U773" s="1"/>
      <c r="V773" s="1"/>
      <c r="W773" s="1"/>
      <c r="X773" s="1"/>
      <c r="Y773" s="1"/>
      <c r="Z773" s="1"/>
      <c r="AA773" s="1"/>
      <c r="AB773" s="1"/>
      <c r="AC773" s="1"/>
      <c r="AD773" s="1" t="s">
        <v>93</v>
      </c>
      <c r="AE773" s="1" t="s">
        <v>93</v>
      </c>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t="s">
        <v>9609</v>
      </c>
      <c r="BQ773" s="3"/>
      <c r="BR773" s="3"/>
    </row>
    <row r="774" spans="1:70">
      <c r="A774" s="1" t="s">
        <v>70</v>
      </c>
      <c r="B774" s="1" t="s">
        <v>13846</v>
      </c>
      <c r="C774" s="1" t="s">
        <v>13897</v>
      </c>
      <c r="D774" s="1"/>
      <c r="E774" s="1"/>
      <c r="F774" s="1"/>
      <c r="G774" s="1"/>
      <c r="H774" s="1" t="s">
        <v>13898</v>
      </c>
      <c r="I774" s="1" t="s">
        <v>13898</v>
      </c>
      <c r="J774" s="1"/>
      <c r="K774" s="1"/>
      <c r="L774" s="1"/>
      <c r="M774" s="1"/>
      <c r="N774" s="1"/>
      <c r="O774" s="1"/>
      <c r="P774" s="1"/>
      <c r="Q774" s="1"/>
      <c r="R774" s="1"/>
      <c r="S774" s="1"/>
      <c r="T774" s="1"/>
      <c r="U774" s="1"/>
      <c r="V774" s="1"/>
      <c r="W774" s="1"/>
      <c r="X774" s="1"/>
      <c r="Y774" s="1"/>
      <c r="Z774" s="1"/>
      <c r="AA774" s="1"/>
      <c r="AB774" s="1"/>
      <c r="AC774" s="1"/>
      <c r="AD774" s="1" t="s">
        <v>93</v>
      </c>
      <c r="AE774" s="1" t="s">
        <v>93</v>
      </c>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t="s">
        <v>9609</v>
      </c>
      <c r="BQ774" s="3"/>
      <c r="BR774" s="3"/>
    </row>
    <row r="775" spans="1:70">
      <c r="A775" s="1" t="s">
        <v>70</v>
      </c>
      <c r="B775" s="1" t="s">
        <v>13846</v>
      </c>
      <c r="C775" s="1" t="s">
        <v>13899</v>
      </c>
      <c r="D775" s="1"/>
      <c r="E775" s="1"/>
      <c r="F775" s="1"/>
      <c r="G775" s="1"/>
      <c r="H775" s="1" t="s">
        <v>13900</v>
      </c>
      <c r="I775" s="1" t="s">
        <v>13900</v>
      </c>
      <c r="J775" s="1"/>
      <c r="K775" s="1"/>
      <c r="L775" s="1"/>
      <c r="M775" s="1"/>
      <c r="N775" s="1"/>
      <c r="O775" s="1"/>
      <c r="P775" s="1"/>
      <c r="Q775" s="1"/>
      <c r="R775" s="1"/>
      <c r="S775" s="1"/>
      <c r="T775" s="1"/>
      <c r="U775" s="1"/>
      <c r="V775" s="1"/>
      <c r="W775" s="1"/>
      <c r="X775" s="1"/>
      <c r="Y775" s="1"/>
      <c r="Z775" s="1"/>
      <c r="AA775" s="1"/>
      <c r="AB775" s="1"/>
      <c r="AC775" s="1"/>
      <c r="AD775" s="1" t="s">
        <v>93</v>
      </c>
      <c r="AE775" s="1" t="s">
        <v>93</v>
      </c>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t="s">
        <v>9609</v>
      </c>
      <c r="BQ775" s="3"/>
      <c r="BR775" s="3"/>
    </row>
    <row r="776" spans="1:70">
      <c r="A776" s="1" t="s">
        <v>70</v>
      </c>
      <c r="B776" s="1" t="s">
        <v>13846</v>
      </c>
      <c r="C776" s="1" t="s">
        <v>13901</v>
      </c>
      <c r="D776" s="1"/>
      <c r="E776" s="1"/>
      <c r="F776" s="1"/>
      <c r="G776" s="1"/>
      <c r="H776" s="1" t="s">
        <v>13902</v>
      </c>
      <c r="I776" s="1" t="s">
        <v>13902</v>
      </c>
      <c r="J776" s="1"/>
      <c r="K776" s="1"/>
      <c r="L776" s="1"/>
      <c r="M776" s="1"/>
      <c r="N776" s="1"/>
      <c r="O776" s="1"/>
      <c r="P776" s="1"/>
      <c r="Q776" s="1"/>
      <c r="R776" s="1"/>
      <c r="S776" s="1"/>
      <c r="T776" s="1"/>
      <c r="U776" s="1"/>
      <c r="V776" s="1"/>
      <c r="W776" s="1"/>
      <c r="X776" s="1"/>
      <c r="Y776" s="1"/>
      <c r="Z776" s="1"/>
      <c r="AA776" s="1"/>
      <c r="AB776" s="1"/>
      <c r="AC776" s="1"/>
      <c r="AD776" s="1" t="s">
        <v>93</v>
      </c>
      <c r="AE776" s="1" t="s">
        <v>93</v>
      </c>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t="s">
        <v>9609</v>
      </c>
      <c r="BQ776" s="3"/>
      <c r="BR776" s="3"/>
    </row>
    <row r="777" spans="1:70">
      <c r="A777" s="1" t="s">
        <v>70</v>
      </c>
      <c r="B777" s="1" t="s">
        <v>13846</v>
      </c>
      <c r="C777" s="1" t="s">
        <v>13903</v>
      </c>
      <c r="D777" s="1"/>
      <c r="E777" s="1"/>
      <c r="F777" s="1"/>
      <c r="G777" s="1"/>
      <c r="H777" s="1" t="s">
        <v>13904</v>
      </c>
      <c r="I777" s="1" t="s">
        <v>13904</v>
      </c>
      <c r="J777" s="1"/>
      <c r="K777" s="1"/>
      <c r="L777" s="1"/>
      <c r="M777" s="1"/>
      <c r="N777" s="1"/>
      <c r="O777" s="1"/>
      <c r="P777" s="1"/>
      <c r="Q777" s="1"/>
      <c r="R777" s="1"/>
      <c r="S777" s="1"/>
      <c r="T777" s="1"/>
      <c r="U777" s="1"/>
      <c r="V777" s="1"/>
      <c r="W777" s="1"/>
      <c r="X777" s="1"/>
      <c r="Y777" s="1"/>
      <c r="Z777" s="1"/>
      <c r="AA777" s="1"/>
      <c r="AB777" s="1"/>
      <c r="AC777" s="1"/>
      <c r="AD777" s="1" t="s">
        <v>93</v>
      </c>
      <c r="AE777" s="1" t="s">
        <v>93</v>
      </c>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t="s">
        <v>9609</v>
      </c>
      <c r="BQ777" s="3"/>
      <c r="BR777" s="3"/>
    </row>
    <row r="778" spans="1:70">
      <c r="A778" s="1" t="s">
        <v>70</v>
      </c>
      <c r="B778" s="1" t="s">
        <v>13846</v>
      </c>
      <c r="C778" s="1" t="s">
        <v>13905</v>
      </c>
      <c r="D778" s="1"/>
      <c r="E778" s="1"/>
      <c r="F778" s="1"/>
      <c r="G778" s="1"/>
      <c r="H778" s="1" t="s">
        <v>13906</v>
      </c>
      <c r="I778" s="1" t="s">
        <v>13906</v>
      </c>
      <c r="J778" s="1"/>
      <c r="K778" s="1"/>
      <c r="L778" s="1"/>
      <c r="M778" s="1"/>
      <c r="N778" s="1"/>
      <c r="O778" s="1"/>
      <c r="P778" s="1"/>
      <c r="Q778" s="1"/>
      <c r="R778" s="1"/>
      <c r="S778" s="1"/>
      <c r="T778" s="1"/>
      <c r="U778" s="1"/>
      <c r="V778" s="1"/>
      <c r="W778" s="1"/>
      <c r="X778" s="1"/>
      <c r="Y778" s="1"/>
      <c r="Z778" s="1"/>
      <c r="AA778" s="1"/>
      <c r="AB778" s="1"/>
      <c r="AC778" s="1"/>
      <c r="AD778" s="1" t="s">
        <v>93</v>
      </c>
      <c r="AE778" s="1" t="s">
        <v>93</v>
      </c>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t="s">
        <v>9609</v>
      </c>
      <c r="BQ778" s="3"/>
      <c r="BR778" s="3"/>
    </row>
    <row r="779" spans="1:70">
      <c r="A779" s="1" t="s">
        <v>70</v>
      </c>
      <c r="B779" s="1" t="s">
        <v>13846</v>
      </c>
      <c r="C779" s="1" t="s">
        <v>13907</v>
      </c>
      <c r="D779" s="1"/>
      <c r="E779" s="1"/>
      <c r="F779" s="1"/>
      <c r="G779" s="1"/>
      <c r="H779" s="1" t="s">
        <v>13908</v>
      </c>
      <c r="I779" s="1" t="s">
        <v>13908</v>
      </c>
      <c r="J779" s="1"/>
      <c r="K779" s="1"/>
      <c r="L779" s="1"/>
      <c r="M779" s="1"/>
      <c r="N779" s="1"/>
      <c r="O779" s="1"/>
      <c r="P779" s="1"/>
      <c r="Q779" s="1"/>
      <c r="R779" s="1"/>
      <c r="S779" s="1"/>
      <c r="T779" s="1"/>
      <c r="U779" s="1"/>
      <c r="V779" s="1"/>
      <c r="W779" s="1"/>
      <c r="X779" s="1"/>
      <c r="Y779" s="1"/>
      <c r="Z779" s="1"/>
      <c r="AA779" s="1"/>
      <c r="AB779" s="1"/>
      <c r="AC779" s="1"/>
      <c r="AD779" s="1" t="s">
        <v>93</v>
      </c>
      <c r="AE779" s="1" t="s">
        <v>93</v>
      </c>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t="s">
        <v>9609</v>
      </c>
      <c r="BQ779" s="3"/>
      <c r="BR779" s="3"/>
    </row>
    <row r="780" spans="1:70">
      <c r="A780" s="1" t="s">
        <v>70</v>
      </c>
      <c r="B780" s="1" t="s">
        <v>13846</v>
      </c>
      <c r="C780" s="1" t="s">
        <v>13909</v>
      </c>
      <c r="D780" s="1"/>
      <c r="E780" s="1"/>
      <c r="F780" s="1"/>
      <c r="G780" s="1"/>
      <c r="H780" s="1" t="s">
        <v>13910</v>
      </c>
      <c r="I780" s="1" t="s">
        <v>13910</v>
      </c>
      <c r="J780" s="1"/>
      <c r="K780" s="1"/>
      <c r="L780" s="1"/>
      <c r="M780" s="1"/>
      <c r="N780" s="1"/>
      <c r="O780" s="1"/>
      <c r="P780" s="1"/>
      <c r="Q780" s="1"/>
      <c r="R780" s="1"/>
      <c r="S780" s="1"/>
      <c r="T780" s="1"/>
      <c r="U780" s="1"/>
      <c r="V780" s="1"/>
      <c r="W780" s="1"/>
      <c r="X780" s="1"/>
      <c r="Y780" s="1"/>
      <c r="Z780" s="1"/>
      <c r="AA780" s="1"/>
      <c r="AB780" s="1"/>
      <c r="AC780" s="1"/>
      <c r="AD780" s="1" t="s">
        <v>93</v>
      </c>
      <c r="AE780" s="1" t="s">
        <v>93</v>
      </c>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t="s">
        <v>9609</v>
      </c>
      <c r="BQ780" s="3"/>
      <c r="BR780" s="3"/>
    </row>
    <row r="781" spans="1:70">
      <c r="A781" s="1" t="s">
        <v>70</v>
      </c>
      <c r="B781" s="1" t="s">
        <v>13846</v>
      </c>
      <c r="C781" s="1" t="s">
        <v>13911</v>
      </c>
      <c r="D781" s="1"/>
      <c r="E781" s="1"/>
      <c r="F781" s="1"/>
      <c r="G781" s="1"/>
      <c r="H781" s="1" t="s">
        <v>13912</v>
      </c>
      <c r="I781" s="1" t="s">
        <v>13912</v>
      </c>
      <c r="J781" s="1"/>
      <c r="K781" s="1"/>
      <c r="L781" s="1"/>
      <c r="M781" s="1"/>
      <c r="N781" s="1"/>
      <c r="O781" s="1"/>
      <c r="P781" s="1"/>
      <c r="Q781" s="1"/>
      <c r="R781" s="1"/>
      <c r="S781" s="1"/>
      <c r="T781" s="1"/>
      <c r="U781" s="1"/>
      <c r="V781" s="1"/>
      <c r="W781" s="1"/>
      <c r="X781" s="1"/>
      <c r="Y781" s="1"/>
      <c r="Z781" s="1"/>
      <c r="AA781" s="1"/>
      <c r="AB781" s="1"/>
      <c r="AC781" s="1"/>
      <c r="AD781" s="1" t="s">
        <v>93</v>
      </c>
      <c r="AE781" s="1" t="s">
        <v>93</v>
      </c>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t="s">
        <v>9609</v>
      </c>
      <c r="BQ781" s="3"/>
      <c r="BR781" s="3"/>
    </row>
    <row r="782" spans="1:70">
      <c r="A782" s="1" t="s">
        <v>70</v>
      </c>
      <c r="B782" s="1" t="s">
        <v>13846</v>
      </c>
      <c r="C782" s="1" t="s">
        <v>13913</v>
      </c>
      <c r="D782" s="1"/>
      <c r="E782" s="1"/>
      <c r="F782" s="1"/>
      <c r="G782" s="1"/>
      <c r="H782" s="1" t="s">
        <v>13914</v>
      </c>
      <c r="I782" s="1" t="s">
        <v>13914</v>
      </c>
      <c r="J782" s="1"/>
      <c r="K782" s="1"/>
      <c r="L782" s="1"/>
      <c r="M782" s="1"/>
      <c r="N782" s="1"/>
      <c r="O782" s="1"/>
      <c r="P782" s="1"/>
      <c r="Q782" s="1"/>
      <c r="R782" s="1"/>
      <c r="S782" s="1"/>
      <c r="T782" s="1"/>
      <c r="U782" s="1"/>
      <c r="V782" s="1"/>
      <c r="W782" s="1"/>
      <c r="X782" s="1"/>
      <c r="Y782" s="1"/>
      <c r="Z782" s="1"/>
      <c r="AA782" s="1"/>
      <c r="AB782" s="1"/>
      <c r="AC782" s="1"/>
      <c r="AD782" s="1" t="s">
        <v>93</v>
      </c>
      <c r="AE782" s="1" t="s">
        <v>93</v>
      </c>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t="s">
        <v>9609</v>
      </c>
      <c r="BQ782" s="3"/>
      <c r="BR782" s="3"/>
    </row>
    <row r="783" spans="1:70">
      <c r="A783" s="1" t="s">
        <v>70</v>
      </c>
      <c r="B783" s="1" t="s">
        <v>13846</v>
      </c>
      <c r="C783" s="1" t="s">
        <v>13915</v>
      </c>
      <c r="D783" s="1"/>
      <c r="E783" s="1"/>
      <c r="F783" s="1"/>
      <c r="G783" s="1"/>
      <c r="H783" s="1" t="s">
        <v>13916</v>
      </c>
      <c r="I783" s="1" t="s">
        <v>13916</v>
      </c>
      <c r="J783" s="1"/>
      <c r="K783" s="1"/>
      <c r="L783" s="1"/>
      <c r="M783" s="1"/>
      <c r="N783" s="1"/>
      <c r="O783" s="1"/>
      <c r="P783" s="1"/>
      <c r="Q783" s="1"/>
      <c r="R783" s="1"/>
      <c r="S783" s="1"/>
      <c r="T783" s="1"/>
      <c r="U783" s="1"/>
      <c r="V783" s="1"/>
      <c r="W783" s="1"/>
      <c r="X783" s="1"/>
      <c r="Y783" s="1"/>
      <c r="Z783" s="1"/>
      <c r="AA783" s="1"/>
      <c r="AB783" s="1"/>
      <c r="AC783" s="1"/>
      <c r="AD783" s="1" t="s">
        <v>93</v>
      </c>
      <c r="AE783" s="1" t="s">
        <v>93</v>
      </c>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t="s">
        <v>9609</v>
      </c>
      <c r="BQ783" s="3"/>
      <c r="BR783" s="3"/>
    </row>
    <row r="784" spans="1:70">
      <c r="A784" s="1" t="s">
        <v>70</v>
      </c>
      <c r="B784" s="1" t="s">
        <v>13846</v>
      </c>
      <c r="C784" s="1" t="s">
        <v>13917</v>
      </c>
      <c r="D784" s="1"/>
      <c r="E784" s="1"/>
      <c r="F784" s="1"/>
      <c r="G784" s="1"/>
      <c r="H784" s="1" t="s">
        <v>13918</v>
      </c>
      <c r="I784" s="1" t="s">
        <v>13918</v>
      </c>
      <c r="J784" s="1"/>
      <c r="K784" s="1"/>
      <c r="L784" s="1"/>
      <c r="M784" s="1"/>
      <c r="N784" s="1"/>
      <c r="O784" s="1"/>
      <c r="P784" s="1"/>
      <c r="Q784" s="1"/>
      <c r="R784" s="1"/>
      <c r="S784" s="1"/>
      <c r="T784" s="1"/>
      <c r="U784" s="1"/>
      <c r="V784" s="1"/>
      <c r="W784" s="1"/>
      <c r="X784" s="1"/>
      <c r="Y784" s="1"/>
      <c r="Z784" s="1"/>
      <c r="AA784" s="1"/>
      <c r="AB784" s="1"/>
      <c r="AC784" s="1"/>
      <c r="AD784" s="1" t="s">
        <v>93</v>
      </c>
      <c r="AE784" s="1" t="s">
        <v>93</v>
      </c>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t="s">
        <v>9609</v>
      </c>
      <c r="BQ784" s="3"/>
      <c r="BR784" s="3"/>
    </row>
    <row r="785" spans="1:70">
      <c r="A785" s="1" t="s">
        <v>70</v>
      </c>
      <c r="B785" s="1" t="s">
        <v>13846</v>
      </c>
      <c r="C785" s="1" t="s">
        <v>13919</v>
      </c>
      <c r="D785" s="1"/>
      <c r="E785" s="1"/>
      <c r="F785" s="1"/>
      <c r="G785" s="1"/>
      <c r="H785" s="1" t="s">
        <v>13920</v>
      </c>
      <c r="I785" s="1" t="s">
        <v>13920</v>
      </c>
      <c r="J785" s="1"/>
      <c r="K785" s="1"/>
      <c r="L785" s="1"/>
      <c r="M785" s="1"/>
      <c r="N785" s="1"/>
      <c r="O785" s="1"/>
      <c r="P785" s="1"/>
      <c r="Q785" s="1"/>
      <c r="R785" s="1"/>
      <c r="S785" s="1"/>
      <c r="T785" s="1"/>
      <c r="U785" s="1"/>
      <c r="V785" s="1"/>
      <c r="W785" s="1"/>
      <c r="X785" s="1"/>
      <c r="Y785" s="1"/>
      <c r="Z785" s="1"/>
      <c r="AA785" s="1"/>
      <c r="AB785" s="1"/>
      <c r="AC785" s="1"/>
      <c r="AD785" s="1" t="s">
        <v>93</v>
      </c>
      <c r="AE785" s="1" t="s">
        <v>93</v>
      </c>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t="s">
        <v>9609</v>
      </c>
      <c r="BQ785" s="3"/>
      <c r="BR785" s="3"/>
    </row>
    <row r="786" spans="1:70">
      <c r="A786" s="1" t="s">
        <v>70</v>
      </c>
      <c r="B786" s="1" t="s">
        <v>13846</v>
      </c>
      <c r="C786" s="1" t="s">
        <v>13921</v>
      </c>
      <c r="D786" s="1"/>
      <c r="E786" s="1"/>
      <c r="F786" s="1"/>
      <c r="G786" s="1"/>
      <c r="H786" s="1" t="s">
        <v>13922</v>
      </c>
      <c r="I786" s="1" t="s">
        <v>13922</v>
      </c>
      <c r="J786" s="1"/>
      <c r="K786" s="1"/>
      <c r="L786" s="1"/>
      <c r="M786" s="1"/>
      <c r="N786" s="1"/>
      <c r="O786" s="1"/>
      <c r="P786" s="1"/>
      <c r="Q786" s="1"/>
      <c r="R786" s="1"/>
      <c r="S786" s="1"/>
      <c r="T786" s="1"/>
      <c r="U786" s="1"/>
      <c r="V786" s="1"/>
      <c r="W786" s="1"/>
      <c r="X786" s="1"/>
      <c r="Y786" s="1"/>
      <c r="Z786" s="1"/>
      <c r="AA786" s="1"/>
      <c r="AB786" s="1"/>
      <c r="AC786" s="1"/>
      <c r="AD786" s="1" t="s">
        <v>93</v>
      </c>
      <c r="AE786" s="1" t="s">
        <v>93</v>
      </c>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t="s">
        <v>9609</v>
      </c>
      <c r="BQ786" s="3"/>
      <c r="BR786" s="3"/>
    </row>
    <row r="787" spans="1:70">
      <c r="A787" s="1" t="s">
        <v>70</v>
      </c>
      <c r="B787" s="1" t="s">
        <v>13846</v>
      </c>
      <c r="C787" s="1" t="s">
        <v>13923</v>
      </c>
      <c r="D787" s="1"/>
      <c r="E787" s="1"/>
      <c r="F787" s="1"/>
      <c r="G787" s="1"/>
      <c r="H787" s="1" t="s">
        <v>13924</v>
      </c>
      <c r="I787" s="1" t="s">
        <v>13924</v>
      </c>
      <c r="J787" s="1"/>
      <c r="K787" s="1"/>
      <c r="L787" s="1"/>
      <c r="M787" s="1"/>
      <c r="N787" s="1"/>
      <c r="O787" s="1"/>
      <c r="P787" s="1"/>
      <c r="Q787" s="1"/>
      <c r="R787" s="1"/>
      <c r="S787" s="1"/>
      <c r="T787" s="1"/>
      <c r="U787" s="1"/>
      <c r="V787" s="1"/>
      <c r="W787" s="1"/>
      <c r="X787" s="1"/>
      <c r="Y787" s="1"/>
      <c r="Z787" s="1"/>
      <c r="AA787" s="1"/>
      <c r="AB787" s="1"/>
      <c r="AC787" s="1"/>
      <c r="AD787" s="1" t="s">
        <v>93</v>
      </c>
      <c r="AE787" s="1" t="s">
        <v>93</v>
      </c>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t="s">
        <v>9609</v>
      </c>
      <c r="BQ787" s="3"/>
      <c r="BR787" s="3"/>
    </row>
    <row r="788" spans="1:70">
      <c r="A788" s="1" t="s">
        <v>70</v>
      </c>
      <c r="B788" s="1" t="s">
        <v>13846</v>
      </c>
      <c r="C788" s="1" t="s">
        <v>13925</v>
      </c>
      <c r="D788" s="1"/>
      <c r="E788" s="1"/>
      <c r="F788" s="1"/>
      <c r="G788" s="1"/>
      <c r="H788" s="1" t="s">
        <v>13926</v>
      </c>
      <c r="I788" s="1" t="s">
        <v>13926</v>
      </c>
      <c r="J788" s="1"/>
      <c r="K788" s="1"/>
      <c r="L788" s="1"/>
      <c r="M788" s="1"/>
      <c r="N788" s="1"/>
      <c r="O788" s="1"/>
      <c r="P788" s="1"/>
      <c r="Q788" s="1"/>
      <c r="R788" s="1"/>
      <c r="S788" s="1"/>
      <c r="T788" s="1"/>
      <c r="U788" s="1"/>
      <c r="V788" s="1"/>
      <c r="W788" s="1"/>
      <c r="X788" s="1"/>
      <c r="Y788" s="1"/>
      <c r="Z788" s="1"/>
      <c r="AA788" s="1"/>
      <c r="AB788" s="1"/>
      <c r="AC788" s="1"/>
      <c r="AD788" s="1" t="s">
        <v>93</v>
      </c>
      <c r="AE788" s="1" t="s">
        <v>93</v>
      </c>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t="s">
        <v>9609</v>
      </c>
      <c r="BQ788" s="3"/>
      <c r="BR788" s="3"/>
    </row>
    <row r="789" spans="1:70">
      <c r="A789" s="1" t="s">
        <v>70</v>
      </c>
      <c r="B789" s="1" t="s">
        <v>13846</v>
      </c>
      <c r="C789" s="1" t="s">
        <v>13927</v>
      </c>
      <c r="D789" s="1"/>
      <c r="E789" s="1"/>
      <c r="F789" s="1"/>
      <c r="G789" s="1"/>
      <c r="H789" s="1" t="s">
        <v>13928</v>
      </c>
      <c r="I789" s="1" t="s">
        <v>13928</v>
      </c>
      <c r="J789" s="1"/>
      <c r="K789" s="1"/>
      <c r="L789" s="1"/>
      <c r="M789" s="1"/>
      <c r="N789" s="1"/>
      <c r="O789" s="1"/>
      <c r="P789" s="1"/>
      <c r="Q789" s="1"/>
      <c r="R789" s="1"/>
      <c r="S789" s="1"/>
      <c r="T789" s="1"/>
      <c r="U789" s="1"/>
      <c r="V789" s="1"/>
      <c r="W789" s="1"/>
      <c r="X789" s="1"/>
      <c r="Y789" s="1"/>
      <c r="Z789" s="1"/>
      <c r="AA789" s="1"/>
      <c r="AB789" s="1"/>
      <c r="AC789" s="1"/>
      <c r="AD789" s="1" t="s">
        <v>93</v>
      </c>
      <c r="AE789" s="1" t="s">
        <v>93</v>
      </c>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t="s">
        <v>9609</v>
      </c>
      <c r="BQ789" s="3"/>
      <c r="BR789" s="3"/>
    </row>
    <row r="790" spans="1:70">
      <c r="A790" s="1" t="s">
        <v>70</v>
      </c>
      <c r="B790" s="1" t="s">
        <v>13846</v>
      </c>
      <c r="C790" s="1" t="s">
        <v>13929</v>
      </c>
      <c r="D790" s="1"/>
      <c r="E790" s="1"/>
      <c r="F790" s="1"/>
      <c r="G790" s="1"/>
      <c r="H790" s="1" t="s">
        <v>13930</v>
      </c>
      <c r="I790" s="1" t="s">
        <v>13930</v>
      </c>
      <c r="J790" s="1"/>
      <c r="K790" s="1"/>
      <c r="L790" s="1"/>
      <c r="M790" s="1"/>
      <c r="N790" s="1"/>
      <c r="O790" s="1"/>
      <c r="P790" s="1"/>
      <c r="Q790" s="1"/>
      <c r="R790" s="1"/>
      <c r="S790" s="1"/>
      <c r="T790" s="1"/>
      <c r="U790" s="1"/>
      <c r="V790" s="1"/>
      <c r="W790" s="1"/>
      <c r="X790" s="1"/>
      <c r="Y790" s="1"/>
      <c r="Z790" s="1"/>
      <c r="AA790" s="1"/>
      <c r="AB790" s="1"/>
      <c r="AC790" s="1"/>
      <c r="AD790" s="1" t="s">
        <v>93</v>
      </c>
      <c r="AE790" s="1" t="s">
        <v>93</v>
      </c>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t="s">
        <v>9609</v>
      </c>
      <c r="BQ790" s="3"/>
      <c r="BR790" s="3"/>
    </row>
    <row r="791" spans="1:70">
      <c r="A791" s="1" t="s">
        <v>70</v>
      </c>
      <c r="B791" s="1" t="s">
        <v>13846</v>
      </c>
      <c r="C791" s="1" t="s">
        <v>13931</v>
      </c>
      <c r="D791" s="1"/>
      <c r="E791" s="1"/>
      <c r="F791" s="1"/>
      <c r="G791" s="1"/>
      <c r="H791" s="1" t="s">
        <v>13932</v>
      </c>
      <c r="I791" s="1" t="s">
        <v>13932</v>
      </c>
      <c r="J791" s="1"/>
      <c r="K791" s="1"/>
      <c r="L791" s="1"/>
      <c r="M791" s="1"/>
      <c r="N791" s="1"/>
      <c r="O791" s="1"/>
      <c r="P791" s="1"/>
      <c r="Q791" s="1"/>
      <c r="R791" s="1"/>
      <c r="S791" s="1"/>
      <c r="T791" s="1"/>
      <c r="U791" s="1"/>
      <c r="V791" s="1"/>
      <c r="W791" s="1"/>
      <c r="X791" s="1"/>
      <c r="Y791" s="1"/>
      <c r="Z791" s="1"/>
      <c r="AA791" s="1"/>
      <c r="AB791" s="1"/>
      <c r="AC791" s="1"/>
      <c r="AD791" s="1" t="s">
        <v>93</v>
      </c>
      <c r="AE791" s="1" t="s">
        <v>93</v>
      </c>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t="s">
        <v>9609</v>
      </c>
      <c r="BQ791" s="3"/>
      <c r="BR791" s="3"/>
    </row>
    <row r="792" spans="1:70">
      <c r="A792" s="1" t="s">
        <v>70</v>
      </c>
      <c r="B792" s="1" t="s">
        <v>13846</v>
      </c>
      <c r="C792" s="1" t="s">
        <v>13933</v>
      </c>
      <c r="D792" s="1"/>
      <c r="E792" s="1"/>
      <c r="F792" s="1"/>
      <c r="G792" s="1"/>
      <c r="H792" s="1" t="s">
        <v>13934</v>
      </c>
      <c r="I792" s="1" t="s">
        <v>13934</v>
      </c>
      <c r="J792" s="1"/>
      <c r="K792" s="1"/>
      <c r="L792" s="1"/>
      <c r="M792" s="1"/>
      <c r="N792" s="1"/>
      <c r="O792" s="1"/>
      <c r="P792" s="1"/>
      <c r="Q792" s="1"/>
      <c r="R792" s="1"/>
      <c r="S792" s="1"/>
      <c r="T792" s="1"/>
      <c r="U792" s="1"/>
      <c r="V792" s="1"/>
      <c r="W792" s="1"/>
      <c r="X792" s="1"/>
      <c r="Y792" s="1"/>
      <c r="Z792" s="1"/>
      <c r="AA792" s="1"/>
      <c r="AB792" s="1"/>
      <c r="AC792" s="1"/>
      <c r="AD792" s="1" t="s">
        <v>93</v>
      </c>
      <c r="AE792" s="1" t="s">
        <v>93</v>
      </c>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t="s">
        <v>9609</v>
      </c>
      <c r="BQ792" s="3"/>
      <c r="BR792" s="3"/>
    </row>
    <row r="793" spans="1:70">
      <c r="A793" s="1" t="s">
        <v>70</v>
      </c>
      <c r="B793" s="1" t="s">
        <v>13846</v>
      </c>
      <c r="C793" s="1" t="s">
        <v>13935</v>
      </c>
      <c r="D793" s="1"/>
      <c r="E793" s="1"/>
      <c r="F793" s="1"/>
      <c r="G793" s="1"/>
      <c r="H793" s="1" t="s">
        <v>13936</v>
      </c>
      <c r="I793" s="1" t="s">
        <v>13936</v>
      </c>
      <c r="J793" s="1"/>
      <c r="K793" s="1"/>
      <c r="L793" s="1"/>
      <c r="M793" s="1"/>
      <c r="N793" s="1"/>
      <c r="O793" s="1"/>
      <c r="P793" s="1"/>
      <c r="Q793" s="1"/>
      <c r="R793" s="1"/>
      <c r="S793" s="1"/>
      <c r="T793" s="1"/>
      <c r="U793" s="1"/>
      <c r="V793" s="1"/>
      <c r="W793" s="1"/>
      <c r="X793" s="1"/>
      <c r="Y793" s="1"/>
      <c r="Z793" s="1"/>
      <c r="AA793" s="1"/>
      <c r="AB793" s="1"/>
      <c r="AC793" s="1"/>
      <c r="AD793" s="1" t="s">
        <v>93</v>
      </c>
      <c r="AE793" s="1" t="s">
        <v>93</v>
      </c>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t="s">
        <v>9609</v>
      </c>
      <c r="BQ793" s="3"/>
      <c r="BR793" s="3"/>
    </row>
    <row r="794" spans="1:70">
      <c r="A794" s="1" t="s">
        <v>70</v>
      </c>
      <c r="B794" s="1" t="s">
        <v>13846</v>
      </c>
      <c r="C794" s="1" t="s">
        <v>13937</v>
      </c>
      <c r="D794" s="1"/>
      <c r="E794" s="1"/>
      <c r="F794" s="1"/>
      <c r="G794" s="1"/>
      <c r="H794" s="1" t="s">
        <v>13938</v>
      </c>
      <c r="I794" s="1" t="s">
        <v>13938</v>
      </c>
      <c r="J794" s="1"/>
      <c r="K794" s="1"/>
      <c r="L794" s="1"/>
      <c r="M794" s="1"/>
      <c r="N794" s="1"/>
      <c r="O794" s="1"/>
      <c r="P794" s="1"/>
      <c r="Q794" s="1"/>
      <c r="R794" s="1"/>
      <c r="S794" s="1"/>
      <c r="T794" s="1"/>
      <c r="U794" s="1"/>
      <c r="V794" s="1"/>
      <c r="W794" s="1"/>
      <c r="X794" s="1"/>
      <c r="Y794" s="1"/>
      <c r="Z794" s="1"/>
      <c r="AA794" s="1"/>
      <c r="AB794" s="1"/>
      <c r="AC794" s="1"/>
      <c r="AD794" s="1" t="s">
        <v>93</v>
      </c>
      <c r="AE794" s="1" t="s">
        <v>93</v>
      </c>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t="s">
        <v>9609</v>
      </c>
      <c r="BQ794" s="3"/>
      <c r="BR794" s="3"/>
    </row>
    <row r="795" spans="1:70">
      <c r="A795" s="1" t="s">
        <v>70</v>
      </c>
      <c r="B795" s="1" t="s">
        <v>13846</v>
      </c>
      <c r="C795" s="1" t="s">
        <v>13939</v>
      </c>
      <c r="D795" s="1"/>
      <c r="E795" s="1"/>
      <c r="F795" s="1"/>
      <c r="G795" s="1"/>
      <c r="H795" s="1" t="s">
        <v>13940</v>
      </c>
      <c r="I795" s="1" t="s">
        <v>13940</v>
      </c>
      <c r="J795" s="1"/>
      <c r="K795" s="1"/>
      <c r="L795" s="1"/>
      <c r="M795" s="1"/>
      <c r="N795" s="1"/>
      <c r="O795" s="1"/>
      <c r="P795" s="1"/>
      <c r="Q795" s="1"/>
      <c r="R795" s="1"/>
      <c r="S795" s="1"/>
      <c r="T795" s="1"/>
      <c r="U795" s="1"/>
      <c r="V795" s="1"/>
      <c r="W795" s="1"/>
      <c r="X795" s="1"/>
      <c r="Y795" s="1"/>
      <c r="Z795" s="1"/>
      <c r="AA795" s="1"/>
      <c r="AB795" s="1"/>
      <c r="AC795" s="1"/>
      <c r="AD795" s="1" t="s">
        <v>93</v>
      </c>
      <c r="AE795" s="1" t="s">
        <v>93</v>
      </c>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t="s">
        <v>9609</v>
      </c>
      <c r="BQ795" s="3"/>
      <c r="BR795" s="3"/>
    </row>
    <row r="796" spans="1:70">
      <c r="A796" s="1" t="s">
        <v>70</v>
      </c>
      <c r="B796" s="1" t="s">
        <v>13846</v>
      </c>
      <c r="C796" s="1" t="s">
        <v>13941</v>
      </c>
      <c r="D796" s="1"/>
      <c r="E796" s="1"/>
      <c r="F796" s="1"/>
      <c r="G796" s="1"/>
      <c r="H796" s="1" t="s">
        <v>13942</v>
      </c>
      <c r="I796" s="1" t="s">
        <v>13942</v>
      </c>
      <c r="J796" s="1"/>
      <c r="K796" s="1"/>
      <c r="L796" s="1"/>
      <c r="M796" s="1"/>
      <c r="N796" s="1"/>
      <c r="O796" s="1"/>
      <c r="P796" s="1"/>
      <c r="Q796" s="1"/>
      <c r="R796" s="1"/>
      <c r="S796" s="1"/>
      <c r="T796" s="1"/>
      <c r="U796" s="1"/>
      <c r="V796" s="1"/>
      <c r="W796" s="1"/>
      <c r="X796" s="1"/>
      <c r="Y796" s="1"/>
      <c r="Z796" s="1"/>
      <c r="AA796" s="1"/>
      <c r="AB796" s="1"/>
      <c r="AC796" s="1"/>
      <c r="AD796" s="1" t="s">
        <v>93</v>
      </c>
      <c r="AE796" s="1" t="s">
        <v>93</v>
      </c>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t="s">
        <v>9609</v>
      </c>
      <c r="BQ796" s="3"/>
      <c r="BR796" s="3"/>
    </row>
    <row r="797" spans="1:70">
      <c r="A797" s="1" t="s">
        <v>70</v>
      </c>
      <c r="B797" s="1" t="s">
        <v>13846</v>
      </c>
      <c r="C797" s="1" t="s">
        <v>13943</v>
      </c>
      <c r="D797" s="1"/>
      <c r="E797" s="1"/>
      <c r="F797" s="1"/>
      <c r="G797" s="1"/>
      <c r="H797" s="1" t="s">
        <v>13944</v>
      </c>
      <c r="I797" s="1" t="s">
        <v>13944</v>
      </c>
      <c r="J797" s="1"/>
      <c r="K797" s="1"/>
      <c r="L797" s="1"/>
      <c r="M797" s="1"/>
      <c r="N797" s="1"/>
      <c r="O797" s="1"/>
      <c r="P797" s="1"/>
      <c r="Q797" s="1"/>
      <c r="R797" s="1"/>
      <c r="S797" s="1"/>
      <c r="T797" s="1"/>
      <c r="U797" s="1"/>
      <c r="V797" s="1"/>
      <c r="W797" s="1"/>
      <c r="X797" s="1"/>
      <c r="Y797" s="1"/>
      <c r="Z797" s="1"/>
      <c r="AA797" s="1"/>
      <c r="AB797" s="1"/>
      <c r="AC797" s="1"/>
      <c r="AD797" s="1" t="s">
        <v>93</v>
      </c>
      <c r="AE797" s="1" t="s">
        <v>93</v>
      </c>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t="s">
        <v>9609</v>
      </c>
      <c r="BQ797" s="3"/>
      <c r="BR797" s="3"/>
    </row>
    <row r="798" spans="1:70">
      <c r="A798" s="1" t="s">
        <v>70</v>
      </c>
      <c r="B798" s="1" t="s">
        <v>13846</v>
      </c>
      <c r="C798" s="1" t="s">
        <v>13945</v>
      </c>
      <c r="D798" s="1" t="s">
        <v>1113</v>
      </c>
      <c r="E798" s="1" t="s">
        <v>4342</v>
      </c>
      <c r="F798" s="1" t="s">
        <v>142</v>
      </c>
      <c r="G798" s="1" t="s">
        <v>13946</v>
      </c>
      <c r="H798" s="1" t="s">
        <v>13947</v>
      </c>
      <c r="I798" s="1" t="s">
        <v>13948</v>
      </c>
      <c r="J798" s="1">
        <v>8380084765</v>
      </c>
      <c r="K798" s="1" t="s">
        <v>79</v>
      </c>
      <c r="L798" s="1" t="s">
        <v>13949</v>
      </c>
      <c r="M798" s="1" t="s">
        <v>81</v>
      </c>
      <c r="N798" s="1" t="s">
        <v>13390</v>
      </c>
      <c r="O798" s="1" t="s">
        <v>13950</v>
      </c>
      <c r="P798" s="1" t="s">
        <v>214</v>
      </c>
      <c r="Q798" s="1">
        <v>709412476518</v>
      </c>
      <c r="R798" s="1" t="s">
        <v>13951</v>
      </c>
      <c r="S798" s="1">
        <v>9403498171</v>
      </c>
      <c r="T798" s="1" t="s">
        <v>120</v>
      </c>
      <c r="U798" s="1" t="s">
        <v>13952</v>
      </c>
      <c r="V798" s="1">
        <v>9404831124</v>
      </c>
      <c r="W798" s="1" t="s">
        <v>122</v>
      </c>
      <c r="X798" s="1" t="s">
        <v>13953</v>
      </c>
      <c r="Y798" s="1" t="s">
        <v>191</v>
      </c>
      <c r="Z798" s="1" t="s">
        <v>92</v>
      </c>
      <c r="AA798" s="1" t="s">
        <v>13954</v>
      </c>
      <c r="AB798" s="1" t="s">
        <v>191</v>
      </c>
      <c r="AC798" s="1" t="s">
        <v>92</v>
      </c>
      <c r="AD798" s="1" t="s">
        <v>93</v>
      </c>
      <c r="AE798" s="1" t="s">
        <v>93</v>
      </c>
      <c r="AF798" s="1" t="s">
        <v>13955</v>
      </c>
      <c r="AG798" s="1" t="s">
        <v>13956</v>
      </c>
      <c r="AH798" s="1" t="s">
        <v>782</v>
      </c>
      <c r="AI798" s="1" t="s">
        <v>562</v>
      </c>
      <c r="AJ798" s="1">
        <v>78.8</v>
      </c>
      <c r="AK798" s="1">
        <v>8.29</v>
      </c>
      <c r="AL798" s="1" t="s">
        <v>13957</v>
      </c>
      <c r="AM798" s="1" t="s">
        <v>13958</v>
      </c>
      <c r="AN798" s="1" t="s">
        <v>165</v>
      </c>
      <c r="AO798" s="1" t="s">
        <v>308</v>
      </c>
      <c r="AP798" s="1">
        <v>61.54</v>
      </c>
      <c r="AQ798" s="1">
        <v>6.47</v>
      </c>
      <c r="AR798" s="1"/>
      <c r="AS798" s="1"/>
      <c r="AT798" s="1"/>
      <c r="AU798" s="1"/>
      <c r="AV798" s="1"/>
      <c r="AW798" s="1"/>
      <c r="AX798" s="1" t="s">
        <v>13959</v>
      </c>
      <c r="AY798" s="1" t="s">
        <v>13960</v>
      </c>
      <c r="AZ798" s="1" t="s">
        <v>1169</v>
      </c>
      <c r="BA798" s="1" t="s">
        <v>13961</v>
      </c>
      <c r="BB798" s="1">
        <v>61.41</v>
      </c>
      <c r="BC798" s="1">
        <v>6.9</v>
      </c>
      <c r="BD798" s="1"/>
      <c r="BE798" s="1"/>
      <c r="BF798" s="1"/>
      <c r="BG798" s="1"/>
      <c r="BH798" s="1"/>
      <c r="BI798" s="1"/>
      <c r="BJ798" s="1" t="s">
        <v>13962</v>
      </c>
      <c r="BK798" s="1" t="s">
        <v>13963</v>
      </c>
      <c r="BL798" s="1" t="s">
        <v>741</v>
      </c>
      <c r="BM798" s="1"/>
      <c r="BN798" s="1"/>
      <c r="BO798" s="1"/>
      <c r="BP798" s="1" t="s">
        <v>9609</v>
      </c>
      <c r="BQ798" s="3"/>
      <c r="BR798" s="3"/>
    </row>
    <row r="799" spans="1:70">
      <c r="A799" s="1" t="s">
        <v>70</v>
      </c>
      <c r="B799" s="1" t="s">
        <v>13846</v>
      </c>
      <c r="C799" s="1" t="s">
        <v>13964</v>
      </c>
      <c r="D799" s="1"/>
      <c r="E799" s="1"/>
      <c r="F799" s="1"/>
      <c r="G799" s="1"/>
      <c r="H799" s="1" t="s">
        <v>13965</v>
      </c>
      <c r="I799" s="1" t="s">
        <v>13965</v>
      </c>
      <c r="J799" s="1"/>
      <c r="K799" s="1"/>
      <c r="L799" s="1"/>
      <c r="M799" s="1"/>
      <c r="N799" s="1"/>
      <c r="O799" s="1"/>
      <c r="P799" s="1"/>
      <c r="Q799" s="1"/>
      <c r="R799" s="1"/>
      <c r="S799" s="1"/>
      <c r="T799" s="1"/>
      <c r="U799" s="1"/>
      <c r="V799" s="1"/>
      <c r="W799" s="1"/>
      <c r="X799" s="1"/>
      <c r="Y799" s="1"/>
      <c r="Z799" s="1"/>
      <c r="AA799" s="1"/>
      <c r="AB799" s="1"/>
      <c r="AC799" s="1"/>
      <c r="AD799" s="1" t="s">
        <v>93</v>
      </c>
      <c r="AE799" s="1" t="s">
        <v>93</v>
      </c>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t="s">
        <v>9609</v>
      </c>
      <c r="BQ799" s="3"/>
      <c r="BR799" s="3"/>
    </row>
    <row r="800" spans="1:70">
      <c r="A800" s="1" t="s">
        <v>70</v>
      </c>
      <c r="B800" s="1" t="s">
        <v>13846</v>
      </c>
      <c r="C800" s="1" t="s">
        <v>13966</v>
      </c>
      <c r="D800" s="1"/>
      <c r="E800" s="1"/>
      <c r="F800" s="1"/>
      <c r="G800" s="1"/>
      <c r="H800" s="1" t="s">
        <v>13967</v>
      </c>
      <c r="I800" s="1" t="s">
        <v>13967</v>
      </c>
      <c r="J800" s="1"/>
      <c r="K800" s="1"/>
      <c r="L800" s="1"/>
      <c r="M800" s="1"/>
      <c r="N800" s="1"/>
      <c r="O800" s="1"/>
      <c r="P800" s="1"/>
      <c r="Q800" s="1"/>
      <c r="R800" s="1"/>
      <c r="S800" s="1"/>
      <c r="T800" s="1"/>
      <c r="U800" s="1"/>
      <c r="V800" s="1"/>
      <c r="W800" s="1"/>
      <c r="X800" s="1"/>
      <c r="Y800" s="1"/>
      <c r="Z800" s="1"/>
      <c r="AA800" s="1"/>
      <c r="AB800" s="1"/>
      <c r="AC800" s="1"/>
      <c r="AD800" s="1" t="s">
        <v>93</v>
      </c>
      <c r="AE800" s="1" t="s">
        <v>93</v>
      </c>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t="s">
        <v>9609</v>
      </c>
      <c r="BQ800" s="3"/>
      <c r="BR800" s="3"/>
    </row>
    <row r="801" spans="1:70">
      <c r="A801" s="1" t="s">
        <v>70</v>
      </c>
      <c r="B801" s="1" t="s">
        <v>13846</v>
      </c>
      <c r="C801" s="1" t="s">
        <v>13968</v>
      </c>
      <c r="D801" s="1"/>
      <c r="E801" s="1"/>
      <c r="F801" s="1"/>
      <c r="G801" s="1"/>
      <c r="H801" s="1" t="s">
        <v>13969</v>
      </c>
      <c r="I801" s="1" t="s">
        <v>13969</v>
      </c>
      <c r="J801" s="1"/>
      <c r="K801" s="1"/>
      <c r="L801" s="1"/>
      <c r="M801" s="1"/>
      <c r="N801" s="1"/>
      <c r="O801" s="1"/>
      <c r="P801" s="1"/>
      <c r="Q801" s="1"/>
      <c r="R801" s="1"/>
      <c r="S801" s="1"/>
      <c r="T801" s="1"/>
      <c r="U801" s="1"/>
      <c r="V801" s="1"/>
      <c r="W801" s="1"/>
      <c r="X801" s="1"/>
      <c r="Y801" s="1"/>
      <c r="Z801" s="1"/>
      <c r="AA801" s="1"/>
      <c r="AB801" s="1"/>
      <c r="AC801" s="1"/>
      <c r="AD801" s="1" t="s">
        <v>93</v>
      </c>
      <c r="AE801" s="1" t="s">
        <v>93</v>
      </c>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t="s">
        <v>9609</v>
      </c>
      <c r="BQ801" s="3"/>
      <c r="BR801" s="3"/>
    </row>
    <row r="802" spans="1:70">
      <c r="A802" s="1" t="s">
        <v>70</v>
      </c>
      <c r="B802" s="1" t="s">
        <v>13846</v>
      </c>
      <c r="C802" s="1" t="s">
        <v>13970</v>
      </c>
      <c r="D802" s="1"/>
      <c r="E802" s="1"/>
      <c r="F802" s="1"/>
      <c r="G802" s="1"/>
      <c r="H802" s="1" t="s">
        <v>13971</v>
      </c>
      <c r="I802" s="1" t="s">
        <v>13971</v>
      </c>
      <c r="J802" s="1"/>
      <c r="K802" s="1"/>
      <c r="L802" s="1"/>
      <c r="M802" s="1"/>
      <c r="N802" s="1"/>
      <c r="O802" s="1"/>
      <c r="P802" s="1"/>
      <c r="Q802" s="1"/>
      <c r="R802" s="1"/>
      <c r="S802" s="1"/>
      <c r="T802" s="1"/>
      <c r="U802" s="1"/>
      <c r="V802" s="1"/>
      <c r="W802" s="1"/>
      <c r="X802" s="1"/>
      <c r="Y802" s="1"/>
      <c r="Z802" s="1"/>
      <c r="AA802" s="1"/>
      <c r="AB802" s="1"/>
      <c r="AC802" s="1"/>
      <c r="AD802" s="1" t="s">
        <v>93</v>
      </c>
      <c r="AE802" s="1" t="s">
        <v>93</v>
      </c>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t="s">
        <v>9609</v>
      </c>
      <c r="BQ802" s="3"/>
      <c r="BR802" s="3"/>
    </row>
    <row r="803" spans="1:70">
      <c r="A803" s="1" t="s">
        <v>70</v>
      </c>
      <c r="B803" s="1" t="s">
        <v>13846</v>
      </c>
      <c r="C803" s="1" t="s">
        <v>13972</v>
      </c>
      <c r="D803" s="1" t="s">
        <v>13973</v>
      </c>
      <c r="E803" s="1" t="s">
        <v>13974</v>
      </c>
      <c r="F803" s="1" t="s">
        <v>3652</v>
      </c>
      <c r="G803" s="1" t="s">
        <v>13975</v>
      </c>
      <c r="H803" s="1" t="s">
        <v>13976</v>
      </c>
      <c r="I803" s="1" t="s">
        <v>13976</v>
      </c>
      <c r="J803" s="1">
        <v>9769519564</v>
      </c>
      <c r="K803" s="1" t="s">
        <v>79</v>
      </c>
      <c r="L803" s="1" t="s">
        <v>8546</v>
      </c>
      <c r="M803" s="1" t="s">
        <v>81</v>
      </c>
      <c r="N803" s="1" t="s">
        <v>10870</v>
      </c>
      <c r="O803" s="1" t="s">
        <v>13977</v>
      </c>
      <c r="P803" s="1" t="s">
        <v>214</v>
      </c>
      <c r="Q803" s="1">
        <v>239890599408</v>
      </c>
      <c r="R803" s="1" t="s">
        <v>13978</v>
      </c>
      <c r="S803" s="1">
        <v>9967531997</v>
      </c>
      <c r="T803" s="1" t="s">
        <v>13979</v>
      </c>
      <c r="U803" s="1" t="s">
        <v>13980</v>
      </c>
      <c r="V803" s="1">
        <v>7021045542</v>
      </c>
      <c r="W803" s="1" t="s">
        <v>13981</v>
      </c>
      <c r="X803" s="1" t="s">
        <v>13982</v>
      </c>
      <c r="Y803" s="1" t="s">
        <v>2229</v>
      </c>
      <c r="Z803" s="1" t="s">
        <v>92</v>
      </c>
      <c r="AA803" s="1" t="s">
        <v>13982</v>
      </c>
      <c r="AB803" s="1" t="s">
        <v>2229</v>
      </c>
      <c r="AC803" s="1" t="s">
        <v>92</v>
      </c>
      <c r="AD803" s="1" t="s">
        <v>93</v>
      </c>
      <c r="AE803" s="1" t="s">
        <v>93</v>
      </c>
      <c r="AF803" s="1" t="s">
        <v>13983</v>
      </c>
      <c r="AG803" s="1" t="s">
        <v>13984</v>
      </c>
      <c r="AH803" s="1" t="s">
        <v>162</v>
      </c>
      <c r="AI803" s="1" t="s">
        <v>195</v>
      </c>
      <c r="AJ803" s="1">
        <v>89.4</v>
      </c>
      <c r="AK803" s="1">
        <v>9.5</v>
      </c>
      <c r="AL803" s="1" t="s">
        <v>13985</v>
      </c>
      <c r="AM803" s="1" t="s">
        <v>13984</v>
      </c>
      <c r="AN803" s="1" t="s">
        <v>101</v>
      </c>
      <c r="AO803" s="1" t="s">
        <v>198</v>
      </c>
      <c r="AP803" s="1">
        <v>80.31</v>
      </c>
      <c r="AQ803" s="1">
        <v>8.4</v>
      </c>
      <c r="AR803" s="1"/>
      <c r="AS803" s="1"/>
      <c r="AT803" s="1"/>
      <c r="AU803" s="1"/>
      <c r="AV803" s="1"/>
      <c r="AW803" s="1"/>
      <c r="AX803" s="1" t="s">
        <v>13986</v>
      </c>
      <c r="AY803" s="1" t="s">
        <v>13987</v>
      </c>
      <c r="AZ803" s="1" t="s">
        <v>433</v>
      </c>
      <c r="BA803" s="1" t="s">
        <v>1292</v>
      </c>
      <c r="BB803" s="1">
        <v>71.42</v>
      </c>
      <c r="BC803" s="1">
        <v>8.03</v>
      </c>
      <c r="BD803" s="1"/>
      <c r="BE803" s="1"/>
      <c r="BF803" s="1"/>
      <c r="BG803" s="1"/>
      <c r="BH803" s="1"/>
      <c r="BI803" s="1"/>
      <c r="BJ803" s="1" t="s">
        <v>13988</v>
      </c>
      <c r="BK803" s="1" t="s">
        <v>13989</v>
      </c>
      <c r="BL803" s="1" t="s">
        <v>1459</v>
      </c>
      <c r="BM803" s="1"/>
      <c r="BN803" s="1"/>
      <c r="BO803" s="1" t="s">
        <v>13990</v>
      </c>
      <c r="BP803" s="1" t="str">
        <f>HYPERLINK("https://nconnect.nicmar.ac.in/storage/profile/6a7f0ee693077.png","Download")</f>
        <v>0</v>
      </c>
      <c r="BQ803" s="3"/>
      <c r="BR803" s="3"/>
    </row>
    <row r="804" spans="1:70">
      <c r="A804" s="1" t="s">
        <v>70</v>
      </c>
      <c r="B804" s="1" t="s">
        <v>13846</v>
      </c>
      <c r="C804" s="1" t="s">
        <v>13991</v>
      </c>
      <c r="D804" s="1"/>
      <c r="E804" s="1"/>
      <c r="F804" s="1"/>
      <c r="G804" s="1"/>
      <c r="H804" s="1" t="s">
        <v>13992</v>
      </c>
      <c r="I804" s="1" t="s">
        <v>13992</v>
      </c>
      <c r="J804" s="1"/>
      <c r="K804" s="1"/>
      <c r="L804" s="1"/>
      <c r="M804" s="1"/>
      <c r="N804" s="1"/>
      <c r="O804" s="1"/>
      <c r="P804" s="1"/>
      <c r="Q804" s="1"/>
      <c r="R804" s="1"/>
      <c r="S804" s="1"/>
      <c r="T804" s="1"/>
      <c r="U804" s="1"/>
      <c r="V804" s="1"/>
      <c r="W804" s="1"/>
      <c r="X804" s="1"/>
      <c r="Y804" s="1"/>
      <c r="Z804" s="1"/>
      <c r="AA804" s="1"/>
      <c r="AB804" s="1"/>
      <c r="AC804" s="1"/>
      <c r="AD804" s="1" t="s">
        <v>93</v>
      </c>
      <c r="AE804" s="1" t="s">
        <v>93</v>
      </c>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t="s">
        <v>9609</v>
      </c>
      <c r="BQ804" s="3"/>
      <c r="BR804" s="3"/>
    </row>
    <row r="805" spans="1:70">
      <c r="A805" s="1" t="s">
        <v>70</v>
      </c>
      <c r="B805" s="1" t="s">
        <v>13846</v>
      </c>
      <c r="C805" s="1" t="s">
        <v>13993</v>
      </c>
      <c r="D805" s="1"/>
      <c r="E805" s="1"/>
      <c r="F805" s="1"/>
      <c r="G805" s="1"/>
      <c r="H805" s="1" t="s">
        <v>13994</v>
      </c>
      <c r="I805" s="1" t="s">
        <v>13994</v>
      </c>
      <c r="J805" s="1"/>
      <c r="K805" s="1"/>
      <c r="L805" s="1"/>
      <c r="M805" s="1"/>
      <c r="N805" s="1"/>
      <c r="O805" s="1"/>
      <c r="P805" s="1"/>
      <c r="Q805" s="1"/>
      <c r="R805" s="1"/>
      <c r="S805" s="1"/>
      <c r="T805" s="1"/>
      <c r="U805" s="1"/>
      <c r="V805" s="1"/>
      <c r="W805" s="1"/>
      <c r="X805" s="1"/>
      <c r="Y805" s="1"/>
      <c r="Z805" s="1"/>
      <c r="AA805" s="1"/>
      <c r="AB805" s="1"/>
      <c r="AC805" s="1"/>
      <c r="AD805" s="1" t="s">
        <v>93</v>
      </c>
      <c r="AE805" s="1" t="s">
        <v>93</v>
      </c>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t="s">
        <v>9609</v>
      </c>
      <c r="BQ805" s="3"/>
      <c r="BR805" s="3"/>
    </row>
    <row r="806" spans="1:70">
      <c r="A806" s="1" t="s">
        <v>70</v>
      </c>
      <c r="B806" s="1" t="s">
        <v>13846</v>
      </c>
      <c r="C806" s="1" t="s">
        <v>13995</v>
      </c>
      <c r="D806" s="1"/>
      <c r="E806" s="1"/>
      <c r="F806" s="1"/>
      <c r="G806" s="1"/>
      <c r="H806" s="1" t="s">
        <v>13996</v>
      </c>
      <c r="I806" s="1" t="s">
        <v>13996</v>
      </c>
      <c r="J806" s="1"/>
      <c r="K806" s="1"/>
      <c r="L806" s="1"/>
      <c r="M806" s="1"/>
      <c r="N806" s="1"/>
      <c r="O806" s="1"/>
      <c r="P806" s="1"/>
      <c r="Q806" s="1"/>
      <c r="R806" s="1"/>
      <c r="S806" s="1"/>
      <c r="T806" s="1"/>
      <c r="U806" s="1"/>
      <c r="V806" s="1"/>
      <c r="W806" s="1"/>
      <c r="X806" s="1"/>
      <c r="Y806" s="1"/>
      <c r="Z806" s="1"/>
      <c r="AA806" s="1"/>
      <c r="AB806" s="1"/>
      <c r="AC806" s="1"/>
      <c r="AD806" s="1" t="s">
        <v>93</v>
      </c>
      <c r="AE806" s="1" t="s">
        <v>93</v>
      </c>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t="s">
        <v>9609</v>
      </c>
      <c r="BQ806" s="3"/>
      <c r="BR806" s="3"/>
    </row>
    <row r="807" spans="1:70">
      <c r="A807" s="1" t="s">
        <v>70</v>
      </c>
      <c r="B807" s="1" t="s">
        <v>13846</v>
      </c>
      <c r="C807" s="1" t="s">
        <v>13997</v>
      </c>
      <c r="D807" s="1"/>
      <c r="E807" s="1"/>
      <c r="F807" s="1"/>
      <c r="G807" s="1"/>
      <c r="H807" s="1" t="s">
        <v>13998</v>
      </c>
      <c r="I807" s="1" t="s">
        <v>13998</v>
      </c>
      <c r="J807" s="1"/>
      <c r="K807" s="1"/>
      <c r="L807" s="1"/>
      <c r="M807" s="1"/>
      <c r="N807" s="1"/>
      <c r="O807" s="1"/>
      <c r="P807" s="1"/>
      <c r="Q807" s="1"/>
      <c r="R807" s="1"/>
      <c r="S807" s="1"/>
      <c r="T807" s="1"/>
      <c r="U807" s="1"/>
      <c r="V807" s="1"/>
      <c r="W807" s="1"/>
      <c r="X807" s="1"/>
      <c r="Y807" s="1"/>
      <c r="Z807" s="1"/>
      <c r="AA807" s="1"/>
      <c r="AB807" s="1"/>
      <c r="AC807" s="1"/>
      <c r="AD807" s="1" t="s">
        <v>93</v>
      </c>
      <c r="AE807" s="1" t="s">
        <v>93</v>
      </c>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t="s">
        <v>9609</v>
      </c>
      <c r="BQ807" s="3"/>
      <c r="BR807" s="3"/>
    </row>
    <row r="808" spans="1:70">
      <c r="A808" s="1" t="s">
        <v>70</v>
      </c>
      <c r="B808" s="1" t="s">
        <v>13846</v>
      </c>
      <c r="C808" s="1" t="s">
        <v>13999</v>
      </c>
      <c r="D808" s="1"/>
      <c r="E808" s="1"/>
      <c r="F808" s="1"/>
      <c r="G808" s="1"/>
      <c r="H808" s="1" t="s">
        <v>14000</v>
      </c>
      <c r="I808" s="1" t="s">
        <v>14000</v>
      </c>
      <c r="J808" s="1"/>
      <c r="K808" s="1"/>
      <c r="L808" s="1"/>
      <c r="M808" s="1"/>
      <c r="N808" s="1"/>
      <c r="O808" s="1"/>
      <c r="P808" s="1"/>
      <c r="Q808" s="1"/>
      <c r="R808" s="1"/>
      <c r="S808" s="1"/>
      <c r="T808" s="1"/>
      <c r="U808" s="1"/>
      <c r="V808" s="1"/>
      <c r="W808" s="1"/>
      <c r="X808" s="1"/>
      <c r="Y808" s="1"/>
      <c r="Z808" s="1"/>
      <c r="AA808" s="1"/>
      <c r="AB808" s="1"/>
      <c r="AC808" s="1"/>
      <c r="AD808" s="1" t="s">
        <v>93</v>
      </c>
      <c r="AE808" s="1" t="s">
        <v>93</v>
      </c>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t="s">
        <v>9609</v>
      </c>
      <c r="BQ808" s="3"/>
      <c r="BR808" s="3"/>
    </row>
    <row r="809" spans="1:70">
      <c r="A809" s="1" t="s">
        <v>70</v>
      </c>
      <c r="B809" s="1" t="s">
        <v>13846</v>
      </c>
      <c r="C809" s="1" t="s">
        <v>14001</v>
      </c>
      <c r="D809" s="1"/>
      <c r="E809" s="1"/>
      <c r="F809" s="1"/>
      <c r="G809" s="1"/>
      <c r="H809" s="1" t="s">
        <v>14002</v>
      </c>
      <c r="I809" s="1" t="s">
        <v>14002</v>
      </c>
      <c r="J809" s="1"/>
      <c r="K809" s="1"/>
      <c r="L809" s="1"/>
      <c r="M809" s="1"/>
      <c r="N809" s="1"/>
      <c r="O809" s="1"/>
      <c r="P809" s="1"/>
      <c r="Q809" s="1"/>
      <c r="R809" s="1"/>
      <c r="S809" s="1"/>
      <c r="T809" s="1"/>
      <c r="U809" s="1"/>
      <c r="V809" s="1"/>
      <c r="W809" s="1"/>
      <c r="X809" s="1"/>
      <c r="Y809" s="1"/>
      <c r="Z809" s="1"/>
      <c r="AA809" s="1"/>
      <c r="AB809" s="1"/>
      <c r="AC809" s="1"/>
      <c r="AD809" s="1" t="s">
        <v>93</v>
      </c>
      <c r="AE809" s="1" t="s">
        <v>93</v>
      </c>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t="s">
        <v>9609</v>
      </c>
      <c r="BQ809" s="3"/>
      <c r="BR809" s="3"/>
    </row>
    <row r="810" spans="1:70">
      <c r="A810" s="1" t="s">
        <v>70</v>
      </c>
      <c r="B810" s="1" t="s">
        <v>13846</v>
      </c>
      <c r="C810" s="1" t="s">
        <v>14003</v>
      </c>
      <c r="D810" s="1"/>
      <c r="E810" s="1"/>
      <c r="F810" s="1"/>
      <c r="G810" s="1"/>
      <c r="H810" s="1" t="s">
        <v>14004</v>
      </c>
      <c r="I810" s="1" t="s">
        <v>14004</v>
      </c>
      <c r="J810" s="1"/>
      <c r="K810" s="1"/>
      <c r="L810" s="1"/>
      <c r="M810" s="1"/>
      <c r="N810" s="1"/>
      <c r="O810" s="1"/>
      <c r="P810" s="1"/>
      <c r="Q810" s="1"/>
      <c r="R810" s="1"/>
      <c r="S810" s="1"/>
      <c r="T810" s="1"/>
      <c r="U810" s="1"/>
      <c r="V810" s="1"/>
      <c r="W810" s="1"/>
      <c r="X810" s="1"/>
      <c r="Y810" s="1"/>
      <c r="Z810" s="1"/>
      <c r="AA810" s="1"/>
      <c r="AB810" s="1"/>
      <c r="AC810" s="1"/>
      <c r="AD810" s="1" t="s">
        <v>93</v>
      </c>
      <c r="AE810" s="1" t="s">
        <v>93</v>
      </c>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t="s">
        <v>9609</v>
      </c>
      <c r="BQ810" s="3"/>
      <c r="BR810" s="3"/>
    </row>
    <row r="811" spans="1:70">
      <c r="A811" s="1" t="s">
        <v>70</v>
      </c>
      <c r="B811" s="1" t="s">
        <v>13846</v>
      </c>
      <c r="C811" s="1" t="s">
        <v>14005</v>
      </c>
      <c r="D811" s="1"/>
      <c r="E811" s="1"/>
      <c r="F811" s="1"/>
      <c r="G811" s="1"/>
      <c r="H811" s="1" t="s">
        <v>14006</v>
      </c>
      <c r="I811" s="1" t="s">
        <v>14006</v>
      </c>
      <c r="J811" s="1"/>
      <c r="K811" s="1"/>
      <c r="L811" s="1"/>
      <c r="M811" s="1"/>
      <c r="N811" s="1"/>
      <c r="O811" s="1"/>
      <c r="P811" s="1"/>
      <c r="Q811" s="1"/>
      <c r="R811" s="1"/>
      <c r="S811" s="1"/>
      <c r="T811" s="1"/>
      <c r="U811" s="1"/>
      <c r="V811" s="1"/>
      <c r="W811" s="1"/>
      <c r="X811" s="1"/>
      <c r="Y811" s="1"/>
      <c r="Z811" s="1"/>
      <c r="AA811" s="1"/>
      <c r="AB811" s="1"/>
      <c r="AC811" s="1"/>
      <c r="AD811" s="1" t="s">
        <v>93</v>
      </c>
      <c r="AE811" s="1" t="s">
        <v>93</v>
      </c>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t="s">
        <v>9609</v>
      </c>
      <c r="BQ811" s="3"/>
      <c r="BR811" s="3"/>
    </row>
    <row r="812" spans="1:70">
      <c r="A812" s="1" t="s">
        <v>70</v>
      </c>
      <c r="B812" s="1" t="s">
        <v>13846</v>
      </c>
      <c r="C812" s="1" t="s">
        <v>14007</v>
      </c>
      <c r="D812" s="1"/>
      <c r="E812" s="1"/>
      <c r="F812" s="1"/>
      <c r="G812" s="1"/>
      <c r="H812" s="1" t="s">
        <v>14008</v>
      </c>
      <c r="I812" s="1" t="s">
        <v>14008</v>
      </c>
      <c r="J812" s="1"/>
      <c r="K812" s="1"/>
      <c r="L812" s="1"/>
      <c r="M812" s="1"/>
      <c r="N812" s="1"/>
      <c r="O812" s="1"/>
      <c r="P812" s="1"/>
      <c r="Q812" s="1"/>
      <c r="R812" s="1"/>
      <c r="S812" s="1"/>
      <c r="T812" s="1"/>
      <c r="U812" s="1"/>
      <c r="V812" s="1"/>
      <c r="W812" s="1"/>
      <c r="X812" s="1"/>
      <c r="Y812" s="1"/>
      <c r="Z812" s="1"/>
      <c r="AA812" s="1"/>
      <c r="AB812" s="1"/>
      <c r="AC812" s="1"/>
      <c r="AD812" s="1" t="s">
        <v>93</v>
      </c>
      <c r="AE812" s="1" t="s">
        <v>93</v>
      </c>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t="s">
        <v>9609</v>
      </c>
      <c r="BQ812" s="3"/>
      <c r="BR812" s="3"/>
    </row>
    <row r="813" spans="1:70">
      <c r="A813" s="1" t="s">
        <v>70</v>
      </c>
      <c r="B813" s="1" t="s">
        <v>13846</v>
      </c>
      <c r="C813" s="1" t="s">
        <v>14009</v>
      </c>
      <c r="D813" s="1"/>
      <c r="E813" s="1"/>
      <c r="F813" s="1"/>
      <c r="G813" s="1"/>
      <c r="H813" s="1" t="s">
        <v>14010</v>
      </c>
      <c r="I813" s="1" t="s">
        <v>14010</v>
      </c>
      <c r="J813" s="1"/>
      <c r="K813" s="1"/>
      <c r="L813" s="1"/>
      <c r="M813" s="1"/>
      <c r="N813" s="1"/>
      <c r="O813" s="1"/>
      <c r="P813" s="1"/>
      <c r="Q813" s="1"/>
      <c r="R813" s="1"/>
      <c r="S813" s="1"/>
      <c r="T813" s="1"/>
      <c r="U813" s="1"/>
      <c r="V813" s="1"/>
      <c r="W813" s="1"/>
      <c r="X813" s="1"/>
      <c r="Y813" s="1"/>
      <c r="Z813" s="1"/>
      <c r="AA813" s="1"/>
      <c r="AB813" s="1"/>
      <c r="AC813" s="1"/>
      <c r="AD813" s="1" t="s">
        <v>93</v>
      </c>
      <c r="AE813" s="1" t="s">
        <v>93</v>
      </c>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t="s">
        <v>9609</v>
      </c>
      <c r="BQ813" s="3"/>
      <c r="BR813" s="3"/>
    </row>
    <row r="814" spans="1:70">
      <c r="A814" s="1" t="s">
        <v>70</v>
      </c>
      <c r="B814" s="1" t="s">
        <v>13846</v>
      </c>
      <c r="C814" s="1" t="s">
        <v>14011</v>
      </c>
      <c r="D814" s="1"/>
      <c r="E814" s="1"/>
      <c r="F814" s="1"/>
      <c r="G814" s="1"/>
      <c r="H814" s="1" t="s">
        <v>14012</v>
      </c>
      <c r="I814" s="1" t="s">
        <v>14012</v>
      </c>
      <c r="J814" s="1"/>
      <c r="K814" s="1"/>
      <c r="L814" s="1"/>
      <c r="M814" s="1"/>
      <c r="N814" s="1"/>
      <c r="O814" s="1"/>
      <c r="P814" s="1"/>
      <c r="Q814" s="1"/>
      <c r="R814" s="1"/>
      <c r="S814" s="1"/>
      <c r="T814" s="1"/>
      <c r="U814" s="1"/>
      <c r="V814" s="1"/>
      <c r="W814" s="1"/>
      <c r="X814" s="1"/>
      <c r="Y814" s="1"/>
      <c r="Z814" s="1"/>
      <c r="AA814" s="1"/>
      <c r="AB814" s="1"/>
      <c r="AC814" s="1"/>
      <c r="AD814" s="1" t="s">
        <v>93</v>
      </c>
      <c r="AE814" s="1" t="s">
        <v>93</v>
      </c>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t="s">
        <v>9609</v>
      </c>
      <c r="BQ814" s="3"/>
      <c r="BR814" s="3"/>
    </row>
    <row r="815" spans="1:70">
      <c r="A815" s="1" t="s">
        <v>70</v>
      </c>
      <c r="B815" s="1" t="s">
        <v>13846</v>
      </c>
      <c r="C815" s="1" t="s">
        <v>14013</v>
      </c>
      <c r="D815" s="1"/>
      <c r="E815" s="1"/>
      <c r="F815" s="1"/>
      <c r="G815" s="1"/>
      <c r="H815" s="1" t="s">
        <v>14014</v>
      </c>
      <c r="I815" s="1" t="s">
        <v>14014</v>
      </c>
      <c r="J815" s="1"/>
      <c r="K815" s="1"/>
      <c r="L815" s="1"/>
      <c r="M815" s="1"/>
      <c r="N815" s="1"/>
      <c r="O815" s="1"/>
      <c r="P815" s="1"/>
      <c r="Q815" s="1"/>
      <c r="R815" s="1"/>
      <c r="S815" s="1"/>
      <c r="T815" s="1"/>
      <c r="U815" s="1"/>
      <c r="V815" s="1"/>
      <c r="W815" s="1"/>
      <c r="X815" s="1"/>
      <c r="Y815" s="1"/>
      <c r="Z815" s="1"/>
      <c r="AA815" s="1"/>
      <c r="AB815" s="1"/>
      <c r="AC815" s="1"/>
      <c r="AD815" s="1" t="s">
        <v>93</v>
      </c>
      <c r="AE815" s="1" t="s">
        <v>93</v>
      </c>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t="s">
        <v>9609</v>
      </c>
      <c r="BQ815" s="3"/>
      <c r="BR815" s="3"/>
    </row>
    <row r="816" spans="1:70">
      <c r="A816" s="1" t="s">
        <v>70</v>
      </c>
      <c r="B816" s="1" t="s">
        <v>13846</v>
      </c>
      <c r="C816" s="1" t="s">
        <v>14015</v>
      </c>
      <c r="D816" s="1"/>
      <c r="E816" s="1"/>
      <c r="F816" s="1"/>
      <c r="G816" s="1"/>
      <c r="H816" s="1" t="s">
        <v>14016</v>
      </c>
      <c r="I816" s="1" t="s">
        <v>14016</v>
      </c>
      <c r="J816" s="1"/>
      <c r="K816" s="1"/>
      <c r="L816" s="1"/>
      <c r="M816" s="1"/>
      <c r="N816" s="1"/>
      <c r="O816" s="1"/>
      <c r="P816" s="1"/>
      <c r="Q816" s="1"/>
      <c r="R816" s="1"/>
      <c r="S816" s="1"/>
      <c r="T816" s="1"/>
      <c r="U816" s="1"/>
      <c r="V816" s="1"/>
      <c r="W816" s="1"/>
      <c r="X816" s="1"/>
      <c r="Y816" s="1"/>
      <c r="Z816" s="1"/>
      <c r="AA816" s="1"/>
      <c r="AB816" s="1"/>
      <c r="AC816" s="1"/>
      <c r="AD816" s="1" t="s">
        <v>93</v>
      </c>
      <c r="AE816" s="1" t="s">
        <v>93</v>
      </c>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t="s">
        <v>9609</v>
      </c>
      <c r="BQ816" s="3"/>
      <c r="BR816" s="3"/>
    </row>
    <row r="817" spans="1:70">
      <c r="A817" s="1" t="s">
        <v>70</v>
      </c>
      <c r="B817" s="1" t="s">
        <v>13846</v>
      </c>
      <c r="C817" s="1" t="s">
        <v>14017</v>
      </c>
      <c r="D817" s="1"/>
      <c r="E817" s="1"/>
      <c r="F817" s="1"/>
      <c r="G817" s="1"/>
      <c r="H817" s="1" t="s">
        <v>14018</v>
      </c>
      <c r="I817" s="1" t="s">
        <v>14018</v>
      </c>
      <c r="J817" s="1"/>
      <c r="K817" s="1"/>
      <c r="L817" s="1"/>
      <c r="M817" s="1"/>
      <c r="N817" s="1"/>
      <c r="O817" s="1"/>
      <c r="P817" s="1"/>
      <c r="Q817" s="1"/>
      <c r="R817" s="1"/>
      <c r="S817" s="1"/>
      <c r="T817" s="1"/>
      <c r="U817" s="1"/>
      <c r="V817" s="1"/>
      <c r="W817" s="1"/>
      <c r="X817" s="1"/>
      <c r="Y817" s="1"/>
      <c r="Z817" s="1"/>
      <c r="AA817" s="1"/>
      <c r="AB817" s="1"/>
      <c r="AC817" s="1"/>
      <c r="AD817" s="1" t="s">
        <v>93</v>
      </c>
      <c r="AE817" s="1" t="s">
        <v>93</v>
      </c>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t="s">
        <v>9609</v>
      </c>
      <c r="BQ817" s="3"/>
      <c r="BR817" s="3"/>
    </row>
    <row r="818" spans="1:70">
      <c r="A818" s="1" t="s">
        <v>70</v>
      </c>
      <c r="B818" s="1" t="s">
        <v>13846</v>
      </c>
      <c r="C818" s="1" t="s">
        <v>14019</v>
      </c>
      <c r="D818" s="1"/>
      <c r="E818" s="1"/>
      <c r="F818" s="1"/>
      <c r="G818" s="1"/>
      <c r="H818" s="1" t="s">
        <v>14020</v>
      </c>
      <c r="I818" s="1" t="s">
        <v>14020</v>
      </c>
      <c r="J818" s="1"/>
      <c r="K818" s="1"/>
      <c r="L818" s="1"/>
      <c r="M818" s="1"/>
      <c r="N818" s="1"/>
      <c r="O818" s="1"/>
      <c r="P818" s="1"/>
      <c r="Q818" s="1"/>
      <c r="R818" s="1"/>
      <c r="S818" s="1"/>
      <c r="T818" s="1"/>
      <c r="U818" s="1"/>
      <c r="V818" s="1"/>
      <c r="W818" s="1"/>
      <c r="X818" s="1"/>
      <c r="Y818" s="1"/>
      <c r="Z818" s="1"/>
      <c r="AA818" s="1"/>
      <c r="AB818" s="1"/>
      <c r="AC818" s="1"/>
      <c r="AD818" s="1" t="s">
        <v>93</v>
      </c>
      <c r="AE818" s="1" t="s">
        <v>93</v>
      </c>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t="s">
        <v>9609</v>
      </c>
      <c r="BQ818" s="3"/>
      <c r="BR818" s="3"/>
    </row>
    <row r="819" spans="1:70">
      <c r="A819" s="1" t="s">
        <v>70</v>
      </c>
      <c r="B819" s="1" t="s">
        <v>13846</v>
      </c>
      <c r="C819" s="1" t="s">
        <v>14021</v>
      </c>
      <c r="D819" s="1"/>
      <c r="E819" s="1"/>
      <c r="F819" s="1"/>
      <c r="G819" s="1"/>
      <c r="H819" s="1" t="s">
        <v>14022</v>
      </c>
      <c r="I819" s="1" t="s">
        <v>14022</v>
      </c>
      <c r="J819" s="1"/>
      <c r="K819" s="1"/>
      <c r="L819" s="1"/>
      <c r="M819" s="1"/>
      <c r="N819" s="1"/>
      <c r="O819" s="1"/>
      <c r="P819" s="1"/>
      <c r="Q819" s="1"/>
      <c r="R819" s="1"/>
      <c r="S819" s="1"/>
      <c r="T819" s="1"/>
      <c r="U819" s="1"/>
      <c r="V819" s="1"/>
      <c r="W819" s="1"/>
      <c r="X819" s="1"/>
      <c r="Y819" s="1"/>
      <c r="Z819" s="1"/>
      <c r="AA819" s="1"/>
      <c r="AB819" s="1"/>
      <c r="AC819" s="1"/>
      <c r="AD819" s="1" t="s">
        <v>93</v>
      </c>
      <c r="AE819" s="1" t="s">
        <v>93</v>
      </c>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t="s">
        <v>9609</v>
      </c>
      <c r="BQ819" s="3"/>
      <c r="BR819" s="3"/>
    </row>
    <row r="820" spans="1:70">
      <c r="A820" s="1" t="s">
        <v>70</v>
      </c>
      <c r="B820" s="1" t="s">
        <v>13846</v>
      </c>
      <c r="C820" s="1" t="s">
        <v>14023</v>
      </c>
      <c r="D820" s="1"/>
      <c r="E820" s="1"/>
      <c r="F820" s="1"/>
      <c r="G820" s="1"/>
      <c r="H820" s="1" t="s">
        <v>14024</v>
      </c>
      <c r="I820" s="1" t="s">
        <v>14024</v>
      </c>
      <c r="J820" s="1"/>
      <c r="K820" s="1"/>
      <c r="L820" s="1"/>
      <c r="M820" s="1"/>
      <c r="N820" s="1"/>
      <c r="O820" s="1"/>
      <c r="P820" s="1"/>
      <c r="Q820" s="1"/>
      <c r="R820" s="1"/>
      <c r="S820" s="1"/>
      <c r="T820" s="1"/>
      <c r="U820" s="1"/>
      <c r="V820" s="1"/>
      <c r="W820" s="1"/>
      <c r="X820" s="1"/>
      <c r="Y820" s="1"/>
      <c r="Z820" s="1"/>
      <c r="AA820" s="1"/>
      <c r="AB820" s="1"/>
      <c r="AC820" s="1"/>
      <c r="AD820" s="1" t="s">
        <v>93</v>
      </c>
      <c r="AE820" s="1" t="s">
        <v>93</v>
      </c>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t="s">
        <v>9609</v>
      </c>
      <c r="BQ820" s="3"/>
      <c r="BR820" s="3"/>
    </row>
    <row r="821" spans="1:70">
      <c r="A821" s="1" t="s">
        <v>70</v>
      </c>
      <c r="B821" s="1" t="s">
        <v>13846</v>
      </c>
      <c r="C821" s="1" t="s">
        <v>14025</v>
      </c>
      <c r="D821" s="1"/>
      <c r="E821" s="1"/>
      <c r="F821" s="1"/>
      <c r="G821" s="1"/>
      <c r="H821" s="1" t="s">
        <v>14026</v>
      </c>
      <c r="I821" s="1" t="s">
        <v>14026</v>
      </c>
      <c r="J821" s="1"/>
      <c r="K821" s="1"/>
      <c r="L821" s="1"/>
      <c r="M821" s="1"/>
      <c r="N821" s="1"/>
      <c r="O821" s="1"/>
      <c r="P821" s="1"/>
      <c r="Q821" s="1"/>
      <c r="R821" s="1"/>
      <c r="S821" s="1"/>
      <c r="T821" s="1"/>
      <c r="U821" s="1"/>
      <c r="V821" s="1"/>
      <c r="W821" s="1"/>
      <c r="X821" s="1"/>
      <c r="Y821" s="1"/>
      <c r="Z821" s="1"/>
      <c r="AA821" s="1"/>
      <c r="AB821" s="1"/>
      <c r="AC821" s="1"/>
      <c r="AD821" s="1" t="s">
        <v>93</v>
      </c>
      <c r="AE821" s="1" t="s">
        <v>93</v>
      </c>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t="s">
        <v>9609</v>
      </c>
      <c r="BQ821" s="3"/>
      <c r="BR821" s="3"/>
    </row>
    <row r="822" spans="1:70">
      <c r="A822" s="1" t="s">
        <v>70</v>
      </c>
      <c r="B822" s="1" t="s">
        <v>13846</v>
      </c>
      <c r="C822" s="1" t="s">
        <v>14027</v>
      </c>
      <c r="D822" s="1"/>
      <c r="E822" s="1"/>
      <c r="F822" s="1"/>
      <c r="G822" s="1"/>
      <c r="H822" s="1" t="s">
        <v>14028</v>
      </c>
      <c r="I822" s="1" t="s">
        <v>14028</v>
      </c>
      <c r="J822" s="1"/>
      <c r="K822" s="1"/>
      <c r="L822" s="1"/>
      <c r="M822" s="1"/>
      <c r="N822" s="1"/>
      <c r="O822" s="1"/>
      <c r="P822" s="1"/>
      <c r="Q822" s="1"/>
      <c r="R822" s="1"/>
      <c r="S822" s="1"/>
      <c r="T822" s="1"/>
      <c r="U822" s="1"/>
      <c r="V822" s="1"/>
      <c r="W822" s="1"/>
      <c r="X822" s="1"/>
      <c r="Y822" s="1"/>
      <c r="Z822" s="1"/>
      <c r="AA822" s="1"/>
      <c r="AB822" s="1"/>
      <c r="AC822" s="1"/>
      <c r="AD822" s="1" t="s">
        <v>93</v>
      </c>
      <c r="AE822" s="1" t="s">
        <v>93</v>
      </c>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t="s">
        <v>9609</v>
      </c>
      <c r="BQ822" s="3"/>
      <c r="BR822" s="3"/>
    </row>
    <row r="823" spans="1:70">
      <c r="A823" s="1" t="s">
        <v>70</v>
      </c>
      <c r="B823" s="1" t="s">
        <v>13846</v>
      </c>
      <c r="C823" s="1" t="s">
        <v>14029</v>
      </c>
      <c r="D823" s="1"/>
      <c r="E823" s="1"/>
      <c r="F823" s="1"/>
      <c r="G823" s="1"/>
      <c r="H823" s="1" t="s">
        <v>14030</v>
      </c>
      <c r="I823" s="1" t="s">
        <v>14030</v>
      </c>
      <c r="J823" s="1"/>
      <c r="K823" s="1"/>
      <c r="L823" s="1"/>
      <c r="M823" s="1"/>
      <c r="N823" s="1"/>
      <c r="O823" s="1"/>
      <c r="P823" s="1"/>
      <c r="Q823" s="1"/>
      <c r="R823" s="1"/>
      <c r="S823" s="1"/>
      <c r="T823" s="1"/>
      <c r="U823" s="1"/>
      <c r="V823" s="1"/>
      <c r="W823" s="1"/>
      <c r="X823" s="1"/>
      <c r="Y823" s="1"/>
      <c r="Z823" s="1"/>
      <c r="AA823" s="1"/>
      <c r="AB823" s="1"/>
      <c r="AC823" s="1"/>
      <c r="AD823" s="1" t="s">
        <v>93</v>
      </c>
      <c r="AE823" s="1" t="s">
        <v>93</v>
      </c>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t="s">
        <v>9609</v>
      </c>
      <c r="BQ823" s="3"/>
      <c r="BR823" s="3"/>
    </row>
    <row r="824" spans="1:70">
      <c r="A824" s="1" t="s">
        <v>70</v>
      </c>
      <c r="B824" s="1" t="s">
        <v>13846</v>
      </c>
      <c r="C824" s="1" t="s">
        <v>14031</v>
      </c>
      <c r="D824" s="1"/>
      <c r="E824" s="1"/>
      <c r="F824" s="1"/>
      <c r="G824" s="1"/>
      <c r="H824" s="1" t="s">
        <v>14032</v>
      </c>
      <c r="I824" s="1" t="s">
        <v>14032</v>
      </c>
      <c r="J824" s="1"/>
      <c r="K824" s="1"/>
      <c r="L824" s="1"/>
      <c r="M824" s="1"/>
      <c r="N824" s="1"/>
      <c r="O824" s="1"/>
      <c r="P824" s="1"/>
      <c r="Q824" s="1"/>
      <c r="R824" s="1"/>
      <c r="S824" s="1"/>
      <c r="T824" s="1"/>
      <c r="U824" s="1"/>
      <c r="V824" s="1"/>
      <c r="W824" s="1"/>
      <c r="X824" s="1"/>
      <c r="Y824" s="1"/>
      <c r="Z824" s="1"/>
      <c r="AA824" s="1"/>
      <c r="AB824" s="1"/>
      <c r="AC824" s="1"/>
      <c r="AD824" s="1" t="s">
        <v>93</v>
      </c>
      <c r="AE824" s="1" t="s">
        <v>93</v>
      </c>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t="s">
        <v>9609</v>
      </c>
      <c r="BQ824" s="3"/>
      <c r="BR824" s="3"/>
    </row>
    <row r="825" spans="1:70">
      <c r="A825" s="1" t="s">
        <v>70</v>
      </c>
      <c r="B825" s="1" t="s">
        <v>13846</v>
      </c>
      <c r="C825" s="1" t="s">
        <v>14033</v>
      </c>
      <c r="D825" s="1"/>
      <c r="E825" s="1"/>
      <c r="F825" s="1"/>
      <c r="G825" s="1"/>
      <c r="H825" s="1" t="s">
        <v>14034</v>
      </c>
      <c r="I825" s="1" t="s">
        <v>14034</v>
      </c>
      <c r="J825" s="1"/>
      <c r="K825" s="1"/>
      <c r="L825" s="1"/>
      <c r="M825" s="1"/>
      <c r="N825" s="1"/>
      <c r="O825" s="1"/>
      <c r="P825" s="1"/>
      <c r="Q825" s="1"/>
      <c r="R825" s="1"/>
      <c r="S825" s="1"/>
      <c r="T825" s="1"/>
      <c r="U825" s="1"/>
      <c r="V825" s="1"/>
      <c r="W825" s="1"/>
      <c r="X825" s="1"/>
      <c r="Y825" s="1"/>
      <c r="Z825" s="1"/>
      <c r="AA825" s="1"/>
      <c r="AB825" s="1"/>
      <c r="AC825" s="1"/>
      <c r="AD825" s="1" t="s">
        <v>93</v>
      </c>
      <c r="AE825" s="1" t="s">
        <v>93</v>
      </c>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t="s">
        <v>9609</v>
      </c>
      <c r="BQ825" s="3"/>
      <c r="BR825" s="3"/>
    </row>
    <row r="826" spans="1:70">
      <c r="A826" s="1" t="s">
        <v>70</v>
      </c>
      <c r="B826" s="1" t="s">
        <v>13846</v>
      </c>
      <c r="C826" s="1" t="s">
        <v>14035</v>
      </c>
      <c r="D826" s="1"/>
      <c r="E826" s="1"/>
      <c r="F826" s="1"/>
      <c r="G826" s="1"/>
      <c r="H826" s="1" t="s">
        <v>14036</v>
      </c>
      <c r="I826" s="1" t="s">
        <v>14036</v>
      </c>
      <c r="J826" s="1"/>
      <c r="K826" s="1"/>
      <c r="L826" s="1"/>
      <c r="M826" s="1"/>
      <c r="N826" s="1"/>
      <c r="O826" s="1"/>
      <c r="P826" s="1"/>
      <c r="Q826" s="1"/>
      <c r="R826" s="1"/>
      <c r="S826" s="1"/>
      <c r="T826" s="1"/>
      <c r="U826" s="1"/>
      <c r="V826" s="1"/>
      <c r="W826" s="1"/>
      <c r="X826" s="1"/>
      <c r="Y826" s="1"/>
      <c r="Z826" s="1"/>
      <c r="AA826" s="1"/>
      <c r="AB826" s="1"/>
      <c r="AC826" s="1"/>
      <c r="AD826" s="1" t="s">
        <v>93</v>
      </c>
      <c r="AE826" s="1" t="s">
        <v>93</v>
      </c>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t="s">
        <v>9609</v>
      </c>
      <c r="BQ826" s="3"/>
      <c r="BR826" s="3"/>
    </row>
    <row r="827" spans="1:70">
      <c r="A827" s="1" t="s">
        <v>70</v>
      </c>
      <c r="B827" s="1" t="s">
        <v>13846</v>
      </c>
      <c r="C827" s="1" t="s">
        <v>14037</v>
      </c>
      <c r="D827" s="1"/>
      <c r="E827" s="1"/>
      <c r="F827" s="1"/>
      <c r="G827" s="1"/>
      <c r="H827" s="1" t="s">
        <v>14038</v>
      </c>
      <c r="I827" s="1" t="s">
        <v>14038</v>
      </c>
      <c r="J827" s="1"/>
      <c r="K827" s="1"/>
      <c r="L827" s="1"/>
      <c r="M827" s="1"/>
      <c r="N827" s="1"/>
      <c r="O827" s="1"/>
      <c r="P827" s="1"/>
      <c r="Q827" s="1"/>
      <c r="R827" s="1"/>
      <c r="S827" s="1"/>
      <c r="T827" s="1"/>
      <c r="U827" s="1"/>
      <c r="V827" s="1"/>
      <c r="W827" s="1"/>
      <c r="X827" s="1"/>
      <c r="Y827" s="1"/>
      <c r="Z827" s="1"/>
      <c r="AA827" s="1"/>
      <c r="AB827" s="1"/>
      <c r="AC827" s="1"/>
      <c r="AD827" s="1" t="s">
        <v>93</v>
      </c>
      <c r="AE827" s="1" t="s">
        <v>93</v>
      </c>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t="s">
        <v>9609</v>
      </c>
      <c r="BQ827" s="3"/>
      <c r="BR827" s="3"/>
    </row>
    <row r="828" spans="1:70">
      <c r="A828" s="1" t="s">
        <v>70</v>
      </c>
      <c r="B828" s="1" t="s">
        <v>13846</v>
      </c>
      <c r="C828" s="1" t="s">
        <v>14039</v>
      </c>
      <c r="D828" s="1"/>
      <c r="E828" s="1"/>
      <c r="F828" s="1"/>
      <c r="G828" s="1"/>
      <c r="H828" s="1" t="s">
        <v>14040</v>
      </c>
      <c r="I828" s="1" t="s">
        <v>14040</v>
      </c>
      <c r="J828" s="1"/>
      <c r="K828" s="1"/>
      <c r="L828" s="1"/>
      <c r="M828" s="1"/>
      <c r="N828" s="1"/>
      <c r="O828" s="1"/>
      <c r="P828" s="1"/>
      <c r="Q828" s="1"/>
      <c r="R828" s="1"/>
      <c r="S828" s="1"/>
      <c r="T828" s="1"/>
      <c r="U828" s="1"/>
      <c r="V828" s="1"/>
      <c r="W828" s="1"/>
      <c r="X828" s="1"/>
      <c r="Y828" s="1"/>
      <c r="Z828" s="1"/>
      <c r="AA828" s="1"/>
      <c r="AB828" s="1"/>
      <c r="AC828" s="1"/>
      <c r="AD828" s="1" t="s">
        <v>93</v>
      </c>
      <c r="AE828" s="1" t="s">
        <v>93</v>
      </c>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t="s">
        <v>9609</v>
      </c>
      <c r="BQ828" s="3"/>
      <c r="BR828" s="3"/>
    </row>
    <row r="829" spans="1:70">
      <c r="A829" s="1" t="s">
        <v>70</v>
      </c>
      <c r="B829" s="1" t="s">
        <v>13846</v>
      </c>
      <c r="C829" s="1" t="s">
        <v>14041</v>
      </c>
      <c r="D829" s="1"/>
      <c r="E829" s="1"/>
      <c r="F829" s="1"/>
      <c r="G829" s="1"/>
      <c r="H829" s="1" t="s">
        <v>14042</v>
      </c>
      <c r="I829" s="1" t="s">
        <v>14042</v>
      </c>
      <c r="J829" s="1"/>
      <c r="K829" s="1"/>
      <c r="L829" s="1"/>
      <c r="M829" s="1"/>
      <c r="N829" s="1"/>
      <c r="O829" s="1"/>
      <c r="P829" s="1"/>
      <c r="Q829" s="1"/>
      <c r="R829" s="1"/>
      <c r="S829" s="1"/>
      <c r="T829" s="1"/>
      <c r="U829" s="1"/>
      <c r="V829" s="1"/>
      <c r="W829" s="1"/>
      <c r="X829" s="1"/>
      <c r="Y829" s="1"/>
      <c r="Z829" s="1"/>
      <c r="AA829" s="1"/>
      <c r="AB829" s="1"/>
      <c r="AC829" s="1"/>
      <c r="AD829" s="1" t="s">
        <v>93</v>
      </c>
      <c r="AE829" s="1" t="s">
        <v>93</v>
      </c>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t="s">
        <v>9609</v>
      </c>
      <c r="BQ829" s="3"/>
      <c r="BR829" s="3"/>
    </row>
    <row r="830" spans="1:70">
      <c r="A830" s="1" t="s">
        <v>70</v>
      </c>
      <c r="B830" s="1" t="s">
        <v>13846</v>
      </c>
      <c r="C830" s="1" t="s">
        <v>14043</v>
      </c>
      <c r="D830" s="1"/>
      <c r="E830" s="1"/>
      <c r="F830" s="1"/>
      <c r="G830" s="1"/>
      <c r="H830" s="1" t="s">
        <v>14044</v>
      </c>
      <c r="I830" s="1" t="s">
        <v>14044</v>
      </c>
      <c r="J830" s="1"/>
      <c r="K830" s="1"/>
      <c r="L830" s="1"/>
      <c r="M830" s="1"/>
      <c r="N830" s="1"/>
      <c r="O830" s="1"/>
      <c r="P830" s="1"/>
      <c r="Q830" s="1"/>
      <c r="R830" s="1"/>
      <c r="S830" s="1"/>
      <c r="T830" s="1"/>
      <c r="U830" s="1"/>
      <c r="V830" s="1"/>
      <c r="W830" s="1"/>
      <c r="X830" s="1"/>
      <c r="Y830" s="1"/>
      <c r="Z830" s="1"/>
      <c r="AA830" s="1"/>
      <c r="AB830" s="1"/>
      <c r="AC830" s="1"/>
      <c r="AD830" s="1" t="s">
        <v>93</v>
      </c>
      <c r="AE830" s="1" t="s">
        <v>93</v>
      </c>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t="s">
        <v>9609</v>
      </c>
      <c r="BQ830" s="3"/>
      <c r="BR830" s="3"/>
    </row>
    <row r="831" spans="1:70">
      <c r="A831" s="1" t="s">
        <v>70</v>
      </c>
      <c r="B831" s="1" t="s">
        <v>13846</v>
      </c>
      <c r="C831" s="1" t="s">
        <v>14045</v>
      </c>
      <c r="D831" s="1"/>
      <c r="E831" s="1"/>
      <c r="F831" s="1"/>
      <c r="G831" s="1"/>
      <c r="H831" s="1" t="s">
        <v>14046</v>
      </c>
      <c r="I831" s="1" t="s">
        <v>14046</v>
      </c>
      <c r="J831" s="1"/>
      <c r="K831" s="1"/>
      <c r="L831" s="1"/>
      <c r="M831" s="1"/>
      <c r="N831" s="1"/>
      <c r="O831" s="1"/>
      <c r="P831" s="1"/>
      <c r="Q831" s="1"/>
      <c r="R831" s="1"/>
      <c r="S831" s="1"/>
      <c r="T831" s="1"/>
      <c r="U831" s="1"/>
      <c r="V831" s="1"/>
      <c r="W831" s="1"/>
      <c r="X831" s="1"/>
      <c r="Y831" s="1"/>
      <c r="Z831" s="1"/>
      <c r="AA831" s="1"/>
      <c r="AB831" s="1"/>
      <c r="AC831" s="1"/>
      <c r="AD831" s="1" t="s">
        <v>93</v>
      </c>
      <c r="AE831" s="1" t="s">
        <v>93</v>
      </c>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t="s">
        <v>9609</v>
      </c>
      <c r="BQ831" s="3"/>
      <c r="BR831" s="3"/>
    </row>
    <row r="832" spans="1:70">
      <c r="A832" s="1" t="s">
        <v>70</v>
      </c>
      <c r="B832" s="1" t="s">
        <v>13846</v>
      </c>
      <c r="C832" s="1" t="s">
        <v>14047</v>
      </c>
      <c r="D832" s="1"/>
      <c r="E832" s="1"/>
      <c r="F832" s="1"/>
      <c r="G832" s="1"/>
      <c r="H832" s="1" t="s">
        <v>14048</v>
      </c>
      <c r="I832" s="1" t="s">
        <v>14048</v>
      </c>
      <c r="J832" s="1"/>
      <c r="K832" s="1"/>
      <c r="L832" s="1"/>
      <c r="M832" s="1"/>
      <c r="N832" s="1"/>
      <c r="O832" s="1"/>
      <c r="P832" s="1"/>
      <c r="Q832" s="1"/>
      <c r="R832" s="1"/>
      <c r="S832" s="1"/>
      <c r="T832" s="1"/>
      <c r="U832" s="1"/>
      <c r="V832" s="1"/>
      <c r="W832" s="1"/>
      <c r="X832" s="1"/>
      <c r="Y832" s="1"/>
      <c r="Z832" s="1"/>
      <c r="AA832" s="1"/>
      <c r="AB832" s="1"/>
      <c r="AC832" s="1"/>
      <c r="AD832" s="1" t="s">
        <v>93</v>
      </c>
      <c r="AE832" s="1" t="s">
        <v>93</v>
      </c>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t="s">
        <v>9609</v>
      </c>
      <c r="BQ832" s="3"/>
      <c r="BR832" s="3"/>
    </row>
    <row r="833" spans="1:70">
      <c r="A833" s="1" t="s">
        <v>70</v>
      </c>
      <c r="B833" s="1" t="s">
        <v>13846</v>
      </c>
      <c r="C833" s="1" t="s">
        <v>14049</v>
      </c>
      <c r="D833" s="1"/>
      <c r="E833" s="1"/>
      <c r="F833" s="1"/>
      <c r="G833" s="1"/>
      <c r="H833" s="1" t="s">
        <v>14050</v>
      </c>
      <c r="I833" s="1" t="s">
        <v>14050</v>
      </c>
      <c r="J833" s="1"/>
      <c r="K833" s="1"/>
      <c r="L833" s="1"/>
      <c r="M833" s="1"/>
      <c r="N833" s="1"/>
      <c r="O833" s="1"/>
      <c r="P833" s="1"/>
      <c r="Q833" s="1"/>
      <c r="R833" s="1"/>
      <c r="S833" s="1"/>
      <c r="T833" s="1"/>
      <c r="U833" s="1"/>
      <c r="V833" s="1"/>
      <c r="W833" s="1"/>
      <c r="X833" s="1"/>
      <c r="Y833" s="1"/>
      <c r="Z833" s="1"/>
      <c r="AA833" s="1"/>
      <c r="AB833" s="1"/>
      <c r="AC833" s="1"/>
      <c r="AD833" s="1" t="s">
        <v>93</v>
      </c>
      <c r="AE833" s="1" t="s">
        <v>93</v>
      </c>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t="s">
        <v>9609</v>
      </c>
      <c r="BQ833" s="3"/>
      <c r="BR833" s="3"/>
    </row>
    <row r="834" spans="1:70">
      <c r="A834" s="1" t="s">
        <v>70</v>
      </c>
      <c r="B834" s="1" t="s">
        <v>13846</v>
      </c>
      <c r="C834" s="1" t="s">
        <v>14051</v>
      </c>
      <c r="D834" s="1"/>
      <c r="E834" s="1"/>
      <c r="F834" s="1"/>
      <c r="G834" s="1"/>
      <c r="H834" s="1" t="s">
        <v>14052</v>
      </c>
      <c r="I834" s="1" t="s">
        <v>14052</v>
      </c>
      <c r="J834" s="1"/>
      <c r="K834" s="1"/>
      <c r="L834" s="1"/>
      <c r="M834" s="1"/>
      <c r="N834" s="1"/>
      <c r="O834" s="1"/>
      <c r="P834" s="1"/>
      <c r="Q834" s="1"/>
      <c r="R834" s="1"/>
      <c r="S834" s="1"/>
      <c r="T834" s="1"/>
      <c r="U834" s="1"/>
      <c r="V834" s="1"/>
      <c r="W834" s="1"/>
      <c r="X834" s="1"/>
      <c r="Y834" s="1"/>
      <c r="Z834" s="1"/>
      <c r="AA834" s="1"/>
      <c r="AB834" s="1"/>
      <c r="AC834" s="1"/>
      <c r="AD834" s="1" t="s">
        <v>93</v>
      </c>
      <c r="AE834" s="1" t="s">
        <v>93</v>
      </c>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t="s">
        <v>9609</v>
      </c>
      <c r="BQ834" s="3"/>
      <c r="BR834" s="3"/>
    </row>
    <row r="835" spans="1:70">
      <c r="A835" s="1" t="s">
        <v>70</v>
      </c>
      <c r="B835" s="1" t="s">
        <v>13846</v>
      </c>
      <c r="C835" s="1" t="s">
        <v>14053</v>
      </c>
      <c r="D835" s="1"/>
      <c r="E835" s="1"/>
      <c r="F835" s="1"/>
      <c r="G835" s="1"/>
      <c r="H835" s="1" t="s">
        <v>14054</v>
      </c>
      <c r="I835" s="1" t="s">
        <v>14054</v>
      </c>
      <c r="J835" s="1"/>
      <c r="K835" s="1"/>
      <c r="L835" s="1"/>
      <c r="M835" s="1"/>
      <c r="N835" s="1"/>
      <c r="O835" s="1"/>
      <c r="P835" s="1"/>
      <c r="Q835" s="1"/>
      <c r="R835" s="1"/>
      <c r="S835" s="1"/>
      <c r="T835" s="1"/>
      <c r="U835" s="1"/>
      <c r="V835" s="1"/>
      <c r="W835" s="1"/>
      <c r="X835" s="1"/>
      <c r="Y835" s="1"/>
      <c r="Z835" s="1"/>
      <c r="AA835" s="1"/>
      <c r="AB835" s="1"/>
      <c r="AC835" s="1"/>
      <c r="AD835" s="1" t="s">
        <v>93</v>
      </c>
      <c r="AE835" s="1" t="s">
        <v>93</v>
      </c>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t="s">
        <v>9609</v>
      </c>
      <c r="BQ835" s="3"/>
      <c r="BR835" s="3"/>
    </row>
    <row r="836" spans="1:70">
      <c r="A836" s="1" t="s">
        <v>70</v>
      </c>
      <c r="B836" s="1" t="s">
        <v>13846</v>
      </c>
      <c r="C836" s="1" t="s">
        <v>14055</v>
      </c>
      <c r="D836" s="1"/>
      <c r="E836" s="1"/>
      <c r="F836" s="1"/>
      <c r="G836" s="1"/>
      <c r="H836" s="1" t="s">
        <v>14056</v>
      </c>
      <c r="I836" s="1" t="s">
        <v>14056</v>
      </c>
      <c r="J836" s="1"/>
      <c r="K836" s="1"/>
      <c r="L836" s="1"/>
      <c r="M836" s="1"/>
      <c r="N836" s="1"/>
      <c r="O836" s="1"/>
      <c r="P836" s="1"/>
      <c r="Q836" s="1"/>
      <c r="R836" s="1"/>
      <c r="S836" s="1"/>
      <c r="T836" s="1"/>
      <c r="U836" s="1"/>
      <c r="V836" s="1"/>
      <c r="W836" s="1"/>
      <c r="X836" s="1"/>
      <c r="Y836" s="1"/>
      <c r="Z836" s="1"/>
      <c r="AA836" s="1"/>
      <c r="AB836" s="1"/>
      <c r="AC836" s="1"/>
      <c r="AD836" s="1" t="s">
        <v>93</v>
      </c>
      <c r="AE836" s="1" t="s">
        <v>93</v>
      </c>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t="s">
        <v>9609</v>
      </c>
      <c r="BQ836" s="3"/>
      <c r="BR836" s="3"/>
    </row>
    <row r="837" spans="1:70">
      <c r="A837" s="1" t="s">
        <v>70</v>
      </c>
      <c r="B837" s="1" t="s">
        <v>13846</v>
      </c>
      <c r="C837" s="1" t="s">
        <v>14057</v>
      </c>
      <c r="D837" s="1"/>
      <c r="E837" s="1"/>
      <c r="F837" s="1"/>
      <c r="G837" s="1"/>
      <c r="H837" s="1" t="s">
        <v>14058</v>
      </c>
      <c r="I837" s="1" t="s">
        <v>14058</v>
      </c>
      <c r="J837" s="1"/>
      <c r="K837" s="1"/>
      <c r="L837" s="1"/>
      <c r="M837" s="1"/>
      <c r="N837" s="1"/>
      <c r="O837" s="1"/>
      <c r="P837" s="1"/>
      <c r="Q837" s="1"/>
      <c r="R837" s="1"/>
      <c r="S837" s="1"/>
      <c r="T837" s="1"/>
      <c r="U837" s="1"/>
      <c r="V837" s="1"/>
      <c r="W837" s="1"/>
      <c r="X837" s="1"/>
      <c r="Y837" s="1"/>
      <c r="Z837" s="1"/>
      <c r="AA837" s="1"/>
      <c r="AB837" s="1"/>
      <c r="AC837" s="1"/>
      <c r="AD837" s="1" t="s">
        <v>93</v>
      </c>
      <c r="AE837" s="1" t="s">
        <v>93</v>
      </c>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t="s">
        <v>9609</v>
      </c>
      <c r="BQ837" s="3"/>
      <c r="BR837" s="3"/>
    </row>
    <row r="838" spans="1:70">
      <c r="A838" s="1" t="s">
        <v>70</v>
      </c>
      <c r="B838" s="1" t="s">
        <v>13846</v>
      </c>
      <c r="C838" s="1" t="s">
        <v>14059</v>
      </c>
      <c r="D838" s="1"/>
      <c r="E838" s="1"/>
      <c r="F838" s="1"/>
      <c r="G838" s="1"/>
      <c r="H838" s="1" t="s">
        <v>14060</v>
      </c>
      <c r="I838" s="1" t="s">
        <v>14060</v>
      </c>
      <c r="J838" s="1"/>
      <c r="K838" s="1"/>
      <c r="L838" s="1"/>
      <c r="M838" s="1"/>
      <c r="N838" s="1"/>
      <c r="O838" s="1"/>
      <c r="P838" s="1"/>
      <c r="Q838" s="1"/>
      <c r="R838" s="1"/>
      <c r="S838" s="1"/>
      <c r="T838" s="1"/>
      <c r="U838" s="1"/>
      <c r="V838" s="1"/>
      <c r="W838" s="1"/>
      <c r="X838" s="1"/>
      <c r="Y838" s="1"/>
      <c r="Z838" s="1"/>
      <c r="AA838" s="1"/>
      <c r="AB838" s="1"/>
      <c r="AC838" s="1"/>
      <c r="AD838" s="1" t="s">
        <v>93</v>
      </c>
      <c r="AE838" s="1" t="s">
        <v>93</v>
      </c>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t="s">
        <v>9609</v>
      </c>
      <c r="BQ838" s="3"/>
      <c r="BR838" s="3"/>
    </row>
    <row r="839" spans="1:70">
      <c r="A839" s="1" t="s">
        <v>70</v>
      </c>
      <c r="B839" s="1" t="s">
        <v>13846</v>
      </c>
      <c r="C839" s="1" t="s">
        <v>14061</v>
      </c>
      <c r="D839" s="1"/>
      <c r="E839" s="1"/>
      <c r="F839" s="1"/>
      <c r="G839" s="1"/>
      <c r="H839" s="1" t="s">
        <v>14062</v>
      </c>
      <c r="I839" s="1" t="s">
        <v>14062</v>
      </c>
      <c r="J839" s="1"/>
      <c r="K839" s="1"/>
      <c r="L839" s="1"/>
      <c r="M839" s="1"/>
      <c r="N839" s="1"/>
      <c r="O839" s="1"/>
      <c r="P839" s="1"/>
      <c r="Q839" s="1"/>
      <c r="R839" s="1"/>
      <c r="S839" s="1"/>
      <c r="T839" s="1"/>
      <c r="U839" s="1"/>
      <c r="V839" s="1"/>
      <c r="W839" s="1"/>
      <c r="X839" s="1"/>
      <c r="Y839" s="1"/>
      <c r="Z839" s="1"/>
      <c r="AA839" s="1"/>
      <c r="AB839" s="1"/>
      <c r="AC839" s="1"/>
      <c r="AD839" s="1" t="s">
        <v>93</v>
      </c>
      <c r="AE839" s="1" t="s">
        <v>93</v>
      </c>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t="s">
        <v>9609</v>
      </c>
      <c r="BQ839" s="3"/>
      <c r="BR839" s="3"/>
    </row>
    <row r="840" spans="1:70">
      <c r="A840" s="1" t="s">
        <v>70</v>
      </c>
      <c r="B840" s="1" t="s">
        <v>13846</v>
      </c>
      <c r="C840" s="1" t="s">
        <v>14063</v>
      </c>
      <c r="D840" s="1"/>
      <c r="E840" s="1"/>
      <c r="F840" s="1"/>
      <c r="G840" s="1"/>
      <c r="H840" s="1" t="s">
        <v>14064</v>
      </c>
      <c r="I840" s="1" t="s">
        <v>14064</v>
      </c>
      <c r="J840" s="1"/>
      <c r="K840" s="1"/>
      <c r="L840" s="1"/>
      <c r="M840" s="1"/>
      <c r="N840" s="1"/>
      <c r="O840" s="1"/>
      <c r="P840" s="1"/>
      <c r="Q840" s="1"/>
      <c r="R840" s="1"/>
      <c r="S840" s="1"/>
      <c r="T840" s="1"/>
      <c r="U840" s="1"/>
      <c r="V840" s="1"/>
      <c r="W840" s="1"/>
      <c r="X840" s="1"/>
      <c r="Y840" s="1"/>
      <c r="Z840" s="1"/>
      <c r="AA840" s="1"/>
      <c r="AB840" s="1"/>
      <c r="AC840" s="1"/>
      <c r="AD840" s="1" t="s">
        <v>93</v>
      </c>
      <c r="AE840" s="1" t="s">
        <v>93</v>
      </c>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t="s">
        <v>9609</v>
      </c>
      <c r="BQ840" s="3"/>
      <c r="BR840" s="3"/>
    </row>
    <row r="841" spans="1:70">
      <c r="A841" s="1" t="s">
        <v>70</v>
      </c>
      <c r="B841" s="1" t="s">
        <v>13846</v>
      </c>
      <c r="C841" s="1" t="s">
        <v>14065</v>
      </c>
      <c r="D841" s="1"/>
      <c r="E841" s="1"/>
      <c r="F841" s="1"/>
      <c r="G841" s="1"/>
      <c r="H841" s="1" t="s">
        <v>14066</v>
      </c>
      <c r="I841" s="1" t="s">
        <v>14066</v>
      </c>
      <c r="J841" s="1"/>
      <c r="K841" s="1"/>
      <c r="L841" s="1"/>
      <c r="M841" s="1"/>
      <c r="N841" s="1"/>
      <c r="O841" s="1"/>
      <c r="P841" s="1"/>
      <c r="Q841" s="1"/>
      <c r="R841" s="1"/>
      <c r="S841" s="1"/>
      <c r="T841" s="1"/>
      <c r="U841" s="1"/>
      <c r="V841" s="1"/>
      <c r="W841" s="1"/>
      <c r="X841" s="1"/>
      <c r="Y841" s="1"/>
      <c r="Z841" s="1"/>
      <c r="AA841" s="1"/>
      <c r="AB841" s="1"/>
      <c r="AC841" s="1"/>
      <c r="AD841" s="1" t="s">
        <v>93</v>
      </c>
      <c r="AE841" s="1" t="s">
        <v>93</v>
      </c>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t="s">
        <v>9609</v>
      </c>
      <c r="BQ841" s="3"/>
      <c r="BR841" s="3"/>
    </row>
    <row r="842" spans="1:70">
      <c r="A842" s="1" t="s">
        <v>70</v>
      </c>
      <c r="B842" s="1" t="s">
        <v>13846</v>
      </c>
      <c r="C842" s="1" t="s">
        <v>14067</v>
      </c>
      <c r="D842" s="1"/>
      <c r="E842" s="1"/>
      <c r="F842" s="1"/>
      <c r="G842" s="1"/>
      <c r="H842" s="1" t="s">
        <v>14068</v>
      </c>
      <c r="I842" s="1" t="s">
        <v>14068</v>
      </c>
      <c r="J842" s="1"/>
      <c r="K842" s="1"/>
      <c r="L842" s="1"/>
      <c r="M842" s="1"/>
      <c r="N842" s="1"/>
      <c r="O842" s="1"/>
      <c r="P842" s="1"/>
      <c r="Q842" s="1"/>
      <c r="R842" s="1"/>
      <c r="S842" s="1"/>
      <c r="T842" s="1"/>
      <c r="U842" s="1"/>
      <c r="V842" s="1"/>
      <c r="W842" s="1"/>
      <c r="X842" s="1"/>
      <c r="Y842" s="1"/>
      <c r="Z842" s="1"/>
      <c r="AA842" s="1"/>
      <c r="AB842" s="1"/>
      <c r="AC842" s="1"/>
      <c r="AD842" s="1" t="s">
        <v>93</v>
      </c>
      <c r="AE842" s="1" t="s">
        <v>93</v>
      </c>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t="s">
        <v>9609</v>
      </c>
      <c r="BQ842" s="3"/>
      <c r="BR842" s="3"/>
    </row>
    <row r="843" spans="1:70">
      <c r="A843" s="1" t="s">
        <v>70</v>
      </c>
      <c r="B843" s="1" t="s">
        <v>13846</v>
      </c>
      <c r="C843" s="1" t="s">
        <v>14069</v>
      </c>
      <c r="D843" s="1"/>
      <c r="E843" s="1"/>
      <c r="F843" s="1"/>
      <c r="G843" s="1"/>
      <c r="H843" s="1" t="s">
        <v>14070</v>
      </c>
      <c r="I843" s="1" t="s">
        <v>14070</v>
      </c>
      <c r="J843" s="1"/>
      <c r="K843" s="1"/>
      <c r="L843" s="1"/>
      <c r="M843" s="1"/>
      <c r="N843" s="1"/>
      <c r="O843" s="1"/>
      <c r="P843" s="1"/>
      <c r="Q843" s="1"/>
      <c r="R843" s="1"/>
      <c r="S843" s="1"/>
      <c r="T843" s="1"/>
      <c r="U843" s="1"/>
      <c r="V843" s="1"/>
      <c r="W843" s="1"/>
      <c r="X843" s="1"/>
      <c r="Y843" s="1"/>
      <c r="Z843" s="1"/>
      <c r="AA843" s="1"/>
      <c r="AB843" s="1"/>
      <c r="AC843" s="1"/>
      <c r="AD843" s="1" t="s">
        <v>93</v>
      </c>
      <c r="AE843" s="1" t="s">
        <v>93</v>
      </c>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t="s">
        <v>9609</v>
      </c>
      <c r="BQ843" s="3"/>
      <c r="BR843" s="3"/>
    </row>
    <row r="844" spans="1:70">
      <c r="A844" s="1" t="s">
        <v>70</v>
      </c>
      <c r="B844" s="1" t="s">
        <v>13846</v>
      </c>
      <c r="C844" s="1" t="s">
        <v>14071</v>
      </c>
      <c r="D844" s="1"/>
      <c r="E844" s="1"/>
      <c r="F844" s="1"/>
      <c r="G844" s="1"/>
      <c r="H844" s="1" t="s">
        <v>14072</v>
      </c>
      <c r="I844" s="1" t="s">
        <v>14072</v>
      </c>
      <c r="J844" s="1"/>
      <c r="K844" s="1"/>
      <c r="L844" s="1"/>
      <c r="M844" s="1"/>
      <c r="N844" s="1"/>
      <c r="O844" s="1"/>
      <c r="P844" s="1"/>
      <c r="Q844" s="1"/>
      <c r="R844" s="1"/>
      <c r="S844" s="1"/>
      <c r="T844" s="1"/>
      <c r="U844" s="1"/>
      <c r="V844" s="1"/>
      <c r="W844" s="1"/>
      <c r="X844" s="1"/>
      <c r="Y844" s="1"/>
      <c r="Z844" s="1"/>
      <c r="AA844" s="1"/>
      <c r="AB844" s="1"/>
      <c r="AC844" s="1"/>
      <c r="AD844" s="1" t="s">
        <v>93</v>
      </c>
      <c r="AE844" s="1" t="s">
        <v>93</v>
      </c>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t="s">
        <v>9609</v>
      </c>
      <c r="BQ844" s="3"/>
      <c r="BR844" s="3"/>
    </row>
    <row r="845" spans="1:70">
      <c r="A845" s="1" t="s">
        <v>70</v>
      </c>
      <c r="B845" s="1" t="s">
        <v>13846</v>
      </c>
      <c r="C845" s="1" t="s">
        <v>14073</v>
      </c>
      <c r="D845" s="1"/>
      <c r="E845" s="1"/>
      <c r="F845" s="1"/>
      <c r="G845" s="1"/>
      <c r="H845" s="1" t="s">
        <v>14074</v>
      </c>
      <c r="I845" s="1" t="s">
        <v>14074</v>
      </c>
      <c r="J845" s="1"/>
      <c r="K845" s="1"/>
      <c r="L845" s="1"/>
      <c r="M845" s="1"/>
      <c r="N845" s="1"/>
      <c r="O845" s="1"/>
      <c r="P845" s="1"/>
      <c r="Q845" s="1"/>
      <c r="R845" s="1"/>
      <c r="S845" s="1"/>
      <c r="T845" s="1"/>
      <c r="U845" s="1"/>
      <c r="V845" s="1"/>
      <c r="W845" s="1"/>
      <c r="X845" s="1"/>
      <c r="Y845" s="1"/>
      <c r="Z845" s="1"/>
      <c r="AA845" s="1"/>
      <c r="AB845" s="1"/>
      <c r="AC845" s="1"/>
      <c r="AD845" s="1" t="s">
        <v>93</v>
      </c>
      <c r="AE845" s="1" t="s">
        <v>93</v>
      </c>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t="s">
        <v>9609</v>
      </c>
      <c r="BQ845" s="3"/>
      <c r="BR845" s="3"/>
    </row>
    <row r="846" spans="1:70">
      <c r="A846" s="1" t="s">
        <v>70</v>
      </c>
      <c r="B846" s="1" t="s">
        <v>13846</v>
      </c>
      <c r="C846" s="1" t="s">
        <v>14075</v>
      </c>
      <c r="D846" s="1"/>
      <c r="E846" s="1"/>
      <c r="F846" s="1"/>
      <c r="G846" s="1"/>
      <c r="H846" s="1" t="s">
        <v>14076</v>
      </c>
      <c r="I846" s="1" t="s">
        <v>14076</v>
      </c>
      <c r="J846" s="1"/>
      <c r="K846" s="1"/>
      <c r="L846" s="1"/>
      <c r="M846" s="1"/>
      <c r="N846" s="1"/>
      <c r="O846" s="1"/>
      <c r="P846" s="1"/>
      <c r="Q846" s="1"/>
      <c r="R846" s="1"/>
      <c r="S846" s="1"/>
      <c r="T846" s="1"/>
      <c r="U846" s="1"/>
      <c r="V846" s="1"/>
      <c r="W846" s="1"/>
      <c r="X846" s="1"/>
      <c r="Y846" s="1"/>
      <c r="Z846" s="1"/>
      <c r="AA846" s="1"/>
      <c r="AB846" s="1"/>
      <c r="AC846" s="1"/>
      <c r="AD846" s="1" t="s">
        <v>93</v>
      </c>
      <c r="AE846" s="1" t="s">
        <v>93</v>
      </c>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t="s">
        <v>9609</v>
      </c>
      <c r="BQ846" s="3"/>
      <c r="BR846" s="3"/>
    </row>
    <row r="847" spans="1:70">
      <c r="A847" s="1" t="s">
        <v>70</v>
      </c>
      <c r="B847" s="1" t="s">
        <v>13846</v>
      </c>
      <c r="C847" s="1" t="s">
        <v>14077</v>
      </c>
      <c r="D847" s="1"/>
      <c r="E847" s="1"/>
      <c r="F847" s="1"/>
      <c r="G847" s="1"/>
      <c r="H847" s="1" t="s">
        <v>14078</v>
      </c>
      <c r="I847" s="1" t="s">
        <v>14078</v>
      </c>
      <c r="J847" s="1"/>
      <c r="K847" s="1"/>
      <c r="L847" s="1"/>
      <c r="M847" s="1"/>
      <c r="N847" s="1"/>
      <c r="O847" s="1"/>
      <c r="P847" s="1"/>
      <c r="Q847" s="1"/>
      <c r="R847" s="1"/>
      <c r="S847" s="1"/>
      <c r="T847" s="1"/>
      <c r="U847" s="1"/>
      <c r="V847" s="1"/>
      <c r="W847" s="1"/>
      <c r="X847" s="1"/>
      <c r="Y847" s="1"/>
      <c r="Z847" s="1"/>
      <c r="AA847" s="1"/>
      <c r="AB847" s="1"/>
      <c r="AC847" s="1"/>
      <c r="AD847" s="1" t="s">
        <v>93</v>
      </c>
      <c r="AE847" s="1" t="s">
        <v>93</v>
      </c>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t="s">
        <v>9609</v>
      </c>
      <c r="BQ847" s="3"/>
      <c r="BR847" s="3"/>
    </row>
    <row r="848" spans="1:70">
      <c r="A848" s="1" t="s">
        <v>70</v>
      </c>
      <c r="B848" s="1" t="s">
        <v>13846</v>
      </c>
      <c r="C848" s="1" t="s">
        <v>14079</v>
      </c>
      <c r="D848" s="1"/>
      <c r="E848" s="1"/>
      <c r="F848" s="1"/>
      <c r="G848" s="1"/>
      <c r="H848" s="1" t="s">
        <v>14080</v>
      </c>
      <c r="I848" s="1" t="s">
        <v>14080</v>
      </c>
      <c r="J848" s="1"/>
      <c r="K848" s="1"/>
      <c r="L848" s="1"/>
      <c r="M848" s="1"/>
      <c r="N848" s="1"/>
      <c r="O848" s="1"/>
      <c r="P848" s="1"/>
      <c r="Q848" s="1"/>
      <c r="R848" s="1"/>
      <c r="S848" s="1"/>
      <c r="T848" s="1"/>
      <c r="U848" s="1"/>
      <c r="V848" s="1"/>
      <c r="W848" s="1"/>
      <c r="X848" s="1"/>
      <c r="Y848" s="1"/>
      <c r="Z848" s="1"/>
      <c r="AA848" s="1"/>
      <c r="AB848" s="1"/>
      <c r="AC848" s="1"/>
      <c r="AD848" s="1" t="s">
        <v>93</v>
      </c>
      <c r="AE848" s="1" t="s">
        <v>93</v>
      </c>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t="s">
        <v>9609</v>
      </c>
      <c r="BQ848" s="3"/>
      <c r="BR848" s="3"/>
    </row>
    <row r="849" spans="1:70">
      <c r="A849" s="1" t="s">
        <v>70</v>
      </c>
      <c r="B849" s="1" t="s">
        <v>13846</v>
      </c>
      <c r="C849" s="1" t="s">
        <v>14081</v>
      </c>
      <c r="D849" s="1"/>
      <c r="E849" s="1"/>
      <c r="F849" s="1"/>
      <c r="G849" s="1"/>
      <c r="H849" s="1" t="s">
        <v>14082</v>
      </c>
      <c r="I849" s="1" t="s">
        <v>14082</v>
      </c>
      <c r="J849" s="1"/>
      <c r="K849" s="1"/>
      <c r="L849" s="1"/>
      <c r="M849" s="1"/>
      <c r="N849" s="1"/>
      <c r="O849" s="1"/>
      <c r="P849" s="1"/>
      <c r="Q849" s="1"/>
      <c r="R849" s="1"/>
      <c r="S849" s="1"/>
      <c r="T849" s="1"/>
      <c r="U849" s="1"/>
      <c r="V849" s="1"/>
      <c r="W849" s="1"/>
      <c r="X849" s="1"/>
      <c r="Y849" s="1"/>
      <c r="Z849" s="1"/>
      <c r="AA849" s="1"/>
      <c r="AB849" s="1"/>
      <c r="AC849" s="1"/>
      <c r="AD849" s="1" t="s">
        <v>93</v>
      </c>
      <c r="AE849" s="1" t="s">
        <v>93</v>
      </c>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t="s">
        <v>9609</v>
      </c>
      <c r="BQ849" s="3"/>
      <c r="BR849" s="3"/>
    </row>
    <row r="850" spans="1:70">
      <c r="A850" s="1" t="s">
        <v>70</v>
      </c>
      <c r="B850" s="1" t="s">
        <v>13846</v>
      </c>
      <c r="C850" s="1" t="s">
        <v>14083</v>
      </c>
      <c r="D850" s="1"/>
      <c r="E850" s="1"/>
      <c r="F850" s="1"/>
      <c r="G850" s="1"/>
      <c r="H850" s="1" t="s">
        <v>14084</v>
      </c>
      <c r="I850" s="1" t="s">
        <v>14084</v>
      </c>
      <c r="J850" s="1"/>
      <c r="K850" s="1"/>
      <c r="L850" s="1"/>
      <c r="M850" s="1"/>
      <c r="N850" s="1"/>
      <c r="O850" s="1"/>
      <c r="P850" s="1"/>
      <c r="Q850" s="1"/>
      <c r="R850" s="1"/>
      <c r="S850" s="1"/>
      <c r="T850" s="1"/>
      <c r="U850" s="1"/>
      <c r="V850" s="1"/>
      <c r="W850" s="1"/>
      <c r="X850" s="1"/>
      <c r="Y850" s="1"/>
      <c r="Z850" s="1"/>
      <c r="AA850" s="1"/>
      <c r="AB850" s="1"/>
      <c r="AC850" s="1"/>
      <c r="AD850" s="1" t="s">
        <v>93</v>
      </c>
      <c r="AE850" s="1" t="s">
        <v>93</v>
      </c>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t="s">
        <v>9609</v>
      </c>
      <c r="BQ850" s="3"/>
      <c r="BR850" s="3"/>
    </row>
    <row r="851" spans="1:70">
      <c r="A851" s="1" t="s">
        <v>70</v>
      </c>
      <c r="B851" s="1" t="s">
        <v>13846</v>
      </c>
      <c r="C851" s="1" t="s">
        <v>14085</v>
      </c>
      <c r="D851" s="1"/>
      <c r="E851" s="1"/>
      <c r="F851" s="1"/>
      <c r="G851" s="1"/>
      <c r="H851" s="1" t="s">
        <v>14086</v>
      </c>
      <c r="I851" s="1" t="s">
        <v>14086</v>
      </c>
      <c r="J851" s="1"/>
      <c r="K851" s="1"/>
      <c r="L851" s="1"/>
      <c r="M851" s="1"/>
      <c r="N851" s="1"/>
      <c r="O851" s="1"/>
      <c r="P851" s="1"/>
      <c r="Q851" s="1"/>
      <c r="R851" s="1"/>
      <c r="S851" s="1"/>
      <c r="T851" s="1"/>
      <c r="U851" s="1"/>
      <c r="V851" s="1"/>
      <c r="W851" s="1"/>
      <c r="X851" s="1"/>
      <c r="Y851" s="1"/>
      <c r="Z851" s="1"/>
      <c r="AA851" s="1"/>
      <c r="AB851" s="1"/>
      <c r="AC851" s="1"/>
      <c r="AD851" s="1" t="s">
        <v>93</v>
      </c>
      <c r="AE851" s="1" t="s">
        <v>93</v>
      </c>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t="s">
        <v>9609</v>
      </c>
      <c r="BQ851" s="3"/>
      <c r="BR851" s="3"/>
    </row>
    <row r="852" spans="1:70">
      <c r="A852" s="1" t="s">
        <v>70</v>
      </c>
      <c r="B852" s="1" t="s">
        <v>13846</v>
      </c>
      <c r="C852" s="1" t="s">
        <v>14087</v>
      </c>
      <c r="D852" s="1"/>
      <c r="E852" s="1"/>
      <c r="F852" s="1"/>
      <c r="G852" s="1"/>
      <c r="H852" s="1" t="s">
        <v>14088</v>
      </c>
      <c r="I852" s="1" t="s">
        <v>14088</v>
      </c>
      <c r="J852" s="1"/>
      <c r="K852" s="1"/>
      <c r="L852" s="1"/>
      <c r="M852" s="1"/>
      <c r="N852" s="1"/>
      <c r="O852" s="1"/>
      <c r="P852" s="1"/>
      <c r="Q852" s="1"/>
      <c r="R852" s="1"/>
      <c r="S852" s="1"/>
      <c r="T852" s="1"/>
      <c r="U852" s="1"/>
      <c r="V852" s="1"/>
      <c r="W852" s="1"/>
      <c r="X852" s="1"/>
      <c r="Y852" s="1"/>
      <c r="Z852" s="1"/>
      <c r="AA852" s="1"/>
      <c r="AB852" s="1"/>
      <c r="AC852" s="1"/>
      <c r="AD852" s="1" t="s">
        <v>93</v>
      </c>
      <c r="AE852" s="1" t="s">
        <v>93</v>
      </c>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t="s">
        <v>9609</v>
      </c>
      <c r="BQ852" s="3"/>
      <c r="BR852" s="3"/>
    </row>
    <row r="853" spans="1:70">
      <c r="A853" s="1" t="s">
        <v>70</v>
      </c>
      <c r="B853" s="1" t="s">
        <v>13846</v>
      </c>
      <c r="C853" s="1" t="s">
        <v>14089</v>
      </c>
      <c r="D853" s="1"/>
      <c r="E853" s="1"/>
      <c r="F853" s="1"/>
      <c r="G853" s="1"/>
      <c r="H853" s="1" t="s">
        <v>14090</v>
      </c>
      <c r="I853" s="1" t="s">
        <v>14090</v>
      </c>
      <c r="J853" s="1"/>
      <c r="K853" s="1"/>
      <c r="L853" s="1"/>
      <c r="M853" s="1"/>
      <c r="N853" s="1"/>
      <c r="O853" s="1"/>
      <c r="P853" s="1"/>
      <c r="Q853" s="1"/>
      <c r="R853" s="1"/>
      <c r="S853" s="1"/>
      <c r="T853" s="1"/>
      <c r="U853" s="1"/>
      <c r="V853" s="1"/>
      <c r="W853" s="1"/>
      <c r="X853" s="1"/>
      <c r="Y853" s="1"/>
      <c r="Z853" s="1"/>
      <c r="AA853" s="1"/>
      <c r="AB853" s="1"/>
      <c r="AC853" s="1"/>
      <c r="AD853" s="1" t="s">
        <v>93</v>
      </c>
      <c r="AE853" s="1" t="s">
        <v>93</v>
      </c>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t="s">
        <v>9609</v>
      </c>
      <c r="BQ853" s="3"/>
      <c r="BR853" s="3"/>
    </row>
    <row r="854" spans="1:70">
      <c r="A854" s="1" t="s">
        <v>70</v>
      </c>
      <c r="B854" s="1" t="s">
        <v>13846</v>
      </c>
      <c r="C854" s="1" t="s">
        <v>14091</v>
      </c>
      <c r="D854" s="1"/>
      <c r="E854" s="1"/>
      <c r="F854" s="1"/>
      <c r="G854" s="1"/>
      <c r="H854" s="1" t="s">
        <v>14092</v>
      </c>
      <c r="I854" s="1" t="s">
        <v>14092</v>
      </c>
      <c r="J854" s="1"/>
      <c r="K854" s="1"/>
      <c r="L854" s="1"/>
      <c r="M854" s="1"/>
      <c r="N854" s="1"/>
      <c r="O854" s="1"/>
      <c r="P854" s="1"/>
      <c r="Q854" s="1"/>
      <c r="R854" s="1"/>
      <c r="S854" s="1"/>
      <c r="T854" s="1"/>
      <c r="U854" s="1"/>
      <c r="V854" s="1"/>
      <c r="W854" s="1"/>
      <c r="X854" s="1"/>
      <c r="Y854" s="1"/>
      <c r="Z854" s="1"/>
      <c r="AA854" s="1"/>
      <c r="AB854" s="1"/>
      <c r="AC854" s="1"/>
      <c r="AD854" s="1" t="s">
        <v>93</v>
      </c>
      <c r="AE854" s="1" t="s">
        <v>93</v>
      </c>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t="s">
        <v>9609</v>
      </c>
      <c r="BQ854" s="3"/>
      <c r="BR854" s="3"/>
    </row>
    <row r="855" spans="1:70">
      <c r="A855" s="1" t="s">
        <v>70</v>
      </c>
      <c r="B855" s="1" t="s">
        <v>13846</v>
      </c>
      <c r="C855" s="1" t="s">
        <v>14093</v>
      </c>
      <c r="D855" s="1"/>
      <c r="E855" s="1"/>
      <c r="F855" s="1"/>
      <c r="G855" s="1"/>
      <c r="H855" s="1" t="s">
        <v>14094</v>
      </c>
      <c r="I855" s="1" t="s">
        <v>14094</v>
      </c>
      <c r="J855" s="1"/>
      <c r="K855" s="1"/>
      <c r="L855" s="1"/>
      <c r="M855" s="1"/>
      <c r="N855" s="1"/>
      <c r="O855" s="1"/>
      <c r="P855" s="1"/>
      <c r="Q855" s="1"/>
      <c r="R855" s="1"/>
      <c r="S855" s="1"/>
      <c r="T855" s="1"/>
      <c r="U855" s="1"/>
      <c r="V855" s="1"/>
      <c r="W855" s="1"/>
      <c r="X855" s="1"/>
      <c r="Y855" s="1"/>
      <c r="Z855" s="1"/>
      <c r="AA855" s="1"/>
      <c r="AB855" s="1"/>
      <c r="AC855" s="1"/>
      <c r="AD855" s="1" t="s">
        <v>93</v>
      </c>
      <c r="AE855" s="1" t="s">
        <v>93</v>
      </c>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t="s">
        <v>9609</v>
      </c>
      <c r="BQ855" s="3"/>
      <c r="BR855" s="3"/>
    </row>
    <row r="856" spans="1:70">
      <c r="A856" s="1" t="s">
        <v>70</v>
      </c>
      <c r="B856" s="1" t="s">
        <v>13846</v>
      </c>
      <c r="C856" s="1" t="s">
        <v>14095</v>
      </c>
      <c r="D856" s="1"/>
      <c r="E856" s="1"/>
      <c r="F856" s="1"/>
      <c r="G856" s="1"/>
      <c r="H856" s="1" t="s">
        <v>14096</v>
      </c>
      <c r="I856" s="1" t="s">
        <v>14096</v>
      </c>
      <c r="J856" s="1"/>
      <c r="K856" s="1"/>
      <c r="L856" s="1"/>
      <c r="M856" s="1"/>
      <c r="N856" s="1"/>
      <c r="O856" s="1"/>
      <c r="P856" s="1"/>
      <c r="Q856" s="1"/>
      <c r="R856" s="1"/>
      <c r="S856" s="1"/>
      <c r="T856" s="1"/>
      <c r="U856" s="1"/>
      <c r="V856" s="1"/>
      <c r="W856" s="1"/>
      <c r="X856" s="1"/>
      <c r="Y856" s="1"/>
      <c r="Z856" s="1"/>
      <c r="AA856" s="1"/>
      <c r="AB856" s="1"/>
      <c r="AC856" s="1"/>
      <c r="AD856" s="1" t="s">
        <v>93</v>
      </c>
      <c r="AE856" s="1" t="s">
        <v>93</v>
      </c>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t="s">
        <v>9609</v>
      </c>
      <c r="BQ856" s="3"/>
      <c r="BR856" s="3"/>
    </row>
    <row r="857" spans="1:70">
      <c r="A857" s="1" t="s">
        <v>70</v>
      </c>
      <c r="B857" s="1" t="s">
        <v>13846</v>
      </c>
      <c r="C857" s="1" t="s">
        <v>14097</v>
      </c>
      <c r="D857" s="1"/>
      <c r="E857" s="1"/>
      <c r="F857" s="1"/>
      <c r="G857" s="1"/>
      <c r="H857" s="1" t="s">
        <v>14098</v>
      </c>
      <c r="I857" s="1" t="s">
        <v>14098</v>
      </c>
      <c r="J857" s="1"/>
      <c r="K857" s="1"/>
      <c r="L857" s="1"/>
      <c r="M857" s="1"/>
      <c r="N857" s="1"/>
      <c r="O857" s="1"/>
      <c r="P857" s="1"/>
      <c r="Q857" s="1"/>
      <c r="R857" s="1"/>
      <c r="S857" s="1"/>
      <c r="T857" s="1"/>
      <c r="U857" s="1"/>
      <c r="V857" s="1"/>
      <c r="W857" s="1"/>
      <c r="X857" s="1"/>
      <c r="Y857" s="1"/>
      <c r="Z857" s="1"/>
      <c r="AA857" s="1"/>
      <c r="AB857" s="1"/>
      <c r="AC857" s="1"/>
      <c r="AD857" s="1" t="s">
        <v>93</v>
      </c>
      <c r="AE857" s="1" t="s">
        <v>93</v>
      </c>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t="s">
        <v>9609</v>
      </c>
      <c r="BQ857" s="3"/>
      <c r="BR857" s="3"/>
    </row>
    <row r="858" spans="1:70">
      <c r="A858" s="1" t="s">
        <v>70</v>
      </c>
      <c r="B858" s="1" t="s">
        <v>13846</v>
      </c>
      <c r="C858" s="1" t="s">
        <v>14099</v>
      </c>
      <c r="D858" s="1"/>
      <c r="E858" s="1"/>
      <c r="F858" s="1"/>
      <c r="G858" s="1"/>
      <c r="H858" s="1" t="s">
        <v>14100</v>
      </c>
      <c r="I858" s="1" t="s">
        <v>14100</v>
      </c>
      <c r="J858" s="1"/>
      <c r="K858" s="1"/>
      <c r="L858" s="1"/>
      <c r="M858" s="1"/>
      <c r="N858" s="1"/>
      <c r="O858" s="1"/>
      <c r="P858" s="1"/>
      <c r="Q858" s="1"/>
      <c r="R858" s="1"/>
      <c r="S858" s="1"/>
      <c r="T858" s="1"/>
      <c r="U858" s="1"/>
      <c r="V858" s="1"/>
      <c r="W858" s="1"/>
      <c r="X858" s="1"/>
      <c r="Y858" s="1"/>
      <c r="Z858" s="1"/>
      <c r="AA858" s="1"/>
      <c r="AB858" s="1"/>
      <c r="AC858" s="1"/>
      <c r="AD858" s="1" t="s">
        <v>93</v>
      </c>
      <c r="AE858" s="1" t="s">
        <v>93</v>
      </c>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t="s">
        <v>9609</v>
      </c>
      <c r="BQ858" s="3"/>
      <c r="BR858" s="3"/>
    </row>
    <row r="859" spans="1:70">
      <c r="A859" s="1" t="s">
        <v>70</v>
      </c>
      <c r="B859" s="1" t="s">
        <v>13846</v>
      </c>
      <c r="C859" s="1" t="s">
        <v>14101</v>
      </c>
      <c r="D859" s="1"/>
      <c r="E859" s="1"/>
      <c r="F859" s="1"/>
      <c r="G859" s="1"/>
      <c r="H859" s="1" t="s">
        <v>14102</v>
      </c>
      <c r="I859" s="1" t="s">
        <v>14102</v>
      </c>
      <c r="J859" s="1"/>
      <c r="K859" s="1"/>
      <c r="L859" s="1"/>
      <c r="M859" s="1"/>
      <c r="N859" s="1"/>
      <c r="O859" s="1"/>
      <c r="P859" s="1"/>
      <c r="Q859" s="1"/>
      <c r="R859" s="1"/>
      <c r="S859" s="1"/>
      <c r="T859" s="1"/>
      <c r="U859" s="1"/>
      <c r="V859" s="1"/>
      <c r="W859" s="1"/>
      <c r="X859" s="1"/>
      <c r="Y859" s="1"/>
      <c r="Z859" s="1"/>
      <c r="AA859" s="1"/>
      <c r="AB859" s="1"/>
      <c r="AC859" s="1"/>
      <c r="AD859" s="1" t="s">
        <v>93</v>
      </c>
      <c r="AE859" s="1" t="s">
        <v>93</v>
      </c>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t="s">
        <v>9609</v>
      </c>
      <c r="BQ859" s="3"/>
      <c r="BR859" s="3"/>
    </row>
    <row r="860" spans="1:70">
      <c r="A860" s="1" t="s">
        <v>70</v>
      </c>
      <c r="B860" s="1" t="s">
        <v>13846</v>
      </c>
      <c r="C860" s="1" t="s">
        <v>14103</v>
      </c>
      <c r="D860" s="1"/>
      <c r="E860" s="1"/>
      <c r="F860" s="1"/>
      <c r="G860" s="1"/>
      <c r="H860" s="1" t="s">
        <v>14104</v>
      </c>
      <c r="I860" s="1" t="s">
        <v>14104</v>
      </c>
      <c r="J860" s="1"/>
      <c r="K860" s="1"/>
      <c r="L860" s="1"/>
      <c r="M860" s="1"/>
      <c r="N860" s="1"/>
      <c r="O860" s="1"/>
      <c r="P860" s="1"/>
      <c r="Q860" s="1"/>
      <c r="R860" s="1"/>
      <c r="S860" s="1"/>
      <c r="T860" s="1"/>
      <c r="U860" s="1"/>
      <c r="V860" s="1"/>
      <c r="W860" s="1"/>
      <c r="X860" s="1"/>
      <c r="Y860" s="1"/>
      <c r="Z860" s="1"/>
      <c r="AA860" s="1"/>
      <c r="AB860" s="1"/>
      <c r="AC860" s="1"/>
      <c r="AD860" s="1" t="s">
        <v>93</v>
      </c>
      <c r="AE860" s="1" t="s">
        <v>93</v>
      </c>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t="s">
        <v>9609</v>
      </c>
      <c r="BQ860" s="3"/>
      <c r="BR860" s="3"/>
    </row>
    <row r="861" spans="1:70">
      <c r="A861" s="1" t="s">
        <v>70</v>
      </c>
      <c r="B861" s="1" t="s">
        <v>13846</v>
      </c>
      <c r="C861" s="1" t="s">
        <v>14105</v>
      </c>
      <c r="D861" s="1"/>
      <c r="E861" s="1"/>
      <c r="F861" s="1"/>
      <c r="G861" s="1"/>
      <c r="H861" s="1" t="s">
        <v>14106</v>
      </c>
      <c r="I861" s="1" t="s">
        <v>14106</v>
      </c>
      <c r="J861" s="1"/>
      <c r="K861" s="1"/>
      <c r="L861" s="1"/>
      <c r="M861" s="1"/>
      <c r="N861" s="1"/>
      <c r="O861" s="1"/>
      <c r="P861" s="1"/>
      <c r="Q861" s="1"/>
      <c r="R861" s="1"/>
      <c r="S861" s="1"/>
      <c r="T861" s="1"/>
      <c r="U861" s="1"/>
      <c r="V861" s="1"/>
      <c r="W861" s="1"/>
      <c r="X861" s="1"/>
      <c r="Y861" s="1"/>
      <c r="Z861" s="1"/>
      <c r="AA861" s="1"/>
      <c r="AB861" s="1"/>
      <c r="AC861" s="1"/>
      <c r="AD861" s="1" t="s">
        <v>93</v>
      </c>
      <c r="AE861" s="1" t="s">
        <v>93</v>
      </c>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t="s">
        <v>9609</v>
      </c>
      <c r="BQ861" s="3"/>
      <c r="BR861" s="3"/>
    </row>
    <row r="862" spans="1:70">
      <c r="A862" s="1" t="s">
        <v>70</v>
      </c>
      <c r="B862" s="1" t="s">
        <v>13846</v>
      </c>
      <c r="C862" s="1" t="s">
        <v>14107</v>
      </c>
      <c r="D862" s="1"/>
      <c r="E862" s="1"/>
      <c r="F862" s="1"/>
      <c r="G862" s="1"/>
      <c r="H862" s="1" t="s">
        <v>14108</v>
      </c>
      <c r="I862" s="1" t="s">
        <v>14108</v>
      </c>
      <c r="J862" s="1"/>
      <c r="K862" s="1"/>
      <c r="L862" s="1"/>
      <c r="M862" s="1"/>
      <c r="N862" s="1"/>
      <c r="O862" s="1"/>
      <c r="P862" s="1"/>
      <c r="Q862" s="1"/>
      <c r="R862" s="1"/>
      <c r="S862" s="1"/>
      <c r="T862" s="1"/>
      <c r="U862" s="1"/>
      <c r="V862" s="1"/>
      <c r="W862" s="1"/>
      <c r="X862" s="1"/>
      <c r="Y862" s="1"/>
      <c r="Z862" s="1"/>
      <c r="AA862" s="1"/>
      <c r="AB862" s="1"/>
      <c r="AC862" s="1"/>
      <c r="AD862" s="1" t="s">
        <v>93</v>
      </c>
      <c r="AE862" s="1" t="s">
        <v>93</v>
      </c>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t="s">
        <v>9609</v>
      </c>
      <c r="BQ862" s="3"/>
      <c r="BR862" s="3"/>
    </row>
    <row r="863" spans="1:70">
      <c r="A863" s="1" t="s">
        <v>70</v>
      </c>
      <c r="B863" s="1" t="s">
        <v>13846</v>
      </c>
      <c r="C863" s="1" t="s">
        <v>14109</v>
      </c>
      <c r="D863" s="1"/>
      <c r="E863" s="1"/>
      <c r="F863" s="1"/>
      <c r="G863" s="1"/>
      <c r="H863" s="1" t="s">
        <v>14110</v>
      </c>
      <c r="I863" s="1" t="s">
        <v>14110</v>
      </c>
      <c r="J863" s="1"/>
      <c r="K863" s="1"/>
      <c r="L863" s="1"/>
      <c r="M863" s="1"/>
      <c r="N863" s="1"/>
      <c r="O863" s="1"/>
      <c r="P863" s="1"/>
      <c r="Q863" s="1"/>
      <c r="R863" s="1"/>
      <c r="S863" s="1"/>
      <c r="T863" s="1"/>
      <c r="U863" s="1"/>
      <c r="V863" s="1"/>
      <c r="W863" s="1"/>
      <c r="X863" s="1"/>
      <c r="Y863" s="1"/>
      <c r="Z863" s="1"/>
      <c r="AA863" s="1"/>
      <c r="AB863" s="1"/>
      <c r="AC863" s="1"/>
      <c r="AD863" s="1" t="s">
        <v>93</v>
      </c>
      <c r="AE863" s="1" t="s">
        <v>93</v>
      </c>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t="s">
        <v>9609</v>
      </c>
      <c r="BQ863" s="3"/>
      <c r="BR863" s="3"/>
    </row>
    <row r="864" spans="1:70">
      <c r="A864" s="1" t="s">
        <v>70</v>
      </c>
      <c r="B864" s="1" t="s">
        <v>13846</v>
      </c>
      <c r="C864" s="1" t="s">
        <v>14111</v>
      </c>
      <c r="D864" s="1"/>
      <c r="E864" s="1"/>
      <c r="F864" s="1"/>
      <c r="G864" s="1"/>
      <c r="H864" s="1" t="s">
        <v>14112</v>
      </c>
      <c r="I864" s="1" t="s">
        <v>14112</v>
      </c>
      <c r="J864" s="1"/>
      <c r="K864" s="1"/>
      <c r="L864" s="1"/>
      <c r="M864" s="1"/>
      <c r="N864" s="1"/>
      <c r="O864" s="1"/>
      <c r="P864" s="1"/>
      <c r="Q864" s="1"/>
      <c r="R864" s="1"/>
      <c r="S864" s="1"/>
      <c r="T864" s="1"/>
      <c r="U864" s="1"/>
      <c r="V864" s="1"/>
      <c r="W864" s="1"/>
      <c r="X864" s="1"/>
      <c r="Y864" s="1"/>
      <c r="Z864" s="1"/>
      <c r="AA864" s="1"/>
      <c r="AB864" s="1"/>
      <c r="AC864" s="1"/>
      <c r="AD864" s="1" t="s">
        <v>93</v>
      </c>
      <c r="AE864" s="1" t="s">
        <v>93</v>
      </c>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t="s">
        <v>9609</v>
      </c>
      <c r="BQ864" s="3"/>
      <c r="BR864" s="3"/>
    </row>
    <row r="865" spans="1:70">
      <c r="A865" s="1" t="s">
        <v>70</v>
      </c>
      <c r="B865" s="1" t="s">
        <v>13846</v>
      </c>
      <c r="C865" s="1" t="s">
        <v>14113</v>
      </c>
      <c r="D865" s="1"/>
      <c r="E865" s="1"/>
      <c r="F865" s="1"/>
      <c r="G865" s="1"/>
      <c r="H865" s="1" t="s">
        <v>14114</v>
      </c>
      <c r="I865" s="1" t="s">
        <v>14114</v>
      </c>
      <c r="J865" s="1"/>
      <c r="K865" s="1"/>
      <c r="L865" s="1"/>
      <c r="M865" s="1"/>
      <c r="N865" s="1"/>
      <c r="O865" s="1"/>
      <c r="P865" s="1"/>
      <c r="Q865" s="1"/>
      <c r="R865" s="1"/>
      <c r="S865" s="1"/>
      <c r="T865" s="1"/>
      <c r="U865" s="1"/>
      <c r="V865" s="1"/>
      <c r="W865" s="1"/>
      <c r="X865" s="1"/>
      <c r="Y865" s="1"/>
      <c r="Z865" s="1"/>
      <c r="AA865" s="1"/>
      <c r="AB865" s="1"/>
      <c r="AC865" s="1"/>
      <c r="AD865" s="1" t="s">
        <v>93</v>
      </c>
      <c r="AE865" s="1" t="s">
        <v>93</v>
      </c>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t="s">
        <v>9609</v>
      </c>
      <c r="BQ865" s="3"/>
      <c r="BR865" s="3"/>
    </row>
    <row r="866" spans="1:70">
      <c r="A866" s="1" t="s">
        <v>70</v>
      </c>
      <c r="B866" s="1" t="s">
        <v>13846</v>
      </c>
      <c r="C866" s="1" t="s">
        <v>14115</v>
      </c>
      <c r="D866" s="1"/>
      <c r="E866" s="1"/>
      <c r="F866" s="1"/>
      <c r="G866" s="1"/>
      <c r="H866" s="1" t="s">
        <v>14116</v>
      </c>
      <c r="I866" s="1" t="s">
        <v>14116</v>
      </c>
      <c r="J866" s="1"/>
      <c r="K866" s="1"/>
      <c r="L866" s="1"/>
      <c r="M866" s="1"/>
      <c r="N866" s="1"/>
      <c r="O866" s="1"/>
      <c r="P866" s="1"/>
      <c r="Q866" s="1"/>
      <c r="R866" s="1"/>
      <c r="S866" s="1"/>
      <c r="T866" s="1"/>
      <c r="U866" s="1"/>
      <c r="V866" s="1"/>
      <c r="W866" s="1"/>
      <c r="X866" s="1"/>
      <c r="Y866" s="1"/>
      <c r="Z866" s="1"/>
      <c r="AA866" s="1"/>
      <c r="AB866" s="1"/>
      <c r="AC866" s="1"/>
      <c r="AD866" s="1" t="s">
        <v>93</v>
      </c>
      <c r="AE866" s="1" t="s">
        <v>93</v>
      </c>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t="s">
        <v>9609</v>
      </c>
      <c r="BQ866" s="3"/>
      <c r="BR866" s="3"/>
    </row>
    <row r="867" spans="1:70">
      <c r="A867" s="1" t="s">
        <v>70</v>
      </c>
      <c r="B867" s="1" t="s">
        <v>13846</v>
      </c>
      <c r="C867" s="1" t="s">
        <v>14117</v>
      </c>
      <c r="D867" s="1"/>
      <c r="E867" s="1"/>
      <c r="F867" s="1"/>
      <c r="G867" s="1"/>
      <c r="H867" s="1" t="s">
        <v>14118</v>
      </c>
      <c r="I867" s="1" t="s">
        <v>14118</v>
      </c>
      <c r="J867" s="1"/>
      <c r="K867" s="1"/>
      <c r="L867" s="1"/>
      <c r="M867" s="1"/>
      <c r="N867" s="1"/>
      <c r="O867" s="1"/>
      <c r="P867" s="1"/>
      <c r="Q867" s="1"/>
      <c r="R867" s="1"/>
      <c r="S867" s="1"/>
      <c r="T867" s="1"/>
      <c r="U867" s="1"/>
      <c r="V867" s="1"/>
      <c r="W867" s="1"/>
      <c r="X867" s="1"/>
      <c r="Y867" s="1"/>
      <c r="Z867" s="1"/>
      <c r="AA867" s="1"/>
      <c r="AB867" s="1"/>
      <c r="AC867" s="1"/>
      <c r="AD867" s="1" t="s">
        <v>93</v>
      </c>
      <c r="AE867" s="1" t="s">
        <v>93</v>
      </c>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t="s">
        <v>9609</v>
      </c>
      <c r="BQ867" s="3"/>
      <c r="BR867" s="3"/>
    </row>
    <row r="868" spans="1:70">
      <c r="A868" s="1" t="s">
        <v>70</v>
      </c>
      <c r="B868" s="1" t="s">
        <v>13846</v>
      </c>
      <c r="C868" s="1" t="s">
        <v>14119</v>
      </c>
      <c r="D868" s="1"/>
      <c r="E868" s="1"/>
      <c r="F868" s="1"/>
      <c r="G868" s="1"/>
      <c r="H868" s="1" t="s">
        <v>14120</v>
      </c>
      <c r="I868" s="1" t="s">
        <v>14120</v>
      </c>
      <c r="J868" s="1"/>
      <c r="K868" s="1"/>
      <c r="L868" s="1"/>
      <c r="M868" s="1"/>
      <c r="N868" s="1"/>
      <c r="O868" s="1"/>
      <c r="P868" s="1"/>
      <c r="Q868" s="1"/>
      <c r="R868" s="1"/>
      <c r="S868" s="1"/>
      <c r="T868" s="1"/>
      <c r="U868" s="1"/>
      <c r="V868" s="1"/>
      <c r="W868" s="1"/>
      <c r="X868" s="1"/>
      <c r="Y868" s="1"/>
      <c r="Z868" s="1"/>
      <c r="AA868" s="1"/>
      <c r="AB868" s="1"/>
      <c r="AC868" s="1"/>
      <c r="AD868" s="1" t="s">
        <v>93</v>
      </c>
      <c r="AE868" s="1" t="s">
        <v>93</v>
      </c>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t="s">
        <v>9609</v>
      </c>
      <c r="BQ868" s="3"/>
      <c r="BR868" s="3"/>
    </row>
    <row r="869" spans="1:70">
      <c r="A869" s="1" t="s">
        <v>70</v>
      </c>
      <c r="B869" s="1" t="s">
        <v>13846</v>
      </c>
      <c r="C869" s="1" t="s">
        <v>14121</v>
      </c>
      <c r="D869" s="1"/>
      <c r="E869" s="1"/>
      <c r="F869" s="1"/>
      <c r="G869" s="1"/>
      <c r="H869" s="1" t="s">
        <v>14122</v>
      </c>
      <c r="I869" s="1" t="s">
        <v>14122</v>
      </c>
      <c r="J869" s="1"/>
      <c r="K869" s="1"/>
      <c r="L869" s="1"/>
      <c r="M869" s="1"/>
      <c r="N869" s="1"/>
      <c r="O869" s="1"/>
      <c r="P869" s="1"/>
      <c r="Q869" s="1"/>
      <c r="R869" s="1"/>
      <c r="S869" s="1"/>
      <c r="T869" s="1"/>
      <c r="U869" s="1"/>
      <c r="V869" s="1"/>
      <c r="W869" s="1"/>
      <c r="X869" s="1"/>
      <c r="Y869" s="1"/>
      <c r="Z869" s="1"/>
      <c r="AA869" s="1"/>
      <c r="AB869" s="1"/>
      <c r="AC869" s="1"/>
      <c r="AD869" s="1" t="s">
        <v>93</v>
      </c>
      <c r="AE869" s="1" t="s">
        <v>93</v>
      </c>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t="s">
        <v>9609</v>
      </c>
      <c r="BQ869" s="3"/>
      <c r="BR869" s="3"/>
    </row>
    <row r="870" spans="1:70">
      <c r="A870" s="1" t="s">
        <v>70</v>
      </c>
      <c r="B870" s="1" t="s">
        <v>13846</v>
      </c>
      <c r="C870" s="1" t="s">
        <v>14123</v>
      </c>
      <c r="D870" s="1"/>
      <c r="E870" s="1"/>
      <c r="F870" s="1"/>
      <c r="G870" s="1"/>
      <c r="H870" s="1" t="s">
        <v>14124</v>
      </c>
      <c r="I870" s="1" t="s">
        <v>14124</v>
      </c>
      <c r="J870" s="1"/>
      <c r="K870" s="1"/>
      <c r="L870" s="1"/>
      <c r="M870" s="1"/>
      <c r="N870" s="1"/>
      <c r="O870" s="1"/>
      <c r="P870" s="1"/>
      <c r="Q870" s="1"/>
      <c r="R870" s="1"/>
      <c r="S870" s="1"/>
      <c r="T870" s="1"/>
      <c r="U870" s="1"/>
      <c r="V870" s="1"/>
      <c r="W870" s="1"/>
      <c r="X870" s="1"/>
      <c r="Y870" s="1"/>
      <c r="Z870" s="1"/>
      <c r="AA870" s="1"/>
      <c r="AB870" s="1"/>
      <c r="AC870" s="1"/>
      <c r="AD870" s="1" t="s">
        <v>93</v>
      </c>
      <c r="AE870" s="1" t="s">
        <v>93</v>
      </c>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t="s">
        <v>9609</v>
      </c>
      <c r="BQ870" s="3"/>
      <c r="BR870" s="3"/>
    </row>
    <row r="871" spans="1:70">
      <c r="A871" s="1" t="s">
        <v>70</v>
      </c>
      <c r="B871" s="1" t="s">
        <v>13846</v>
      </c>
      <c r="C871" s="1" t="s">
        <v>14125</v>
      </c>
      <c r="D871" s="1"/>
      <c r="E871" s="1"/>
      <c r="F871" s="1"/>
      <c r="G871" s="1"/>
      <c r="H871" s="1" t="s">
        <v>14126</v>
      </c>
      <c r="I871" s="1" t="s">
        <v>14126</v>
      </c>
      <c r="J871" s="1"/>
      <c r="K871" s="1"/>
      <c r="L871" s="1"/>
      <c r="M871" s="1"/>
      <c r="N871" s="1"/>
      <c r="O871" s="1"/>
      <c r="P871" s="1"/>
      <c r="Q871" s="1"/>
      <c r="R871" s="1"/>
      <c r="S871" s="1"/>
      <c r="T871" s="1"/>
      <c r="U871" s="1"/>
      <c r="V871" s="1"/>
      <c r="W871" s="1"/>
      <c r="X871" s="1"/>
      <c r="Y871" s="1"/>
      <c r="Z871" s="1"/>
      <c r="AA871" s="1"/>
      <c r="AB871" s="1"/>
      <c r="AC871" s="1"/>
      <c r="AD871" s="1" t="s">
        <v>93</v>
      </c>
      <c r="AE871" s="1" t="s">
        <v>93</v>
      </c>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t="s">
        <v>9609</v>
      </c>
      <c r="BQ871" s="3"/>
      <c r="BR871" s="3"/>
    </row>
    <row r="872" spans="1:70">
      <c r="A872" s="1" t="s">
        <v>70</v>
      </c>
      <c r="B872" s="1" t="s">
        <v>13846</v>
      </c>
      <c r="C872" s="1" t="s">
        <v>14127</v>
      </c>
      <c r="D872" s="1"/>
      <c r="E872" s="1"/>
      <c r="F872" s="1"/>
      <c r="G872" s="1"/>
      <c r="H872" s="1" t="s">
        <v>14128</v>
      </c>
      <c r="I872" s="1" t="s">
        <v>14128</v>
      </c>
      <c r="J872" s="1"/>
      <c r="K872" s="1"/>
      <c r="L872" s="1"/>
      <c r="M872" s="1"/>
      <c r="N872" s="1"/>
      <c r="O872" s="1"/>
      <c r="P872" s="1"/>
      <c r="Q872" s="1"/>
      <c r="R872" s="1"/>
      <c r="S872" s="1"/>
      <c r="T872" s="1"/>
      <c r="U872" s="1"/>
      <c r="V872" s="1"/>
      <c r="W872" s="1"/>
      <c r="X872" s="1"/>
      <c r="Y872" s="1"/>
      <c r="Z872" s="1"/>
      <c r="AA872" s="1"/>
      <c r="AB872" s="1"/>
      <c r="AC872" s="1"/>
      <c r="AD872" s="1" t="s">
        <v>93</v>
      </c>
      <c r="AE872" s="1" t="s">
        <v>93</v>
      </c>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t="s">
        <v>9609</v>
      </c>
      <c r="BQ872" s="3"/>
      <c r="BR872" s="3"/>
    </row>
    <row r="873" spans="1:70">
      <c r="A873" s="1" t="s">
        <v>70</v>
      </c>
      <c r="B873" s="1" t="s">
        <v>13846</v>
      </c>
      <c r="C873" s="1" t="s">
        <v>14129</v>
      </c>
      <c r="D873" s="1"/>
      <c r="E873" s="1"/>
      <c r="F873" s="1"/>
      <c r="G873" s="1"/>
      <c r="H873" s="1" t="s">
        <v>14130</v>
      </c>
      <c r="I873" s="1" t="s">
        <v>14130</v>
      </c>
      <c r="J873" s="1"/>
      <c r="K873" s="1"/>
      <c r="L873" s="1"/>
      <c r="M873" s="1"/>
      <c r="N873" s="1"/>
      <c r="O873" s="1"/>
      <c r="P873" s="1"/>
      <c r="Q873" s="1"/>
      <c r="R873" s="1"/>
      <c r="S873" s="1"/>
      <c r="T873" s="1"/>
      <c r="U873" s="1"/>
      <c r="V873" s="1"/>
      <c r="W873" s="1"/>
      <c r="X873" s="1"/>
      <c r="Y873" s="1"/>
      <c r="Z873" s="1"/>
      <c r="AA873" s="1"/>
      <c r="AB873" s="1"/>
      <c r="AC873" s="1"/>
      <c r="AD873" s="1" t="s">
        <v>93</v>
      </c>
      <c r="AE873" s="1" t="s">
        <v>93</v>
      </c>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t="s">
        <v>9609</v>
      </c>
      <c r="BQ873" s="3"/>
      <c r="BR873" s="3"/>
    </row>
    <row r="874" spans="1:70">
      <c r="A874" s="1" t="s">
        <v>70</v>
      </c>
      <c r="B874" s="1" t="s">
        <v>13846</v>
      </c>
      <c r="C874" s="1" t="s">
        <v>14131</v>
      </c>
      <c r="D874" s="1"/>
      <c r="E874" s="1"/>
      <c r="F874" s="1"/>
      <c r="G874" s="1"/>
      <c r="H874" s="1" t="s">
        <v>14132</v>
      </c>
      <c r="I874" s="1" t="s">
        <v>14132</v>
      </c>
      <c r="J874" s="1"/>
      <c r="K874" s="1"/>
      <c r="L874" s="1"/>
      <c r="M874" s="1"/>
      <c r="N874" s="1"/>
      <c r="O874" s="1"/>
      <c r="P874" s="1"/>
      <c r="Q874" s="1"/>
      <c r="R874" s="1"/>
      <c r="S874" s="1"/>
      <c r="T874" s="1"/>
      <c r="U874" s="1"/>
      <c r="V874" s="1"/>
      <c r="W874" s="1"/>
      <c r="X874" s="1"/>
      <c r="Y874" s="1"/>
      <c r="Z874" s="1"/>
      <c r="AA874" s="1"/>
      <c r="AB874" s="1"/>
      <c r="AC874" s="1"/>
      <c r="AD874" s="1" t="s">
        <v>93</v>
      </c>
      <c r="AE874" s="1" t="s">
        <v>93</v>
      </c>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t="s">
        <v>9609</v>
      </c>
      <c r="BQ874" s="3"/>
      <c r="BR874" s="3"/>
    </row>
    <row r="875" spans="1:70">
      <c r="A875" s="1" t="s">
        <v>70</v>
      </c>
      <c r="B875" s="1" t="s">
        <v>13846</v>
      </c>
      <c r="C875" s="1" t="s">
        <v>14133</v>
      </c>
      <c r="D875" s="1"/>
      <c r="E875" s="1"/>
      <c r="F875" s="1"/>
      <c r="G875" s="1"/>
      <c r="H875" s="1" t="s">
        <v>14134</v>
      </c>
      <c r="I875" s="1" t="s">
        <v>14134</v>
      </c>
      <c r="J875" s="1"/>
      <c r="K875" s="1"/>
      <c r="L875" s="1"/>
      <c r="M875" s="1"/>
      <c r="N875" s="1"/>
      <c r="O875" s="1"/>
      <c r="P875" s="1"/>
      <c r="Q875" s="1"/>
      <c r="R875" s="1"/>
      <c r="S875" s="1"/>
      <c r="T875" s="1"/>
      <c r="U875" s="1"/>
      <c r="V875" s="1"/>
      <c r="W875" s="1"/>
      <c r="X875" s="1"/>
      <c r="Y875" s="1"/>
      <c r="Z875" s="1"/>
      <c r="AA875" s="1"/>
      <c r="AB875" s="1"/>
      <c r="AC875" s="1"/>
      <c r="AD875" s="1" t="s">
        <v>93</v>
      </c>
      <c r="AE875" s="1" t="s">
        <v>93</v>
      </c>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t="s">
        <v>9609</v>
      </c>
      <c r="BQ875" s="3"/>
      <c r="BR875" s="3"/>
    </row>
    <row r="876" spans="1:70">
      <c r="A876" s="1" t="s">
        <v>70</v>
      </c>
      <c r="B876" s="1" t="s">
        <v>13846</v>
      </c>
      <c r="C876" s="1" t="s">
        <v>14135</v>
      </c>
      <c r="D876" s="1"/>
      <c r="E876" s="1"/>
      <c r="F876" s="1"/>
      <c r="G876" s="1"/>
      <c r="H876" s="1" t="s">
        <v>14136</v>
      </c>
      <c r="I876" s="1" t="s">
        <v>14136</v>
      </c>
      <c r="J876" s="1"/>
      <c r="K876" s="1"/>
      <c r="L876" s="1"/>
      <c r="M876" s="1"/>
      <c r="N876" s="1"/>
      <c r="O876" s="1"/>
      <c r="P876" s="1"/>
      <c r="Q876" s="1"/>
      <c r="R876" s="1"/>
      <c r="S876" s="1"/>
      <c r="T876" s="1"/>
      <c r="U876" s="1"/>
      <c r="V876" s="1"/>
      <c r="W876" s="1"/>
      <c r="X876" s="1"/>
      <c r="Y876" s="1"/>
      <c r="Z876" s="1"/>
      <c r="AA876" s="1"/>
      <c r="AB876" s="1"/>
      <c r="AC876" s="1"/>
      <c r="AD876" s="1" t="s">
        <v>93</v>
      </c>
      <c r="AE876" s="1" t="s">
        <v>93</v>
      </c>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t="s">
        <v>9609</v>
      </c>
      <c r="BQ876" s="3"/>
      <c r="BR876" s="3"/>
    </row>
    <row r="877" spans="1:70">
      <c r="A877" s="1" t="s">
        <v>70</v>
      </c>
      <c r="B877" s="1" t="s">
        <v>13846</v>
      </c>
      <c r="C877" s="1" t="s">
        <v>14137</v>
      </c>
      <c r="D877" s="1"/>
      <c r="E877" s="1"/>
      <c r="F877" s="1"/>
      <c r="G877" s="1"/>
      <c r="H877" s="1" t="s">
        <v>14138</v>
      </c>
      <c r="I877" s="1" t="s">
        <v>14138</v>
      </c>
      <c r="J877" s="1"/>
      <c r="K877" s="1"/>
      <c r="L877" s="1"/>
      <c r="M877" s="1"/>
      <c r="N877" s="1"/>
      <c r="O877" s="1"/>
      <c r="P877" s="1"/>
      <c r="Q877" s="1"/>
      <c r="R877" s="1"/>
      <c r="S877" s="1"/>
      <c r="T877" s="1"/>
      <c r="U877" s="1"/>
      <c r="V877" s="1"/>
      <c r="W877" s="1"/>
      <c r="X877" s="1"/>
      <c r="Y877" s="1"/>
      <c r="Z877" s="1"/>
      <c r="AA877" s="1"/>
      <c r="AB877" s="1"/>
      <c r="AC877" s="1"/>
      <c r="AD877" s="1" t="s">
        <v>93</v>
      </c>
      <c r="AE877" s="1" t="s">
        <v>93</v>
      </c>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t="s">
        <v>9609</v>
      </c>
      <c r="BQ877" s="3"/>
      <c r="BR877" s="3"/>
    </row>
    <row r="878" spans="1:70">
      <c r="A878" s="1" t="s">
        <v>70</v>
      </c>
      <c r="B878" s="1" t="s">
        <v>13846</v>
      </c>
      <c r="C878" s="1" t="s">
        <v>14139</v>
      </c>
      <c r="D878" s="1"/>
      <c r="E878" s="1"/>
      <c r="F878" s="1"/>
      <c r="G878" s="1"/>
      <c r="H878" s="1" t="s">
        <v>14140</v>
      </c>
      <c r="I878" s="1" t="s">
        <v>14140</v>
      </c>
      <c r="J878" s="1"/>
      <c r="K878" s="1"/>
      <c r="L878" s="1"/>
      <c r="M878" s="1"/>
      <c r="N878" s="1"/>
      <c r="O878" s="1"/>
      <c r="P878" s="1"/>
      <c r="Q878" s="1"/>
      <c r="R878" s="1"/>
      <c r="S878" s="1"/>
      <c r="T878" s="1"/>
      <c r="U878" s="1"/>
      <c r="V878" s="1"/>
      <c r="W878" s="1"/>
      <c r="X878" s="1"/>
      <c r="Y878" s="1"/>
      <c r="Z878" s="1"/>
      <c r="AA878" s="1"/>
      <c r="AB878" s="1"/>
      <c r="AC878" s="1"/>
      <c r="AD878" s="1" t="s">
        <v>93</v>
      </c>
      <c r="AE878" s="1" t="s">
        <v>93</v>
      </c>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t="s">
        <v>9609</v>
      </c>
      <c r="BQ878" s="3"/>
      <c r="BR878" s="3"/>
    </row>
    <row r="879" spans="1:70">
      <c r="A879" s="1" t="s">
        <v>70</v>
      </c>
      <c r="B879" s="1" t="s">
        <v>13846</v>
      </c>
      <c r="C879" s="1" t="s">
        <v>14141</v>
      </c>
      <c r="D879" s="1"/>
      <c r="E879" s="1"/>
      <c r="F879" s="1"/>
      <c r="G879" s="1"/>
      <c r="H879" s="1" t="s">
        <v>14142</v>
      </c>
      <c r="I879" s="1" t="s">
        <v>14142</v>
      </c>
      <c r="J879" s="1"/>
      <c r="K879" s="1"/>
      <c r="L879" s="1"/>
      <c r="M879" s="1"/>
      <c r="N879" s="1"/>
      <c r="O879" s="1"/>
      <c r="P879" s="1"/>
      <c r="Q879" s="1"/>
      <c r="R879" s="1"/>
      <c r="S879" s="1"/>
      <c r="T879" s="1"/>
      <c r="U879" s="1"/>
      <c r="V879" s="1"/>
      <c r="W879" s="1"/>
      <c r="X879" s="1"/>
      <c r="Y879" s="1"/>
      <c r="Z879" s="1"/>
      <c r="AA879" s="1"/>
      <c r="AB879" s="1"/>
      <c r="AC879" s="1"/>
      <c r="AD879" s="1" t="s">
        <v>93</v>
      </c>
      <c r="AE879" s="1" t="s">
        <v>93</v>
      </c>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t="s">
        <v>9609</v>
      </c>
      <c r="BQ879" s="3"/>
      <c r="BR879" s="3"/>
    </row>
    <row r="880" spans="1:70">
      <c r="A880" s="1" t="s">
        <v>70</v>
      </c>
      <c r="B880" s="1" t="s">
        <v>13846</v>
      </c>
      <c r="C880" s="1" t="s">
        <v>14143</v>
      </c>
      <c r="D880" s="1"/>
      <c r="E880" s="1"/>
      <c r="F880" s="1"/>
      <c r="G880" s="1"/>
      <c r="H880" s="1" t="s">
        <v>14144</v>
      </c>
      <c r="I880" s="1" t="s">
        <v>14144</v>
      </c>
      <c r="J880" s="1"/>
      <c r="K880" s="1"/>
      <c r="L880" s="1"/>
      <c r="M880" s="1"/>
      <c r="N880" s="1"/>
      <c r="O880" s="1"/>
      <c r="P880" s="1"/>
      <c r="Q880" s="1"/>
      <c r="R880" s="1"/>
      <c r="S880" s="1"/>
      <c r="T880" s="1"/>
      <c r="U880" s="1"/>
      <c r="V880" s="1"/>
      <c r="W880" s="1"/>
      <c r="X880" s="1"/>
      <c r="Y880" s="1"/>
      <c r="Z880" s="1"/>
      <c r="AA880" s="1"/>
      <c r="AB880" s="1"/>
      <c r="AC880" s="1"/>
      <c r="AD880" s="1" t="s">
        <v>93</v>
      </c>
      <c r="AE880" s="1" t="s">
        <v>93</v>
      </c>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t="s">
        <v>9609</v>
      </c>
      <c r="BQ880" s="3"/>
      <c r="BR880" s="3"/>
    </row>
    <row r="881" spans="1:70">
      <c r="A881" s="1" t="s">
        <v>70</v>
      </c>
      <c r="B881" s="1" t="s">
        <v>13846</v>
      </c>
      <c r="C881" s="1" t="s">
        <v>14145</v>
      </c>
      <c r="D881" s="1"/>
      <c r="E881" s="1"/>
      <c r="F881" s="1"/>
      <c r="G881" s="1"/>
      <c r="H881" s="1" t="s">
        <v>14146</v>
      </c>
      <c r="I881" s="1" t="s">
        <v>14146</v>
      </c>
      <c r="J881" s="1"/>
      <c r="K881" s="1"/>
      <c r="L881" s="1"/>
      <c r="M881" s="1"/>
      <c r="N881" s="1"/>
      <c r="O881" s="1"/>
      <c r="P881" s="1"/>
      <c r="Q881" s="1"/>
      <c r="R881" s="1"/>
      <c r="S881" s="1"/>
      <c r="T881" s="1"/>
      <c r="U881" s="1"/>
      <c r="V881" s="1"/>
      <c r="W881" s="1"/>
      <c r="X881" s="1"/>
      <c r="Y881" s="1"/>
      <c r="Z881" s="1"/>
      <c r="AA881" s="1"/>
      <c r="AB881" s="1"/>
      <c r="AC881" s="1"/>
      <c r="AD881" s="1" t="s">
        <v>93</v>
      </c>
      <c r="AE881" s="1" t="s">
        <v>93</v>
      </c>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t="s">
        <v>9609</v>
      </c>
      <c r="BQ881" s="3"/>
      <c r="BR881" s="3"/>
    </row>
    <row r="882" spans="1:70">
      <c r="A882" s="1" t="s">
        <v>70</v>
      </c>
      <c r="B882" s="1" t="s">
        <v>13846</v>
      </c>
      <c r="C882" s="1" t="s">
        <v>14147</v>
      </c>
      <c r="D882" s="1"/>
      <c r="E882" s="1"/>
      <c r="F882" s="1"/>
      <c r="G882" s="1"/>
      <c r="H882" s="1" t="s">
        <v>14148</v>
      </c>
      <c r="I882" s="1" t="s">
        <v>14148</v>
      </c>
      <c r="J882" s="1"/>
      <c r="K882" s="1"/>
      <c r="L882" s="1"/>
      <c r="M882" s="1"/>
      <c r="N882" s="1"/>
      <c r="O882" s="1"/>
      <c r="P882" s="1"/>
      <c r="Q882" s="1"/>
      <c r="R882" s="1"/>
      <c r="S882" s="1"/>
      <c r="T882" s="1"/>
      <c r="U882" s="1"/>
      <c r="V882" s="1"/>
      <c r="W882" s="1"/>
      <c r="X882" s="1"/>
      <c r="Y882" s="1"/>
      <c r="Z882" s="1"/>
      <c r="AA882" s="1"/>
      <c r="AB882" s="1"/>
      <c r="AC882" s="1"/>
      <c r="AD882" s="1" t="s">
        <v>93</v>
      </c>
      <c r="AE882" s="1" t="s">
        <v>93</v>
      </c>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t="s">
        <v>9609</v>
      </c>
      <c r="BQ882" s="3"/>
      <c r="BR882" s="3"/>
    </row>
    <row r="883" spans="1:70">
      <c r="A883" s="1" t="s">
        <v>70</v>
      </c>
      <c r="B883" s="1" t="s">
        <v>13846</v>
      </c>
      <c r="C883" s="1" t="s">
        <v>14149</v>
      </c>
      <c r="D883" s="1"/>
      <c r="E883" s="1"/>
      <c r="F883" s="1"/>
      <c r="G883" s="1"/>
      <c r="H883" s="1" t="s">
        <v>14150</v>
      </c>
      <c r="I883" s="1" t="s">
        <v>14150</v>
      </c>
      <c r="J883" s="1"/>
      <c r="K883" s="1"/>
      <c r="L883" s="1"/>
      <c r="M883" s="1"/>
      <c r="N883" s="1"/>
      <c r="O883" s="1"/>
      <c r="P883" s="1"/>
      <c r="Q883" s="1"/>
      <c r="R883" s="1"/>
      <c r="S883" s="1"/>
      <c r="T883" s="1"/>
      <c r="U883" s="1"/>
      <c r="V883" s="1"/>
      <c r="W883" s="1"/>
      <c r="X883" s="1"/>
      <c r="Y883" s="1"/>
      <c r="Z883" s="1"/>
      <c r="AA883" s="1"/>
      <c r="AB883" s="1"/>
      <c r="AC883" s="1"/>
      <c r="AD883" s="1" t="s">
        <v>93</v>
      </c>
      <c r="AE883" s="1" t="s">
        <v>93</v>
      </c>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t="s">
        <v>9609</v>
      </c>
      <c r="BQ883" s="3"/>
      <c r="BR883" s="3"/>
    </row>
    <row r="884" spans="1:70">
      <c r="A884" s="1" t="s">
        <v>70</v>
      </c>
      <c r="B884" s="1" t="s">
        <v>13846</v>
      </c>
      <c r="C884" s="1" t="s">
        <v>14151</v>
      </c>
      <c r="D884" s="1"/>
      <c r="E884" s="1"/>
      <c r="F884" s="1"/>
      <c r="G884" s="1"/>
      <c r="H884" s="1" t="s">
        <v>14152</v>
      </c>
      <c r="I884" s="1" t="s">
        <v>14152</v>
      </c>
      <c r="J884" s="1"/>
      <c r="K884" s="1"/>
      <c r="L884" s="1"/>
      <c r="M884" s="1"/>
      <c r="N884" s="1"/>
      <c r="O884" s="1"/>
      <c r="P884" s="1"/>
      <c r="Q884" s="1"/>
      <c r="R884" s="1"/>
      <c r="S884" s="1"/>
      <c r="T884" s="1"/>
      <c r="U884" s="1"/>
      <c r="V884" s="1"/>
      <c r="W884" s="1"/>
      <c r="X884" s="1"/>
      <c r="Y884" s="1"/>
      <c r="Z884" s="1"/>
      <c r="AA884" s="1"/>
      <c r="AB884" s="1"/>
      <c r="AC884" s="1"/>
      <c r="AD884" s="1" t="s">
        <v>93</v>
      </c>
      <c r="AE884" s="1" t="s">
        <v>93</v>
      </c>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t="s">
        <v>9609</v>
      </c>
      <c r="BQ884" s="3"/>
      <c r="BR884" s="3"/>
    </row>
    <row r="885" spans="1:70">
      <c r="A885" s="1" t="s">
        <v>70</v>
      </c>
      <c r="B885" s="1" t="s">
        <v>13846</v>
      </c>
      <c r="C885" s="1" t="s">
        <v>14153</v>
      </c>
      <c r="D885" s="1"/>
      <c r="E885" s="1"/>
      <c r="F885" s="1"/>
      <c r="G885" s="1"/>
      <c r="H885" s="1" t="s">
        <v>14154</v>
      </c>
      <c r="I885" s="1" t="s">
        <v>14154</v>
      </c>
      <c r="J885" s="1"/>
      <c r="K885" s="1"/>
      <c r="L885" s="1"/>
      <c r="M885" s="1"/>
      <c r="N885" s="1"/>
      <c r="O885" s="1"/>
      <c r="P885" s="1"/>
      <c r="Q885" s="1"/>
      <c r="R885" s="1"/>
      <c r="S885" s="1"/>
      <c r="T885" s="1"/>
      <c r="U885" s="1"/>
      <c r="V885" s="1"/>
      <c r="W885" s="1"/>
      <c r="X885" s="1"/>
      <c r="Y885" s="1"/>
      <c r="Z885" s="1"/>
      <c r="AA885" s="1"/>
      <c r="AB885" s="1"/>
      <c r="AC885" s="1"/>
      <c r="AD885" s="1" t="s">
        <v>93</v>
      </c>
      <c r="AE885" s="1" t="s">
        <v>93</v>
      </c>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t="s">
        <v>9609</v>
      </c>
      <c r="BQ885" s="3"/>
      <c r="BR885" s="3"/>
    </row>
    <row r="886" spans="1:70">
      <c r="A886" s="1" t="s">
        <v>70</v>
      </c>
      <c r="B886" s="1" t="s">
        <v>13846</v>
      </c>
      <c r="C886" s="1" t="s">
        <v>14155</v>
      </c>
      <c r="D886" s="1"/>
      <c r="E886" s="1"/>
      <c r="F886" s="1"/>
      <c r="G886" s="1"/>
      <c r="H886" s="1" t="s">
        <v>14156</v>
      </c>
      <c r="I886" s="1" t="s">
        <v>14156</v>
      </c>
      <c r="J886" s="1"/>
      <c r="K886" s="1"/>
      <c r="L886" s="1"/>
      <c r="M886" s="1"/>
      <c r="N886" s="1"/>
      <c r="O886" s="1"/>
      <c r="P886" s="1"/>
      <c r="Q886" s="1"/>
      <c r="R886" s="1"/>
      <c r="S886" s="1"/>
      <c r="T886" s="1"/>
      <c r="U886" s="1"/>
      <c r="V886" s="1"/>
      <c r="W886" s="1"/>
      <c r="X886" s="1"/>
      <c r="Y886" s="1"/>
      <c r="Z886" s="1"/>
      <c r="AA886" s="1"/>
      <c r="AB886" s="1"/>
      <c r="AC886" s="1"/>
      <c r="AD886" s="1" t="s">
        <v>93</v>
      </c>
      <c r="AE886" s="1" t="s">
        <v>93</v>
      </c>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t="s">
        <v>9609</v>
      </c>
      <c r="BQ886" s="3"/>
      <c r="BR886" s="3"/>
    </row>
    <row r="887" spans="1:70">
      <c r="A887" s="1" t="s">
        <v>70</v>
      </c>
      <c r="B887" s="1" t="s">
        <v>13846</v>
      </c>
      <c r="C887" s="1" t="s">
        <v>14157</v>
      </c>
      <c r="D887" s="1"/>
      <c r="E887" s="1"/>
      <c r="F887" s="1"/>
      <c r="G887" s="1"/>
      <c r="H887" s="1" t="s">
        <v>14158</v>
      </c>
      <c r="I887" s="1" t="s">
        <v>14158</v>
      </c>
      <c r="J887" s="1"/>
      <c r="K887" s="1"/>
      <c r="L887" s="1"/>
      <c r="M887" s="1"/>
      <c r="N887" s="1"/>
      <c r="O887" s="1"/>
      <c r="P887" s="1"/>
      <c r="Q887" s="1"/>
      <c r="R887" s="1"/>
      <c r="S887" s="1"/>
      <c r="T887" s="1"/>
      <c r="U887" s="1"/>
      <c r="V887" s="1"/>
      <c r="W887" s="1"/>
      <c r="X887" s="1"/>
      <c r="Y887" s="1"/>
      <c r="Z887" s="1"/>
      <c r="AA887" s="1"/>
      <c r="AB887" s="1"/>
      <c r="AC887" s="1"/>
      <c r="AD887" s="1" t="s">
        <v>93</v>
      </c>
      <c r="AE887" s="1" t="s">
        <v>93</v>
      </c>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t="s">
        <v>9609</v>
      </c>
      <c r="BQ887" s="3"/>
      <c r="BR887" s="3"/>
    </row>
    <row r="888" spans="1:70">
      <c r="A888" s="1" t="s">
        <v>70</v>
      </c>
      <c r="B888" s="1" t="s">
        <v>13846</v>
      </c>
      <c r="C888" s="1" t="s">
        <v>14159</v>
      </c>
      <c r="D888" s="1"/>
      <c r="E888" s="1"/>
      <c r="F888" s="1"/>
      <c r="G888" s="1"/>
      <c r="H888" s="1" t="s">
        <v>14160</v>
      </c>
      <c r="I888" s="1" t="s">
        <v>14160</v>
      </c>
      <c r="J888" s="1"/>
      <c r="K888" s="1"/>
      <c r="L888" s="1"/>
      <c r="M888" s="1"/>
      <c r="N888" s="1"/>
      <c r="O888" s="1"/>
      <c r="P888" s="1"/>
      <c r="Q888" s="1"/>
      <c r="R888" s="1"/>
      <c r="S888" s="1"/>
      <c r="T888" s="1"/>
      <c r="U888" s="1"/>
      <c r="V888" s="1"/>
      <c r="W888" s="1"/>
      <c r="X888" s="1"/>
      <c r="Y888" s="1"/>
      <c r="Z888" s="1"/>
      <c r="AA888" s="1"/>
      <c r="AB888" s="1"/>
      <c r="AC888" s="1"/>
      <c r="AD888" s="1" t="s">
        <v>93</v>
      </c>
      <c r="AE888" s="1" t="s">
        <v>93</v>
      </c>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t="s">
        <v>9609</v>
      </c>
      <c r="BQ888" s="3"/>
      <c r="BR888" s="3"/>
    </row>
    <row r="889" spans="1:70">
      <c r="A889" s="1" t="s">
        <v>70</v>
      </c>
      <c r="B889" s="1" t="s">
        <v>13846</v>
      </c>
      <c r="C889" s="1" t="s">
        <v>14161</v>
      </c>
      <c r="D889" s="1"/>
      <c r="E889" s="1"/>
      <c r="F889" s="1"/>
      <c r="G889" s="1"/>
      <c r="H889" s="1" t="s">
        <v>14162</v>
      </c>
      <c r="I889" s="1" t="s">
        <v>14162</v>
      </c>
      <c r="J889" s="1"/>
      <c r="K889" s="1"/>
      <c r="L889" s="1"/>
      <c r="M889" s="1"/>
      <c r="N889" s="1"/>
      <c r="O889" s="1"/>
      <c r="P889" s="1"/>
      <c r="Q889" s="1"/>
      <c r="R889" s="1"/>
      <c r="S889" s="1"/>
      <c r="T889" s="1"/>
      <c r="U889" s="1"/>
      <c r="V889" s="1"/>
      <c r="W889" s="1"/>
      <c r="X889" s="1"/>
      <c r="Y889" s="1"/>
      <c r="Z889" s="1"/>
      <c r="AA889" s="1"/>
      <c r="AB889" s="1"/>
      <c r="AC889" s="1"/>
      <c r="AD889" s="1" t="s">
        <v>93</v>
      </c>
      <c r="AE889" s="1" t="s">
        <v>93</v>
      </c>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t="s">
        <v>9609</v>
      </c>
      <c r="BQ889" s="3"/>
      <c r="BR889" s="3"/>
    </row>
    <row r="890" spans="1:70">
      <c r="A890" s="1" t="s">
        <v>70</v>
      </c>
      <c r="B890" s="1" t="s">
        <v>13846</v>
      </c>
      <c r="C890" s="1" t="s">
        <v>14163</v>
      </c>
      <c r="D890" s="1"/>
      <c r="E890" s="1"/>
      <c r="F890" s="1"/>
      <c r="G890" s="1"/>
      <c r="H890" s="1" t="s">
        <v>14164</v>
      </c>
      <c r="I890" s="1" t="s">
        <v>14164</v>
      </c>
      <c r="J890" s="1"/>
      <c r="K890" s="1"/>
      <c r="L890" s="1"/>
      <c r="M890" s="1"/>
      <c r="N890" s="1"/>
      <c r="O890" s="1"/>
      <c r="P890" s="1"/>
      <c r="Q890" s="1"/>
      <c r="R890" s="1"/>
      <c r="S890" s="1"/>
      <c r="T890" s="1"/>
      <c r="U890" s="1"/>
      <c r="V890" s="1"/>
      <c r="W890" s="1"/>
      <c r="X890" s="1"/>
      <c r="Y890" s="1"/>
      <c r="Z890" s="1"/>
      <c r="AA890" s="1"/>
      <c r="AB890" s="1"/>
      <c r="AC890" s="1"/>
      <c r="AD890" s="1" t="s">
        <v>93</v>
      </c>
      <c r="AE890" s="1" t="s">
        <v>93</v>
      </c>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t="s">
        <v>9609</v>
      </c>
      <c r="BQ890" s="3"/>
      <c r="BR890" s="3"/>
    </row>
    <row r="891" spans="1:70">
      <c r="A891" s="1" t="s">
        <v>70</v>
      </c>
      <c r="B891" s="1" t="s">
        <v>13846</v>
      </c>
      <c r="C891" s="1" t="s">
        <v>14165</v>
      </c>
      <c r="D891" s="1"/>
      <c r="E891" s="1"/>
      <c r="F891" s="1"/>
      <c r="G891" s="1"/>
      <c r="H891" s="1" t="s">
        <v>14166</v>
      </c>
      <c r="I891" s="1" t="s">
        <v>14166</v>
      </c>
      <c r="J891" s="1"/>
      <c r="K891" s="1"/>
      <c r="L891" s="1"/>
      <c r="M891" s="1"/>
      <c r="N891" s="1"/>
      <c r="O891" s="1"/>
      <c r="P891" s="1"/>
      <c r="Q891" s="1"/>
      <c r="R891" s="1"/>
      <c r="S891" s="1"/>
      <c r="T891" s="1"/>
      <c r="U891" s="1"/>
      <c r="V891" s="1"/>
      <c r="W891" s="1"/>
      <c r="X891" s="1"/>
      <c r="Y891" s="1"/>
      <c r="Z891" s="1"/>
      <c r="AA891" s="1"/>
      <c r="AB891" s="1"/>
      <c r="AC891" s="1"/>
      <c r="AD891" s="1" t="s">
        <v>93</v>
      </c>
      <c r="AE891" s="1" t="s">
        <v>93</v>
      </c>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t="s">
        <v>9609</v>
      </c>
      <c r="BQ891" s="3"/>
      <c r="BR891" s="3"/>
    </row>
    <row r="892" spans="1:70">
      <c r="A892" s="1" t="s">
        <v>70</v>
      </c>
      <c r="B892" s="1" t="s">
        <v>13846</v>
      </c>
      <c r="C892" s="1" t="s">
        <v>14167</v>
      </c>
      <c r="D892" s="1"/>
      <c r="E892" s="1"/>
      <c r="F892" s="1"/>
      <c r="G892" s="1"/>
      <c r="H892" s="1" t="s">
        <v>14168</v>
      </c>
      <c r="I892" s="1" t="s">
        <v>14168</v>
      </c>
      <c r="J892" s="1"/>
      <c r="K892" s="1"/>
      <c r="L892" s="1"/>
      <c r="M892" s="1"/>
      <c r="N892" s="1"/>
      <c r="O892" s="1"/>
      <c r="P892" s="1"/>
      <c r="Q892" s="1"/>
      <c r="R892" s="1"/>
      <c r="S892" s="1"/>
      <c r="T892" s="1"/>
      <c r="U892" s="1"/>
      <c r="V892" s="1"/>
      <c r="W892" s="1"/>
      <c r="X892" s="1"/>
      <c r="Y892" s="1"/>
      <c r="Z892" s="1"/>
      <c r="AA892" s="1"/>
      <c r="AB892" s="1"/>
      <c r="AC892" s="1"/>
      <c r="AD892" s="1" t="s">
        <v>93</v>
      </c>
      <c r="AE892" s="1" t="s">
        <v>93</v>
      </c>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t="s">
        <v>9609</v>
      </c>
      <c r="BQ892" s="3"/>
      <c r="BR892" s="3"/>
    </row>
    <row r="893" spans="1:70">
      <c r="A893" s="1" t="s">
        <v>70</v>
      </c>
      <c r="B893" s="1" t="s">
        <v>13846</v>
      </c>
      <c r="C893" s="1" t="s">
        <v>14169</v>
      </c>
      <c r="D893" s="1"/>
      <c r="E893" s="1"/>
      <c r="F893" s="1"/>
      <c r="G893" s="1"/>
      <c r="H893" s="1" t="s">
        <v>14170</v>
      </c>
      <c r="I893" s="1" t="s">
        <v>14170</v>
      </c>
      <c r="J893" s="1"/>
      <c r="K893" s="1"/>
      <c r="L893" s="1"/>
      <c r="M893" s="1"/>
      <c r="N893" s="1"/>
      <c r="O893" s="1"/>
      <c r="P893" s="1"/>
      <c r="Q893" s="1"/>
      <c r="R893" s="1"/>
      <c r="S893" s="1"/>
      <c r="T893" s="1"/>
      <c r="U893" s="1"/>
      <c r="V893" s="1"/>
      <c r="W893" s="1"/>
      <c r="X893" s="1"/>
      <c r="Y893" s="1"/>
      <c r="Z893" s="1"/>
      <c r="AA893" s="1"/>
      <c r="AB893" s="1"/>
      <c r="AC893" s="1"/>
      <c r="AD893" s="1" t="s">
        <v>93</v>
      </c>
      <c r="AE893" s="1" t="s">
        <v>93</v>
      </c>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t="s">
        <v>9609</v>
      </c>
      <c r="BQ893" s="3"/>
      <c r="BR893" s="3"/>
    </row>
    <row r="894" spans="1:70">
      <c r="A894" s="1" t="s">
        <v>70</v>
      </c>
      <c r="B894" s="1" t="s">
        <v>13846</v>
      </c>
      <c r="C894" s="1" t="s">
        <v>14171</v>
      </c>
      <c r="D894" s="1"/>
      <c r="E894" s="1"/>
      <c r="F894" s="1"/>
      <c r="G894" s="1"/>
      <c r="H894" s="1" t="s">
        <v>14172</v>
      </c>
      <c r="I894" s="1" t="s">
        <v>14172</v>
      </c>
      <c r="J894" s="1"/>
      <c r="K894" s="1"/>
      <c r="L894" s="1"/>
      <c r="M894" s="1"/>
      <c r="N894" s="1"/>
      <c r="O894" s="1"/>
      <c r="P894" s="1"/>
      <c r="Q894" s="1"/>
      <c r="R894" s="1"/>
      <c r="S894" s="1"/>
      <c r="T894" s="1"/>
      <c r="U894" s="1"/>
      <c r="V894" s="1"/>
      <c r="W894" s="1"/>
      <c r="X894" s="1"/>
      <c r="Y894" s="1"/>
      <c r="Z894" s="1"/>
      <c r="AA894" s="1"/>
      <c r="AB894" s="1"/>
      <c r="AC894" s="1"/>
      <c r="AD894" s="1" t="s">
        <v>93</v>
      </c>
      <c r="AE894" s="1" t="s">
        <v>93</v>
      </c>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t="s">
        <v>9609</v>
      </c>
      <c r="BQ894" s="3"/>
      <c r="BR894" s="3"/>
    </row>
    <row r="895" spans="1:70">
      <c r="A895" s="1" t="s">
        <v>70</v>
      </c>
      <c r="B895" s="1" t="s">
        <v>13846</v>
      </c>
      <c r="C895" s="1" t="s">
        <v>14173</v>
      </c>
      <c r="D895" s="1"/>
      <c r="E895" s="1"/>
      <c r="F895" s="1"/>
      <c r="G895" s="1"/>
      <c r="H895" s="1" t="s">
        <v>14174</v>
      </c>
      <c r="I895" s="1" t="s">
        <v>14174</v>
      </c>
      <c r="J895" s="1"/>
      <c r="K895" s="1"/>
      <c r="L895" s="1"/>
      <c r="M895" s="1"/>
      <c r="N895" s="1"/>
      <c r="O895" s="1"/>
      <c r="P895" s="1"/>
      <c r="Q895" s="1"/>
      <c r="R895" s="1"/>
      <c r="S895" s="1"/>
      <c r="T895" s="1"/>
      <c r="U895" s="1"/>
      <c r="V895" s="1"/>
      <c r="W895" s="1"/>
      <c r="X895" s="1"/>
      <c r="Y895" s="1"/>
      <c r="Z895" s="1"/>
      <c r="AA895" s="1"/>
      <c r="AB895" s="1"/>
      <c r="AC895" s="1"/>
      <c r="AD895" s="1" t="s">
        <v>93</v>
      </c>
      <c r="AE895" s="1" t="s">
        <v>93</v>
      </c>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t="s">
        <v>9609</v>
      </c>
      <c r="BQ895" s="3"/>
      <c r="BR895" s="3"/>
    </row>
    <row r="896" spans="1:70">
      <c r="A896" s="1" t="s">
        <v>70</v>
      </c>
      <c r="B896" s="1" t="s">
        <v>13846</v>
      </c>
      <c r="C896" s="1" t="s">
        <v>14175</v>
      </c>
      <c r="D896" s="1"/>
      <c r="E896" s="1"/>
      <c r="F896" s="1"/>
      <c r="G896" s="1"/>
      <c r="H896" s="1" t="s">
        <v>14176</v>
      </c>
      <c r="I896" s="1" t="s">
        <v>14176</v>
      </c>
      <c r="J896" s="1"/>
      <c r="K896" s="1"/>
      <c r="L896" s="1"/>
      <c r="M896" s="1"/>
      <c r="N896" s="1"/>
      <c r="O896" s="1"/>
      <c r="P896" s="1"/>
      <c r="Q896" s="1"/>
      <c r="R896" s="1"/>
      <c r="S896" s="1"/>
      <c r="T896" s="1"/>
      <c r="U896" s="1"/>
      <c r="V896" s="1"/>
      <c r="W896" s="1"/>
      <c r="X896" s="1"/>
      <c r="Y896" s="1"/>
      <c r="Z896" s="1"/>
      <c r="AA896" s="1"/>
      <c r="AB896" s="1"/>
      <c r="AC896" s="1"/>
      <c r="AD896" s="1" t="s">
        <v>93</v>
      </c>
      <c r="AE896" s="1" t="s">
        <v>93</v>
      </c>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t="s">
        <v>9609</v>
      </c>
      <c r="BQ896" s="3"/>
      <c r="BR896" s="3"/>
    </row>
    <row r="897" spans="1:70">
      <c r="A897" s="1" t="s">
        <v>70</v>
      </c>
      <c r="B897" s="1" t="s">
        <v>13846</v>
      </c>
      <c r="C897" s="1" t="s">
        <v>14177</v>
      </c>
      <c r="D897" s="1"/>
      <c r="E897" s="1"/>
      <c r="F897" s="1"/>
      <c r="G897" s="1"/>
      <c r="H897" s="1" t="s">
        <v>14178</v>
      </c>
      <c r="I897" s="1" t="s">
        <v>14178</v>
      </c>
      <c r="J897" s="1"/>
      <c r="K897" s="1"/>
      <c r="L897" s="1"/>
      <c r="M897" s="1"/>
      <c r="N897" s="1"/>
      <c r="O897" s="1"/>
      <c r="P897" s="1"/>
      <c r="Q897" s="1"/>
      <c r="R897" s="1"/>
      <c r="S897" s="1"/>
      <c r="T897" s="1"/>
      <c r="U897" s="1"/>
      <c r="V897" s="1"/>
      <c r="W897" s="1"/>
      <c r="X897" s="1"/>
      <c r="Y897" s="1"/>
      <c r="Z897" s="1"/>
      <c r="AA897" s="1"/>
      <c r="AB897" s="1"/>
      <c r="AC897" s="1"/>
      <c r="AD897" s="1" t="s">
        <v>93</v>
      </c>
      <c r="AE897" s="1" t="s">
        <v>93</v>
      </c>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t="s">
        <v>9609</v>
      </c>
      <c r="BQ897" s="3"/>
      <c r="BR897" s="3"/>
    </row>
    <row r="898" spans="1:70">
      <c r="A898" s="1" t="s">
        <v>70</v>
      </c>
      <c r="B898" s="1" t="s">
        <v>13846</v>
      </c>
      <c r="C898" s="1" t="s">
        <v>14179</v>
      </c>
      <c r="D898" s="1"/>
      <c r="E898" s="1"/>
      <c r="F898" s="1"/>
      <c r="G898" s="1"/>
      <c r="H898" s="1" t="s">
        <v>14180</v>
      </c>
      <c r="I898" s="1" t="s">
        <v>14180</v>
      </c>
      <c r="J898" s="1"/>
      <c r="K898" s="1"/>
      <c r="L898" s="1"/>
      <c r="M898" s="1"/>
      <c r="N898" s="1"/>
      <c r="O898" s="1"/>
      <c r="P898" s="1"/>
      <c r="Q898" s="1"/>
      <c r="R898" s="1"/>
      <c r="S898" s="1"/>
      <c r="T898" s="1"/>
      <c r="U898" s="1"/>
      <c r="V898" s="1"/>
      <c r="W898" s="1"/>
      <c r="X898" s="1"/>
      <c r="Y898" s="1"/>
      <c r="Z898" s="1"/>
      <c r="AA898" s="1"/>
      <c r="AB898" s="1"/>
      <c r="AC898" s="1"/>
      <c r="AD898" s="1" t="s">
        <v>93</v>
      </c>
      <c r="AE898" s="1" t="s">
        <v>93</v>
      </c>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t="s">
        <v>9609</v>
      </c>
      <c r="BQ898" s="3"/>
      <c r="BR898" s="3"/>
    </row>
    <row r="899" spans="1:70">
      <c r="A899" s="1" t="s">
        <v>70</v>
      </c>
      <c r="B899" s="1" t="s">
        <v>13846</v>
      </c>
      <c r="C899" s="1" t="s">
        <v>14181</v>
      </c>
      <c r="D899" s="1"/>
      <c r="E899" s="1"/>
      <c r="F899" s="1"/>
      <c r="G899" s="1"/>
      <c r="H899" s="1" t="s">
        <v>14182</v>
      </c>
      <c r="I899" s="1" t="s">
        <v>14182</v>
      </c>
      <c r="J899" s="1"/>
      <c r="K899" s="1"/>
      <c r="L899" s="1"/>
      <c r="M899" s="1"/>
      <c r="N899" s="1"/>
      <c r="O899" s="1"/>
      <c r="P899" s="1"/>
      <c r="Q899" s="1"/>
      <c r="R899" s="1"/>
      <c r="S899" s="1"/>
      <c r="T899" s="1"/>
      <c r="U899" s="1"/>
      <c r="V899" s="1"/>
      <c r="W899" s="1"/>
      <c r="X899" s="1"/>
      <c r="Y899" s="1"/>
      <c r="Z899" s="1"/>
      <c r="AA899" s="1"/>
      <c r="AB899" s="1"/>
      <c r="AC899" s="1"/>
      <c r="AD899" s="1" t="s">
        <v>93</v>
      </c>
      <c r="AE899" s="1" t="s">
        <v>93</v>
      </c>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t="s">
        <v>9609</v>
      </c>
      <c r="BQ899" s="3"/>
      <c r="BR899" s="3"/>
    </row>
    <row r="900" spans="1:70">
      <c r="A900" s="1" t="s">
        <v>70</v>
      </c>
      <c r="B900" s="1" t="s">
        <v>13846</v>
      </c>
      <c r="C900" s="1" t="s">
        <v>14183</v>
      </c>
      <c r="D900" s="1"/>
      <c r="E900" s="1"/>
      <c r="F900" s="1"/>
      <c r="G900" s="1"/>
      <c r="H900" s="1" t="s">
        <v>14184</v>
      </c>
      <c r="I900" s="1" t="s">
        <v>14184</v>
      </c>
      <c r="J900" s="1"/>
      <c r="K900" s="1"/>
      <c r="L900" s="1"/>
      <c r="M900" s="1"/>
      <c r="N900" s="1"/>
      <c r="O900" s="1"/>
      <c r="P900" s="1"/>
      <c r="Q900" s="1"/>
      <c r="R900" s="1"/>
      <c r="S900" s="1"/>
      <c r="T900" s="1"/>
      <c r="U900" s="1"/>
      <c r="V900" s="1"/>
      <c r="W900" s="1"/>
      <c r="X900" s="1"/>
      <c r="Y900" s="1"/>
      <c r="Z900" s="1"/>
      <c r="AA900" s="1"/>
      <c r="AB900" s="1"/>
      <c r="AC900" s="1"/>
      <c r="AD900" s="1" t="s">
        <v>93</v>
      </c>
      <c r="AE900" s="1" t="s">
        <v>93</v>
      </c>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t="s">
        <v>9609</v>
      </c>
      <c r="BQ900" s="3"/>
      <c r="BR900" s="3"/>
    </row>
    <row r="901" spans="1:70">
      <c r="A901" s="1" t="s">
        <v>70</v>
      </c>
      <c r="B901" s="1" t="s">
        <v>13846</v>
      </c>
      <c r="C901" s="1" t="s">
        <v>14185</v>
      </c>
      <c r="D901" s="1"/>
      <c r="E901" s="1"/>
      <c r="F901" s="1"/>
      <c r="G901" s="1"/>
      <c r="H901" s="1" t="s">
        <v>14186</v>
      </c>
      <c r="I901" s="1" t="s">
        <v>14186</v>
      </c>
      <c r="J901" s="1"/>
      <c r="K901" s="1"/>
      <c r="L901" s="1"/>
      <c r="M901" s="1"/>
      <c r="N901" s="1"/>
      <c r="O901" s="1"/>
      <c r="P901" s="1"/>
      <c r="Q901" s="1"/>
      <c r="R901" s="1"/>
      <c r="S901" s="1"/>
      <c r="T901" s="1"/>
      <c r="U901" s="1"/>
      <c r="V901" s="1"/>
      <c r="W901" s="1"/>
      <c r="X901" s="1"/>
      <c r="Y901" s="1"/>
      <c r="Z901" s="1"/>
      <c r="AA901" s="1"/>
      <c r="AB901" s="1"/>
      <c r="AC901" s="1"/>
      <c r="AD901" s="1" t="s">
        <v>93</v>
      </c>
      <c r="AE901" s="1" t="s">
        <v>93</v>
      </c>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t="s">
        <v>9609</v>
      </c>
      <c r="BQ901" s="3"/>
      <c r="BR901" s="3"/>
    </row>
    <row r="902" spans="1:70">
      <c r="A902" s="1" t="s">
        <v>70</v>
      </c>
      <c r="B902" s="1" t="s">
        <v>13846</v>
      </c>
      <c r="C902" s="1" t="s">
        <v>14187</v>
      </c>
      <c r="D902" s="1"/>
      <c r="E902" s="1"/>
      <c r="F902" s="1"/>
      <c r="G902" s="1"/>
      <c r="H902" s="1" t="s">
        <v>14188</v>
      </c>
      <c r="I902" s="1" t="s">
        <v>14188</v>
      </c>
      <c r="J902" s="1"/>
      <c r="K902" s="1"/>
      <c r="L902" s="1"/>
      <c r="M902" s="1"/>
      <c r="N902" s="1"/>
      <c r="O902" s="1"/>
      <c r="P902" s="1"/>
      <c r="Q902" s="1"/>
      <c r="R902" s="1"/>
      <c r="S902" s="1"/>
      <c r="T902" s="1"/>
      <c r="U902" s="1"/>
      <c r="V902" s="1"/>
      <c r="W902" s="1"/>
      <c r="X902" s="1"/>
      <c r="Y902" s="1"/>
      <c r="Z902" s="1"/>
      <c r="AA902" s="1"/>
      <c r="AB902" s="1"/>
      <c r="AC902" s="1"/>
      <c r="AD902" s="1" t="s">
        <v>93</v>
      </c>
      <c r="AE902" s="1" t="s">
        <v>93</v>
      </c>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t="s">
        <v>9609</v>
      </c>
      <c r="BQ902" s="3"/>
      <c r="BR902" s="3"/>
    </row>
    <row r="903" spans="1:70">
      <c r="A903" s="1" t="s">
        <v>70</v>
      </c>
      <c r="B903" s="1" t="s">
        <v>13846</v>
      </c>
      <c r="C903" s="1" t="s">
        <v>14189</v>
      </c>
      <c r="D903" s="1"/>
      <c r="E903" s="1"/>
      <c r="F903" s="1"/>
      <c r="G903" s="1"/>
      <c r="H903" s="1" t="s">
        <v>14190</v>
      </c>
      <c r="I903" s="1" t="s">
        <v>14190</v>
      </c>
      <c r="J903" s="1"/>
      <c r="K903" s="1"/>
      <c r="L903" s="1"/>
      <c r="M903" s="1"/>
      <c r="N903" s="1"/>
      <c r="O903" s="1"/>
      <c r="P903" s="1"/>
      <c r="Q903" s="1"/>
      <c r="R903" s="1"/>
      <c r="S903" s="1"/>
      <c r="T903" s="1"/>
      <c r="U903" s="1"/>
      <c r="V903" s="1"/>
      <c r="W903" s="1"/>
      <c r="X903" s="1"/>
      <c r="Y903" s="1"/>
      <c r="Z903" s="1"/>
      <c r="AA903" s="1"/>
      <c r="AB903" s="1"/>
      <c r="AC903" s="1"/>
      <c r="AD903" s="1" t="s">
        <v>93</v>
      </c>
      <c r="AE903" s="1" t="s">
        <v>93</v>
      </c>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t="s">
        <v>9609</v>
      </c>
      <c r="BQ903" s="3"/>
      <c r="BR903" s="3"/>
    </row>
    <row r="904" spans="1:70">
      <c r="A904" s="1" t="s">
        <v>70</v>
      </c>
      <c r="B904" s="1" t="s">
        <v>13846</v>
      </c>
      <c r="C904" s="1" t="s">
        <v>14191</v>
      </c>
      <c r="D904" s="1"/>
      <c r="E904" s="1"/>
      <c r="F904" s="1"/>
      <c r="G904" s="1"/>
      <c r="H904" s="1" t="s">
        <v>14192</v>
      </c>
      <c r="I904" s="1" t="s">
        <v>14192</v>
      </c>
      <c r="J904" s="1"/>
      <c r="K904" s="1"/>
      <c r="L904" s="1"/>
      <c r="M904" s="1"/>
      <c r="N904" s="1"/>
      <c r="O904" s="1"/>
      <c r="P904" s="1"/>
      <c r="Q904" s="1"/>
      <c r="R904" s="1"/>
      <c r="S904" s="1"/>
      <c r="T904" s="1"/>
      <c r="U904" s="1"/>
      <c r="V904" s="1"/>
      <c r="W904" s="1"/>
      <c r="X904" s="1"/>
      <c r="Y904" s="1"/>
      <c r="Z904" s="1"/>
      <c r="AA904" s="1"/>
      <c r="AB904" s="1"/>
      <c r="AC904" s="1"/>
      <c r="AD904" s="1" t="s">
        <v>93</v>
      </c>
      <c r="AE904" s="1" t="s">
        <v>93</v>
      </c>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t="s">
        <v>9609</v>
      </c>
      <c r="BQ904" s="3"/>
      <c r="BR904" s="3"/>
    </row>
    <row r="905" spans="1:70">
      <c r="A905" s="1" t="s">
        <v>70</v>
      </c>
      <c r="B905" s="1" t="s">
        <v>13846</v>
      </c>
      <c r="C905" s="1" t="s">
        <v>14193</v>
      </c>
      <c r="D905" s="1"/>
      <c r="E905" s="1"/>
      <c r="F905" s="1"/>
      <c r="G905" s="1"/>
      <c r="H905" s="1" t="s">
        <v>14194</v>
      </c>
      <c r="I905" s="1" t="s">
        <v>14194</v>
      </c>
      <c r="J905" s="1"/>
      <c r="K905" s="1"/>
      <c r="L905" s="1"/>
      <c r="M905" s="1"/>
      <c r="N905" s="1"/>
      <c r="O905" s="1"/>
      <c r="P905" s="1"/>
      <c r="Q905" s="1"/>
      <c r="R905" s="1"/>
      <c r="S905" s="1"/>
      <c r="T905" s="1"/>
      <c r="U905" s="1"/>
      <c r="V905" s="1"/>
      <c r="W905" s="1"/>
      <c r="X905" s="1"/>
      <c r="Y905" s="1"/>
      <c r="Z905" s="1"/>
      <c r="AA905" s="1"/>
      <c r="AB905" s="1"/>
      <c r="AC905" s="1"/>
      <c r="AD905" s="1" t="s">
        <v>93</v>
      </c>
      <c r="AE905" s="1" t="s">
        <v>93</v>
      </c>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t="s">
        <v>9609</v>
      </c>
      <c r="BQ905" s="3"/>
      <c r="BR905" s="3"/>
    </row>
    <row r="906" spans="1:70">
      <c r="A906" s="1" t="s">
        <v>70</v>
      </c>
      <c r="B906" s="1" t="s">
        <v>13846</v>
      </c>
      <c r="C906" s="1" t="s">
        <v>14195</v>
      </c>
      <c r="D906" s="1"/>
      <c r="E906" s="1"/>
      <c r="F906" s="1"/>
      <c r="G906" s="1"/>
      <c r="H906" s="1" t="s">
        <v>14196</v>
      </c>
      <c r="I906" s="1" t="s">
        <v>14196</v>
      </c>
      <c r="J906" s="1"/>
      <c r="K906" s="1"/>
      <c r="L906" s="1"/>
      <c r="M906" s="1"/>
      <c r="N906" s="1"/>
      <c r="O906" s="1"/>
      <c r="P906" s="1"/>
      <c r="Q906" s="1"/>
      <c r="R906" s="1"/>
      <c r="S906" s="1"/>
      <c r="T906" s="1"/>
      <c r="U906" s="1"/>
      <c r="V906" s="1"/>
      <c r="W906" s="1"/>
      <c r="X906" s="1"/>
      <c r="Y906" s="1"/>
      <c r="Z906" s="1"/>
      <c r="AA906" s="1"/>
      <c r="AB906" s="1"/>
      <c r="AC906" s="1"/>
      <c r="AD906" s="1" t="s">
        <v>93</v>
      </c>
      <c r="AE906" s="1" t="s">
        <v>93</v>
      </c>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t="s">
        <v>9609</v>
      </c>
      <c r="BQ906" s="3"/>
      <c r="BR906" s="3"/>
    </row>
    <row r="907" spans="1:70">
      <c r="A907" s="1" t="s">
        <v>70</v>
      </c>
      <c r="B907" s="1" t="s">
        <v>13846</v>
      </c>
      <c r="C907" s="1" t="s">
        <v>14197</v>
      </c>
      <c r="D907" s="1"/>
      <c r="E907" s="1"/>
      <c r="F907" s="1"/>
      <c r="G907" s="1"/>
      <c r="H907" s="1" t="s">
        <v>14198</v>
      </c>
      <c r="I907" s="1" t="s">
        <v>14198</v>
      </c>
      <c r="J907" s="1"/>
      <c r="K907" s="1"/>
      <c r="L907" s="1"/>
      <c r="M907" s="1"/>
      <c r="N907" s="1"/>
      <c r="O907" s="1"/>
      <c r="P907" s="1"/>
      <c r="Q907" s="1"/>
      <c r="R907" s="1"/>
      <c r="S907" s="1"/>
      <c r="T907" s="1"/>
      <c r="U907" s="1"/>
      <c r="V907" s="1"/>
      <c r="W907" s="1"/>
      <c r="X907" s="1"/>
      <c r="Y907" s="1"/>
      <c r="Z907" s="1"/>
      <c r="AA907" s="1"/>
      <c r="AB907" s="1"/>
      <c r="AC907" s="1"/>
      <c r="AD907" s="1" t="s">
        <v>93</v>
      </c>
      <c r="AE907" s="1" t="s">
        <v>93</v>
      </c>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t="s">
        <v>9609</v>
      </c>
      <c r="BQ907" s="3"/>
      <c r="BR907" s="3"/>
    </row>
    <row r="908" spans="1:70">
      <c r="A908" s="1" t="s">
        <v>70</v>
      </c>
      <c r="B908" s="1" t="s">
        <v>13846</v>
      </c>
      <c r="C908" s="1" t="s">
        <v>14199</v>
      </c>
      <c r="D908" s="1"/>
      <c r="E908" s="1"/>
      <c r="F908" s="1"/>
      <c r="G908" s="1"/>
      <c r="H908" s="1" t="s">
        <v>14200</v>
      </c>
      <c r="I908" s="1" t="s">
        <v>14200</v>
      </c>
      <c r="J908" s="1"/>
      <c r="K908" s="1"/>
      <c r="L908" s="1"/>
      <c r="M908" s="1"/>
      <c r="N908" s="1"/>
      <c r="O908" s="1"/>
      <c r="P908" s="1"/>
      <c r="Q908" s="1"/>
      <c r="R908" s="1"/>
      <c r="S908" s="1"/>
      <c r="T908" s="1"/>
      <c r="U908" s="1"/>
      <c r="V908" s="1"/>
      <c r="W908" s="1"/>
      <c r="X908" s="1"/>
      <c r="Y908" s="1"/>
      <c r="Z908" s="1"/>
      <c r="AA908" s="1"/>
      <c r="AB908" s="1"/>
      <c r="AC908" s="1"/>
      <c r="AD908" s="1" t="s">
        <v>93</v>
      </c>
      <c r="AE908" s="1" t="s">
        <v>93</v>
      </c>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t="s">
        <v>9609</v>
      </c>
      <c r="BQ908" s="3"/>
      <c r="BR908" s="3"/>
    </row>
    <row r="909" spans="1:70">
      <c r="A909" s="1" t="s">
        <v>70</v>
      </c>
      <c r="B909" s="1" t="s">
        <v>13846</v>
      </c>
      <c r="C909" s="1" t="s">
        <v>14201</v>
      </c>
      <c r="D909" s="1"/>
      <c r="E909" s="1"/>
      <c r="F909" s="1"/>
      <c r="G909" s="1"/>
      <c r="H909" s="1" t="s">
        <v>14202</v>
      </c>
      <c r="I909" s="1" t="s">
        <v>14202</v>
      </c>
      <c r="J909" s="1"/>
      <c r="K909" s="1"/>
      <c r="L909" s="1"/>
      <c r="M909" s="1"/>
      <c r="N909" s="1"/>
      <c r="O909" s="1"/>
      <c r="P909" s="1"/>
      <c r="Q909" s="1"/>
      <c r="R909" s="1"/>
      <c r="S909" s="1"/>
      <c r="T909" s="1"/>
      <c r="U909" s="1"/>
      <c r="V909" s="1"/>
      <c r="W909" s="1"/>
      <c r="X909" s="1"/>
      <c r="Y909" s="1"/>
      <c r="Z909" s="1"/>
      <c r="AA909" s="1"/>
      <c r="AB909" s="1"/>
      <c r="AC909" s="1"/>
      <c r="AD909" s="1" t="s">
        <v>93</v>
      </c>
      <c r="AE909" s="1" t="s">
        <v>93</v>
      </c>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t="s">
        <v>9609</v>
      </c>
      <c r="BQ909" s="3"/>
      <c r="BR909" s="3"/>
    </row>
    <row r="910" spans="1:70">
      <c r="A910" s="1" t="s">
        <v>70</v>
      </c>
      <c r="B910" s="1" t="s">
        <v>13846</v>
      </c>
      <c r="C910" s="1" t="s">
        <v>14203</v>
      </c>
      <c r="D910" s="1"/>
      <c r="E910" s="1"/>
      <c r="F910" s="1"/>
      <c r="G910" s="1"/>
      <c r="H910" s="1" t="s">
        <v>14204</v>
      </c>
      <c r="I910" s="1" t="s">
        <v>14204</v>
      </c>
      <c r="J910" s="1"/>
      <c r="K910" s="1"/>
      <c r="L910" s="1"/>
      <c r="M910" s="1"/>
      <c r="N910" s="1"/>
      <c r="O910" s="1"/>
      <c r="P910" s="1"/>
      <c r="Q910" s="1"/>
      <c r="R910" s="1"/>
      <c r="S910" s="1"/>
      <c r="T910" s="1"/>
      <c r="U910" s="1"/>
      <c r="V910" s="1"/>
      <c r="W910" s="1"/>
      <c r="X910" s="1"/>
      <c r="Y910" s="1"/>
      <c r="Z910" s="1"/>
      <c r="AA910" s="1"/>
      <c r="AB910" s="1"/>
      <c r="AC910" s="1"/>
      <c r="AD910" s="1" t="s">
        <v>93</v>
      </c>
      <c r="AE910" s="1" t="s">
        <v>93</v>
      </c>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t="s">
        <v>9609</v>
      </c>
      <c r="BQ910" s="3"/>
      <c r="BR910" s="3"/>
    </row>
    <row r="911" spans="1:70">
      <c r="A911" s="1" t="s">
        <v>70</v>
      </c>
      <c r="B911" s="1" t="s">
        <v>13846</v>
      </c>
      <c r="C911" s="1" t="s">
        <v>14205</v>
      </c>
      <c r="D911" s="1"/>
      <c r="E911" s="1"/>
      <c r="F911" s="1"/>
      <c r="G911" s="1"/>
      <c r="H911" s="1" t="s">
        <v>14206</v>
      </c>
      <c r="I911" s="1" t="s">
        <v>14206</v>
      </c>
      <c r="J911" s="1"/>
      <c r="K911" s="1"/>
      <c r="L911" s="1"/>
      <c r="M911" s="1"/>
      <c r="N911" s="1"/>
      <c r="O911" s="1"/>
      <c r="P911" s="1"/>
      <c r="Q911" s="1"/>
      <c r="R911" s="1"/>
      <c r="S911" s="1"/>
      <c r="T911" s="1"/>
      <c r="U911" s="1"/>
      <c r="V911" s="1"/>
      <c r="W911" s="1"/>
      <c r="X911" s="1"/>
      <c r="Y911" s="1"/>
      <c r="Z911" s="1"/>
      <c r="AA911" s="1"/>
      <c r="AB911" s="1"/>
      <c r="AC911" s="1"/>
      <c r="AD911" s="1" t="s">
        <v>93</v>
      </c>
      <c r="AE911" s="1" t="s">
        <v>93</v>
      </c>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t="s">
        <v>9609</v>
      </c>
      <c r="BQ911" s="3"/>
      <c r="BR911" s="3"/>
    </row>
    <row r="912" spans="1:70">
      <c r="A912" s="1" t="s">
        <v>70</v>
      </c>
      <c r="B912" s="1" t="s">
        <v>13846</v>
      </c>
      <c r="C912" s="1" t="s">
        <v>14207</v>
      </c>
      <c r="D912" s="1"/>
      <c r="E912" s="1"/>
      <c r="F912" s="1"/>
      <c r="G912" s="1"/>
      <c r="H912" s="1" t="s">
        <v>14208</v>
      </c>
      <c r="I912" s="1" t="s">
        <v>14208</v>
      </c>
      <c r="J912" s="1"/>
      <c r="K912" s="1"/>
      <c r="L912" s="1"/>
      <c r="M912" s="1"/>
      <c r="N912" s="1"/>
      <c r="O912" s="1"/>
      <c r="P912" s="1"/>
      <c r="Q912" s="1"/>
      <c r="R912" s="1"/>
      <c r="S912" s="1"/>
      <c r="T912" s="1"/>
      <c r="U912" s="1"/>
      <c r="V912" s="1"/>
      <c r="W912" s="1"/>
      <c r="X912" s="1"/>
      <c r="Y912" s="1"/>
      <c r="Z912" s="1"/>
      <c r="AA912" s="1"/>
      <c r="AB912" s="1"/>
      <c r="AC912" s="1"/>
      <c r="AD912" s="1" t="s">
        <v>93</v>
      </c>
      <c r="AE912" s="1" t="s">
        <v>93</v>
      </c>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t="s">
        <v>9609</v>
      </c>
      <c r="BQ912" s="3"/>
      <c r="BR912" s="3"/>
    </row>
    <row r="913" spans="1:70">
      <c r="A913" s="1" t="s">
        <v>70</v>
      </c>
      <c r="B913" s="1" t="s">
        <v>13846</v>
      </c>
      <c r="C913" s="1" t="s">
        <v>14209</v>
      </c>
      <c r="D913" s="1"/>
      <c r="E913" s="1"/>
      <c r="F913" s="1"/>
      <c r="G913" s="1"/>
      <c r="H913" s="1" t="s">
        <v>14210</v>
      </c>
      <c r="I913" s="1" t="s">
        <v>14210</v>
      </c>
      <c r="J913" s="1"/>
      <c r="K913" s="1"/>
      <c r="L913" s="1"/>
      <c r="M913" s="1"/>
      <c r="N913" s="1"/>
      <c r="O913" s="1"/>
      <c r="P913" s="1"/>
      <c r="Q913" s="1"/>
      <c r="R913" s="1"/>
      <c r="S913" s="1"/>
      <c r="T913" s="1"/>
      <c r="U913" s="1"/>
      <c r="V913" s="1"/>
      <c r="W913" s="1"/>
      <c r="X913" s="1"/>
      <c r="Y913" s="1"/>
      <c r="Z913" s="1"/>
      <c r="AA913" s="1"/>
      <c r="AB913" s="1"/>
      <c r="AC913" s="1"/>
      <c r="AD913" s="1" t="s">
        <v>93</v>
      </c>
      <c r="AE913" s="1" t="s">
        <v>93</v>
      </c>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t="s">
        <v>9609</v>
      </c>
      <c r="BQ913" s="3"/>
      <c r="BR913" s="3"/>
    </row>
    <row r="914" spans="1:70">
      <c r="A914" s="1" t="s">
        <v>70</v>
      </c>
      <c r="B914" s="1" t="s">
        <v>13846</v>
      </c>
      <c r="C914" s="1" t="s">
        <v>14211</v>
      </c>
      <c r="D914" s="1"/>
      <c r="E914" s="1"/>
      <c r="F914" s="1"/>
      <c r="G914" s="1"/>
      <c r="H914" s="1" t="s">
        <v>14212</v>
      </c>
      <c r="I914" s="1" t="s">
        <v>14212</v>
      </c>
      <c r="J914" s="1"/>
      <c r="K914" s="1"/>
      <c r="L914" s="1"/>
      <c r="M914" s="1"/>
      <c r="N914" s="1"/>
      <c r="O914" s="1"/>
      <c r="P914" s="1"/>
      <c r="Q914" s="1"/>
      <c r="R914" s="1"/>
      <c r="S914" s="1"/>
      <c r="T914" s="1"/>
      <c r="U914" s="1"/>
      <c r="V914" s="1"/>
      <c r="W914" s="1"/>
      <c r="X914" s="1"/>
      <c r="Y914" s="1"/>
      <c r="Z914" s="1"/>
      <c r="AA914" s="1"/>
      <c r="AB914" s="1"/>
      <c r="AC914" s="1"/>
      <c r="AD914" s="1" t="s">
        <v>93</v>
      </c>
      <c r="AE914" s="1" t="s">
        <v>93</v>
      </c>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t="s">
        <v>9609</v>
      </c>
      <c r="BQ914" s="3"/>
      <c r="BR914" s="3"/>
    </row>
    <row r="915" spans="1:70">
      <c r="A915" s="1" t="s">
        <v>70</v>
      </c>
      <c r="B915" s="1" t="s">
        <v>13846</v>
      </c>
      <c r="C915" s="1" t="s">
        <v>14213</v>
      </c>
      <c r="D915" s="1"/>
      <c r="E915" s="1"/>
      <c r="F915" s="1"/>
      <c r="G915" s="1"/>
      <c r="H915" s="1" t="s">
        <v>14214</v>
      </c>
      <c r="I915" s="1" t="s">
        <v>14214</v>
      </c>
      <c r="J915" s="1"/>
      <c r="K915" s="1"/>
      <c r="L915" s="1"/>
      <c r="M915" s="1"/>
      <c r="N915" s="1"/>
      <c r="O915" s="1"/>
      <c r="P915" s="1"/>
      <c r="Q915" s="1"/>
      <c r="R915" s="1"/>
      <c r="S915" s="1"/>
      <c r="T915" s="1"/>
      <c r="U915" s="1"/>
      <c r="V915" s="1"/>
      <c r="W915" s="1"/>
      <c r="X915" s="1"/>
      <c r="Y915" s="1"/>
      <c r="Z915" s="1"/>
      <c r="AA915" s="1"/>
      <c r="AB915" s="1"/>
      <c r="AC915" s="1"/>
      <c r="AD915" s="1" t="s">
        <v>93</v>
      </c>
      <c r="AE915" s="1" t="s">
        <v>93</v>
      </c>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t="s">
        <v>9609</v>
      </c>
      <c r="BQ915" s="3"/>
      <c r="BR915" s="3"/>
    </row>
    <row r="916" spans="1:70">
      <c r="A916" s="1" t="s">
        <v>70</v>
      </c>
      <c r="B916" s="1" t="s">
        <v>13846</v>
      </c>
      <c r="C916" s="1" t="s">
        <v>14215</v>
      </c>
      <c r="D916" s="1"/>
      <c r="E916" s="1"/>
      <c r="F916" s="1"/>
      <c r="G916" s="1"/>
      <c r="H916" s="1" t="s">
        <v>14216</v>
      </c>
      <c r="I916" s="1" t="s">
        <v>14216</v>
      </c>
      <c r="J916" s="1"/>
      <c r="K916" s="1"/>
      <c r="L916" s="1"/>
      <c r="M916" s="1"/>
      <c r="N916" s="1"/>
      <c r="O916" s="1"/>
      <c r="P916" s="1"/>
      <c r="Q916" s="1"/>
      <c r="R916" s="1"/>
      <c r="S916" s="1"/>
      <c r="T916" s="1"/>
      <c r="U916" s="1"/>
      <c r="V916" s="1"/>
      <c r="W916" s="1"/>
      <c r="X916" s="1"/>
      <c r="Y916" s="1"/>
      <c r="Z916" s="1"/>
      <c r="AA916" s="1"/>
      <c r="AB916" s="1"/>
      <c r="AC916" s="1"/>
      <c r="AD916" s="1" t="s">
        <v>93</v>
      </c>
      <c r="AE916" s="1" t="s">
        <v>93</v>
      </c>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t="s">
        <v>9609</v>
      </c>
      <c r="BQ916" s="3"/>
      <c r="BR916" s="3"/>
    </row>
    <row r="917" spans="1:70">
      <c r="A917" s="1" t="s">
        <v>70</v>
      </c>
      <c r="B917" s="1" t="s">
        <v>13846</v>
      </c>
      <c r="C917" s="1" t="s">
        <v>14217</v>
      </c>
      <c r="D917" s="1"/>
      <c r="E917" s="1"/>
      <c r="F917" s="1"/>
      <c r="G917" s="1"/>
      <c r="H917" s="1" t="s">
        <v>14218</v>
      </c>
      <c r="I917" s="1" t="s">
        <v>14218</v>
      </c>
      <c r="J917" s="1"/>
      <c r="K917" s="1"/>
      <c r="L917" s="1"/>
      <c r="M917" s="1"/>
      <c r="N917" s="1"/>
      <c r="O917" s="1"/>
      <c r="P917" s="1"/>
      <c r="Q917" s="1"/>
      <c r="R917" s="1"/>
      <c r="S917" s="1"/>
      <c r="T917" s="1"/>
      <c r="U917" s="1"/>
      <c r="V917" s="1"/>
      <c r="W917" s="1"/>
      <c r="X917" s="1"/>
      <c r="Y917" s="1"/>
      <c r="Z917" s="1"/>
      <c r="AA917" s="1"/>
      <c r="AB917" s="1"/>
      <c r="AC917" s="1"/>
      <c r="AD917" s="1" t="s">
        <v>93</v>
      </c>
      <c r="AE917" s="1" t="s">
        <v>93</v>
      </c>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t="s">
        <v>9609</v>
      </c>
      <c r="BQ917" s="3"/>
      <c r="BR917" s="3"/>
    </row>
    <row r="918" spans="1:70">
      <c r="A918" s="1" t="s">
        <v>70</v>
      </c>
      <c r="B918" s="1" t="s">
        <v>13846</v>
      </c>
      <c r="C918" s="1" t="s">
        <v>14219</v>
      </c>
      <c r="D918" s="1"/>
      <c r="E918" s="1"/>
      <c r="F918" s="1"/>
      <c r="G918" s="1"/>
      <c r="H918" s="1" t="s">
        <v>14220</v>
      </c>
      <c r="I918" s="1" t="s">
        <v>14220</v>
      </c>
      <c r="J918" s="1"/>
      <c r="K918" s="1"/>
      <c r="L918" s="1"/>
      <c r="M918" s="1"/>
      <c r="N918" s="1"/>
      <c r="O918" s="1"/>
      <c r="P918" s="1"/>
      <c r="Q918" s="1"/>
      <c r="R918" s="1"/>
      <c r="S918" s="1"/>
      <c r="T918" s="1"/>
      <c r="U918" s="1"/>
      <c r="V918" s="1"/>
      <c r="W918" s="1"/>
      <c r="X918" s="1"/>
      <c r="Y918" s="1"/>
      <c r="Z918" s="1"/>
      <c r="AA918" s="1"/>
      <c r="AB918" s="1"/>
      <c r="AC918" s="1"/>
      <c r="AD918" s="1" t="s">
        <v>93</v>
      </c>
      <c r="AE918" s="1" t="s">
        <v>93</v>
      </c>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t="s">
        <v>9609</v>
      </c>
      <c r="BQ918" s="3"/>
      <c r="BR918" s="3"/>
    </row>
    <row r="919" spans="1:70">
      <c r="A919" s="1" t="s">
        <v>70</v>
      </c>
      <c r="B919" s="1" t="s">
        <v>13846</v>
      </c>
      <c r="C919" s="1" t="s">
        <v>14221</v>
      </c>
      <c r="D919" s="1"/>
      <c r="E919" s="1"/>
      <c r="F919" s="1"/>
      <c r="G919" s="1"/>
      <c r="H919" s="1" t="s">
        <v>14222</v>
      </c>
      <c r="I919" s="1" t="s">
        <v>14222</v>
      </c>
      <c r="J919" s="1"/>
      <c r="K919" s="1"/>
      <c r="L919" s="1"/>
      <c r="M919" s="1"/>
      <c r="N919" s="1"/>
      <c r="O919" s="1"/>
      <c r="P919" s="1"/>
      <c r="Q919" s="1"/>
      <c r="R919" s="1"/>
      <c r="S919" s="1"/>
      <c r="T919" s="1"/>
      <c r="U919" s="1"/>
      <c r="V919" s="1"/>
      <c r="W919" s="1"/>
      <c r="X919" s="1"/>
      <c r="Y919" s="1"/>
      <c r="Z919" s="1"/>
      <c r="AA919" s="1"/>
      <c r="AB919" s="1"/>
      <c r="AC919" s="1"/>
      <c r="AD919" s="1" t="s">
        <v>93</v>
      </c>
      <c r="AE919" s="1" t="s">
        <v>93</v>
      </c>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t="s">
        <v>9609</v>
      </c>
      <c r="BQ919" s="3"/>
      <c r="BR919" s="3"/>
    </row>
    <row r="920" spans="1:70">
      <c r="A920" s="1" t="s">
        <v>70</v>
      </c>
      <c r="B920" s="1" t="s">
        <v>13846</v>
      </c>
      <c r="C920" s="1" t="s">
        <v>14223</v>
      </c>
      <c r="D920" s="1"/>
      <c r="E920" s="1"/>
      <c r="F920" s="1"/>
      <c r="G920" s="1"/>
      <c r="H920" s="1" t="s">
        <v>14224</v>
      </c>
      <c r="I920" s="1" t="s">
        <v>14224</v>
      </c>
      <c r="J920" s="1"/>
      <c r="K920" s="1"/>
      <c r="L920" s="1"/>
      <c r="M920" s="1"/>
      <c r="N920" s="1"/>
      <c r="O920" s="1"/>
      <c r="P920" s="1"/>
      <c r="Q920" s="1"/>
      <c r="R920" s="1"/>
      <c r="S920" s="1"/>
      <c r="T920" s="1"/>
      <c r="U920" s="1"/>
      <c r="V920" s="1"/>
      <c r="W920" s="1"/>
      <c r="X920" s="1"/>
      <c r="Y920" s="1"/>
      <c r="Z920" s="1"/>
      <c r="AA920" s="1"/>
      <c r="AB920" s="1"/>
      <c r="AC920" s="1"/>
      <c r="AD920" s="1" t="s">
        <v>93</v>
      </c>
      <c r="AE920" s="1" t="s">
        <v>93</v>
      </c>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t="s">
        <v>9609</v>
      </c>
      <c r="BQ920" s="3"/>
      <c r="BR920" s="3"/>
    </row>
    <row r="921" spans="1:70">
      <c r="A921" s="1" t="s">
        <v>70</v>
      </c>
      <c r="B921" s="1" t="s">
        <v>13846</v>
      </c>
      <c r="C921" s="1" t="s">
        <v>14225</v>
      </c>
      <c r="D921" s="1"/>
      <c r="E921" s="1"/>
      <c r="F921" s="1"/>
      <c r="G921" s="1"/>
      <c r="H921" s="1" t="s">
        <v>14226</v>
      </c>
      <c r="I921" s="1" t="s">
        <v>14226</v>
      </c>
      <c r="J921" s="1"/>
      <c r="K921" s="1"/>
      <c r="L921" s="1"/>
      <c r="M921" s="1"/>
      <c r="N921" s="1"/>
      <c r="O921" s="1"/>
      <c r="P921" s="1"/>
      <c r="Q921" s="1"/>
      <c r="R921" s="1"/>
      <c r="S921" s="1"/>
      <c r="T921" s="1"/>
      <c r="U921" s="1"/>
      <c r="V921" s="1"/>
      <c r="W921" s="1"/>
      <c r="X921" s="1"/>
      <c r="Y921" s="1"/>
      <c r="Z921" s="1"/>
      <c r="AA921" s="1"/>
      <c r="AB921" s="1"/>
      <c r="AC921" s="1"/>
      <c r="AD921" s="1" t="s">
        <v>93</v>
      </c>
      <c r="AE921" s="1" t="s">
        <v>93</v>
      </c>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t="s">
        <v>9609</v>
      </c>
      <c r="BQ921" s="3"/>
      <c r="BR921" s="3"/>
    </row>
    <row r="922" spans="1:70">
      <c r="A922" s="1" t="s">
        <v>70</v>
      </c>
      <c r="B922" s="1" t="s">
        <v>13846</v>
      </c>
      <c r="C922" s="1" t="s">
        <v>14227</v>
      </c>
      <c r="D922" s="1"/>
      <c r="E922" s="1"/>
      <c r="F922" s="1"/>
      <c r="G922" s="1"/>
      <c r="H922" s="1" t="s">
        <v>14228</v>
      </c>
      <c r="I922" s="1" t="s">
        <v>14228</v>
      </c>
      <c r="J922" s="1"/>
      <c r="K922" s="1"/>
      <c r="L922" s="1"/>
      <c r="M922" s="1"/>
      <c r="N922" s="1"/>
      <c r="O922" s="1"/>
      <c r="P922" s="1"/>
      <c r="Q922" s="1"/>
      <c r="R922" s="1"/>
      <c r="S922" s="1"/>
      <c r="T922" s="1"/>
      <c r="U922" s="1"/>
      <c r="V922" s="1"/>
      <c r="W922" s="1"/>
      <c r="X922" s="1"/>
      <c r="Y922" s="1"/>
      <c r="Z922" s="1"/>
      <c r="AA922" s="1"/>
      <c r="AB922" s="1"/>
      <c r="AC922" s="1"/>
      <c r="AD922" s="1" t="s">
        <v>93</v>
      </c>
      <c r="AE922" s="1" t="s">
        <v>93</v>
      </c>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t="s">
        <v>9609</v>
      </c>
      <c r="BQ922" s="3"/>
      <c r="BR922" s="3"/>
    </row>
    <row r="923" spans="1:70">
      <c r="A923" s="1" t="s">
        <v>70</v>
      </c>
      <c r="B923" s="1" t="s">
        <v>13846</v>
      </c>
      <c r="C923" s="1" t="s">
        <v>14229</v>
      </c>
      <c r="D923" s="1"/>
      <c r="E923" s="1"/>
      <c r="F923" s="1"/>
      <c r="G923" s="1"/>
      <c r="H923" s="1" t="s">
        <v>14230</v>
      </c>
      <c r="I923" s="1" t="s">
        <v>14230</v>
      </c>
      <c r="J923" s="1"/>
      <c r="K923" s="1"/>
      <c r="L923" s="1"/>
      <c r="M923" s="1"/>
      <c r="N923" s="1"/>
      <c r="O923" s="1"/>
      <c r="P923" s="1"/>
      <c r="Q923" s="1"/>
      <c r="R923" s="1"/>
      <c r="S923" s="1"/>
      <c r="T923" s="1"/>
      <c r="U923" s="1"/>
      <c r="V923" s="1"/>
      <c r="W923" s="1"/>
      <c r="X923" s="1"/>
      <c r="Y923" s="1"/>
      <c r="Z923" s="1"/>
      <c r="AA923" s="1"/>
      <c r="AB923" s="1"/>
      <c r="AC923" s="1"/>
      <c r="AD923" s="1" t="s">
        <v>93</v>
      </c>
      <c r="AE923" s="1" t="s">
        <v>93</v>
      </c>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t="s">
        <v>9609</v>
      </c>
      <c r="BQ923" s="3"/>
      <c r="BR923" s="3"/>
    </row>
    <row r="924" spans="1:70">
      <c r="A924" s="1" t="s">
        <v>70</v>
      </c>
      <c r="B924" s="1" t="s">
        <v>13846</v>
      </c>
      <c r="C924" s="1" t="s">
        <v>14231</v>
      </c>
      <c r="D924" s="1"/>
      <c r="E924" s="1"/>
      <c r="F924" s="1"/>
      <c r="G924" s="1"/>
      <c r="H924" s="1" t="s">
        <v>14232</v>
      </c>
      <c r="I924" s="1" t="s">
        <v>14232</v>
      </c>
      <c r="J924" s="1"/>
      <c r="K924" s="1"/>
      <c r="L924" s="1"/>
      <c r="M924" s="1"/>
      <c r="N924" s="1"/>
      <c r="O924" s="1"/>
      <c r="P924" s="1"/>
      <c r="Q924" s="1"/>
      <c r="R924" s="1"/>
      <c r="S924" s="1"/>
      <c r="T924" s="1"/>
      <c r="U924" s="1"/>
      <c r="V924" s="1"/>
      <c r="W924" s="1"/>
      <c r="X924" s="1"/>
      <c r="Y924" s="1"/>
      <c r="Z924" s="1"/>
      <c r="AA924" s="1"/>
      <c r="AB924" s="1"/>
      <c r="AC924" s="1"/>
      <c r="AD924" s="1" t="s">
        <v>93</v>
      </c>
      <c r="AE924" s="1" t="s">
        <v>93</v>
      </c>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t="s">
        <v>9609</v>
      </c>
      <c r="BQ924" s="3"/>
      <c r="BR924" s="3"/>
    </row>
    <row r="925" spans="1:70">
      <c r="A925" s="1" t="s">
        <v>70</v>
      </c>
      <c r="B925" s="1" t="s">
        <v>13846</v>
      </c>
      <c r="C925" s="1" t="s">
        <v>14233</v>
      </c>
      <c r="D925" s="1"/>
      <c r="E925" s="1"/>
      <c r="F925" s="1"/>
      <c r="G925" s="1"/>
      <c r="H925" s="1" t="s">
        <v>14234</v>
      </c>
      <c r="I925" s="1" t="s">
        <v>14234</v>
      </c>
      <c r="J925" s="1"/>
      <c r="K925" s="1"/>
      <c r="L925" s="1"/>
      <c r="M925" s="1"/>
      <c r="N925" s="1"/>
      <c r="O925" s="1"/>
      <c r="P925" s="1"/>
      <c r="Q925" s="1"/>
      <c r="R925" s="1"/>
      <c r="S925" s="1"/>
      <c r="T925" s="1"/>
      <c r="U925" s="1"/>
      <c r="V925" s="1"/>
      <c r="W925" s="1"/>
      <c r="X925" s="1"/>
      <c r="Y925" s="1"/>
      <c r="Z925" s="1"/>
      <c r="AA925" s="1"/>
      <c r="AB925" s="1"/>
      <c r="AC925" s="1"/>
      <c r="AD925" s="1" t="s">
        <v>93</v>
      </c>
      <c r="AE925" s="1" t="s">
        <v>93</v>
      </c>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t="s">
        <v>9609</v>
      </c>
      <c r="BQ925" s="3"/>
      <c r="BR925" s="3"/>
    </row>
    <row r="926" spans="1:70">
      <c r="A926" s="1" t="s">
        <v>70</v>
      </c>
      <c r="B926" s="1" t="s">
        <v>13846</v>
      </c>
      <c r="C926" s="1" t="s">
        <v>14235</v>
      </c>
      <c r="D926" s="1"/>
      <c r="E926" s="1"/>
      <c r="F926" s="1"/>
      <c r="G926" s="1"/>
      <c r="H926" s="1" t="s">
        <v>14236</v>
      </c>
      <c r="I926" s="1" t="s">
        <v>14236</v>
      </c>
      <c r="J926" s="1"/>
      <c r="K926" s="1"/>
      <c r="L926" s="1"/>
      <c r="M926" s="1"/>
      <c r="N926" s="1"/>
      <c r="O926" s="1"/>
      <c r="P926" s="1"/>
      <c r="Q926" s="1"/>
      <c r="R926" s="1"/>
      <c r="S926" s="1"/>
      <c r="T926" s="1"/>
      <c r="U926" s="1"/>
      <c r="V926" s="1"/>
      <c r="W926" s="1"/>
      <c r="X926" s="1"/>
      <c r="Y926" s="1"/>
      <c r="Z926" s="1"/>
      <c r="AA926" s="1"/>
      <c r="AB926" s="1"/>
      <c r="AC926" s="1"/>
      <c r="AD926" s="1" t="s">
        <v>93</v>
      </c>
      <c r="AE926" s="1" t="s">
        <v>93</v>
      </c>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t="s">
        <v>9609</v>
      </c>
      <c r="BQ926" s="3"/>
      <c r="BR926" s="3"/>
    </row>
    <row r="927" spans="1:70">
      <c r="A927" s="1" t="s">
        <v>70</v>
      </c>
      <c r="B927" s="1" t="s">
        <v>13846</v>
      </c>
      <c r="C927" s="1" t="s">
        <v>14237</v>
      </c>
      <c r="D927" s="1"/>
      <c r="E927" s="1"/>
      <c r="F927" s="1"/>
      <c r="G927" s="1"/>
      <c r="H927" s="1" t="s">
        <v>14238</v>
      </c>
      <c r="I927" s="1" t="s">
        <v>14238</v>
      </c>
      <c r="J927" s="1"/>
      <c r="K927" s="1"/>
      <c r="L927" s="1"/>
      <c r="M927" s="1"/>
      <c r="N927" s="1"/>
      <c r="O927" s="1"/>
      <c r="P927" s="1"/>
      <c r="Q927" s="1"/>
      <c r="R927" s="1"/>
      <c r="S927" s="1"/>
      <c r="T927" s="1"/>
      <c r="U927" s="1"/>
      <c r="V927" s="1"/>
      <c r="W927" s="1"/>
      <c r="X927" s="1"/>
      <c r="Y927" s="1"/>
      <c r="Z927" s="1"/>
      <c r="AA927" s="1"/>
      <c r="AB927" s="1"/>
      <c r="AC927" s="1"/>
      <c r="AD927" s="1" t="s">
        <v>93</v>
      </c>
      <c r="AE927" s="1" t="s">
        <v>93</v>
      </c>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t="s">
        <v>9609</v>
      </c>
      <c r="BQ927" s="3"/>
      <c r="BR927" s="3"/>
    </row>
    <row r="928" spans="1:70">
      <c r="A928" s="1" t="s">
        <v>70</v>
      </c>
      <c r="B928" s="1" t="s">
        <v>13846</v>
      </c>
      <c r="C928" s="1" t="s">
        <v>14239</v>
      </c>
      <c r="D928" s="1"/>
      <c r="E928" s="1"/>
      <c r="F928" s="1"/>
      <c r="G928" s="1"/>
      <c r="H928" s="1" t="s">
        <v>14240</v>
      </c>
      <c r="I928" s="1" t="s">
        <v>14240</v>
      </c>
      <c r="J928" s="1"/>
      <c r="K928" s="1"/>
      <c r="L928" s="1"/>
      <c r="M928" s="1"/>
      <c r="N928" s="1"/>
      <c r="O928" s="1"/>
      <c r="P928" s="1"/>
      <c r="Q928" s="1"/>
      <c r="R928" s="1"/>
      <c r="S928" s="1"/>
      <c r="T928" s="1"/>
      <c r="U928" s="1"/>
      <c r="V928" s="1"/>
      <c r="W928" s="1"/>
      <c r="X928" s="1"/>
      <c r="Y928" s="1"/>
      <c r="Z928" s="1"/>
      <c r="AA928" s="1"/>
      <c r="AB928" s="1"/>
      <c r="AC928" s="1"/>
      <c r="AD928" s="1" t="s">
        <v>93</v>
      </c>
      <c r="AE928" s="1" t="s">
        <v>93</v>
      </c>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t="s">
        <v>9609</v>
      </c>
      <c r="BQ928" s="3"/>
      <c r="BR928" s="3"/>
    </row>
    <row r="929" spans="1:70">
      <c r="A929" s="1" t="s">
        <v>70</v>
      </c>
      <c r="B929" s="1" t="s">
        <v>13846</v>
      </c>
      <c r="C929" s="1" t="s">
        <v>14241</v>
      </c>
      <c r="D929" s="1"/>
      <c r="E929" s="1"/>
      <c r="F929" s="1"/>
      <c r="G929" s="1"/>
      <c r="H929" s="1" t="s">
        <v>14242</v>
      </c>
      <c r="I929" s="1" t="s">
        <v>14242</v>
      </c>
      <c r="J929" s="1"/>
      <c r="K929" s="1"/>
      <c r="L929" s="1"/>
      <c r="M929" s="1"/>
      <c r="N929" s="1"/>
      <c r="O929" s="1"/>
      <c r="P929" s="1"/>
      <c r="Q929" s="1"/>
      <c r="R929" s="1"/>
      <c r="S929" s="1"/>
      <c r="T929" s="1"/>
      <c r="U929" s="1"/>
      <c r="V929" s="1"/>
      <c r="W929" s="1"/>
      <c r="X929" s="1"/>
      <c r="Y929" s="1"/>
      <c r="Z929" s="1"/>
      <c r="AA929" s="1"/>
      <c r="AB929" s="1"/>
      <c r="AC929" s="1"/>
      <c r="AD929" s="1" t="s">
        <v>93</v>
      </c>
      <c r="AE929" s="1" t="s">
        <v>93</v>
      </c>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t="s">
        <v>9609</v>
      </c>
      <c r="BQ929" s="3"/>
      <c r="BR929" s="3"/>
    </row>
    <row r="930" spans="1:70">
      <c r="A930" s="1" t="s">
        <v>70</v>
      </c>
      <c r="B930" s="1" t="s">
        <v>13846</v>
      </c>
      <c r="C930" s="1" t="s">
        <v>14243</v>
      </c>
      <c r="D930" s="1"/>
      <c r="E930" s="1"/>
      <c r="F930" s="1"/>
      <c r="G930" s="1"/>
      <c r="H930" s="1" t="s">
        <v>14244</v>
      </c>
      <c r="I930" s="1" t="s">
        <v>14244</v>
      </c>
      <c r="J930" s="1"/>
      <c r="K930" s="1"/>
      <c r="L930" s="1"/>
      <c r="M930" s="1"/>
      <c r="N930" s="1"/>
      <c r="O930" s="1"/>
      <c r="P930" s="1"/>
      <c r="Q930" s="1"/>
      <c r="R930" s="1"/>
      <c r="S930" s="1"/>
      <c r="T930" s="1"/>
      <c r="U930" s="1"/>
      <c r="V930" s="1"/>
      <c r="W930" s="1"/>
      <c r="X930" s="1"/>
      <c r="Y930" s="1"/>
      <c r="Z930" s="1"/>
      <c r="AA930" s="1"/>
      <c r="AB930" s="1"/>
      <c r="AC930" s="1"/>
      <c r="AD930" s="1" t="s">
        <v>93</v>
      </c>
      <c r="AE930" s="1" t="s">
        <v>93</v>
      </c>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t="s">
        <v>9609</v>
      </c>
      <c r="BQ930" s="3"/>
      <c r="BR930" s="3"/>
    </row>
    <row r="931" spans="1:70">
      <c r="A931" s="1" t="s">
        <v>70</v>
      </c>
      <c r="B931" s="1" t="s">
        <v>13846</v>
      </c>
      <c r="C931" s="1" t="s">
        <v>14245</v>
      </c>
      <c r="D931" s="1"/>
      <c r="E931" s="1"/>
      <c r="F931" s="1"/>
      <c r="G931" s="1"/>
      <c r="H931" s="1" t="s">
        <v>14246</v>
      </c>
      <c r="I931" s="1" t="s">
        <v>14246</v>
      </c>
      <c r="J931" s="1"/>
      <c r="K931" s="1"/>
      <c r="L931" s="1"/>
      <c r="M931" s="1"/>
      <c r="N931" s="1"/>
      <c r="O931" s="1"/>
      <c r="P931" s="1"/>
      <c r="Q931" s="1"/>
      <c r="R931" s="1"/>
      <c r="S931" s="1"/>
      <c r="T931" s="1"/>
      <c r="U931" s="1"/>
      <c r="V931" s="1"/>
      <c r="W931" s="1"/>
      <c r="X931" s="1"/>
      <c r="Y931" s="1"/>
      <c r="Z931" s="1"/>
      <c r="AA931" s="1"/>
      <c r="AB931" s="1"/>
      <c r="AC931" s="1"/>
      <c r="AD931" s="1" t="s">
        <v>93</v>
      </c>
      <c r="AE931" s="1" t="s">
        <v>93</v>
      </c>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t="s">
        <v>9609</v>
      </c>
      <c r="BQ931" s="3"/>
      <c r="BR931" s="3"/>
    </row>
    <row r="932" spans="1:70">
      <c r="A932" s="1" t="s">
        <v>70</v>
      </c>
      <c r="B932" s="1" t="s">
        <v>13846</v>
      </c>
      <c r="C932" s="1" t="s">
        <v>14247</v>
      </c>
      <c r="D932" s="1"/>
      <c r="E932" s="1"/>
      <c r="F932" s="1"/>
      <c r="G932" s="1"/>
      <c r="H932" s="1" t="s">
        <v>14248</v>
      </c>
      <c r="I932" s="1" t="s">
        <v>14248</v>
      </c>
      <c r="J932" s="1"/>
      <c r="K932" s="1"/>
      <c r="L932" s="1"/>
      <c r="M932" s="1"/>
      <c r="N932" s="1"/>
      <c r="O932" s="1"/>
      <c r="P932" s="1"/>
      <c r="Q932" s="1"/>
      <c r="R932" s="1"/>
      <c r="S932" s="1"/>
      <c r="T932" s="1"/>
      <c r="U932" s="1"/>
      <c r="V932" s="1"/>
      <c r="W932" s="1"/>
      <c r="X932" s="1"/>
      <c r="Y932" s="1"/>
      <c r="Z932" s="1"/>
      <c r="AA932" s="1"/>
      <c r="AB932" s="1"/>
      <c r="AC932" s="1"/>
      <c r="AD932" s="1" t="s">
        <v>93</v>
      </c>
      <c r="AE932" s="1" t="s">
        <v>93</v>
      </c>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t="s">
        <v>9609</v>
      </c>
      <c r="BQ932" s="3"/>
      <c r="BR932" s="3"/>
    </row>
    <row r="933" spans="1:70">
      <c r="A933" s="1" t="s">
        <v>70</v>
      </c>
      <c r="B933" s="1" t="s">
        <v>13846</v>
      </c>
      <c r="C933" s="1" t="s">
        <v>14249</v>
      </c>
      <c r="D933" s="1"/>
      <c r="E933" s="1"/>
      <c r="F933" s="1"/>
      <c r="G933" s="1"/>
      <c r="H933" s="1" t="s">
        <v>14250</v>
      </c>
      <c r="I933" s="1" t="s">
        <v>14250</v>
      </c>
      <c r="J933" s="1"/>
      <c r="K933" s="1"/>
      <c r="L933" s="1"/>
      <c r="M933" s="1"/>
      <c r="N933" s="1"/>
      <c r="O933" s="1"/>
      <c r="P933" s="1"/>
      <c r="Q933" s="1"/>
      <c r="R933" s="1"/>
      <c r="S933" s="1"/>
      <c r="T933" s="1"/>
      <c r="U933" s="1"/>
      <c r="V933" s="1"/>
      <c r="W933" s="1"/>
      <c r="X933" s="1"/>
      <c r="Y933" s="1"/>
      <c r="Z933" s="1"/>
      <c r="AA933" s="1"/>
      <c r="AB933" s="1"/>
      <c r="AC933" s="1"/>
      <c r="AD933" s="1" t="s">
        <v>93</v>
      </c>
      <c r="AE933" s="1" t="s">
        <v>93</v>
      </c>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t="s">
        <v>9609</v>
      </c>
      <c r="BQ933" s="3"/>
      <c r="BR933" s="3"/>
    </row>
    <row r="934" spans="1:70">
      <c r="A934" s="1" t="s">
        <v>70</v>
      </c>
      <c r="B934" s="1" t="s">
        <v>13846</v>
      </c>
      <c r="C934" s="1" t="s">
        <v>14251</v>
      </c>
      <c r="D934" s="1"/>
      <c r="E934" s="1"/>
      <c r="F934" s="1"/>
      <c r="G934" s="1"/>
      <c r="H934" s="1" t="s">
        <v>14252</v>
      </c>
      <c r="I934" s="1" t="s">
        <v>14252</v>
      </c>
      <c r="J934" s="1"/>
      <c r="K934" s="1"/>
      <c r="L934" s="1"/>
      <c r="M934" s="1"/>
      <c r="N934" s="1"/>
      <c r="O934" s="1"/>
      <c r="P934" s="1"/>
      <c r="Q934" s="1"/>
      <c r="R934" s="1"/>
      <c r="S934" s="1"/>
      <c r="T934" s="1"/>
      <c r="U934" s="1"/>
      <c r="V934" s="1"/>
      <c r="W934" s="1"/>
      <c r="X934" s="1"/>
      <c r="Y934" s="1"/>
      <c r="Z934" s="1"/>
      <c r="AA934" s="1"/>
      <c r="AB934" s="1"/>
      <c r="AC934" s="1"/>
      <c r="AD934" s="1" t="s">
        <v>93</v>
      </c>
      <c r="AE934" s="1" t="s">
        <v>93</v>
      </c>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t="s">
        <v>9609</v>
      </c>
      <c r="BQ934" s="3"/>
      <c r="BR934" s="3"/>
    </row>
    <row r="935" spans="1:70">
      <c r="A935" s="1" t="s">
        <v>70</v>
      </c>
      <c r="B935" s="1" t="s">
        <v>13846</v>
      </c>
      <c r="C935" s="1" t="s">
        <v>14253</v>
      </c>
      <c r="D935" s="1"/>
      <c r="E935" s="1"/>
      <c r="F935" s="1"/>
      <c r="G935" s="1"/>
      <c r="H935" s="1" t="s">
        <v>14254</v>
      </c>
      <c r="I935" s="1" t="s">
        <v>14254</v>
      </c>
      <c r="J935" s="1"/>
      <c r="K935" s="1"/>
      <c r="L935" s="1"/>
      <c r="M935" s="1"/>
      <c r="N935" s="1"/>
      <c r="O935" s="1"/>
      <c r="P935" s="1"/>
      <c r="Q935" s="1"/>
      <c r="R935" s="1"/>
      <c r="S935" s="1"/>
      <c r="T935" s="1"/>
      <c r="U935" s="1"/>
      <c r="V935" s="1"/>
      <c r="W935" s="1"/>
      <c r="X935" s="1"/>
      <c r="Y935" s="1"/>
      <c r="Z935" s="1"/>
      <c r="AA935" s="1"/>
      <c r="AB935" s="1"/>
      <c r="AC935" s="1"/>
      <c r="AD935" s="1" t="s">
        <v>93</v>
      </c>
      <c r="AE935" s="1" t="s">
        <v>93</v>
      </c>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t="s">
        <v>9609</v>
      </c>
      <c r="BQ935" s="3"/>
      <c r="BR935" s="3"/>
    </row>
    <row r="936" spans="1:70">
      <c r="A936" s="1" t="s">
        <v>70</v>
      </c>
      <c r="B936" s="1" t="s">
        <v>13846</v>
      </c>
      <c r="C936" s="1" t="s">
        <v>14255</v>
      </c>
      <c r="D936" s="1"/>
      <c r="E936" s="1"/>
      <c r="F936" s="1"/>
      <c r="G936" s="1"/>
      <c r="H936" s="1" t="s">
        <v>14256</v>
      </c>
      <c r="I936" s="1" t="s">
        <v>14256</v>
      </c>
      <c r="J936" s="1"/>
      <c r="K936" s="1"/>
      <c r="L936" s="1"/>
      <c r="M936" s="1"/>
      <c r="N936" s="1"/>
      <c r="O936" s="1"/>
      <c r="P936" s="1"/>
      <c r="Q936" s="1"/>
      <c r="R936" s="1"/>
      <c r="S936" s="1"/>
      <c r="T936" s="1"/>
      <c r="U936" s="1"/>
      <c r="V936" s="1"/>
      <c r="W936" s="1"/>
      <c r="X936" s="1"/>
      <c r="Y936" s="1"/>
      <c r="Z936" s="1"/>
      <c r="AA936" s="1"/>
      <c r="AB936" s="1"/>
      <c r="AC936" s="1"/>
      <c r="AD936" s="1" t="s">
        <v>93</v>
      </c>
      <c r="AE936" s="1" t="s">
        <v>93</v>
      </c>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t="s">
        <v>9609</v>
      </c>
      <c r="BQ936" s="3"/>
      <c r="BR936" s="3"/>
    </row>
    <row r="937" spans="1:70">
      <c r="A937" s="1" t="s">
        <v>70</v>
      </c>
      <c r="B937" s="1" t="s">
        <v>13846</v>
      </c>
      <c r="C937" s="1" t="s">
        <v>14257</v>
      </c>
      <c r="D937" s="1"/>
      <c r="E937" s="1"/>
      <c r="F937" s="1"/>
      <c r="G937" s="1"/>
      <c r="H937" s="1" t="s">
        <v>14258</v>
      </c>
      <c r="I937" s="1" t="s">
        <v>14258</v>
      </c>
      <c r="J937" s="1"/>
      <c r="K937" s="1"/>
      <c r="L937" s="1"/>
      <c r="M937" s="1"/>
      <c r="N937" s="1"/>
      <c r="O937" s="1"/>
      <c r="P937" s="1"/>
      <c r="Q937" s="1"/>
      <c r="R937" s="1"/>
      <c r="S937" s="1"/>
      <c r="T937" s="1"/>
      <c r="U937" s="1"/>
      <c r="V937" s="1"/>
      <c r="W937" s="1"/>
      <c r="X937" s="1"/>
      <c r="Y937" s="1"/>
      <c r="Z937" s="1"/>
      <c r="AA937" s="1"/>
      <c r="AB937" s="1"/>
      <c r="AC937" s="1"/>
      <c r="AD937" s="1" t="s">
        <v>93</v>
      </c>
      <c r="AE937" s="1" t="s">
        <v>93</v>
      </c>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t="s">
        <v>9609</v>
      </c>
      <c r="BQ937" s="3"/>
      <c r="BR937" s="3"/>
    </row>
    <row r="938" spans="1:70">
      <c r="A938" s="1" t="s">
        <v>70</v>
      </c>
      <c r="B938" s="1" t="s">
        <v>13846</v>
      </c>
      <c r="C938" s="1" t="s">
        <v>14259</v>
      </c>
      <c r="D938" s="1"/>
      <c r="E938" s="1"/>
      <c r="F938" s="1"/>
      <c r="G938" s="1"/>
      <c r="H938" s="1" t="s">
        <v>14260</v>
      </c>
      <c r="I938" s="1" t="s">
        <v>14260</v>
      </c>
      <c r="J938" s="1"/>
      <c r="K938" s="1"/>
      <c r="L938" s="1"/>
      <c r="M938" s="1"/>
      <c r="N938" s="1"/>
      <c r="O938" s="1"/>
      <c r="P938" s="1"/>
      <c r="Q938" s="1"/>
      <c r="R938" s="1"/>
      <c r="S938" s="1"/>
      <c r="T938" s="1"/>
      <c r="U938" s="1"/>
      <c r="V938" s="1"/>
      <c r="W938" s="1"/>
      <c r="X938" s="1"/>
      <c r="Y938" s="1"/>
      <c r="Z938" s="1"/>
      <c r="AA938" s="1"/>
      <c r="AB938" s="1"/>
      <c r="AC938" s="1"/>
      <c r="AD938" s="1" t="s">
        <v>93</v>
      </c>
      <c r="AE938" s="1" t="s">
        <v>93</v>
      </c>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t="s">
        <v>9609</v>
      </c>
      <c r="BQ938" s="3"/>
      <c r="BR938" s="3"/>
    </row>
    <row r="939" spans="1:70">
      <c r="A939" s="1" t="s">
        <v>70</v>
      </c>
      <c r="B939" s="1" t="s">
        <v>13846</v>
      </c>
      <c r="C939" s="1" t="s">
        <v>14261</v>
      </c>
      <c r="D939" s="1"/>
      <c r="E939" s="1"/>
      <c r="F939" s="1"/>
      <c r="G939" s="1"/>
      <c r="H939" s="1" t="s">
        <v>14262</v>
      </c>
      <c r="I939" s="1" t="s">
        <v>14262</v>
      </c>
      <c r="J939" s="1"/>
      <c r="K939" s="1"/>
      <c r="L939" s="1"/>
      <c r="M939" s="1"/>
      <c r="N939" s="1"/>
      <c r="O939" s="1"/>
      <c r="P939" s="1"/>
      <c r="Q939" s="1"/>
      <c r="R939" s="1"/>
      <c r="S939" s="1"/>
      <c r="T939" s="1"/>
      <c r="U939" s="1"/>
      <c r="V939" s="1"/>
      <c r="W939" s="1"/>
      <c r="X939" s="1"/>
      <c r="Y939" s="1"/>
      <c r="Z939" s="1"/>
      <c r="AA939" s="1"/>
      <c r="AB939" s="1"/>
      <c r="AC939" s="1"/>
      <c r="AD939" s="1" t="s">
        <v>93</v>
      </c>
      <c r="AE939" s="1" t="s">
        <v>93</v>
      </c>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t="s">
        <v>9609</v>
      </c>
      <c r="BQ939" s="3"/>
      <c r="BR939" s="3"/>
    </row>
    <row r="940" spans="1:70">
      <c r="A940" s="1" t="s">
        <v>70</v>
      </c>
      <c r="B940" s="1" t="s">
        <v>13846</v>
      </c>
      <c r="C940" s="1" t="s">
        <v>14263</v>
      </c>
      <c r="D940" s="1"/>
      <c r="E940" s="1"/>
      <c r="F940" s="1"/>
      <c r="G940" s="1"/>
      <c r="H940" s="1" t="s">
        <v>14264</v>
      </c>
      <c r="I940" s="1" t="s">
        <v>14264</v>
      </c>
      <c r="J940" s="1"/>
      <c r="K940" s="1"/>
      <c r="L940" s="1"/>
      <c r="M940" s="1"/>
      <c r="N940" s="1"/>
      <c r="O940" s="1"/>
      <c r="P940" s="1"/>
      <c r="Q940" s="1"/>
      <c r="R940" s="1"/>
      <c r="S940" s="1"/>
      <c r="T940" s="1"/>
      <c r="U940" s="1"/>
      <c r="V940" s="1"/>
      <c r="W940" s="1"/>
      <c r="X940" s="1"/>
      <c r="Y940" s="1"/>
      <c r="Z940" s="1"/>
      <c r="AA940" s="1"/>
      <c r="AB940" s="1"/>
      <c r="AC940" s="1"/>
      <c r="AD940" s="1" t="s">
        <v>93</v>
      </c>
      <c r="AE940" s="1" t="s">
        <v>93</v>
      </c>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t="s">
        <v>9609</v>
      </c>
      <c r="BQ940" s="3"/>
      <c r="BR940" s="3"/>
    </row>
    <row r="941" spans="1:70">
      <c r="A941" s="1" t="s">
        <v>70</v>
      </c>
      <c r="B941" s="1" t="s">
        <v>13846</v>
      </c>
      <c r="C941" s="1" t="s">
        <v>14265</v>
      </c>
      <c r="D941" s="1"/>
      <c r="E941" s="1"/>
      <c r="F941" s="1"/>
      <c r="G941" s="1"/>
      <c r="H941" s="1" t="s">
        <v>14266</v>
      </c>
      <c r="I941" s="1" t="s">
        <v>14266</v>
      </c>
      <c r="J941" s="1"/>
      <c r="K941" s="1"/>
      <c r="L941" s="1"/>
      <c r="M941" s="1"/>
      <c r="N941" s="1"/>
      <c r="O941" s="1"/>
      <c r="P941" s="1"/>
      <c r="Q941" s="1"/>
      <c r="R941" s="1"/>
      <c r="S941" s="1"/>
      <c r="T941" s="1"/>
      <c r="U941" s="1"/>
      <c r="V941" s="1"/>
      <c r="W941" s="1"/>
      <c r="X941" s="1"/>
      <c r="Y941" s="1"/>
      <c r="Z941" s="1"/>
      <c r="AA941" s="1"/>
      <c r="AB941" s="1"/>
      <c r="AC941" s="1"/>
      <c r="AD941" s="1" t="s">
        <v>93</v>
      </c>
      <c r="AE941" s="1" t="s">
        <v>93</v>
      </c>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t="s">
        <v>9609</v>
      </c>
      <c r="BQ941" s="3"/>
      <c r="BR941" s="3"/>
    </row>
    <row r="942" spans="1:70">
      <c r="A942" s="1" t="s">
        <v>70</v>
      </c>
      <c r="B942" s="1" t="s">
        <v>13846</v>
      </c>
      <c r="C942" s="1" t="s">
        <v>14267</v>
      </c>
      <c r="D942" s="1"/>
      <c r="E942" s="1"/>
      <c r="F942" s="1"/>
      <c r="G942" s="1"/>
      <c r="H942" s="1" t="s">
        <v>14268</v>
      </c>
      <c r="I942" s="1" t="s">
        <v>14268</v>
      </c>
      <c r="J942" s="1"/>
      <c r="K942" s="1"/>
      <c r="L942" s="1"/>
      <c r="M942" s="1"/>
      <c r="N942" s="1"/>
      <c r="O942" s="1"/>
      <c r="P942" s="1"/>
      <c r="Q942" s="1"/>
      <c r="R942" s="1"/>
      <c r="S942" s="1"/>
      <c r="T942" s="1"/>
      <c r="U942" s="1"/>
      <c r="V942" s="1"/>
      <c r="W942" s="1"/>
      <c r="X942" s="1"/>
      <c r="Y942" s="1"/>
      <c r="Z942" s="1"/>
      <c r="AA942" s="1"/>
      <c r="AB942" s="1"/>
      <c r="AC942" s="1"/>
      <c r="AD942" s="1" t="s">
        <v>93</v>
      </c>
      <c r="AE942" s="1" t="s">
        <v>93</v>
      </c>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t="s">
        <v>9609</v>
      </c>
      <c r="BQ942" s="3"/>
      <c r="BR942" s="3"/>
    </row>
    <row r="943" spans="1:70">
      <c r="A943" s="1" t="s">
        <v>70</v>
      </c>
      <c r="B943" s="1" t="s">
        <v>13846</v>
      </c>
      <c r="C943" s="1" t="s">
        <v>14269</v>
      </c>
      <c r="D943" s="1"/>
      <c r="E943" s="1"/>
      <c r="F943" s="1"/>
      <c r="G943" s="1"/>
      <c r="H943" s="1" t="s">
        <v>14270</v>
      </c>
      <c r="I943" s="1" t="s">
        <v>14270</v>
      </c>
      <c r="J943" s="1"/>
      <c r="K943" s="1"/>
      <c r="L943" s="1"/>
      <c r="M943" s="1"/>
      <c r="N943" s="1"/>
      <c r="O943" s="1"/>
      <c r="P943" s="1"/>
      <c r="Q943" s="1"/>
      <c r="R943" s="1"/>
      <c r="S943" s="1"/>
      <c r="T943" s="1"/>
      <c r="U943" s="1"/>
      <c r="V943" s="1"/>
      <c r="W943" s="1"/>
      <c r="X943" s="1"/>
      <c r="Y943" s="1"/>
      <c r="Z943" s="1"/>
      <c r="AA943" s="1"/>
      <c r="AB943" s="1"/>
      <c r="AC943" s="1"/>
      <c r="AD943" s="1" t="s">
        <v>93</v>
      </c>
      <c r="AE943" s="1" t="s">
        <v>93</v>
      </c>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t="s">
        <v>9609</v>
      </c>
      <c r="BQ943" s="3"/>
      <c r="BR943" s="3"/>
    </row>
    <row r="944" spans="1:70">
      <c r="A944" s="1" t="s">
        <v>70</v>
      </c>
      <c r="B944" s="1" t="s">
        <v>13846</v>
      </c>
      <c r="C944" s="1" t="s">
        <v>14271</v>
      </c>
      <c r="D944" s="1"/>
      <c r="E944" s="1"/>
      <c r="F944" s="1"/>
      <c r="G944" s="1"/>
      <c r="H944" s="1" t="s">
        <v>14272</v>
      </c>
      <c r="I944" s="1" t="s">
        <v>14272</v>
      </c>
      <c r="J944" s="1"/>
      <c r="K944" s="1"/>
      <c r="L944" s="1"/>
      <c r="M944" s="1"/>
      <c r="N944" s="1"/>
      <c r="O944" s="1"/>
      <c r="P944" s="1"/>
      <c r="Q944" s="1"/>
      <c r="R944" s="1"/>
      <c r="S944" s="1"/>
      <c r="T944" s="1"/>
      <c r="U944" s="1"/>
      <c r="V944" s="1"/>
      <c r="W944" s="1"/>
      <c r="X944" s="1"/>
      <c r="Y944" s="1"/>
      <c r="Z944" s="1"/>
      <c r="AA944" s="1"/>
      <c r="AB944" s="1"/>
      <c r="AC944" s="1"/>
      <c r="AD944" s="1" t="s">
        <v>93</v>
      </c>
      <c r="AE944" s="1" t="s">
        <v>93</v>
      </c>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t="s">
        <v>9609</v>
      </c>
      <c r="BQ944" s="3"/>
      <c r="BR944" s="3"/>
    </row>
    <row r="945" spans="1:70">
      <c r="A945" s="1" t="s">
        <v>70</v>
      </c>
      <c r="B945" s="1" t="s">
        <v>13846</v>
      </c>
      <c r="C945" s="1" t="s">
        <v>14273</v>
      </c>
      <c r="D945" s="1"/>
      <c r="E945" s="1"/>
      <c r="F945" s="1"/>
      <c r="G945" s="1"/>
      <c r="H945" s="1" t="s">
        <v>14274</v>
      </c>
      <c r="I945" s="1" t="s">
        <v>14274</v>
      </c>
      <c r="J945" s="1"/>
      <c r="K945" s="1"/>
      <c r="L945" s="1"/>
      <c r="M945" s="1"/>
      <c r="N945" s="1"/>
      <c r="O945" s="1"/>
      <c r="P945" s="1"/>
      <c r="Q945" s="1"/>
      <c r="R945" s="1"/>
      <c r="S945" s="1"/>
      <c r="T945" s="1"/>
      <c r="U945" s="1"/>
      <c r="V945" s="1"/>
      <c r="W945" s="1"/>
      <c r="X945" s="1"/>
      <c r="Y945" s="1"/>
      <c r="Z945" s="1"/>
      <c r="AA945" s="1"/>
      <c r="AB945" s="1"/>
      <c r="AC945" s="1"/>
      <c r="AD945" s="1" t="s">
        <v>93</v>
      </c>
      <c r="AE945" s="1" t="s">
        <v>93</v>
      </c>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t="s">
        <v>9609</v>
      </c>
      <c r="BQ945" s="3"/>
      <c r="BR945" s="3"/>
    </row>
    <row r="946" spans="1:70">
      <c r="A946" s="1" t="s">
        <v>70</v>
      </c>
      <c r="B946" s="1" t="s">
        <v>13846</v>
      </c>
      <c r="C946" s="1" t="s">
        <v>14275</v>
      </c>
      <c r="D946" s="1"/>
      <c r="E946" s="1"/>
      <c r="F946" s="1"/>
      <c r="G946" s="1"/>
      <c r="H946" s="1" t="s">
        <v>14276</v>
      </c>
      <c r="I946" s="1" t="s">
        <v>14276</v>
      </c>
      <c r="J946" s="1"/>
      <c r="K946" s="1"/>
      <c r="L946" s="1"/>
      <c r="M946" s="1"/>
      <c r="N946" s="1"/>
      <c r="O946" s="1"/>
      <c r="P946" s="1"/>
      <c r="Q946" s="1"/>
      <c r="R946" s="1"/>
      <c r="S946" s="1"/>
      <c r="T946" s="1"/>
      <c r="U946" s="1"/>
      <c r="V946" s="1"/>
      <c r="W946" s="1"/>
      <c r="X946" s="1"/>
      <c r="Y946" s="1"/>
      <c r="Z946" s="1"/>
      <c r="AA946" s="1"/>
      <c r="AB946" s="1"/>
      <c r="AC946" s="1"/>
      <c r="AD946" s="1" t="s">
        <v>93</v>
      </c>
      <c r="AE946" s="1" t="s">
        <v>93</v>
      </c>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t="s">
        <v>9609</v>
      </c>
      <c r="BQ946" s="3"/>
      <c r="BR946" s="3"/>
    </row>
    <row r="947" spans="1:70">
      <c r="A947" s="1" t="s">
        <v>70</v>
      </c>
      <c r="B947" s="1" t="s">
        <v>13846</v>
      </c>
      <c r="C947" s="1" t="s">
        <v>14277</v>
      </c>
      <c r="D947" s="1"/>
      <c r="E947" s="1"/>
      <c r="F947" s="1"/>
      <c r="G947" s="1"/>
      <c r="H947" s="1" t="s">
        <v>14278</v>
      </c>
      <c r="I947" s="1" t="s">
        <v>14278</v>
      </c>
      <c r="J947" s="1"/>
      <c r="K947" s="1"/>
      <c r="L947" s="1"/>
      <c r="M947" s="1"/>
      <c r="N947" s="1"/>
      <c r="O947" s="1"/>
      <c r="P947" s="1"/>
      <c r="Q947" s="1"/>
      <c r="R947" s="1"/>
      <c r="S947" s="1"/>
      <c r="T947" s="1"/>
      <c r="U947" s="1"/>
      <c r="V947" s="1"/>
      <c r="W947" s="1"/>
      <c r="X947" s="1"/>
      <c r="Y947" s="1"/>
      <c r="Z947" s="1"/>
      <c r="AA947" s="1"/>
      <c r="AB947" s="1"/>
      <c r="AC947" s="1"/>
      <c r="AD947" s="1" t="s">
        <v>93</v>
      </c>
      <c r="AE947" s="1" t="s">
        <v>93</v>
      </c>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t="s">
        <v>9609</v>
      </c>
      <c r="BQ947" s="3"/>
      <c r="BR947" s="3"/>
    </row>
    <row r="948" spans="1:70">
      <c r="A948" s="1" t="s">
        <v>70</v>
      </c>
      <c r="B948" s="1" t="s">
        <v>13846</v>
      </c>
      <c r="C948" s="1" t="s">
        <v>14279</v>
      </c>
      <c r="D948" s="1"/>
      <c r="E948" s="1"/>
      <c r="F948" s="1"/>
      <c r="G948" s="1"/>
      <c r="H948" s="1" t="s">
        <v>14280</v>
      </c>
      <c r="I948" s="1" t="s">
        <v>14280</v>
      </c>
      <c r="J948" s="1"/>
      <c r="K948" s="1"/>
      <c r="L948" s="1"/>
      <c r="M948" s="1"/>
      <c r="N948" s="1"/>
      <c r="O948" s="1"/>
      <c r="P948" s="1"/>
      <c r="Q948" s="1"/>
      <c r="R948" s="1"/>
      <c r="S948" s="1"/>
      <c r="T948" s="1"/>
      <c r="U948" s="1"/>
      <c r="V948" s="1"/>
      <c r="W948" s="1"/>
      <c r="X948" s="1"/>
      <c r="Y948" s="1"/>
      <c r="Z948" s="1"/>
      <c r="AA948" s="1"/>
      <c r="AB948" s="1"/>
      <c r="AC948" s="1"/>
      <c r="AD948" s="1" t="s">
        <v>93</v>
      </c>
      <c r="AE948" s="1" t="s">
        <v>93</v>
      </c>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t="s">
        <v>9609</v>
      </c>
      <c r="BQ948" s="3"/>
      <c r="BR948" s="3"/>
    </row>
    <row r="949" spans="1:70">
      <c r="A949" s="1" t="s">
        <v>70</v>
      </c>
      <c r="B949" s="1" t="s">
        <v>13846</v>
      </c>
      <c r="C949" s="1" t="s">
        <v>14281</v>
      </c>
      <c r="D949" s="1"/>
      <c r="E949" s="1"/>
      <c r="F949" s="1"/>
      <c r="G949" s="1"/>
      <c r="H949" s="1" t="s">
        <v>14282</v>
      </c>
      <c r="I949" s="1" t="s">
        <v>14282</v>
      </c>
      <c r="J949" s="1"/>
      <c r="K949" s="1"/>
      <c r="L949" s="1"/>
      <c r="M949" s="1"/>
      <c r="N949" s="1"/>
      <c r="O949" s="1"/>
      <c r="P949" s="1"/>
      <c r="Q949" s="1"/>
      <c r="R949" s="1"/>
      <c r="S949" s="1"/>
      <c r="T949" s="1"/>
      <c r="U949" s="1"/>
      <c r="V949" s="1"/>
      <c r="W949" s="1"/>
      <c r="X949" s="1"/>
      <c r="Y949" s="1"/>
      <c r="Z949" s="1"/>
      <c r="AA949" s="1"/>
      <c r="AB949" s="1"/>
      <c r="AC949" s="1"/>
      <c r="AD949" s="1" t="s">
        <v>93</v>
      </c>
      <c r="AE949" s="1" t="s">
        <v>93</v>
      </c>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t="s">
        <v>9609</v>
      </c>
      <c r="BQ949" s="3"/>
      <c r="BR949" s="3"/>
    </row>
    <row r="950" spans="1:70">
      <c r="A950" s="1" t="s">
        <v>70</v>
      </c>
      <c r="B950" s="1" t="s">
        <v>13846</v>
      </c>
      <c r="C950" s="1" t="s">
        <v>14283</v>
      </c>
      <c r="D950" s="1"/>
      <c r="E950" s="1"/>
      <c r="F950" s="1"/>
      <c r="G950" s="1"/>
      <c r="H950" s="1" t="s">
        <v>14284</v>
      </c>
      <c r="I950" s="1" t="s">
        <v>14284</v>
      </c>
      <c r="J950" s="1"/>
      <c r="K950" s="1"/>
      <c r="L950" s="1"/>
      <c r="M950" s="1"/>
      <c r="N950" s="1"/>
      <c r="O950" s="1"/>
      <c r="P950" s="1"/>
      <c r="Q950" s="1"/>
      <c r="R950" s="1"/>
      <c r="S950" s="1"/>
      <c r="T950" s="1"/>
      <c r="U950" s="1"/>
      <c r="V950" s="1"/>
      <c r="W950" s="1"/>
      <c r="X950" s="1"/>
      <c r="Y950" s="1"/>
      <c r="Z950" s="1"/>
      <c r="AA950" s="1"/>
      <c r="AB950" s="1"/>
      <c r="AC950" s="1"/>
      <c r="AD950" s="1" t="s">
        <v>93</v>
      </c>
      <c r="AE950" s="1" t="s">
        <v>93</v>
      </c>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t="s">
        <v>9609</v>
      </c>
      <c r="BQ950" s="3"/>
      <c r="BR950" s="3"/>
    </row>
    <row r="951" spans="1:70">
      <c r="A951" s="1" t="s">
        <v>70</v>
      </c>
      <c r="B951" s="1" t="s">
        <v>13846</v>
      </c>
      <c r="C951" s="1" t="s">
        <v>14285</v>
      </c>
      <c r="D951" s="1"/>
      <c r="E951" s="1"/>
      <c r="F951" s="1"/>
      <c r="G951" s="1"/>
      <c r="H951" s="1" t="s">
        <v>14286</v>
      </c>
      <c r="I951" s="1" t="s">
        <v>14286</v>
      </c>
      <c r="J951" s="1"/>
      <c r="K951" s="1"/>
      <c r="L951" s="1"/>
      <c r="M951" s="1"/>
      <c r="N951" s="1"/>
      <c r="O951" s="1"/>
      <c r="P951" s="1"/>
      <c r="Q951" s="1"/>
      <c r="R951" s="1"/>
      <c r="S951" s="1"/>
      <c r="T951" s="1"/>
      <c r="U951" s="1"/>
      <c r="V951" s="1"/>
      <c r="W951" s="1"/>
      <c r="X951" s="1"/>
      <c r="Y951" s="1"/>
      <c r="Z951" s="1"/>
      <c r="AA951" s="1"/>
      <c r="AB951" s="1"/>
      <c r="AC951" s="1"/>
      <c r="AD951" s="1" t="s">
        <v>93</v>
      </c>
      <c r="AE951" s="1" t="s">
        <v>93</v>
      </c>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t="s">
        <v>9609</v>
      </c>
      <c r="BQ951" s="3"/>
      <c r="BR951" s="3"/>
    </row>
    <row r="952" spans="1:70">
      <c r="A952" s="1" t="s">
        <v>70</v>
      </c>
      <c r="B952" s="1" t="s">
        <v>13846</v>
      </c>
      <c r="C952" s="1" t="s">
        <v>14287</v>
      </c>
      <c r="D952" s="1"/>
      <c r="E952" s="1"/>
      <c r="F952" s="1"/>
      <c r="G952" s="1"/>
      <c r="H952" s="1" t="s">
        <v>14288</v>
      </c>
      <c r="I952" s="1" t="s">
        <v>14288</v>
      </c>
      <c r="J952" s="1"/>
      <c r="K952" s="1"/>
      <c r="L952" s="1"/>
      <c r="M952" s="1"/>
      <c r="N952" s="1"/>
      <c r="O952" s="1"/>
      <c r="P952" s="1"/>
      <c r="Q952" s="1"/>
      <c r="R952" s="1"/>
      <c r="S952" s="1"/>
      <c r="T952" s="1"/>
      <c r="U952" s="1"/>
      <c r="V952" s="1"/>
      <c r="W952" s="1"/>
      <c r="X952" s="1"/>
      <c r="Y952" s="1"/>
      <c r="Z952" s="1"/>
      <c r="AA952" s="1"/>
      <c r="AB952" s="1"/>
      <c r="AC952" s="1"/>
      <c r="AD952" s="1" t="s">
        <v>93</v>
      </c>
      <c r="AE952" s="1" t="s">
        <v>93</v>
      </c>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t="s">
        <v>9609</v>
      </c>
      <c r="BQ952" s="3"/>
      <c r="BR952" s="3"/>
    </row>
    <row r="953" spans="1:70">
      <c r="A953" s="1" t="s">
        <v>70</v>
      </c>
      <c r="B953" s="1" t="s">
        <v>13846</v>
      </c>
      <c r="C953" s="1" t="s">
        <v>14289</v>
      </c>
      <c r="D953" s="1"/>
      <c r="E953" s="1"/>
      <c r="F953" s="1"/>
      <c r="G953" s="1"/>
      <c r="H953" s="1" t="s">
        <v>14290</v>
      </c>
      <c r="I953" s="1" t="s">
        <v>14290</v>
      </c>
      <c r="J953" s="1"/>
      <c r="K953" s="1"/>
      <c r="L953" s="1"/>
      <c r="M953" s="1"/>
      <c r="N953" s="1"/>
      <c r="O953" s="1"/>
      <c r="P953" s="1"/>
      <c r="Q953" s="1"/>
      <c r="R953" s="1"/>
      <c r="S953" s="1"/>
      <c r="T953" s="1"/>
      <c r="U953" s="1"/>
      <c r="V953" s="1"/>
      <c r="W953" s="1"/>
      <c r="X953" s="1"/>
      <c r="Y953" s="1"/>
      <c r="Z953" s="1"/>
      <c r="AA953" s="1"/>
      <c r="AB953" s="1"/>
      <c r="AC953" s="1"/>
      <c r="AD953" s="1" t="s">
        <v>93</v>
      </c>
      <c r="AE953" s="1" t="s">
        <v>93</v>
      </c>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t="s">
        <v>9609</v>
      </c>
      <c r="BQ953" s="3"/>
      <c r="BR953" s="3"/>
    </row>
    <row r="954" spans="1:70">
      <c r="A954" s="1" t="s">
        <v>70</v>
      </c>
      <c r="B954" s="1" t="s">
        <v>13846</v>
      </c>
      <c r="C954" s="1" t="s">
        <v>14291</v>
      </c>
      <c r="D954" s="1"/>
      <c r="E954" s="1"/>
      <c r="F954" s="1"/>
      <c r="G954" s="1"/>
      <c r="H954" s="1" t="s">
        <v>14292</v>
      </c>
      <c r="I954" s="1" t="s">
        <v>14292</v>
      </c>
      <c r="J954" s="1"/>
      <c r="K954" s="1"/>
      <c r="L954" s="1"/>
      <c r="M954" s="1"/>
      <c r="N954" s="1"/>
      <c r="O954" s="1"/>
      <c r="P954" s="1"/>
      <c r="Q954" s="1"/>
      <c r="R954" s="1"/>
      <c r="S954" s="1"/>
      <c r="T954" s="1"/>
      <c r="U954" s="1"/>
      <c r="V954" s="1"/>
      <c r="W954" s="1"/>
      <c r="X954" s="1"/>
      <c r="Y954" s="1"/>
      <c r="Z954" s="1"/>
      <c r="AA954" s="1"/>
      <c r="AB954" s="1"/>
      <c r="AC954" s="1"/>
      <c r="AD954" s="1" t="s">
        <v>93</v>
      </c>
      <c r="AE954" s="1" t="s">
        <v>93</v>
      </c>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t="s">
        <v>9609</v>
      </c>
      <c r="BQ954" s="3"/>
      <c r="BR954" s="3"/>
    </row>
    <row r="955" spans="1:70">
      <c r="A955" s="1" t="s">
        <v>70</v>
      </c>
      <c r="B955" s="1" t="s">
        <v>13846</v>
      </c>
      <c r="C955" s="1" t="s">
        <v>14293</v>
      </c>
      <c r="D955" s="1"/>
      <c r="E955" s="1"/>
      <c r="F955" s="1"/>
      <c r="G955" s="1"/>
      <c r="H955" s="1" t="s">
        <v>14294</v>
      </c>
      <c r="I955" s="1" t="s">
        <v>14294</v>
      </c>
      <c r="J955" s="1"/>
      <c r="K955" s="1"/>
      <c r="L955" s="1"/>
      <c r="M955" s="1"/>
      <c r="N955" s="1"/>
      <c r="O955" s="1"/>
      <c r="P955" s="1"/>
      <c r="Q955" s="1"/>
      <c r="R955" s="1"/>
      <c r="S955" s="1"/>
      <c r="T955" s="1"/>
      <c r="U955" s="1"/>
      <c r="V955" s="1"/>
      <c r="W955" s="1"/>
      <c r="X955" s="1"/>
      <c r="Y955" s="1"/>
      <c r="Z955" s="1"/>
      <c r="AA955" s="1"/>
      <c r="AB955" s="1"/>
      <c r="AC955" s="1"/>
      <c r="AD955" s="1" t="s">
        <v>93</v>
      </c>
      <c r="AE955" s="1" t="s">
        <v>93</v>
      </c>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t="s">
        <v>9609</v>
      </c>
      <c r="BQ955" s="3"/>
      <c r="BR955" s="3"/>
    </row>
    <row r="956" spans="1:70">
      <c r="A956" s="1" t="s">
        <v>70</v>
      </c>
      <c r="B956" s="1" t="s">
        <v>13846</v>
      </c>
      <c r="C956" s="1" t="s">
        <v>14295</v>
      </c>
      <c r="D956" s="1"/>
      <c r="E956" s="1"/>
      <c r="F956" s="1"/>
      <c r="G956" s="1"/>
      <c r="H956" s="1" t="s">
        <v>14296</v>
      </c>
      <c r="I956" s="1" t="s">
        <v>14296</v>
      </c>
      <c r="J956" s="1"/>
      <c r="K956" s="1"/>
      <c r="L956" s="1"/>
      <c r="M956" s="1"/>
      <c r="N956" s="1"/>
      <c r="O956" s="1"/>
      <c r="P956" s="1"/>
      <c r="Q956" s="1"/>
      <c r="R956" s="1"/>
      <c r="S956" s="1"/>
      <c r="T956" s="1"/>
      <c r="U956" s="1"/>
      <c r="V956" s="1"/>
      <c r="W956" s="1"/>
      <c r="X956" s="1"/>
      <c r="Y956" s="1"/>
      <c r="Z956" s="1"/>
      <c r="AA956" s="1"/>
      <c r="AB956" s="1"/>
      <c r="AC956" s="1"/>
      <c r="AD956" s="1" t="s">
        <v>93</v>
      </c>
      <c r="AE956" s="1" t="s">
        <v>93</v>
      </c>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t="s">
        <v>9609</v>
      </c>
      <c r="BQ956" s="3"/>
      <c r="BR956" s="3"/>
    </row>
    <row r="957" spans="1:70">
      <c r="A957" s="1" t="s">
        <v>70</v>
      </c>
      <c r="B957" s="1" t="s">
        <v>13846</v>
      </c>
      <c r="C957" s="1" t="s">
        <v>14297</v>
      </c>
      <c r="D957" s="1"/>
      <c r="E957" s="1"/>
      <c r="F957" s="1"/>
      <c r="G957" s="1"/>
      <c r="H957" s="1" t="s">
        <v>14298</v>
      </c>
      <c r="I957" s="1" t="s">
        <v>14298</v>
      </c>
      <c r="J957" s="1"/>
      <c r="K957" s="1"/>
      <c r="L957" s="1"/>
      <c r="M957" s="1"/>
      <c r="N957" s="1"/>
      <c r="O957" s="1"/>
      <c r="P957" s="1"/>
      <c r="Q957" s="1"/>
      <c r="R957" s="1"/>
      <c r="S957" s="1"/>
      <c r="T957" s="1"/>
      <c r="U957" s="1"/>
      <c r="V957" s="1"/>
      <c r="W957" s="1"/>
      <c r="X957" s="1"/>
      <c r="Y957" s="1"/>
      <c r="Z957" s="1"/>
      <c r="AA957" s="1"/>
      <c r="AB957" s="1"/>
      <c r="AC957" s="1"/>
      <c r="AD957" s="1" t="s">
        <v>93</v>
      </c>
      <c r="AE957" s="1" t="s">
        <v>93</v>
      </c>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t="s">
        <v>9609</v>
      </c>
      <c r="BQ957" s="3"/>
      <c r="BR957" s="3"/>
    </row>
    <row r="958" spans="1:70">
      <c r="A958" s="1" t="s">
        <v>70</v>
      </c>
      <c r="B958" s="1" t="s">
        <v>13846</v>
      </c>
      <c r="C958" s="1" t="s">
        <v>14299</v>
      </c>
      <c r="D958" s="1"/>
      <c r="E958" s="1"/>
      <c r="F958" s="1"/>
      <c r="G958" s="1"/>
      <c r="H958" s="1" t="s">
        <v>14300</v>
      </c>
      <c r="I958" s="1" t="s">
        <v>14300</v>
      </c>
      <c r="J958" s="1"/>
      <c r="K958" s="1"/>
      <c r="L958" s="1"/>
      <c r="M958" s="1"/>
      <c r="N958" s="1"/>
      <c r="O958" s="1"/>
      <c r="P958" s="1"/>
      <c r="Q958" s="1"/>
      <c r="R958" s="1"/>
      <c r="S958" s="1"/>
      <c r="T958" s="1"/>
      <c r="U958" s="1"/>
      <c r="V958" s="1"/>
      <c r="W958" s="1"/>
      <c r="X958" s="1"/>
      <c r="Y958" s="1"/>
      <c r="Z958" s="1"/>
      <c r="AA958" s="1"/>
      <c r="AB958" s="1"/>
      <c r="AC958" s="1"/>
      <c r="AD958" s="1" t="s">
        <v>93</v>
      </c>
      <c r="AE958" s="1" t="s">
        <v>93</v>
      </c>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t="s">
        <v>9609</v>
      </c>
      <c r="BQ958" s="3"/>
      <c r="BR958" s="3"/>
    </row>
    <row r="959" spans="1:70">
      <c r="A959" s="1" t="s">
        <v>70</v>
      </c>
      <c r="B959" s="1" t="s">
        <v>13846</v>
      </c>
      <c r="C959" s="1" t="s">
        <v>14301</v>
      </c>
      <c r="D959" s="1"/>
      <c r="E959" s="1"/>
      <c r="F959" s="1"/>
      <c r="G959" s="1"/>
      <c r="H959" s="1" t="s">
        <v>14302</v>
      </c>
      <c r="I959" s="1" t="s">
        <v>14302</v>
      </c>
      <c r="J959" s="1"/>
      <c r="K959" s="1"/>
      <c r="L959" s="1"/>
      <c r="M959" s="1"/>
      <c r="N959" s="1"/>
      <c r="O959" s="1"/>
      <c r="P959" s="1"/>
      <c r="Q959" s="1"/>
      <c r="R959" s="1"/>
      <c r="S959" s="1"/>
      <c r="T959" s="1"/>
      <c r="U959" s="1"/>
      <c r="V959" s="1"/>
      <c r="W959" s="1"/>
      <c r="X959" s="1"/>
      <c r="Y959" s="1"/>
      <c r="Z959" s="1"/>
      <c r="AA959" s="1"/>
      <c r="AB959" s="1"/>
      <c r="AC959" s="1"/>
      <c r="AD959" s="1" t="s">
        <v>93</v>
      </c>
      <c r="AE959" s="1" t="s">
        <v>93</v>
      </c>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t="s">
        <v>9609</v>
      </c>
      <c r="BQ959" s="3"/>
      <c r="BR959" s="3"/>
    </row>
    <row r="960" spans="1:70">
      <c r="A960" s="1" t="s">
        <v>70</v>
      </c>
      <c r="B960" s="1" t="s">
        <v>13846</v>
      </c>
      <c r="C960" s="1" t="s">
        <v>14303</v>
      </c>
      <c r="D960" s="1"/>
      <c r="E960" s="1"/>
      <c r="F960" s="1"/>
      <c r="G960" s="1"/>
      <c r="H960" s="1" t="s">
        <v>14304</v>
      </c>
      <c r="I960" s="1" t="s">
        <v>14304</v>
      </c>
      <c r="J960" s="1"/>
      <c r="K960" s="1"/>
      <c r="L960" s="1"/>
      <c r="M960" s="1"/>
      <c r="N960" s="1"/>
      <c r="O960" s="1"/>
      <c r="P960" s="1"/>
      <c r="Q960" s="1"/>
      <c r="R960" s="1"/>
      <c r="S960" s="1"/>
      <c r="T960" s="1"/>
      <c r="U960" s="1"/>
      <c r="V960" s="1"/>
      <c r="W960" s="1"/>
      <c r="X960" s="1"/>
      <c r="Y960" s="1"/>
      <c r="Z960" s="1"/>
      <c r="AA960" s="1"/>
      <c r="AB960" s="1"/>
      <c r="AC960" s="1"/>
      <c r="AD960" s="1" t="s">
        <v>93</v>
      </c>
      <c r="AE960" s="1" t="s">
        <v>93</v>
      </c>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t="s">
        <v>9609</v>
      </c>
      <c r="BQ960" s="3"/>
      <c r="BR960" s="3"/>
    </row>
    <row r="961" spans="1:70">
      <c r="A961" s="1" t="s">
        <v>70</v>
      </c>
      <c r="B961" s="1" t="s">
        <v>13846</v>
      </c>
      <c r="C961" s="1" t="s">
        <v>14305</v>
      </c>
      <c r="D961" s="1"/>
      <c r="E961" s="1"/>
      <c r="F961" s="1"/>
      <c r="G961" s="1"/>
      <c r="H961" s="1" t="s">
        <v>14306</v>
      </c>
      <c r="I961" s="1" t="s">
        <v>14306</v>
      </c>
      <c r="J961" s="1"/>
      <c r="K961" s="1"/>
      <c r="L961" s="1"/>
      <c r="M961" s="1"/>
      <c r="N961" s="1"/>
      <c r="O961" s="1"/>
      <c r="P961" s="1"/>
      <c r="Q961" s="1"/>
      <c r="R961" s="1"/>
      <c r="S961" s="1"/>
      <c r="T961" s="1"/>
      <c r="U961" s="1"/>
      <c r="V961" s="1"/>
      <c r="W961" s="1"/>
      <c r="X961" s="1"/>
      <c r="Y961" s="1"/>
      <c r="Z961" s="1"/>
      <c r="AA961" s="1"/>
      <c r="AB961" s="1"/>
      <c r="AC961" s="1"/>
      <c r="AD961" s="1" t="s">
        <v>93</v>
      </c>
      <c r="AE961" s="1" t="s">
        <v>93</v>
      </c>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t="s">
        <v>9609</v>
      </c>
      <c r="BQ961" s="3"/>
      <c r="BR961" s="3"/>
    </row>
    <row r="962" spans="1:70">
      <c r="A962" s="1" t="s">
        <v>70</v>
      </c>
      <c r="B962" s="1" t="s">
        <v>13846</v>
      </c>
      <c r="C962" s="1" t="s">
        <v>14307</v>
      </c>
      <c r="D962" s="1"/>
      <c r="E962" s="1"/>
      <c r="F962" s="1"/>
      <c r="G962" s="1"/>
      <c r="H962" s="1" t="s">
        <v>14308</v>
      </c>
      <c r="I962" s="1" t="s">
        <v>14308</v>
      </c>
      <c r="J962" s="1"/>
      <c r="K962" s="1"/>
      <c r="L962" s="1"/>
      <c r="M962" s="1"/>
      <c r="N962" s="1"/>
      <c r="O962" s="1"/>
      <c r="P962" s="1"/>
      <c r="Q962" s="1"/>
      <c r="R962" s="1"/>
      <c r="S962" s="1"/>
      <c r="T962" s="1"/>
      <c r="U962" s="1"/>
      <c r="V962" s="1"/>
      <c r="W962" s="1"/>
      <c r="X962" s="1"/>
      <c r="Y962" s="1"/>
      <c r="Z962" s="1"/>
      <c r="AA962" s="1"/>
      <c r="AB962" s="1"/>
      <c r="AC962" s="1"/>
      <c r="AD962" s="1" t="s">
        <v>93</v>
      </c>
      <c r="AE962" s="1" t="s">
        <v>93</v>
      </c>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t="str">
        <f>HYPERLINK("https://nconnect.nicmar.ac.in/storage/profile/6a7f14761badd.png","Download")</f>
        <v>0</v>
      </c>
      <c r="BQ962" s="3"/>
      <c r="BR962" s="3"/>
    </row>
    <row r="963" spans="1:70">
      <c r="A963" s="1" t="s">
        <v>70</v>
      </c>
      <c r="B963" s="1" t="s">
        <v>13846</v>
      </c>
      <c r="C963" s="1" t="s">
        <v>14309</v>
      </c>
      <c r="D963" s="1"/>
      <c r="E963" s="1"/>
      <c r="F963" s="1"/>
      <c r="G963" s="1"/>
      <c r="H963" s="1" t="s">
        <v>14310</v>
      </c>
      <c r="I963" s="1" t="s">
        <v>14310</v>
      </c>
      <c r="J963" s="1"/>
      <c r="K963" s="1"/>
      <c r="L963" s="1"/>
      <c r="M963" s="1"/>
      <c r="N963" s="1"/>
      <c r="O963" s="1"/>
      <c r="P963" s="1"/>
      <c r="Q963" s="1"/>
      <c r="R963" s="1"/>
      <c r="S963" s="1"/>
      <c r="T963" s="1"/>
      <c r="U963" s="1"/>
      <c r="V963" s="1"/>
      <c r="W963" s="1"/>
      <c r="X963" s="1"/>
      <c r="Y963" s="1"/>
      <c r="Z963" s="1"/>
      <c r="AA963" s="1"/>
      <c r="AB963" s="1"/>
      <c r="AC963" s="1"/>
      <c r="AD963" s="1" t="s">
        <v>93</v>
      </c>
      <c r="AE963" s="1" t="s">
        <v>93</v>
      </c>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t="s">
        <v>9609</v>
      </c>
      <c r="BQ963" s="3"/>
      <c r="BR963" s="3"/>
    </row>
    <row r="964" spans="1:70">
      <c r="A964" s="1" t="s">
        <v>70</v>
      </c>
      <c r="B964" s="1" t="s">
        <v>13846</v>
      </c>
      <c r="C964" s="1" t="s">
        <v>14311</v>
      </c>
      <c r="D964" s="1"/>
      <c r="E964" s="1"/>
      <c r="F964" s="1"/>
      <c r="G964" s="1"/>
      <c r="H964" s="1" t="s">
        <v>14312</v>
      </c>
      <c r="I964" s="1" t="s">
        <v>14312</v>
      </c>
      <c r="J964" s="1"/>
      <c r="K964" s="1"/>
      <c r="L964" s="1"/>
      <c r="M964" s="1"/>
      <c r="N964" s="1"/>
      <c r="O964" s="1"/>
      <c r="P964" s="1"/>
      <c r="Q964" s="1"/>
      <c r="R964" s="1"/>
      <c r="S964" s="1"/>
      <c r="T964" s="1"/>
      <c r="U964" s="1"/>
      <c r="V964" s="1"/>
      <c r="W964" s="1"/>
      <c r="X964" s="1"/>
      <c r="Y964" s="1"/>
      <c r="Z964" s="1"/>
      <c r="AA964" s="1"/>
      <c r="AB964" s="1"/>
      <c r="AC964" s="1"/>
      <c r="AD964" s="1" t="s">
        <v>93</v>
      </c>
      <c r="AE964" s="1" t="s">
        <v>93</v>
      </c>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t="s">
        <v>9609</v>
      </c>
      <c r="BQ964" s="3"/>
      <c r="BR964" s="3"/>
    </row>
    <row r="965" spans="1:70">
      <c r="A965" s="1" t="s">
        <v>70</v>
      </c>
      <c r="B965" s="1" t="s">
        <v>13846</v>
      </c>
      <c r="C965" s="1" t="s">
        <v>14313</v>
      </c>
      <c r="D965" s="1"/>
      <c r="E965" s="1"/>
      <c r="F965" s="1"/>
      <c r="G965" s="1"/>
      <c r="H965" s="1" t="s">
        <v>14314</v>
      </c>
      <c r="I965" s="1" t="s">
        <v>14314</v>
      </c>
      <c r="J965" s="1"/>
      <c r="K965" s="1"/>
      <c r="L965" s="1"/>
      <c r="M965" s="1"/>
      <c r="N965" s="1"/>
      <c r="O965" s="1"/>
      <c r="P965" s="1"/>
      <c r="Q965" s="1"/>
      <c r="R965" s="1"/>
      <c r="S965" s="1"/>
      <c r="T965" s="1"/>
      <c r="U965" s="1"/>
      <c r="V965" s="1"/>
      <c r="W965" s="1"/>
      <c r="X965" s="1"/>
      <c r="Y965" s="1"/>
      <c r="Z965" s="1"/>
      <c r="AA965" s="1"/>
      <c r="AB965" s="1"/>
      <c r="AC965" s="1"/>
      <c r="AD965" s="1" t="s">
        <v>93</v>
      </c>
      <c r="AE965" s="1" t="s">
        <v>93</v>
      </c>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t="s">
        <v>9609</v>
      </c>
      <c r="BQ965" s="3"/>
      <c r="BR965" s="3"/>
    </row>
    <row r="966" spans="1:70">
      <c r="A966" s="1" t="s">
        <v>70</v>
      </c>
      <c r="B966" s="1" t="s">
        <v>13846</v>
      </c>
      <c r="C966" s="1" t="s">
        <v>14315</v>
      </c>
      <c r="D966" s="1"/>
      <c r="E966" s="1"/>
      <c r="F966" s="1"/>
      <c r="G966" s="1"/>
      <c r="H966" s="1" t="s">
        <v>14316</v>
      </c>
      <c r="I966" s="1" t="s">
        <v>14316</v>
      </c>
      <c r="J966" s="1"/>
      <c r="K966" s="1"/>
      <c r="L966" s="1"/>
      <c r="M966" s="1"/>
      <c r="N966" s="1"/>
      <c r="O966" s="1"/>
      <c r="P966" s="1"/>
      <c r="Q966" s="1"/>
      <c r="R966" s="1"/>
      <c r="S966" s="1"/>
      <c r="T966" s="1"/>
      <c r="U966" s="1"/>
      <c r="V966" s="1"/>
      <c r="W966" s="1"/>
      <c r="X966" s="1"/>
      <c r="Y966" s="1"/>
      <c r="Z966" s="1"/>
      <c r="AA966" s="1"/>
      <c r="AB966" s="1"/>
      <c r="AC966" s="1"/>
      <c r="AD966" s="1" t="s">
        <v>93</v>
      </c>
      <c r="AE966" s="1" t="s">
        <v>93</v>
      </c>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t="s">
        <v>9609</v>
      </c>
      <c r="BQ966" s="3"/>
      <c r="BR966" s="3"/>
    </row>
    <row r="967" spans="1:70">
      <c r="A967" s="1" t="s">
        <v>70</v>
      </c>
      <c r="B967" s="1" t="s">
        <v>13846</v>
      </c>
      <c r="C967" s="1" t="s">
        <v>14317</v>
      </c>
      <c r="D967" s="1"/>
      <c r="E967" s="1"/>
      <c r="F967" s="1"/>
      <c r="G967" s="1"/>
      <c r="H967" s="1" t="s">
        <v>14318</v>
      </c>
      <c r="I967" s="1" t="s">
        <v>14318</v>
      </c>
      <c r="J967" s="1"/>
      <c r="K967" s="1"/>
      <c r="L967" s="1"/>
      <c r="M967" s="1"/>
      <c r="N967" s="1"/>
      <c r="O967" s="1"/>
      <c r="P967" s="1"/>
      <c r="Q967" s="1"/>
      <c r="R967" s="1"/>
      <c r="S967" s="1"/>
      <c r="T967" s="1"/>
      <c r="U967" s="1"/>
      <c r="V967" s="1"/>
      <c r="W967" s="1"/>
      <c r="X967" s="1"/>
      <c r="Y967" s="1"/>
      <c r="Z967" s="1"/>
      <c r="AA967" s="1"/>
      <c r="AB967" s="1"/>
      <c r="AC967" s="1"/>
      <c r="AD967" s="1" t="s">
        <v>93</v>
      </c>
      <c r="AE967" s="1" t="s">
        <v>93</v>
      </c>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t="s">
        <v>9609</v>
      </c>
      <c r="BQ967" s="3"/>
      <c r="BR967" s="3"/>
    </row>
    <row r="968" spans="1:70">
      <c r="A968" s="1" t="s">
        <v>70</v>
      </c>
      <c r="B968" s="1" t="s">
        <v>13846</v>
      </c>
      <c r="C968" s="1" t="s">
        <v>14319</v>
      </c>
      <c r="D968" s="1"/>
      <c r="E968" s="1"/>
      <c r="F968" s="1"/>
      <c r="G968" s="1"/>
      <c r="H968" s="1" t="s">
        <v>14320</v>
      </c>
      <c r="I968" s="1" t="s">
        <v>14320</v>
      </c>
      <c r="J968" s="1"/>
      <c r="K968" s="1"/>
      <c r="L968" s="1"/>
      <c r="M968" s="1"/>
      <c r="N968" s="1"/>
      <c r="O968" s="1"/>
      <c r="P968" s="1"/>
      <c r="Q968" s="1"/>
      <c r="R968" s="1"/>
      <c r="S968" s="1"/>
      <c r="T968" s="1"/>
      <c r="U968" s="1"/>
      <c r="V968" s="1"/>
      <c r="W968" s="1"/>
      <c r="X968" s="1"/>
      <c r="Y968" s="1"/>
      <c r="Z968" s="1"/>
      <c r="AA968" s="1"/>
      <c r="AB968" s="1"/>
      <c r="AC968" s="1"/>
      <c r="AD968" s="1" t="s">
        <v>93</v>
      </c>
      <c r="AE968" s="1" t="s">
        <v>93</v>
      </c>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t="s">
        <v>9609</v>
      </c>
      <c r="BQ968" s="3"/>
      <c r="BR968" s="3"/>
    </row>
    <row r="969" spans="1:70">
      <c r="A969" s="1" t="s">
        <v>70</v>
      </c>
      <c r="B969" s="1" t="s">
        <v>13846</v>
      </c>
      <c r="C969" s="1" t="s">
        <v>14321</v>
      </c>
      <c r="D969" s="1"/>
      <c r="E969" s="1"/>
      <c r="F969" s="1"/>
      <c r="G969" s="1"/>
      <c r="H969" s="1" t="s">
        <v>14322</v>
      </c>
      <c r="I969" s="1" t="s">
        <v>14322</v>
      </c>
      <c r="J969" s="1"/>
      <c r="K969" s="1"/>
      <c r="L969" s="1"/>
      <c r="M969" s="1"/>
      <c r="N969" s="1"/>
      <c r="O969" s="1"/>
      <c r="P969" s="1"/>
      <c r="Q969" s="1"/>
      <c r="R969" s="1"/>
      <c r="S969" s="1"/>
      <c r="T969" s="1"/>
      <c r="U969" s="1"/>
      <c r="V969" s="1"/>
      <c r="W969" s="1"/>
      <c r="X969" s="1"/>
      <c r="Y969" s="1"/>
      <c r="Z969" s="1"/>
      <c r="AA969" s="1"/>
      <c r="AB969" s="1"/>
      <c r="AC969" s="1"/>
      <c r="AD969" s="1" t="s">
        <v>93</v>
      </c>
      <c r="AE969" s="1" t="s">
        <v>93</v>
      </c>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t="s">
        <v>9609</v>
      </c>
      <c r="BQ969" s="3"/>
      <c r="BR969" s="3"/>
    </row>
    <row r="970" spans="1:70">
      <c r="A970" s="1" t="s">
        <v>70</v>
      </c>
      <c r="B970" s="1" t="s">
        <v>13846</v>
      </c>
      <c r="C970" s="1" t="s">
        <v>14323</v>
      </c>
      <c r="D970" s="1"/>
      <c r="E970" s="1"/>
      <c r="F970" s="1"/>
      <c r="G970" s="1"/>
      <c r="H970" s="1" t="s">
        <v>14324</v>
      </c>
      <c r="I970" s="1" t="s">
        <v>14324</v>
      </c>
      <c r="J970" s="1"/>
      <c r="K970" s="1"/>
      <c r="L970" s="1"/>
      <c r="M970" s="1"/>
      <c r="N970" s="1"/>
      <c r="O970" s="1"/>
      <c r="P970" s="1"/>
      <c r="Q970" s="1"/>
      <c r="R970" s="1"/>
      <c r="S970" s="1"/>
      <c r="T970" s="1"/>
      <c r="U970" s="1"/>
      <c r="V970" s="1"/>
      <c r="W970" s="1"/>
      <c r="X970" s="1"/>
      <c r="Y970" s="1"/>
      <c r="Z970" s="1"/>
      <c r="AA970" s="1"/>
      <c r="AB970" s="1"/>
      <c r="AC970" s="1"/>
      <c r="AD970" s="1" t="s">
        <v>93</v>
      </c>
      <c r="AE970" s="1" t="s">
        <v>93</v>
      </c>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t="s">
        <v>9609</v>
      </c>
      <c r="BQ970" s="3"/>
      <c r="BR970" s="3"/>
    </row>
    <row r="971" spans="1:70">
      <c r="A971" s="1" t="s">
        <v>70</v>
      </c>
      <c r="B971" s="1" t="s">
        <v>13846</v>
      </c>
      <c r="C971" s="1" t="s">
        <v>14325</v>
      </c>
      <c r="D971" s="1"/>
      <c r="E971" s="1"/>
      <c r="F971" s="1"/>
      <c r="G971" s="1"/>
      <c r="H971" s="1" t="s">
        <v>14326</v>
      </c>
      <c r="I971" s="1" t="s">
        <v>14326</v>
      </c>
      <c r="J971" s="1"/>
      <c r="K971" s="1"/>
      <c r="L971" s="1"/>
      <c r="M971" s="1"/>
      <c r="N971" s="1"/>
      <c r="O971" s="1"/>
      <c r="P971" s="1"/>
      <c r="Q971" s="1"/>
      <c r="R971" s="1"/>
      <c r="S971" s="1"/>
      <c r="T971" s="1"/>
      <c r="U971" s="1"/>
      <c r="V971" s="1"/>
      <c r="W971" s="1"/>
      <c r="X971" s="1"/>
      <c r="Y971" s="1"/>
      <c r="Z971" s="1"/>
      <c r="AA971" s="1"/>
      <c r="AB971" s="1"/>
      <c r="AC971" s="1"/>
      <c r="AD971" s="1" t="s">
        <v>93</v>
      </c>
      <c r="AE971" s="1" t="s">
        <v>93</v>
      </c>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t="s">
        <v>9609</v>
      </c>
      <c r="BQ971" s="3"/>
      <c r="BR971" s="3"/>
    </row>
    <row r="972" spans="1:70">
      <c r="A972" s="1" t="s">
        <v>70</v>
      </c>
      <c r="B972" s="1" t="s">
        <v>13846</v>
      </c>
      <c r="C972" s="1" t="s">
        <v>14327</v>
      </c>
      <c r="D972" s="1"/>
      <c r="E972" s="1"/>
      <c r="F972" s="1"/>
      <c r="G972" s="1"/>
      <c r="H972" s="1" t="s">
        <v>14328</v>
      </c>
      <c r="I972" s="1" t="s">
        <v>14328</v>
      </c>
      <c r="J972" s="1"/>
      <c r="K972" s="1"/>
      <c r="L972" s="1"/>
      <c r="M972" s="1"/>
      <c r="N972" s="1"/>
      <c r="O972" s="1"/>
      <c r="P972" s="1"/>
      <c r="Q972" s="1"/>
      <c r="R972" s="1"/>
      <c r="S972" s="1"/>
      <c r="T972" s="1"/>
      <c r="U972" s="1"/>
      <c r="V972" s="1"/>
      <c r="W972" s="1"/>
      <c r="X972" s="1"/>
      <c r="Y972" s="1"/>
      <c r="Z972" s="1"/>
      <c r="AA972" s="1"/>
      <c r="AB972" s="1"/>
      <c r="AC972" s="1"/>
      <c r="AD972" s="1" t="s">
        <v>93</v>
      </c>
      <c r="AE972" s="1" t="s">
        <v>93</v>
      </c>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t="s">
        <v>9609</v>
      </c>
      <c r="BQ972" s="3"/>
      <c r="BR972" s="3"/>
    </row>
    <row r="973" spans="1:70">
      <c r="A973" s="1" t="s">
        <v>70</v>
      </c>
      <c r="B973" s="1" t="s">
        <v>13846</v>
      </c>
      <c r="C973" s="1" t="s">
        <v>14329</v>
      </c>
      <c r="D973" s="1"/>
      <c r="E973" s="1"/>
      <c r="F973" s="1"/>
      <c r="G973" s="1"/>
      <c r="H973" s="1" t="s">
        <v>14330</v>
      </c>
      <c r="I973" s="1" t="s">
        <v>14330</v>
      </c>
      <c r="J973" s="1"/>
      <c r="K973" s="1"/>
      <c r="L973" s="1"/>
      <c r="M973" s="1"/>
      <c r="N973" s="1"/>
      <c r="O973" s="1"/>
      <c r="P973" s="1"/>
      <c r="Q973" s="1"/>
      <c r="R973" s="1"/>
      <c r="S973" s="1"/>
      <c r="T973" s="1"/>
      <c r="U973" s="1"/>
      <c r="V973" s="1"/>
      <c r="W973" s="1"/>
      <c r="X973" s="1"/>
      <c r="Y973" s="1"/>
      <c r="Z973" s="1"/>
      <c r="AA973" s="1"/>
      <c r="AB973" s="1"/>
      <c r="AC973" s="1"/>
      <c r="AD973" s="1" t="s">
        <v>93</v>
      </c>
      <c r="AE973" s="1" t="s">
        <v>93</v>
      </c>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t="s">
        <v>9609</v>
      </c>
      <c r="BQ973" s="3"/>
      <c r="BR973" s="3"/>
    </row>
    <row r="974" spans="1:70">
      <c r="A974" s="1" t="s">
        <v>70</v>
      </c>
      <c r="B974" s="1" t="s">
        <v>13846</v>
      </c>
      <c r="C974" s="1" t="s">
        <v>14331</v>
      </c>
      <c r="D974" s="1"/>
      <c r="E974" s="1"/>
      <c r="F974" s="1"/>
      <c r="G974" s="1"/>
      <c r="H974" s="1" t="s">
        <v>14332</v>
      </c>
      <c r="I974" s="1" t="s">
        <v>14332</v>
      </c>
      <c r="J974" s="1"/>
      <c r="K974" s="1"/>
      <c r="L974" s="1"/>
      <c r="M974" s="1"/>
      <c r="N974" s="1"/>
      <c r="O974" s="1"/>
      <c r="P974" s="1"/>
      <c r="Q974" s="1"/>
      <c r="R974" s="1"/>
      <c r="S974" s="1"/>
      <c r="T974" s="1"/>
      <c r="U974" s="1"/>
      <c r="V974" s="1"/>
      <c r="W974" s="1"/>
      <c r="X974" s="1"/>
      <c r="Y974" s="1"/>
      <c r="Z974" s="1"/>
      <c r="AA974" s="1"/>
      <c r="AB974" s="1"/>
      <c r="AC974" s="1"/>
      <c r="AD974" s="1" t="s">
        <v>93</v>
      </c>
      <c r="AE974" s="1" t="s">
        <v>93</v>
      </c>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t="s">
        <v>9609</v>
      </c>
      <c r="BQ974" s="3"/>
      <c r="BR974" s="3"/>
    </row>
    <row r="975" spans="1:70">
      <c r="A975" s="1" t="s">
        <v>70</v>
      </c>
      <c r="B975" s="1" t="s">
        <v>13846</v>
      </c>
      <c r="C975" s="1" t="s">
        <v>14333</v>
      </c>
      <c r="D975" s="1"/>
      <c r="E975" s="1"/>
      <c r="F975" s="1"/>
      <c r="G975" s="1"/>
      <c r="H975" s="1" t="s">
        <v>14334</v>
      </c>
      <c r="I975" s="1" t="s">
        <v>14334</v>
      </c>
      <c r="J975" s="1"/>
      <c r="K975" s="1"/>
      <c r="L975" s="1"/>
      <c r="M975" s="1"/>
      <c r="N975" s="1"/>
      <c r="O975" s="1"/>
      <c r="P975" s="1"/>
      <c r="Q975" s="1"/>
      <c r="R975" s="1"/>
      <c r="S975" s="1"/>
      <c r="T975" s="1"/>
      <c r="U975" s="1"/>
      <c r="V975" s="1"/>
      <c r="W975" s="1"/>
      <c r="X975" s="1"/>
      <c r="Y975" s="1"/>
      <c r="Z975" s="1"/>
      <c r="AA975" s="1"/>
      <c r="AB975" s="1"/>
      <c r="AC975" s="1"/>
      <c r="AD975" s="1" t="s">
        <v>93</v>
      </c>
      <c r="AE975" s="1" t="s">
        <v>93</v>
      </c>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t="s">
        <v>9609</v>
      </c>
      <c r="BQ975" s="3"/>
      <c r="BR975" s="3"/>
    </row>
    <row r="976" spans="1:70">
      <c r="A976" s="1" t="s">
        <v>70</v>
      </c>
      <c r="B976" s="1" t="s">
        <v>13846</v>
      </c>
      <c r="C976" s="1" t="s">
        <v>14335</v>
      </c>
      <c r="D976" s="1"/>
      <c r="E976" s="1"/>
      <c r="F976" s="1"/>
      <c r="G976" s="1"/>
      <c r="H976" s="1" t="s">
        <v>14336</v>
      </c>
      <c r="I976" s="1" t="s">
        <v>14336</v>
      </c>
      <c r="J976" s="1"/>
      <c r="K976" s="1"/>
      <c r="L976" s="1"/>
      <c r="M976" s="1"/>
      <c r="N976" s="1"/>
      <c r="O976" s="1"/>
      <c r="P976" s="1"/>
      <c r="Q976" s="1"/>
      <c r="R976" s="1"/>
      <c r="S976" s="1"/>
      <c r="T976" s="1"/>
      <c r="U976" s="1"/>
      <c r="V976" s="1"/>
      <c r="W976" s="1"/>
      <c r="X976" s="1"/>
      <c r="Y976" s="1"/>
      <c r="Z976" s="1"/>
      <c r="AA976" s="1"/>
      <c r="AB976" s="1"/>
      <c r="AC976" s="1"/>
      <c r="AD976" s="1" t="s">
        <v>93</v>
      </c>
      <c r="AE976" s="1" t="s">
        <v>93</v>
      </c>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t="s">
        <v>9609</v>
      </c>
      <c r="BQ976" s="3"/>
      <c r="BR976" s="3"/>
    </row>
    <row r="977" spans="1:70">
      <c r="A977" s="1" t="s">
        <v>70</v>
      </c>
      <c r="B977" s="1" t="s">
        <v>13846</v>
      </c>
      <c r="C977" s="1" t="s">
        <v>14337</v>
      </c>
      <c r="D977" s="1"/>
      <c r="E977" s="1"/>
      <c r="F977" s="1"/>
      <c r="G977" s="1"/>
      <c r="H977" s="1" t="s">
        <v>14338</v>
      </c>
      <c r="I977" s="1" t="s">
        <v>14338</v>
      </c>
      <c r="J977" s="1"/>
      <c r="K977" s="1"/>
      <c r="L977" s="1"/>
      <c r="M977" s="1"/>
      <c r="N977" s="1"/>
      <c r="O977" s="1"/>
      <c r="P977" s="1"/>
      <c r="Q977" s="1"/>
      <c r="R977" s="1"/>
      <c r="S977" s="1"/>
      <c r="T977" s="1"/>
      <c r="U977" s="1"/>
      <c r="V977" s="1"/>
      <c r="W977" s="1"/>
      <c r="X977" s="1"/>
      <c r="Y977" s="1"/>
      <c r="Z977" s="1"/>
      <c r="AA977" s="1"/>
      <c r="AB977" s="1"/>
      <c r="AC977" s="1"/>
      <c r="AD977" s="1" t="s">
        <v>93</v>
      </c>
      <c r="AE977" s="1" t="s">
        <v>93</v>
      </c>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t="s">
        <v>9609</v>
      </c>
      <c r="BQ977" s="3"/>
      <c r="BR977" s="3"/>
    </row>
    <row r="978" spans="1:70">
      <c r="A978" s="1" t="s">
        <v>70</v>
      </c>
      <c r="B978" s="1" t="s">
        <v>13846</v>
      </c>
      <c r="C978" s="1" t="s">
        <v>14339</v>
      </c>
      <c r="D978" s="1"/>
      <c r="E978" s="1"/>
      <c r="F978" s="1"/>
      <c r="G978" s="1"/>
      <c r="H978" s="1" t="s">
        <v>14340</v>
      </c>
      <c r="I978" s="1" t="s">
        <v>14340</v>
      </c>
      <c r="J978" s="1"/>
      <c r="K978" s="1"/>
      <c r="L978" s="1"/>
      <c r="M978" s="1"/>
      <c r="N978" s="1"/>
      <c r="O978" s="1"/>
      <c r="P978" s="1"/>
      <c r="Q978" s="1"/>
      <c r="R978" s="1"/>
      <c r="S978" s="1"/>
      <c r="T978" s="1"/>
      <c r="U978" s="1"/>
      <c r="V978" s="1"/>
      <c r="W978" s="1"/>
      <c r="X978" s="1"/>
      <c r="Y978" s="1"/>
      <c r="Z978" s="1"/>
      <c r="AA978" s="1"/>
      <c r="AB978" s="1"/>
      <c r="AC978" s="1"/>
      <c r="AD978" s="1" t="s">
        <v>93</v>
      </c>
      <c r="AE978" s="1" t="s">
        <v>93</v>
      </c>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t="s">
        <v>9609</v>
      </c>
      <c r="BQ978" s="3"/>
      <c r="BR978" s="3"/>
    </row>
    <row r="979" spans="1:70">
      <c r="A979" s="1" t="s">
        <v>70</v>
      </c>
      <c r="B979" s="1" t="s">
        <v>13846</v>
      </c>
      <c r="C979" s="1" t="s">
        <v>14341</v>
      </c>
      <c r="D979" s="1"/>
      <c r="E979" s="1"/>
      <c r="F979" s="1"/>
      <c r="G979" s="1"/>
      <c r="H979" s="1" t="s">
        <v>14342</v>
      </c>
      <c r="I979" s="1" t="s">
        <v>14342</v>
      </c>
      <c r="J979" s="1"/>
      <c r="K979" s="1"/>
      <c r="L979" s="1"/>
      <c r="M979" s="1"/>
      <c r="N979" s="1"/>
      <c r="O979" s="1"/>
      <c r="P979" s="1"/>
      <c r="Q979" s="1"/>
      <c r="R979" s="1"/>
      <c r="S979" s="1"/>
      <c r="T979" s="1"/>
      <c r="U979" s="1"/>
      <c r="V979" s="1"/>
      <c r="W979" s="1"/>
      <c r="X979" s="1"/>
      <c r="Y979" s="1"/>
      <c r="Z979" s="1"/>
      <c r="AA979" s="1"/>
      <c r="AB979" s="1"/>
      <c r="AC979" s="1"/>
      <c r="AD979" s="1" t="s">
        <v>93</v>
      </c>
      <c r="AE979" s="1" t="s">
        <v>93</v>
      </c>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t="s">
        <v>9609</v>
      </c>
      <c r="BQ979" s="3"/>
      <c r="BR979" s="3"/>
    </row>
    <row r="980" spans="1:70">
      <c r="A980" s="1" t="s">
        <v>70</v>
      </c>
      <c r="B980" s="1" t="s">
        <v>13846</v>
      </c>
      <c r="C980" s="1" t="s">
        <v>14343</v>
      </c>
      <c r="D980" s="1"/>
      <c r="E980" s="1"/>
      <c r="F980" s="1"/>
      <c r="G980" s="1"/>
      <c r="H980" s="1" t="s">
        <v>14344</v>
      </c>
      <c r="I980" s="1" t="s">
        <v>14344</v>
      </c>
      <c r="J980" s="1"/>
      <c r="K980" s="1"/>
      <c r="L980" s="1"/>
      <c r="M980" s="1"/>
      <c r="N980" s="1"/>
      <c r="O980" s="1"/>
      <c r="P980" s="1"/>
      <c r="Q980" s="1"/>
      <c r="R980" s="1"/>
      <c r="S980" s="1"/>
      <c r="T980" s="1"/>
      <c r="U980" s="1"/>
      <c r="V980" s="1"/>
      <c r="W980" s="1"/>
      <c r="X980" s="1"/>
      <c r="Y980" s="1"/>
      <c r="Z980" s="1"/>
      <c r="AA980" s="1"/>
      <c r="AB980" s="1"/>
      <c r="AC980" s="1"/>
      <c r="AD980" s="1" t="s">
        <v>93</v>
      </c>
      <c r="AE980" s="1" t="s">
        <v>93</v>
      </c>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t="s">
        <v>9609</v>
      </c>
      <c r="BQ980" s="3"/>
      <c r="BR980" s="3"/>
    </row>
    <row r="981" spans="1:70">
      <c r="A981" s="1" t="s">
        <v>70</v>
      </c>
      <c r="B981" s="1" t="s">
        <v>13846</v>
      </c>
      <c r="C981" s="1" t="s">
        <v>14345</v>
      </c>
      <c r="D981" s="1"/>
      <c r="E981" s="1"/>
      <c r="F981" s="1"/>
      <c r="G981" s="1"/>
      <c r="H981" s="1" t="s">
        <v>14346</v>
      </c>
      <c r="I981" s="1" t="s">
        <v>14346</v>
      </c>
      <c r="J981" s="1"/>
      <c r="K981" s="1"/>
      <c r="L981" s="1"/>
      <c r="M981" s="1"/>
      <c r="N981" s="1"/>
      <c r="O981" s="1"/>
      <c r="P981" s="1"/>
      <c r="Q981" s="1"/>
      <c r="R981" s="1"/>
      <c r="S981" s="1"/>
      <c r="T981" s="1"/>
      <c r="U981" s="1"/>
      <c r="V981" s="1"/>
      <c r="W981" s="1"/>
      <c r="X981" s="1"/>
      <c r="Y981" s="1"/>
      <c r="Z981" s="1"/>
      <c r="AA981" s="1"/>
      <c r="AB981" s="1"/>
      <c r="AC981" s="1"/>
      <c r="AD981" s="1" t="s">
        <v>93</v>
      </c>
      <c r="AE981" s="1" t="s">
        <v>93</v>
      </c>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t="s">
        <v>9609</v>
      </c>
      <c r="BQ981" s="3"/>
      <c r="BR981" s="3"/>
    </row>
    <row r="982" spans="1:70">
      <c r="A982" s="1" t="s">
        <v>70</v>
      </c>
      <c r="B982" s="1" t="s">
        <v>13846</v>
      </c>
      <c r="C982" s="1" t="s">
        <v>14347</v>
      </c>
      <c r="D982" s="1"/>
      <c r="E982" s="1"/>
      <c r="F982" s="1"/>
      <c r="G982" s="1"/>
      <c r="H982" s="1" t="s">
        <v>14348</v>
      </c>
      <c r="I982" s="1" t="s">
        <v>14348</v>
      </c>
      <c r="J982" s="1"/>
      <c r="K982" s="1"/>
      <c r="L982" s="1"/>
      <c r="M982" s="1"/>
      <c r="N982" s="1"/>
      <c r="O982" s="1"/>
      <c r="P982" s="1"/>
      <c r="Q982" s="1"/>
      <c r="R982" s="1"/>
      <c r="S982" s="1"/>
      <c r="T982" s="1"/>
      <c r="U982" s="1"/>
      <c r="V982" s="1"/>
      <c r="W982" s="1"/>
      <c r="X982" s="1"/>
      <c r="Y982" s="1"/>
      <c r="Z982" s="1"/>
      <c r="AA982" s="1"/>
      <c r="AB982" s="1"/>
      <c r="AC982" s="1"/>
      <c r="AD982" s="1" t="s">
        <v>93</v>
      </c>
      <c r="AE982" s="1" t="s">
        <v>93</v>
      </c>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t="s">
        <v>9609</v>
      </c>
      <c r="BQ982" s="3"/>
      <c r="BR982" s="3"/>
    </row>
    <row r="983" spans="1:70">
      <c r="A983" s="1" t="s">
        <v>70</v>
      </c>
      <c r="B983" s="1" t="s">
        <v>13846</v>
      </c>
      <c r="C983" s="1" t="s">
        <v>14349</v>
      </c>
      <c r="D983" s="1"/>
      <c r="E983" s="1"/>
      <c r="F983" s="1"/>
      <c r="G983" s="1"/>
      <c r="H983" s="1" t="s">
        <v>14350</v>
      </c>
      <c r="I983" s="1" t="s">
        <v>14350</v>
      </c>
      <c r="J983" s="1"/>
      <c r="K983" s="1"/>
      <c r="L983" s="1"/>
      <c r="M983" s="1"/>
      <c r="N983" s="1"/>
      <c r="O983" s="1"/>
      <c r="P983" s="1"/>
      <c r="Q983" s="1"/>
      <c r="R983" s="1"/>
      <c r="S983" s="1"/>
      <c r="T983" s="1"/>
      <c r="U983" s="1"/>
      <c r="V983" s="1"/>
      <c r="W983" s="1"/>
      <c r="X983" s="1"/>
      <c r="Y983" s="1"/>
      <c r="Z983" s="1"/>
      <c r="AA983" s="1"/>
      <c r="AB983" s="1"/>
      <c r="AC983" s="1"/>
      <c r="AD983" s="1" t="s">
        <v>93</v>
      </c>
      <c r="AE983" s="1" t="s">
        <v>93</v>
      </c>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t="s">
        <v>9609</v>
      </c>
      <c r="BQ983" s="3"/>
      <c r="BR983" s="3"/>
    </row>
    <row r="984" spans="1:70">
      <c r="A984" s="1" t="s">
        <v>70</v>
      </c>
      <c r="B984" s="1" t="s">
        <v>13846</v>
      </c>
      <c r="C984" s="1" t="s">
        <v>14351</v>
      </c>
      <c r="D984" s="1"/>
      <c r="E984" s="1"/>
      <c r="F984" s="1"/>
      <c r="G984" s="1"/>
      <c r="H984" s="1" t="s">
        <v>14352</v>
      </c>
      <c r="I984" s="1" t="s">
        <v>14352</v>
      </c>
      <c r="J984" s="1"/>
      <c r="K984" s="1"/>
      <c r="L984" s="1"/>
      <c r="M984" s="1"/>
      <c r="N984" s="1"/>
      <c r="O984" s="1"/>
      <c r="P984" s="1"/>
      <c r="Q984" s="1"/>
      <c r="R984" s="1"/>
      <c r="S984" s="1"/>
      <c r="T984" s="1"/>
      <c r="U984" s="1"/>
      <c r="V984" s="1"/>
      <c r="W984" s="1"/>
      <c r="X984" s="1"/>
      <c r="Y984" s="1"/>
      <c r="Z984" s="1"/>
      <c r="AA984" s="1"/>
      <c r="AB984" s="1"/>
      <c r="AC984" s="1"/>
      <c r="AD984" s="1" t="s">
        <v>93</v>
      </c>
      <c r="AE984" s="1" t="s">
        <v>93</v>
      </c>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t="s">
        <v>9609</v>
      </c>
      <c r="BQ984" s="3"/>
      <c r="BR984" s="3"/>
    </row>
    <row r="985" spans="1:70">
      <c r="A985" s="1" t="s">
        <v>70</v>
      </c>
      <c r="B985" s="1" t="s">
        <v>13846</v>
      </c>
      <c r="C985" s="1" t="s">
        <v>14353</v>
      </c>
      <c r="D985" s="1"/>
      <c r="E985" s="1"/>
      <c r="F985" s="1"/>
      <c r="G985" s="1"/>
      <c r="H985" s="1" t="s">
        <v>14354</v>
      </c>
      <c r="I985" s="1" t="s">
        <v>14354</v>
      </c>
      <c r="J985" s="1"/>
      <c r="K985" s="1"/>
      <c r="L985" s="1"/>
      <c r="M985" s="1"/>
      <c r="N985" s="1"/>
      <c r="O985" s="1"/>
      <c r="P985" s="1"/>
      <c r="Q985" s="1"/>
      <c r="R985" s="1"/>
      <c r="S985" s="1"/>
      <c r="T985" s="1"/>
      <c r="U985" s="1"/>
      <c r="V985" s="1"/>
      <c r="W985" s="1"/>
      <c r="X985" s="1"/>
      <c r="Y985" s="1"/>
      <c r="Z985" s="1"/>
      <c r="AA985" s="1"/>
      <c r="AB985" s="1"/>
      <c r="AC985" s="1"/>
      <c r="AD985" s="1" t="s">
        <v>93</v>
      </c>
      <c r="AE985" s="1" t="s">
        <v>93</v>
      </c>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t="s">
        <v>9609</v>
      </c>
      <c r="BQ985" s="3"/>
      <c r="BR985" s="3"/>
    </row>
    <row r="986" spans="1:70">
      <c r="A986" s="1" t="s">
        <v>70</v>
      </c>
      <c r="B986" s="1" t="s">
        <v>13846</v>
      </c>
      <c r="C986" s="1" t="s">
        <v>14355</v>
      </c>
      <c r="D986" s="1"/>
      <c r="E986" s="1"/>
      <c r="F986" s="1"/>
      <c r="G986" s="1"/>
      <c r="H986" s="1" t="s">
        <v>14356</v>
      </c>
      <c r="I986" s="1" t="s">
        <v>14356</v>
      </c>
      <c r="J986" s="1"/>
      <c r="K986" s="1"/>
      <c r="L986" s="1"/>
      <c r="M986" s="1"/>
      <c r="N986" s="1"/>
      <c r="O986" s="1"/>
      <c r="P986" s="1"/>
      <c r="Q986" s="1"/>
      <c r="R986" s="1"/>
      <c r="S986" s="1"/>
      <c r="T986" s="1"/>
      <c r="U986" s="1"/>
      <c r="V986" s="1"/>
      <c r="W986" s="1"/>
      <c r="X986" s="1"/>
      <c r="Y986" s="1"/>
      <c r="Z986" s="1"/>
      <c r="AA986" s="1"/>
      <c r="AB986" s="1"/>
      <c r="AC986" s="1"/>
      <c r="AD986" s="1" t="s">
        <v>93</v>
      </c>
      <c r="AE986" s="1" t="s">
        <v>93</v>
      </c>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t="s">
        <v>9609</v>
      </c>
      <c r="BQ986" s="3"/>
      <c r="BR986" s="3"/>
    </row>
    <row r="987" spans="1:70">
      <c r="A987" s="1" t="s">
        <v>70</v>
      </c>
      <c r="B987" s="1" t="s">
        <v>13846</v>
      </c>
      <c r="C987" s="1" t="s">
        <v>14357</v>
      </c>
      <c r="D987" s="1"/>
      <c r="E987" s="1"/>
      <c r="F987" s="1"/>
      <c r="G987" s="1"/>
      <c r="H987" s="1" t="s">
        <v>14358</v>
      </c>
      <c r="I987" s="1" t="s">
        <v>14358</v>
      </c>
      <c r="J987" s="1"/>
      <c r="K987" s="1"/>
      <c r="L987" s="1"/>
      <c r="M987" s="1"/>
      <c r="N987" s="1"/>
      <c r="O987" s="1"/>
      <c r="P987" s="1"/>
      <c r="Q987" s="1"/>
      <c r="R987" s="1"/>
      <c r="S987" s="1"/>
      <c r="T987" s="1"/>
      <c r="U987" s="1"/>
      <c r="V987" s="1"/>
      <c r="W987" s="1"/>
      <c r="X987" s="1"/>
      <c r="Y987" s="1"/>
      <c r="Z987" s="1"/>
      <c r="AA987" s="1"/>
      <c r="AB987" s="1"/>
      <c r="AC987" s="1"/>
      <c r="AD987" s="1" t="s">
        <v>93</v>
      </c>
      <c r="AE987" s="1" t="s">
        <v>93</v>
      </c>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t="s">
        <v>9609</v>
      </c>
      <c r="BQ987" s="3"/>
      <c r="BR987" s="3"/>
    </row>
    <row r="988" spans="1:70">
      <c r="A988" s="1" t="s">
        <v>70</v>
      </c>
      <c r="B988" s="1" t="s">
        <v>13846</v>
      </c>
      <c r="C988" s="1" t="s">
        <v>14359</v>
      </c>
      <c r="D988" s="1"/>
      <c r="E988" s="1"/>
      <c r="F988" s="1"/>
      <c r="G988" s="1"/>
      <c r="H988" s="1" t="s">
        <v>14360</v>
      </c>
      <c r="I988" s="1" t="s">
        <v>14360</v>
      </c>
      <c r="J988" s="1"/>
      <c r="K988" s="1"/>
      <c r="L988" s="1"/>
      <c r="M988" s="1"/>
      <c r="N988" s="1"/>
      <c r="O988" s="1"/>
      <c r="P988" s="1"/>
      <c r="Q988" s="1"/>
      <c r="R988" s="1"/>
      <c r="S988" s="1"/>
      <c r="T988" s="1"/>
      <c r="U988" s="1"/>
      <c r="V988" s="1"/>
      <c r="W988" s="1"/>
      <c r="X988" s="1"/>
      <c r="Y988" s="1"/>
      <c r="Z988" s="1"/>
      <c r="AA988" s="1"/>
      <c r="AB988" s="1"/>
      <c r="AC988" s="1"/>
      <c r="AD988" s="1" t="s">
        <v>93</v>
      </c>
      <c r="AE988" s="1" t="s">
        <v>93</v>
      </c>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t="s">
        <v>9609</v>
      </c>
      <c r="BQ988" s="3"/>
      <c r="BR988" s="3"/>
    </row>
    <row r="989" spans="1:70">
      <c r="A989" s="1" t="s">
        <v>70</v>
      </c>
      <c r="B989" s="1" t="s">
        <v>13846</v>
      </c>
      <c r="C989" s="1" t="s">
        <v>14361</v>
      </c>
      <c r="D989" s="1"/>
      <c r="E989" s="1"/>
      <c r="F989" s="1"/>
      <c r="G989" s="1"/>
      <c r="H989" s="1" t="s">
        <v>14362</v>
      </c>
      <c r="I989" s="1" t="s">
        <v>14362</v>
      </c>
      <c r="J989" s="1"/>
      <c r="K989" s="1"/>
      <c r="L989" s="1"/>
      <c r="M989" s="1"/>
      <c r="N989" s="1"/>
      <c r="O989" s="1"/>
      <c r="P989" s="1"/>
      <c r="Q989" s="1"/>
      <c r="R989" s="1"/>
      <c r="S989" s="1"/>
      <c r="T989" s="1"/>
      <c r="U989" s="1"/>
      <c r="V989" s="1"/>
      <c r="W989" s="1"/>
      <c r="X989" s="1"/>
      <c r="Y989" s="1"/>
      <c r="Z989" s="1"/>
      <c r="AA989" s="1"/>
      <c r="AB989" s="1"/>
      <c r="AC989" s="1"/>
      <c r="AD989" s="1" t="s">
        <v>93</v>
      </c>
      <c r="AE989" s="1" t="s">
        <v>93</v>
      </c>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t="s">
        <v>9609</v>
      </c>
      <c r="BQ989" s="3"/>
      <c r="BR989" s="3"/>
    </row>
    <row r="990" spans="1:70">
      <c r="A990" s="1" t="s">
        <v>70</v>
      </c>
      <c r="B990" s="1" t="s">
        <v>13846</v>
      </c>
      <c r="C990" s="1" t="s">
        <v>14363</v>
      </c>
      <c r="D990" s="1"/>
      <c r="E990" s="1"/>
      <c r="F990" s="1"/>
      <c r="G990" s="1"/>
      <c r="H990" s="1" t="s">
        <v>14364</v>
      </c>
      <c r="I990" s="1" t="s">
        <v>14364</v>
      </c>
      <c r="J990" s="1"/>
      <c r="K990" s="1"/>
      <c r="L990" s="1"/>
      <c r="M990" s="1"/>
      <c r="N990" s="1"/>
      <c r="O990" s="1"/>
      <c r="P990" s="1"/>
      <c r="Q990" s="1"/>
      <c r="R990" s="1"/>
      <c r="S990" s="1"/>
      <c r="T990" s="1"/>
      <c r="U990" s="1"/>
      <c r="V990" s="1"/>
      <c r="W990" s="1"/>
      <c r="X990" s="1"/>
      <c r="Y990" s="1"/>
      <c r="Z990" s="1"/>
      <c r="AA990" s="1"/>
      <c r="AB990" s="1"/>
      <c r="AC990" s="1"/>
      <c r="AD990" s="1" t="s">
        <v>93</v>
      </c>
      <c r="AE990" s="1" t="s">
        <v>93</v>
      </c>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t="s">
        <v>9609</v>
      </c>
      <c r="BQ990" s="3"/>
      <c r="BR990" s="3"/>
    </row>
    <row r="991" spans="1:70">
      <c r="A991" s="1" t="s">
        <v>70</v>
      </c>
      <c r="B991" s="1" t="s">
        <v>13846</v>
      </c>
      <c r="C991" s="1" t="s">
        <v>14365</v>
      </c>
      <c r="D991" s="1"/>
      <c r="E991" s="1"/>
      <c r="F991" s="1"/>
      <c r="G991" s="1"/>
      <c r="H991" s="1" t="s">
        <v>14366</v>
      </c>
      <c r="I991" s="1" t="s">
        <v>14366</v>
      </c>
      <c r="J991" s="1"/>
      <c r="K991" s="1"/>
      <c r="L991" s="1"/>
      <c r="M991" s="1"/>
      <c r="N991" s="1"/>
      <c r="O991" s="1"/>
      <c r="P991" s="1"/>
      <c r="Q991" s="1"/>
      <c r="R991" s="1"/>
      <c r="S991" s="1"/>
      <c r="T991" s="1"/>
      <c r="U991" s="1"/>
      <c r="V991" s="1"/>
      <c r="W991" s="1"/>
      <c r="X991" s="1"/>
      <c r="Y991" s="1"/>
      <c r="Z991" s="1"/>
      <c r="AA991" s="1"/>
      <c r="AB991" s="1"/>
      <c r="AC991" s="1"/>
      <c r="AD991" s="1" t="s">
        <v>93</v>
      </c>
      <c r="AE991" s="1" t="s">
        <v>93</v>
      </c>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t="s">
        <v>9609</v>
      </c>
      <c r="BQ991" s="3"/>
      <c r="BR991" s="3"/>
    </row>
    <row r="992" spans="1:70">
      <c r="A992" s="1" t="s">
        <v>70</v>
      </c>
      <c r="B992" s="1" t="s">
        <v>13846</v>
      </c>
      <c r="C992" s="1" t="s">
        <v>14367</v>
      </c>
      <c r="D992" s="1"/>
      <c r="E992" s="1"/>
      <c r="F992" s="1"/>
      <c r="G992" s="1"/>
      <c r="H992" s="1" t="s">
        <v>14368</v>
      </c>
      <c r="I992" s="1" t="s">
        <v>14368</v>
      </c>
      <c r="J992" s="1"/>
      <c r="K992" s="1"/>
      <c r="L992" s="1"/>
      <c r="M992" s="1"/>
      <c r="N992" s="1"/>
      <c r="O992" s="1"/>
      <c r="P992" s="1"/>
      <c r="Q992" s="1"/>
      <c r="R992" s="1"/>
      <c r="S992" s="1"/>
      <c r="T992" s="1"/>
      <c r="U992" s="1"/>
      <c r="V992" s="1"/>
      <c r="W992" s="1"/>
      <c r="X992" s="1"/>
      <c r="Y992" s="1"/>
      <c r="Z992" s="1"/>
      <c r="AA992" s="1"/>
      <c r="AB992" s="1"/>
      <c r="AC992" s="1"/>
      <c r="AD992" s="1" t="s">
        <v>93</v>
      </c>
      <c r="AE992" s="1" t="s">
        <v>93</v>
      </c>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t="s">
        <v>9609</v>
      </c>
      <c r="BQ992" s="3"/>
      <c r="BR992" s="3"/>
    </row>
    <row r="993" spans="1:70">
      <c r="A993" s="1" t="s">
        <v>70</v>
      </c>
      <c r="B993" s="1" t="s">
        <v>13846</v>
      </c>
      <c r="C993" s="1" t="s">
        <v>14369</v>
      </c>
      <c r="D993" s="1"/>
      <c r="E993" s="1"/>
      <c r="F993" s="1"/>
      <c r="G993" s="1"/>
      <c r="H993" s="1" t="s">
        <v>14370</v>
      </c>
      <c r="I993" s="1" t="s">
        <v>14370</v>
      </c>
      <c r="J993" s="1"/>
      <c r="K993" s="1"/>
      <c r="L993" s="1"/>
      <c r="M993" s="1"/>
      <c r="N993" s="1"/>
      <c r="O993" s="1"/>
      <c r="P993" s="1"/>
      <c r="Q993" s="1"/>
      <c r="R993" s="1"/>
      <c r="S993" s="1"/>
      <c r="T993" s="1"/>
      <c r="U993" s="1"/>
      <c r="V993" s="1"/>
      <c r="W993" s="1"/>
      <c r="X993" s="1"/>
      <c r="Y993" s="1"/>
      <c r="Z993" s="1"/>
      <c r="AA993" s="1"/>
      <c r="AB993" s="1"/>
      <c r="AC993" s="1"/>
      <c r="AD993" s="1" t="s">
        <v>93</v>
      </c>
      <c r="AE993" s="1" t="s">
        <v>93</v>
      </c>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t="s">
        <v>9609</v>
      </c>
      <c r="BQ993" s="3"/>
      <c r="BR993" s="3"/>
    </row>
    <row r="994" spans="1:70">
      <c r="A994" s="1" t="s">
        <v>70</v>
      </c>
      <c r="B994" s="1" t="s">
        <v>13846</v>
      </c>
      <c r="C994" s="1" t="s">
        <v>14371</v>
      </c>
      <c r="D994" s="1"/>
      <c r="E994" s="1"/>
      <c r="F994" s="1"/>
      <c r="G994" s="1"/>
      <c r="H994" s="1" t="s">
        <v>14372</v>
      </c>
      <c r="I994" s="1" t="s">
        <v>14372</v>
      </c>
      <c r="J994" s="1"/>
      <c r="K994" s="1"/>
      <c r="L994" s="1"/>
      <c r="M994" s="1"/>
      <c r="N994" s="1"/>
      <c r="O994" s="1"/>
      <c r="P994" s="1"/>
      <c r="Q994" s="1"/>
      <c r="R994" s="1"/>
      <c r="S994" s="1"/>
      <c r="T994" s="1"/>
      <c r="U994" s="1"/>
      <c r="V994" s="1"/>
      <c r="W994" s="1"/>
      <c r="X994" s="1"/>
      <c r="Y994" s="1"/>
      <c r="Z994" s="1"/>
      <c r="AA994" s="1"/>
      <c r="AB994" s="1"/>
      <c r="AC994" s="1"/>
      <c r="AD994" s="1" t="s">
        <v>93</v>
      </c>
      <c r="AE994" s="1" t="s">
        <v>93</v>
      </c>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t="s">
        <v>9609</v>
      </c>
      <c r="BQ994" s="3"/>
      <c r="BR994" s="3"/>
    </row>
    <row r="995" spans="1:70">
      <c r="A995" s="1" t="s">
        <v>70</v>
      </c>
      <c r="B995" s="1" t="s">
        <v>13846</v>
      </c>
      <c r="C995" s="1" t="s">
        <v>14373</v>
      </c>
      <c r="D995" s="1"/>
      <c r="E995" s="1"/>
      <c r="F995" s="1"/>
      <c r="G995" s="1"/>
      <c r="H995" s="1" t="s">
        <v>14374</v>
      </c>
      <c r="I995" s="1" t="s">
        <v>14374</v>
      </c>
      <c r="J995" s="1"/>
      <c r="K995" s="1"/>
      <c r="L995" s="1"/>
      <c r="M995" s="1"/>
      <c r="N995" s="1"/>
      <c r="O995" s="1"/>
      <c r="P995" s="1"/>
      <c r="Q995" s="1"/>
      <c r="R995" s="1"/>
      <c r="S995" s="1"/>
      <c r="T995" s="1"/>
      <c r="U995" s="1"/>
      <c r="V995" s="1"/>
      <c r="W995" s="1"/>
      <c r="X995" s="1"/>
      <c r="Y995" s="1"/>
      <c r="Z995" s="1"/>
      <c r="AA995" s="1"/>
      <c r="AB995" s="1"/>
      <c r="AC995" s="1"/>
      <c r="AD995" s="1" t="s">
        <v>93</v>
      </c>
      <c r="AE995" s="1" t="s">
        <v>93</v>
      </c>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t="s">
        <v>9609</v>
      </c>
      <c r="BQ995" s="3"/>
      <c r="BR995" s="3"/>
    </row>
    <row r="996" spans="1:70">
      <c r="A996" s="1" t="s">
        <v>70</v>
      </c>
      <c r="B996" s="1" t="s">
        <v>13846</v>
      </c>
      <c r="C996" s="1" t="s">
        <v>14375</v>
      </c>
      <c r="D996" s="1"/>
      <c r="E996" s="1"/>
      <c r="F996" s="1"/>
      <c r="G996" s="1"/>
      <c r="H996" s="1" t="s">
        <v>14376</v>
      </c>
      <c r="I996" s="1" t="s">
        <v>14376</v>
      </c>
      <c r="J996" s="1"/>
      <c r="K996" s="1"/>
      <c r="L996" s="1"/>
      <c r="M996" s="1"/>
      <c r="N996" s="1"/>
      <c r="O996" s="1"/>
      <c r="P996" s="1"/>
      <c r="Q996" s="1"/>
      <c r="R996" s="1"/>
      <c r="S996" s="1"/>
      <c r="T996" s="1"/>
      <c r="U996" s="1"/>
      <c r="V996" s="1"/>
      <c r="W996" s="1"/>
      <c r="X996" s="1"/>
      <c r="Y996" s="1"/>
      <c r="Z996" s="1"/>
      <c r="AA996" s="1"/>
      <c r="AB996" s="1"/>
      <c r="AC996" s="1"/>
      <c r="AD996" s="1" t="s">
        <v>93</v>
      </c>
      <c r="AE996" s="1" t="s">
        <v>93</v>
      </c>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t="s">
        <v>9609</v>
      </c>
      <c r="BQ996" s="3"/>
      <c r="BR996" s="3"/>
    </row>
    <row r="997" spans="1:70">
      <c r="A997" s="1" t="s">
        <v>70</v>
      </c>
      <c r="B997" s="1" t="s">
        <v>13846</v>
      </c>
      <c r="C997" s="1" t="s">
        <v>14377</v>
      </c>
      <c r="D997" s="1"/>
      <c r="E997" s="1"/>
      <c r="F997" s="1"/>
      <c r="G997" s="1"/>
      <c r="H997" s="1" t="s">
        <v>14378</v>
      </c>
      <c r="I997" s="1" t="s">
        <v>14378</v>
      </c>
      <c r="J997" s="1"/>
      <c r="K997" s="1"/>
      <c r="L997" s="1"/>
      <c r="M997" s="1"/>
      <c r="N997" s="1"/>
      <c r="O997" s="1"/>
      <c r="P997" s="1"/>
      <c r="Q997" s="1"/>
      <c r="R997" s="1"/>
      <c r="S997" s="1"/>
      <c r="T997" s="1"/>
      <c r="U997" s="1"/>
      <c r="V997" s="1"/>
      <c r="W997" s="1"/>
      <c r="X997" s="1"/>
      <c r="Y997" s="1"/>
      <c r="Z997" s="1"/>
      <c r="AA997" s="1"/>
      <c r="AB997" s="1"/>
      <c r="AC997" s="1"/>
      <c r="AD997" s="1" t="s">
        <v>93</v>
      </c>
      <c r="AE997" s="1" t="s">
        <v>93</v>
      </c>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t="s">
        <v>9609</v>
      </c>
      <c r="BQ997" s="3"/>
      <c r="BR997" s="3"/>
    </row>
    <row r="998" spans="1:70">
      <c r="A998" s="1" t="s">
        <v>70</v>
      </c>
      <c r="B998" s="1" t="s">
        <v>13846</v>
      </c>
      <c r="C998" s="1" t="s">
        <v>14379</v>
      </c>
      <c r="D998" s="1"/>
      <c r="E998" s="1"/>
      <c r="F998" s="1"/>
      <c r="G998" s="1"/>
      <c r="H998" s="1" t="s">
        <v>14380</v>
      </c>
      <c r="I998" s="1" t="s">
        <v>14380</v>
      </c>
      <c r="J998" s="1"/>
      <c r="K998" s="1"/>
      <c r="L998" s="1"/>
      <c r="M998" s="1"/>
      <c r="N998" s="1"/>
      <c r="O998" s="1"/>
      <c r="P998" s="1"/>
      <c r="Q998" s="1"/>
      <c r="R998" s="1"/>
      <c r="S998" s="1"/>
      <c r="T998" s="1"/>
      <c r="U998" s="1"/>
      <c r="V998" s="1"/>
      <c r="W998" s="1"/>
      <c r="X998" s="1"/>
      <c r="Y998" s="1"/>
      <c r="Z998" s="1"/>
      <c r="AA998" s="1"/>
      <c r="AB998" s="1"/>
      <c r="AC998" s="1"/>
      <c r="AD998" s="1" t="s">
        <v>93</v>
      </c>
      <c r="AE998" s="1" t="s">
        <v>93</v>
      </c>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t="s">
        <v>9609</v>
      </c>
      <c r="BQ998" s="3"/>
      <c r="BR998" s="3"/>
    </row>
    <row r="999" spans="1:70">
      <c r="A999" s="1" t="s">
        <v>70</v>
      </c>
      <c r="B999" s="1" t="s">
        <v>13846</v>
      </c>
      <c r="C999" s="1" t="s">
        <v>14381</v>
      </c>
      <c r="D999" s="1"/>
      <c r="E999" s="1"/>
      <c r="F999" s="1"/>
      <c r="G999" s="1"/>
      <c r="H999" s="1" t="s">
        <v>14382</v>
      </c>
      <c r="I999" s="1" t="s">
        <v>14382</v>
      </c>
      <c r="J999" s="1"/>
      <c r="K999" s="1"/>
      <c r="L999" s="1"/>
      <c r="M999" s="1"/>
      <c r="N999" s="1"/>
      <c r="O999" s="1"/>
      <c r="P999" s="1"/>
      <c r="Q999" s="1"/>
      <c r="R999" s="1"/>
      <c r="S999" s="1"/>
      <c r="T999" s="1"/>
      <c r="U999" s="1"/>
      <c r="V999" s="1"/>
      <c r="W999" s="1"/>
      <c r="X999" s="1"/>
      <c r="Y999" s="1"/>
      <c r="Z999" s="1"/>
      <c r="AA999" s="1"/>
      <c r="AB999" s="1"/>
      <c r="AC999" s="1"/>
      <c r="AD999" s="1" t="s">
        <v>93</v>
      </c>
      <c r="AE999" s="1" t="s">
        <v>93</v>
      </c>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t="s">
        <v>9609</v>
      </c>
      <c r="BQ999" s="3"/>
      <c r="BR999" s="3"/>
    </row>
    <row r="1000" spans="1:70">
      <c r="A1000" s="1" t="s">
        <v>70</v>
      </c>
      <c r="B1000" s="1" t="s">
        <v>13846</v>
      </c>
      <c r="C1000" s="1" t="s">
        <v>14383</v>
      </c>
      <c r="D1000" s="1"/>
      <c r="E1000" s="1"/>
      <c r="F1000" s="1"/>
      <c r="G1000" s="1"/>
      <c r="H1000" s="1" t="s">
        <v>14384</v>
      </c>
      <c r="I1000" s="1" t="s">
        <v>14384</v>
      </c>
      <c r="J1000" s="1"/>
      <c r="K1000" s="1"/>
      <c r="L1000" s="1"/>
      <c r="M1000" s="1"/>
      <c r="N1000" s="1"/>
      <c r="O1000" s="1"/>
      <c r="P1000" s="1"/>
      <c r="Q1000" s="1"/>
      <c r="R1000" s="1"/>
      <c r="S1000" s="1"/>
      <c r="T1000" s="1"/>
      <c r="U1000" s="1"/>
      <c r="V1000" s="1"/>
      <c r="W1000" s="1"/>
      <c r="X1000" s="1"/>
      <c r="Y1000" s="1"/>
      <c r="Z1000" s="1"/>
      <c r="AA1000" s="1"/>
      <c r="AB1000" s="1"/>
      <c r="AC1000" s="1"/>
      <c r="AD1000" s="1" t="s">
        <v>93</v>
      </c>
      <c r="AE1000" s="1" t="s">
        <v>93</v>
      </c>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t="s">
        <v>9609</v>
      </c>
      <c r="BQ1000" s="3"/>
      <c r="BR1000" s="3"/>
    </row>
    <row r="1001" spans="1:70">
      <c r="A1001" s="1" t="s">
        <v>70</v>
      </c>
      <c r="B1001" s="1" t="s">
        <v>13846</v>
      </c>
      <c r="C1001" s="1" t="s">
        <v>14385</v>
      </c>
      <c r="D1001" s="1"/>
      <c r="E1001" s="1"/>
      <c r="F1001" s="1"/>
      <c r="G1001" s="1"/>
      <c r="H1001" s="1" t="s">
        <v>14386</v>
      </c>
      <c r="I1001" s="1" t="s">
        <v>14386</v>
      </c>
      <c r="J1001" s="1"/>
      <c r="K1001" s="1"/>
      <c r="L1001" s="1"/>
      <c r="M1001" s="1"/>
      <c r="N1001" s="1"/>
      <c r="O1001" s="1"/>
      <c r="P1001" s="1"/>
      <c r="Q1001" s="1"/>
      <c r="R1001" s="1"/>
      <c r="S1001" s="1"/>
      <c r="T1001" s="1"/>
      <c r="U1001" s="1"/>
      <c r="V1001" s="1"/>
      <c r="W1001" s="1"/>
      <c r="X1001" s="1"/>
      <c r="Y1001" s="1"/>
      <c r="Z1001" s="1"/>
      <c r="AA1001" s="1"/>
      <c r="AB1001" s="1"/>
      <c r="AC1001" s="1"/>
      <c r="AD1001" s="1" t="s">
        <v>93</v>
      </c>
      <c r="AE1001" s="1" t="s">
        <v>93</v>
      </c>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t="s">
        <v>9609</v>
      </c>
      <c r="BQ1001" s="3"/>
      <c r="BR1001" s="3"/>
    </row>
    <row r="1002" spans="1:70">
      <c r="A1002" s="1" t="s">
        <v>14387</v>
      </c>
      <c r="B1002" s="1" t="s">
        <v>71</v>
      </c>
      <c r="C1002" s="1" t="s">
        <v>14388</v>
      </c>
      <c r="D1002" s="1" t="s">
        <v>2838</v>
      </c>
      <c r="E1002" s="1" t="s">
        <v>2203</v>
      </c>
      <c r="F1002" s="1" t="s">
        <v>14389</v>
      </c>
      <c r="G1002" s="1" t="s">
        <v>14390</v>
      </c>
      <c r="H1002" s="1" t="s">
        <v>14391</v>
      </c>
      <c r="I1002" s="1" t="s">
        <v>14391</v>
      </c>
      <c r="J1002" s="1">
        <v>9607410688</v>
      </c>
      <c r="K1002" s="1" t="s">
        <v>79</v>
      </c>
      <c r="L1002" s="1" t="s">
        <v>14392</v>
      </c>
      <c r="M1002" s="1" t="s">
        <v>81</v>
      </c>
      <c r="N1002" s="1" t="s">
        <v>14393</v>
      </c>
      <c r="O1002" s="1" t="s">
        <v>152</v>
      </c>
      <c r="P1002" s="1" t="s">
        <v>214</v>
      </c>
      <c r="Q1002" s="1" t="s">
        <v>14394</v>
      </c>
      <c r="R1002" s="1" t="s">
        <v>14395</v>
      </c>
      <c r="S1002" s="1">
        <v>9405867527</v>
      </c>
      <c r="T1002" s="1" t="s">
        <v>377</v>
      </c>
      <c r="U1002" s="1" t="s">
        <v>8577</v>
      </c>
      <c r="V1002" s="1">
        <v>7038241116</v>
      </c>
      <c r="W1002" s="1" t="s">
        <v>156</v>
      </c>
      <c r="X1002" s="1" t="s">
        <v>14396</v>
      </c>
      <c r="Y1002" s="1" t="s">
        <v>191</v>
      </c>
      <c r="Z1002" s="1" t="s">
        <v>92</v>
      </c>
      <c r="AA1002" s="1" t="s">
        <v>14396</v>
      </c>
      <c r="AB1002" s="1" t="s">
        <v>191</v>
      </c>
      <c r="AC1002" s="1" t="s">
        <v>92</v>
      </c>
      <c r="AD1002" s="1" t="s">
        <v>93</v>
      </c>
      <c r="AE1002" s="1" t="s">
        <v>93</v>
      </c>
      <c r="AF1002" s="1" t="s">
        <v>14397</v>
      </c>
      <c r="AG1002" s="1" t="s">
        <v>616</v>
      </c>
      <c r="AH1002" s="1" t="s">
        <v>161</v>
      </c>
      <c r="AI1002" s="1" t="s">
        <v>1089</v>
      </c>
      <c r="AJ1002" s="1">
        <v>62.8</v>
      </c>
      <c r="AK1002" s="1"/>
      <c r="AL1002" s="1" t="s">
        <v>14397</v>
      </c>
      <c r="AM1002" s="1" t="s">
        <v>616</v>
      </c>
      <c r="AN1002" s="1" t="s">
        <v>165</v>
      </c>
      <c r="AO1002" s="1" t="s">
        <v>1455</v>
      </c>
      <c r="AP1002" s="1">
        <v>57.23</v>
      </c>
      <c r="AQ1002" s="1"/>
      <c r="AR1002" s="1"/>
      <c r="AS1002" s="1"/>
      <c r="AT1002" s="1"/>
      <c r="AU1002" s="1"/>
      <c r="AV1002" s="1"/>
      <c r="AW1002" s="1"/>
      <c r="AX1002" s="1" t="s">
        <v>361</v>
      </c>
      <c r="AY1002" s="1" t="s">
        <v>14398</v>
      </c>
      <c r="AZ1002" s="1" t="s">
        <v>101</v>
      </c>
      <c r="BA1002" s="1" t="s">
        <v>174</v>
      </c>
      <c r="BB1002" s="1">
        <v>65.8</v>
      </c>
      <c r="BC1002" s="1">
        <v>7.33</v>
      </c>
      <c r="BD1002" s="1"/>
      <c r="BE1002" s="1"/>
      <c r="BF1002" s="1"/>
      <c r="BG1002" s="1"/>
      <c r="BH1002" s="1"/>
      <c r="BI1002" s="1"/>
      <c r="BJ1002" s="1" t="s">
        <v>14399</v>
      </c>
      <c r="BK1002" s="1"/>
      <c r="BL1002" s="1"/>
      <c r="BM1002" s="1" t="s">
        <v>14400</v>
      </c>
      <c r="BN1002" s="1">
        <v>29</v>
      </c>
      <c r="BO1002" s="1" t="s">
        <v>14401</v>
      </c>
      <c r="BP1002" s="1" t="str">
        <f>HYPERLINK("https://nconnect.nicmar.ac.in/storage/profile/6a1eab79188f8.png","Download")</f>
        <v>0</v>
      </c>
      <c r="BQ1002" s="3"/>
      <c r="BR1002" s="3"/>
    </row>
    <row r="1003" spans="1:70">
      <c r="A1003" s="1" t="s">
        <v>14387</v>
      </c>
      <c r="B1003" s="1" t="s">
        <v>71</v>
      </c>
      <c r="C1003" s="1" t="s">
        <v>14402</v>
      </c>
      <c r="D1003" s="1" t="s">
        <v>14403</v>
      </c>
      <c r="E1003" s="1" t="s">
        <v>3889</v>
      </c>
      <c r="F1003" s="1" t="s">
        <v>10274</v>
      </c>
      <c r="G1003" s="1" t="s">
        <v>14404</v>
      </c>
      <c r="H1003" s="1" t="s">
        <v>14405</v>
      </c>
      <c r="I1003" s="1" t="s">
        <v>14405</v>
      </c>
      <c r="J1003" s="1">
        <v>9284429255</v>
      </c>
      <c r="K1003" s="1" t="s">
        <v>148</v>
      </c>
      <c r="L1003" s="1" t="s">
        <v>14406</v>
      </c>
      <c r="M1003" s="1" t="s">
        <v>81</v>
      </c>
      <c r="N1003" s="1" t="s">
        <v>4274</v>
      </c>
      <c r="O1003" s="1" t="s">
        <v>83</v>
      </c>
      <c r="P1003" s="1" t="s">
        <v>214</v>
      </c>
      <c r="Q1003" s="1" t="s">
        <v>14407</v>
      </c>
      <c r="R1003" s="1" t="s">
        <v>14408</v>
      </c>
      <c r="S1003" s="1">
        <v>9552573223</v>
      </c>
      <c r="T1003" s="1" t="s">
        <v>4780</v>
      </c>
      <c r="U1003" s="1" t="s">
        <v>14409</v>
      </c>
      <c r="V1003" s="1">
        <v>9284980617</v>
      </c>
      <c r="W1003" s="1" t="s">
        <v>156</v>
      </c>
      <c r="X1003" s="1" t="s">
        <v>14410</v>
      </c>
      <c r="Y1003" s="1" t="s">
        <v>191</v>
      </c>
      <c r="Z1003" s="1" t="s">
        <v>92</v>
      </c>
      <c r="AA1003" s="1" t="s">
        <v>14410</v>
      </c>
      <c r="AB1003" s="1" t="s">
        <v>191</v>
      </c>
      <c r="AC1003" s="1" t="s">
        <v>92</v>
      </c>
      <c r="AD1003" s="1" t="s">
        <v>93</v>
      </c>
      <c r="AE1003" s="1" t="s">
        <v>93</v>
      </c>
      <c r="AF1003" s="1" t="s">
        <v>14411</v>
      </c>
      <c r="AG1003" s="1" t="s">
        <v>1942</v>
      </c>
      <c r="AH1003" s="1" t="s">
        <v>1191</v>
      </c>
      <c r="AI1003" s="1" t="s">
        <v>161</v>
      </c>
      <c r="AJ1003" s="1">
        <v>89.2</v>
      </c>
      <c r="AK1003" s="1">
        <v>9.38</v>
      </c>
      <c r="AL1003" s="1" t="s">
        <v>14412</v>
      </c>
      <c r="AM1003" s="1" t="s">
        <v>1942</v>
      </c>
      <c r="AN1003" s="1" t="s">
        <v>279</v>
      </c>
      <c r="AO1003" s="1" t="s">
        <v>562</v>
      </c>
      <c r="AP1003" s="1">
        <v>78.46</v>
      </c>
      <c r="AQ1003" s="1">
        <v>8.25</v>
      </c>
      <c r="AR1003" s="1"/>
      <c r="AS1003" s="1"/>
      <c r="AT1003" s="1"/>
      <c r="AU1003" s="1"/>
      <c r="AV1003" s="1"/>
      <c r="AW1003" s="1"/>
      <c r="AX1003" s="1" t="s">
        <v>14413</v>
      </c>
      <c r="AY1003" s="1" t="s">
        <v>361</v>
      </c>
      <c r="AZ1003" s="1" t="s">
        <v>225</v>
      </c>
      <c r="BA1003" s="1" t="s">
        <v>1378</v>
      </c>
      <c r="BB1003" s="1">
        <v>80.36</v>
      </c>
      <c r="BC1003" s="1">
        <v>8.78</v>
      </c>
      <c r="BD1003" s="1"/>
      <c r="BE1003" s="1"/>
      <c r="BF1003" s="1"/>
      <c r="BG1003" s="1"/>
      <c r="BH1003" s="1"/>
      <c r="BI1003" s="1"/>
      <c r="BJ1003" s="1" t="s">
        <v>14414</v>
      </c>
      <c r="BK1003" s="1" t="s">
        <v>14415</v>
      </c>
      <c r="BL1003" s="1" t="s">
        <v>645</v>
      </c>
      <c r="BM1003" s="1" t="s">
        <v>14416</v>
      </c>
      <c r="BN1003" s="1">
        <v>58</v>
      </c>
      <c r="BO1003" s="1" t="s">
        <v>14417</v>
      </c>
      <c r="BP1003" s="1" t="str">
        <f>HYPERLINK("https://nconnect.nicmar.ac.in/storage/profile/6a1eba10eb6f1.png","Download")</f>
        <v>0</v>
      </c>
      <c r="BQ1003" s="3"/>
      <c r="BR1003" s="3"/>
    </row>
    <row r="1004" spans="1:70">
      <c r="A1004" s="1" t="s">
        <v>14387</v>
      </c>
      <c r="B1004" s="1" t="s">
        <v>71</v>
      </c>
      <c r="C1004" s="1" t="s">
        <v>14418</v>
      </c>
      <c r="D1004" s="1" t="s">
        <v>14419</v>
      </c>
      <c r="E1004" s="1"/>
      <c r="F1004" s="1" t="s">
        <v>14420</v>
      </c>
      <c r="G1004" s="1" t="s">
        <v>14421</v>
      </c>
      <c r="H1004" s="1" t="s">
        <v>14422</v>
      </c>
      <c r="I1004" s="1" t="s">
        <v>14422</v>
      </c>
      <c r="J1004" s="1">
        <v>9689474909</v>
      </c>
      <c r="K1004" s="1" t="s">
        <v>79</v>
      </c>
      <c r="L1004" s="1" t="s">
        <v>14423</v>
      </c>
      <c r="M1004" s="1" t="s">
        <v>81</v>
      </c>
      <c r="N1004" s="1" t="s">
        <v>4861</v>
      </c>
      <c r="O1004" s="1" t="s">
        <v>83</v>
      </c>
      <c r="P1004" s="1" t="s">
        <v>214</v>
      </c>
      <c r="Q1004" s="1" t="s">
        <v>14424</v>
      </c>
      <c r="R1004" s="1" t="s">
        <v>14425</v>
      </c>
      <c r="S1004" s="1">
        <v>8796137585</v>
      </c>
      <c r="T1004" s="1" t="s">
        <v>820</v>
      </c>
      <c r="U1004" s="1" t="s">
        <v>14426</v>
      </c>
      <c r="V1004" s="1">
        <v>7350585979</v>
      </c>
      <c r="W1004" s="1" t="s">
        <v>156</v>
      </c>
      <c r="X1004" s="1" t="s">
        <v>14427</v>
      </c>
      <c r="Y1004" s="1" t="s">
        <v>11204</v>
      </c>
      <c r="Z1004" s="1" t="s">
        <v>6544</v>
      </c>
      <c r="AA1004" s="1" t="s">
        <v>14427</v>
      </c>
      <c r="AB1004" s="1" t="s">
        <v>11204</v>
      </c>
      <c r="AC1004" s="1" t="s">
        <v>6544</v>
      </c>
      <c r="AD1004" s="1" t="s">
        <v>93</v>
      </c>
      <c r="AE1004" s="1" t="s">
        <v>93</v>
      </c>
      <c r="AF1004" s="1" t="s">
        <v>1599</v>
      </c>
      <c r="AG1004" s="1" t="s">
        <v>14428</v>
      </c>
      <c r="AH1004" s="1" t="s">
        <v>1088</v>
      </c>
      <c r="AI1004" s="1" t="s">
        <v>1089</v>
      </c>
      <c r="AJ1004" s="1">
        <v>68.4</v>
      </c>
      <c r="AK1004" s="1">
        <v>7.2</v>
      </c>
      <c r="AL1004" s="1" t="s">
        <v>93</v>
      </c>
      <c r="AM1004" s="1" t="s">
        <v>14428</v>
      </c>
      <c r="AN1004" s="1" t="s">
        <v>310</v>
      </c>
      <c r="AO1004" s="1" t="s">
        <v>1169</v>
      </c>
      <c r="AP1004" s="1">
        <v>53.2</v>
      </c>
      <c r="AQ1004" s="1"/>
      <c r="AR1004" s="1"/>
      <c r="AS1004" s="1"/>
      <c r="AT1004" s="1"/>
      <c r="AU1004" s="1"/>
      <c r="AV1004" s="1"/>
      <c r="AW1004" s="1"/>
      <c r="AX1004" s="1" t="s">
        <v>14429</v>
      </c>
      <c r="AY1004" s="1" t="s">
        <v>14428</v>
      </c>
      <c r="AZ1004" s="1" t="s">
        <v>539</v>
      </c>
      <c r="BA1004" s="1" t="s">
        <v>4109</v>
      </c>
      <c r="BB1004" s="1">
        <v>55</v>
      </c>
      <c r="BC1004" s="1">
        <v>6.25</v>
      </c>
      <c r="BD1004" s="1"/>
      <c r="BE1004" s="1"/>
      <c r="BF1004" s="1"/>
      <c r="BG1004" s="1"/>
      <c r="BH1004" s="1"/>
      <c r="BI1004" s="1"/>
      <c r="BJ1004" s="1" t="s">
        <v>14430</v>
      </c>
      <c r="BK1004" s="1"/>
      <c r="BL1004" s="1"/>
      <c r="BM1004" s="1" t="s">
        <v>14431</v>
      </c>
      <c r="BN1004" s="1">
        <v>23</v>
      </c>
      <c r="BO1004" s="1" t="s">
        <v>14432</v>
      </c>
      <c r="BP1004" s="1" t="str">
        <f>HYPERLINK("https://nconnect.nicmar.ac.in/storage/profile/6a1fa4f8604ae.png","Download")</f>
        <v>0</v>
      </c>
      <c r="BQ1004" s="3"/>
      <c r="BR1004" s="3"/>
    </row>
    <row r="1005" spans="1:70">
      <c r="A1005" s="1" t="s">
        <v>14387</v>
      </c>
      <c r="B1005" s="1" t="s">
        <v>71</v>
      </c>
      <c r="C1005" s="1" t="s">
        <v>14433</v>
      </c>
      <c r="D1005" s="1" t="s">
        <v>10071</v>
      </c>
      <c r="E1005" s="1" t="s">
        <v>3061</v>
      </c>
      <c r="F1005" s="1" t="s">
        <v>14434</v>
      </c>
      <c r="G1005" s="1" t="s">
        <v>14435</v>
      </c>
      <c r="H1005" s="1" t="s">
        <v>14436</v>
      </c>
      <c r="I1005" s="1" t="s">
        <v>14436</v>
      </c>
      <c r="J1005" s="1">
        <v>9373849785</v>
      </c>
      <c r="K1005" s="1" t="s">
        <v>148</v>
      </c>
      <c r="L1005" s="1" t="s">
        <v>14437</v>
      </c>
      <c r="M1005" s="1" t="s">
        <v>81</v>
      </c>
      <c r="N1005" s="1" t="s">
        <v>4861</v>
      </c>
      <c r="O1005" s="1" t="s">
        <v>83</v>
      </c>
      <c r="P1005" s="1" t="s">
        <v>117</v>
      </c>
      <c r="Q1005" s="1" t="s">
        <v>14438</v>
      </c>
      <c r="R1005" s="1" t="s">
        <v>14439</v>
      </c>
      <c r="S1005" s="1">
        <v>9822870841</v>
      </c>
      <c r="T1005" s="1" t="s">
        <v>2972</v>
      </c>
      <c r="U1005" s="1" t="s">
        <v>14440</v>
      </c>
      <c r="V1005" s="1">
        <v>9921868579</v>
      </c>
      <c r="W1005" s="1" t="s">
        <v>156</v>
      </c>
      <c r="X1005" s="1" t="s">
        <v>14441</v>
      </c>
      <c r="Y1005" s="1" t="s">
        <v>1754</v>
      </c>
      <c r="Z1005" s="1" t="s">
        <v>92</v>
      </c>
      <c r="AA1005" s="1" t="s">
        <v>14441</v>
      </c>
      <c r="AB1005" s="1" t="s">
        <v>1754</v>
      </c>
      <c r="AC1005" s="1" t="s">
        <v>92</v>
      </c>
      <c r="AD1005" s="1" t="s">
        <v>93</v>
      </c>
      <c r="AE1005" s="1" t="s">
        <v>93</v>
      </c>
      <c r="AF1005" s="1" t="s">
        <v>14442</v>
      </c>
      <c r="AG1005" s="1" t="s">
        <v>12543</v>
      </c>
      <c r="AH1005" s="1" t="s">
        <v>96</v>
      </c>
      <c r="AI1005" s="1" t="s">
        <v>161</v>
      </c>
      <c r="AJ1005" s="1">
        <v>77.2</v>
      </c>
      <c r="AK1005" s="1"/>
      <c r="AL1005" s="1" t="s">
        <v>14443</v>
      </c>
      <c r="AM1005" s="1" t="s">
        <v>1942</v>
      </c>
      <c r="AN1005" s="1" t="s">
        <v>614</v>
      </c>
      <c r="AO1005" s="1" t="s">
        <v>562</v>
      </c>
      <c r="AP1005" s="1">
        <v>59.38</v>
      </c>
      <c r="AQ1005" s="1"/>
      <c r="AR1005" s="1"/>
      <c r="AS1005" s="1"/>
      <c r="AT1005" s="1"/>
      <c r="AU1005" s="1"/>
      <c r="AV1005" s="1"/>
      <c r="AW1005" s="1"/>
      <c r="AX1005" s="1" t="s">
        <v>361</v>
      </c>
      <c r="AY1005" s="1" t="s">
        <v>14444</v>
      </c>
      <c r="AZ1005" s="1" t="s">
        <v>310</v>
      </c>
      <c r="BA1005" s="1" t="s">
        <v>202</v>
      </c>
      <c r="BB1005" s="1">
        <v>63.1</v>
      </c>
      <c r="BC1005" s="1">
        <v>7.06</v>
      </c>
      <c r="BD1005" s="1"/>
      <c r="BE1005" s="1"/>
      <c r="BF1005" s="1"/>
      <c r="BG1005" s="1"/>
      <c r="BH1005" s="1"/>
      <c r="BI1005" s="1"/>
      <c r="BJ1005" s="1" t="s">
        <v>14445</v>
      </c>
      <c r="BK1005" s="1"/>
      <c r="BL1005" s="1"/>
      <c r="BM1005" s="1" t="s">
        <v>14446</v>
      </c>
      <c r="BN1005" s="1">
        <v>26</v>
      </c>
      <c r="BO1005" s="1" t="s">
        <v>14447</v>
      </c>
      <c r="BP1005" s="1" t="str">
        <f>HYPERLINK("https://nconnect.nicmar.ac.in/storage/profile/6a1fadfe61e9d.png","Download")</f>
        <v>0</v>
      </c>
      <c r="BQ1005" s="3"/>
      <c r="BR1005" s="3"/>
    </row>
    <row r="1006" spans="1:70">
      <c r="A1006" s="1" t="s">
        <v>14387</v>
      </c>
      <c r="B1006" s="1" t="s">
        <v>71</v>
      </c>
      <c r="C1006" s="1" t="s">
        <v>14448</v>
      </c>
      <c r="D1006" s="1" t="s">
        <v>744</v>
      </c>
      <c r="E1006" s="1" t="s">
        <v>208</v>
      </c>
      <c r="F1006" s="1" t="s">
        <v>14449</v>
      </c>
      <c r="G1006" s="1" t="s">
        <v>14450</v>
      </c>
      <c r="H1006" s="1" t="s">
        <v>14451</v>
      </c>
      <c r="I1006" s="1" t="s">
        <v>14451</v>
      </c>
      <c r="J1006" s="1">
        <v>9146501657</v>
      </c>
      <c r="K1006" s="1" t="s">
        <v>79</v>
      </c>
      <c r="L1006" s="1" t="s">
        <v>11288</v>
      </c>
      <c r="M1006" s="1" t="s">
        <v>81</v>
      </c>
      <c r="N1006" s="1" t="s">
        <v>8278</v>
      </c>
      <c r="O1006" s="1" t="s">
        <v>83</v>
      </c>
      <c r="P1006" s="1" t="s">
        <v>214</v>
      </c>
      <c r="Q1006" s="1" t="s">
        <v>14452</v>
      </c>
      <c r="R1006" s="1" t="s">
        <v>14453</v>
      </c>
      <c r="S1006" s="1">
        <v>9422804268</v>
      </c>
      <c r="T1006" s="1" t="s">
        <v>820</v>
      </c>
      <c r="U1006" s="1" t="s">
        <v>14454</v>
      </c>
      <c r="V1006" s="1">
        <v>9422230451</v>
      </c>
      <c r="W1006" s="1" t="s">
        <v>89</v>
      </c>
      <c r="X1006" s="1" t="s">
        <v>14455</v>
      </c>
      <c r="Y1006" s="1" t="s">
        <v>405</v>
      </c>
      <c r="Z1006" s="1" t="s">
        <v>92</v>
      </c>
      <c r="AA1006" s="1" t="s">
        <v>14455</v>
      </c>
      <c r="AB1006" s="1" t="s">
        <v>405</v>
      </c>
      <c r="AC1006" s="1" t="s">
        <v>92</v>
      </c>
      <c r="AD1006" s="1" t="s">
        <v>93</v>
      </c>
      <c r="AE1006" s="1" t="s">
        <v>93</v>
      </c>
      <c r="AF1006" s="1" t="s">
        <v>14456</v>
      </c>
      <c r="AG1006" s="1" t="s">
        <v>975</v>
      </c>
      <c r="AH1006" s="1" t="s">
        <v>614</v>
      </c>
      <c r="AI1006" s="1" t="s">
        <v>195</v>
      </c>
      <c r="AJ1006" s="1">
        <v>88.2</v>
      </c>
      <c r="AK1006" s="1"/>
      <c r="AL1006" s="1"/>
      <c r="AM1006" s="1"/>
      <c r="AN1006" s="1"/>
      <c r="AO1006" s="1"/>
      <c r="AP1006" s="1"/>
      <c r="AQ1006" s="1"/>
      <c r="AR1006" s="1" t="s">
        <v>14457</v>
      </c>
      <c r="AS1006" s="1" t="s">
        <v>14458</v>
      </c>
      <c r="AT1006" s="1" t="s">
        <v>225</v>
      </c>
      <c r="AU1006" s="1" t="s">
        <v>170</v>
      </c>
      <c r="AV1006" s="1">
        <v>77.85</v>
      </c>
      <c r="AW1006" s="1"/>
      <c r="AX1006" s="1" t="s">
        <v>6024</v>
      </c>
      <c r="AY1006" s="1" t="s">
        <v>8785</v>
      </c>
      <c r="AZ1006" s="1" t="s">
        <v>363</v>
      </c>
      <c r="BA1006" s="1" t="s">
        <v>915</v>
      </c>
      <c r="BB1006" s="1">
        <v>57.2</v>
      </c>
      <c r="BC1006" s="1">
        <v>6.47</v>
      </c>
      <c r="BD1006" s="1"/>
      <c r="BE1006" s="1"/>
      <c r="BF1006" s="1"/>
      <c r="BG1006" s="1"/>
      <c r="BH1006" s="1"/>
      <c r="BI1006" s="1"/>
      <c r="BJ1006" s="1" t="s">
        <v>14459</v>
      </c>
      <c r="BK1006" s="1"/>
      <c r="BL1006" s="1"/>
      <c r="BM1006" s="1" t="s">
        <v>14460</v>
      </c>
      <c r="BN1006" s="1">
        <v>21</v>
      </c>
      <c r="BO1006" s="1"/>
      <c r="BP1006" s="1" t="str">
        <f>HYPERLINK("https://nconnect.nicmar.ac.in/storage/profile/6a1fc411369af.png","Download")</f>
        <v>0</v>
      </c>
      <c r="BQ1006" s="3"/>
      <c r="BR1006" s="3"/>
    </row>
    <row r="1007" spans="1:70">
      <c r="A1007" s="1" t="s">
        <v>14387</v>
      </c>
      <c r="B1007" s="1" t="s">
        <v>441</v>
      </c>
      <c r="C1007" s="1" t="s">
        <v>14461</v>
      </c>
      <c r="D1007" s="1" t="s">
        <v>14462</v>
      </c>
      <c r="E1007" s="1"/>
      <c r="F1007" s="1" t="s">
        <v>14463</v>
      </c>
      <c r="G1007" s="1" t="s">
        <v>14464</v>
      </c>
      <c r="H1007" s="1" t="s">
        <v>14465</v>
      </c>
      <c r="I1007" s="1" t="s">
        <v>14466</v>
      </c>
      <c r="J1007" s="1">
        <v>7889141835</v>
      </c>
      <c r="K1007" s="1" t="s">
        <v>148</v>
      </c>
      <c r="L1007" s="1" t="s">
        <v>14467</v>
      </c>
      <c r="M1007" s="1" t="s">
        <v>81</v>
      </c>
      <c r="N1007" s="1" t="s">
        <v>1363</v>
      </c>
      <c r="O1007" s="1" t="s">
        <v>14468</v>
      </c>
      <c r="P1007" s="1" t="s">
        <v>497</v>
      </c>
      <c r="Q1007" s="1" t="s">
        <v>14469</v>
      </c>
      <c r="R1007" s="1" t="s">
        <v>14470</v>
      </c>
      <c r="S1007" s="1">
        <v>9878534679</v>
      </c>
      <c r="T1007" s="1" t="s">
        <v>14471</v>
      </c>
      <c r="U1007" s="1" t="s">
        <v>14472</v>
      </c>
      <c r="V1007" s="1">
        <v>9078488685</v>
      </c>
      <c r="W1007" s="1" t="s">
        <v>156</v>
      </c>
      <c r="X1007" s="1" t="s">
        <v>14473</v>
      </c>
      <c r="Y1007" s="1" t="s">
        <v>4140</v>
      </c>
      <c r="Z1007" s="1" t="s">
        <v>846</v>
      </c>
      <c r="AA1007" s="1" t="s">
        <v>14474</v>
      </c>
      <c r="AB1007" s="1" t="s">
        <v>14475</v>
      </c>
      <c r="AC1007" s="1" t="s">
        <v>951</v>
      </c>
      <c r="AD1007" s="1" t="s">
        <v>93</v>
      </c>
      <c r="AE1007" s="1" t="s">
        <v>93</v>
      </c>
      <c r="AF1007" s="1" t="s">
        <v>14476</v>
      </c>
      <c r="AG1007" s="1" t="s">
        <v>14477</v>
      </c>
      <c r="AH1007" s="1" t="s">
        <v>1191</v>
      </c>
      <c r="AI1007" s="1" t="s">
        <v>131</v>
      </c>
      <c r="AJ1007" s="1">
        <v>85.5</v>
      </c>
      <c r="AK1007" s="1">
        <v>9</v>
      </c>
      <c r="AL1007" s="1" t="s">
        <v>14478</v>
      </c>
      <c r="AM1007" s="1" t="s">
        <v>14479</v>
      </c>
      <c r="AN1007" s="1" t="s">
        <v>279</v>
      </c>
      <c r="AO1007" s="1" t="s">
        <v>562</v>
      </c>
      <c r="AP1007" s="1">
        <v>77.6</v>
      </c>
      <c r="AQ1007" s="1"/>
      <c r="AR1007" s="1"/>
      <c r="AS1007" s="1"/>
      <c r="AT1007" s="1"/>
      <c r="AU1007" s="1"/>
      <c r="AV1007" s="1"/>
      <c r="AW1007" s="1"/>
      <c r="AX1007" s="1" t="s">
        <v>14480</v>
      </c>
      <c r="AY1007" s="1" t="s">
        <v>14481</v>
      </c>
      <c r="AZ1007" s="1" t="s">
        <v>383</v>
      </c>
      <c r="BA1007" s="1" t="s">
        <v>1378</v>
      </c>
      <c r="BB1007" s="1">
        <v>80.2</v>
      </c>
      <c r="BC1007" s="1">
        <v>8.02</v>
      </c>
      <c r="BD1007" s="1"/>
      <c r="BE1007" s="1"/>
      <c r="BF1007" s="1"/>
      <c r="BG1007" s="1"/>
      <c r="BH1007" s="1"/>
      <c r="BI1007" s="1"/>
      <c r="BJ1007" s="1" t="s">
        <v>14482</v>
      </c>
      <c r="BK1007" s="1"/>
      <c r="BL1007" s="1"/>
      <c r="BM1007" s="1" t="s">
        <v>14483</v>
      </c>
      <c r="BN1007" s="1">
        <v>48</v>
      </c>
      <c r="BO1007" s="1" t="s">
        <v>14484</v>
      </c>
      <c r="BP1007" s="1" t="str">
        <f>HYPERLINK("https://nconnect.nicmar.ac.in/storage/profile/ProfilePhoto_P24702124_129675.jpg","Download")</f>
        <v>0</v>
      </c>
      <c r="BQ1007" s="3"/>
      <c r="BR1007" s="3"/>
    </row>
    <row r="1008" spans="1:70">
      <c r="A1008" s="1" t="s">
        <v>14387</v>
      </c>
      <c r="B1008" s="1" t="s">
        <v>441</v>
      </c>
      <c r="C1008" s="1" t="s">
        <v>14485</v>
      </c>
      <c r="D1008" s="1" t="s">
        <v>14486</v>
      </c>
      <c r="E1008" s="1" t="s">
        <v>2426</v>
      </c>
      <c r="F1008" s="1" t="s">
        <v>14487</v>
      </c>
      <c r="G1008" s="1" t="s">
        <v>14488</v>
      </c>
      <c r="H1008" s="1" t="s">
        <v>14489</v>
      </c>
      <c r="I1008" s="1" t="s">
        <v>14490</v>
      </c>
      <c r="J1008" s="1">
        <v>8917573341</v>
      </c>
      <c r="K1008" s="1" t="s">
        <v>79</v>
      </c>
      <c r="L1008" s="1" t="s">
        <v>14491</v>
      </c>
      <c r="M1008" s="1" t="s">
        <v>81</v>
      </c>
      <c r="N1008" s="1" t="s">
        <v>862</v>
      </c>
      <c r="O1008" s="1"/>
      <c r="P1008" s="1" t="s">
        <v>450</v>
      </c>
      <c r="Q1008" s="1" t="s">
        <v>14492</v>
      </c>
      <c r="R1008" s="1" t="s">
        <v>14493</v>
      </c>
      <c r="S1008" s="1">
        <v>9937562879</v>
      </c>
      <c r="T1008" s="1" t="s">
        <v>8442</v>
      </c>
      <c r="U1008" s="1" t="s">
        <v>14494</v>
      </c>
      <c r="V1008" s="1">
        <v>9853842707</v>
      </c>
      <c r="W1008" s="1" t="s">
        <v>531</v>
      </c>
      <c r="X1008" s="1" t="s">
        <v>14495</v>
      </c>
      <c r="Y1008" s="1" t="s">
        <v>1236</v>
      </c>
      <c r="Z1008" s="1" t="s">
        <v>846</v>
      </c>
      <c r="AA1008" s="1" t="s">
        <v>14495</v>
      </c>
      <c r="AB1008" s="1" t="s">
        <v>1236</v>
      </c>
      <c r="AC1008" s="1" t="s">
        <v>846</v>
      </c>
      <c r="AD1008" s="1">
        <v>9.82</v>
      </c>
      <c r="AE1008" s="1" t="s">
        <v>93</v>
      </c>
      <c r="AF1008" s="1" t="s">
        <v>14496</v>
      </c>
      <c r="AG1008" s="1" t="s">
        <v>2154</v>
      </c>
      <c r="AH1008" s="1" t="s">
        <v>1239</v>
      </c>
      <c r="AI1008" s="1" t="s">
        <v>131</v>
      </c>
      <c r="AJ1008" s="1">
        <v>69</v>
      </c>
      <c r="AK1008" s="1"/>
      <c r="AL1008" s="1" t="s">
        <v>14497</v>
      </c>
      <c r="AM1008" s="1" t="s">
        <v>758</v>
      </c>
      <c r="AN1008" s="1" t="s">
        <v>614</v>
      </c>
      <c r="AO1008" s="1" t="s">
        <v>562</v>
      </c>
      <c r="AP1008" s="1">
        <v>61</v>
      </c>
      <c r="AQ1008" s="1"/>
      <c r="AR1008" s="1"/>
      <c r="AS1008" s="1"/>
      <c r="AT1008" s="1"/>
      <c r="AU1008" s="1"/>
      <c r="AV1008" s="1"/>
      <c r="AW1008" s="1"/>
      <c r="AX1008" s="1" t="s">
        <v>5110</v>
      </c>
      <c r="AY1008" s="1" t="s">
        <v>14498</v>
      </c>
      <c r="AZ1008" s="1" t="s">
        <v>165</v>
      </c>
      <c r="BA1008" s="1" t="s">
        <v>826</v>
      </c>
      <c r="BB1008" s="1">
        <v>79.9</v>
      </c>
      <c r="BC1008" s="1">
        <v>7.99</v>
      </c>
      <c r="BD1008" s="1"/>
      <c r="BE1008" s="1"/>
      <c r="BF1008" s="1"/>
      <c r="BG1008" s="1"/>
      <c r="BH1008" s="1"/>
      <c r="BI1008" s="1"/>
      <c r="BJ1008" s="1" t="s">
        <v>14499</v>
      </c>
      <c r="BK1008" s="1" t="s">
        <v>14500</v>
      </c>
      <c r="BL1008" s="1" t="s">
        <v>14501</v>
      </c>
      <c r="BM1008" s="1" t="s">
        <v>14502</v>
      </c>
      <c r="BN1008" s="1">
        <v>8</v>
      </c>
      <c r="BO1008" s="1"/>
      <c r="BP1008" s="1" t="str">
        <f>HYPERLINK("https://nconnect.nicmar.ac.in/storage/profile/ProfilePhoto_P25702001_634892.jpg","Download")</f>
        <v>0</v>
      </c>
      <c r="BQ1008" s="3"/>
      <c r="BR1008" s="3"/>
    </row>
    <row r="1009" spans="1:70">
      <c r="A1009" s="1" t="s">
        <v>14387</v>
      </c>
      <c r="B1009" s="1" t="s">
        <v>441</v>
      </c>
      <c r="C1009" s="1" t="s">
        <v>14503</v>
      </c>
      <c r="D1009" s="1" t="s">
        <v>11641</v>
      </c>
      <c r="E1009" s="1" t="s">
        <v>1000</v>
      </c>
      <c r="F1009" s="1" t="s">
        <v>14504</v>
      </c>
      <c r="G1009" s="1" t="s">
        <v>14505</v>
      </c>
      <c r="H1009" s="1" t="s">
        <v>14506</v>
      </c>
      <c r="I1009" s="1" t="s">
        <v>14507</v>
      </c>
      <c r="J1009" s="1">
        <v>9987557698</v>
      </c>
      <c r="K1009" s="1" t="s">
        <v>148</v>
      </c>
      <c r="L1009" s="1" t="s">
        <v>14508</v>
      </c>
      <c r="M1009" s="1" t="s">
        <v>81</v>
      </c>
      <c r="N1009" s="1" t="s">
        <v>1140</v>
      </c>
      <c r="O1009" s="1"/>
      <c r="P1009" s="1" t="s">
        <v>497</v>
      </c>
      <c r="Q1009" s="1" t="s">
        <v>14509</v>
      </c>
      <c r="R1009" s="1" t="s">
        <v>1000</v>
      </c>
      <c r="S1009" s="1">
        <v>9987557697</v>
      </c>
      <c r="T1009" s="1" t="s">
        <v>906</v>
      </c>
      <c r="U1009" s="1" t="s">
        <v>1103</v>
      </c>
      <c r="V1009" s="1">
        <v>8108911444</v>
      </c>
      <c r="W1009" s="1" t="s">
        <v>122</v>
      </c>
      <c r="X1009" s="1" t="s">
        <v>14510</v>
      </c>
      <c r="Y1009" s="1" t="s">
        <v>191</v>
      </c>
      <c r="Z1009" s="1" t="s">
        <v>92</v>
      </c>
      <c r="AA1009" s="1" t="s">
        <v>14511</v>
      </c>
      <c r="AB1009" s="1" t="s">
        <v>991</v>
      </c>
      <c r="AC1009" s="1" t="s">
        <v>92</v>
      </c>
      <c r="AD1009" s="1">
        <v>8.64</v>
      </c>
      <c r="AE1009" s="1" t="s">
        <v>93</v>
      </c>
      <c r="AF1009" s="1" t="s">
        <v>14512</v>
      </c>
      <c r="AG1009" s="1" t="s">
        <v>14513</v>
      </c>
      <c r="AH1009" s="1" t="s">
        <v>4602</v>
      </c>
      <c r="AI1009" s="1" t="s">
        <v>1089</v>
      </c>
      <c r="AJ1009" s="1">
        <v>86.8</v>
      </c>
      <c r="AK1009" s="1"/>
      <c r="AL1009" s="1" t="s">
        <v>14514</v>
      </c>
      <c r="AM1009" s="1" t="s">
        <v>14513</v>
      </c>
      <c r="AN1009" s="1" t="s">
        <v>162</v>
      </c>
      <c r="AO1009" s="1" t="s">
        <v>1455</v>
      </c>
      <c r="AP1009" s="1">
        <v>63.08</v>
      </c>
      <c r="AQ1009" s="1"/>
      <c r="AR1009" s="1"/>
      <c r="AS1009" s="1"/>
      <c r="AT1009" s="1"/>
      <c r="AU1009" s="1"/>
      <c r="AV1009" s="1"/>
      <c r="AW1009" s="1"/>
      <c r="AX1009" s="1" t="s">
        <v>666</v>
      </c>
      <c r="AY1009" s="1" t="s">
        <v>14515</v>
      </c>
      <c r="AZ1009" s="1" t="s">
        <v>101</v>
      </c>
      <c r="BA1009" s="1" t="s">
        <v>566</v>
      </c>
      <c r="BB1009" s="1">
        <v>75.04</v>
      </c>
      <c r="BC1009" s="1">
        <v>8.52</v>
      </c>
      <c r="BD1009" s="1"/>
      <c r="BE1009" s="1"/>
      <c r="BF1009" s="1"/>
      <c r="BG1009" s="1"/>
      <c r="BH1009" s="1"/>
      <c r="BI1009" s="1"/>
      <c r="BJ1009" s="1" t="s">
        <v>14516</v>
      </c>
      <c r="BK1009" s="1" t="s">
        <v>14517</v>
      </c>
      <c r="BL1009" s="1" t="s">
        <v>762</v>
      </c>
      <c r="BM1009" s="1" t="s">
        <v>14518</v>
      </c>
      <c r="BN1009" s="1">
        <v>34</v>
      </c>
      <c r="BO1009" s="1"/>
      <c r="BP1009" s="1" t="str">
        <f>HYPERLINK("https://nconnect.nicmar.ac.in/storage/profile/ProfilePhoto_P25702002_231946.jpg","Download")</f>
        <v>0</v>
      </c>
      <c r="BQ1009" s="3"/>
      <c r="BR1009" s="3"/>
    </row>
    <row r="1010" spans="1:70">
      <c r="A1010" s="1" t="s">
        <v>14387</v>
      </c>
      <c r="B1010" s="1" t="s">
        <v>441</v>
      </c>
      <c r="C1010" s="1" t="s">
        <v>14519</v>
      </c>
      <c r="D1010" s="1" t="s">
        <v>2374</v>
      </c>
      <c r="E1010" s="1" t="s">
        <v>452</v>
      </c>
      <c r="F1010" s="1" t="s">
        <v>14520</v>
      </c>
      <c r="G1010" s="1" t="s">
        <v>14521</v>
      </c>
      <c r="H1010" s="1" t="s">
        <v>14522</v>
      </c>
      <c r="I1010" s="1" t="s">
        <v>14523</v>
      </c>
      <c r="J1010" s="1">
        <v>7039966448</v>
      </c>
      <c r="K1010" s="1" t="s">
        <v>79</v>
      </c>
      <c r="L1010" s="1" t="s">
        <v>14524</v>
      </c>
      <c r="M1010" s="1" t="s">
        <v>81</v>
      </c>
      <c r="N1010" s="1" t="s">
        <v>1140</v>
      </c>
      <c r="O1010" s="1"/>
      <c r="P1010" s="1" t="s">
        <v>1007</v>
      </c>
      <c r="Q1010" s="1" t="s">
        <v>14525</v>
      </c>
      <c r="R1010" s="1" t="s">
        <v>14526</v>
      </c>
      <c r="S1010" s="1">
        <v>8805022278</v>
      </c>
      <c r="T1010" s="1" t="s">
        <v>14471</v>
      </c>
      <c r="U1010" s="1" t="s">
        <v>14527</v>
      </c>
      <c r="V1010" s="1">
        <v>7045780444</v>
      </c>
      <c r="W1010" s="1" t="s">
        <v>14528</v>
      </c>
      <c r="X1010" s="1" t="s">
        <v>14529</v>
      </c>
      <c r="Y1010" s="1" t="s">
        <v>1857</v>
      </c>
      <c r="Z1010" s="1" t="s">
        <v>92</v>
      </c>
      <c r="AA1010" s="1" t="s">
        <v>14529</v>
      </c>
      <c r="AB1010" s="1" t="s">
        <v>1857</v>
      </c>
      <c r="AC1010" s="1" t="s">
        <v>92</v>
      </c>
      <c r="AD1010" s="1">
        <v>7.16</v>
      </c>
      <c r="AE1010" s="1" t="s">
        <v>93</v>
      </c>
      <c r="AF1010" s="1" t="s">
        <v>14530</v>
      </c>
      <c r="AG1010" s="1" t="s">
        <v>4335</v>
      </c>
      <c r="AH1010" s="1" t="s">
        <v>1088</v>
      </c>
      <c r="AI1010" s="1" t="s">
        <v>614</v>
      </c>
      <c r="AJ1010" s="1">
        <v>82.8</v>
      </c>
      <c r="AK1010" s="1"/>
      <c r="AL1010" s="1" t="s">
        <v>14531</v>
      </c>
      <c r="AM1010" s="1" t="s">
        <v>4335</v>
      </c>
      <c r="AN1010" s="1" t="s">
        <v>165</v>
      </c>
      <c r="AO1010" s="1" t="s">
        <v>166</v>
      </c>
      <c r="AP1010" s="1">
        <v>57.23</v>
      </c>
      <c r="AQ1010" s="1"/>
      <c r="AR1010" s="1"/>
      <c r="AS1010" s="1"/>
      <c r="AT1010" s="1"/>
      <c r="AU1010" s="1"/>
      <c r="AV1010" s="1"/>
      <c r="AW1010" s="1"/>
      <c r="AX1010" s="1" t="s">
        <v>666</v>
      </c>
      <c r="AY1010" s="1" t="s">
        <v>14532</v>
      </c>
      <c r="AZ1010" s="1" t="s">
        <v>1043</v>
      </c>
      <c r="BA1010" s="1" t="s">
        <v>935</v>
      </c>
      <c r="BB1010" s="1">
        <v>67</v>
      </c>
      <c r="BC1010" s="1">
        <v>7.64</v>
      </c>
      <c r="BD1010" s="1"/>
      <c r="BE1010" s="1"/>
      <c r="BF1010" s="1"/>
      <c r="BG1010" s="1"/>
      <c r="BH1010" s="1"/>
      <c r="BI1010" s="1"/>
      <c r="BJ1010" s="1" t="s">
        <v>364</v>
      </c>
      <c r="BK1010" s="1"/>
      <c r="BL1010" s="1"/>
      <c r="BM1010" s="1" t="s">
        <v>14533</v>
      </c>
      <c r="BN1010" s="1">
        <v>30</v>
      </c>
      <c r="BO1010" s="1" t="s">
        <v>14534</v>
      </c>
      <c r="BP1010" s="1" t="str">
        <f>HYPERLINK("https://nconnect.nicmar.ac.in/storage/profile/ProfilePhoto_P25702003_496738.jpg","Download")</f>
        <v>0</v>
      </c>
      <c r="BQ1010" s="3"/>
      <c r="BR1010" s="3"/>
    </row>
    <row r="1011" spans="1:70">
      <c r="A1011" s="1" t="s">
        <v>14387</v>
      </c>
      <c r="B1011" s="1" t="s">
        <v>441</v>
      </c>
      <c r="C1011" s="1" t="s">
        <v>14535</v>
      </c>
      <c r="D1011" s="1" t="s">
        <v>14536</v>
      </c>
      <c r="E1011" s="1"/>
      <c r="F1011" s="1" t="s">
        <v>14537</v>
      </c>
      <c r="G1011" s="1" t="s">
        <v>14538</v>
      </c>
      <c r="H1011" s="1" t="s">
        <v>14539</v>
      </c>
      <c r="I1011" s="1" t="s">
        <v>14540</v>
      </c>
      <c r="J1011" s="1">
        <v>8999352941</v>
      </c>
      <c r="K1011" s="1" t="s">
        <v>79</v>
      </c>
      <c r="L1011" s="1" t="s">
        <v>5028</v>
      </c>
      <c r="M1011" s="1" t="s">
        <v>81</v>
      </c>
      <c r="N1011" s="1" t="s">
        <v>14541</v>
      </c>
      <c r="O1011" s="1"/>
      <c r="P1011" s="1" t="s">
        <v>497</v>
      </c>
      <c r="Q1011" s="1" t="s">
        <v>14542</v>
      </c>
      <c r="R1011" s="1" t="s">
        <v>14543</v>
      </c>
      <c r="S1011" s="1">
        <v>9822134050</v>
      </c>
      <c r="T1011" s="1" t="s">
        <v>3711</v>
      </c>
      <c r="U1011" s="1" t="s">
        <v>14544</v>
      </c>
      <c r="V1011" s="1">
        <v>9096876414</v>
      </c>
      <c r="W1011" s="1" t="s">
        <v>156</v>
      </c>
      <c r="X1011" s="1" t="s">
        <v>14545</v>
      </c>
      <c r="Y1011" s="1" t="s">
        <v>6543</v>
      </c>
      <c r="Z1011" s="1" t="s">
        <v>6544</v>
      </c>
      <c r="AA1011" s="1" t="s">
        <v>14545</v>
      </c>
      <c r="AB1011" s="1" t="s">
        <v>6543</v>
      </c>
      <c r="AC1011" s="1" t="s">
        <v>6544</v>
      </c>
      <c r="AD1011" s="1">
        <v>8.77</v>
      </c>
      <c r="AE1011" s="1" t="s">
        <v>93</v>
      </c>
      <c r="AF1011" s="1" t="s">
        <v>14546</v>
      </c>
      <c r="AG1011" s="1" t="s">
        <v>14547</v>
      </c>
      <c r="AH1011" s="1" t="s">
        <v>383</v>
      </c>
      <c r="AI1011" s="1" t="s">
        <v>101</v>
      </c>
      <c r="AJ1011" s="1">
        <v>73</v>
      </c>
      <c r="AK1011" s="1"/>
      <c r="AL1011" s="1" t="s">
        <v>14548</v>
      </c>
      <c r="AM1011" s="1" t="s">
        <v>14547</v>
      </c>
      <c r="AN1011" s="1" t="s">
        <v>310</v>
      </c>
      <c r="AO1011" s="1" t="s">
        <v>460</v>
      </c>
      <c r="AP1011" s="1">
        <v>54.33</v>
      </c>
      <c r="AQ1011" s="1"/>
      <c r="AR1011" s="1"/>
      <c r="AS1011" s="1"/>
      <c r="AT1011" s="1"/>
      <c r="AU1011" s="1"/>
      <c r="AV1011" s="1"/>
      <c r="AW1011" s="1"/>
      <c r="AX1011" s="1" t="s">
        <v>14549</v>
      </c>
      <c r="AY1011" s="1" t="s">
        <v>14549</v>
      </c>
      <c r="AZ1011" s="1" t="s">
        <v>1019</v>
      </c>
      <c r="BA1011" s="1" t="s">
        <v>202</v>
      </c>
      <c r="BB1011" s="1">
        <v>67.6</v>
      </c>
      <c r="BC1011" s="1">
        <v>7.26</v>
      </c>
      <c r="BD1011" s="1"/>
      <c r="BE1011" s="1"/>
      <c r="BF1011" s="1"/>
      <c r="BG1011" s="1"/>
      <c r="BH1011" s="1"/>
      <c r="BI1011" s="1"/>
      <c r="BJ1011" s="1" t="s">
        <v>14550</v>
      </c>
      <c r="BK1011" s="1" t="s">
        <v>14551</v>
      </c>
      <c r="BL1011" s="1" t="s">
        <v>463</v>
      </c>
      <c r="BM1011" s="1" t="s">
        <v>14552</v>
      </c>
      <c r="BN1011" s="1">
        <v>15</v>
      </c>
      <c r="BO1011" s="1" t="s">
        <v>14553</v>
      </c>
      <c r="BP1011" s="1" t="str">
        <f>HYPERLINK("https://nconnect.nicmar.ac.in/storage/profile/ProfilePhoto_P25702005_782691.jpg","Download")</f>
        <v>0</v>
      </c>
      <c r="BQ1011" s="3"/>
      <c r="BR1011" s="3"/>
    </row>
    <row r="1012" spans="1:70">
      <c r="A1012" s="1" t="s">
        <v>14387</v>
      </c>
      <c r="B1012" s="1" t="s">
        <v>441</v>
      </c>
      <c r="C1012" s="1" t="s">
        <v>14554</v>
      </c>
      <c r="D1012" s="1" t="s">
        <v>6800</v>
      </c>
      <c r="E1012" s="1"/>
      <c r="F1012" s="1" t="s">
        <v>4931</v>
      </c>
      <c r="G1012" s="1" t="s">
        <v>14555</v>
      </c>
      <c r="H1012" s="1" t="s">
        <v>14556</v>
      </c>
      <c r="I1012" s="1" t="s">
        <v>14557</v>
      </c>
      <c r="J1012" s="1">
        <v>8637370613</v>
      </c>
      <c r="K1012" s="1" t="s">
        <v>148</v>
      </c>
      <c r="L1012" s="1" t="s">
        <v>14558</v>
      </c>
      <c r="M1012" s="1" t="s">
        <v>81</v>
      </c>
      <c r="N1012" s="1" t="s">
        <v>14559</v>
      </c>
      <c r="O1012" s="1"/>
      <c r="P1012" s="1" t="s">
        <v>497</v>
      </c>
      <c r="Q1012" s="1" t="s">
        <v>14560</v>
      </c>
      <c r="R1012" s="1" t="s">
        <v>14561</v>
      </c>
      <c r="S1012" s="1">
        <v>9064080443</v>
      </c>
      <c r="T1012" s="1" t="s">
        <v>216</v>
      </c>
      <c r="U1012" s="1" t="s">
        <v>14562</v>
      </c>
      <c r="V1012" s="1">
        <v>8900644317</v>
      </c>
      <c r="W1012" s="1" t="s">
        <v>14563</v>
      </c>
      <c r="X1012" s="1" t="s">
        <v>14564</v>
      </c>
      <c r="Y1012" s="1" t="s">
        <v>3300</v>
      </c>
      <c r="Z1012" s="1" t="s">
        <v>1211</v>
      </c>
      <c r="AA1012" s="1" t="s">
        <v>14565</v>
      </c>
      <c r="AB1012" s="1" t="s">
        <v>2173</v>
      </c>
      <c r="AC1012" s="1" t="s">
        <v>636</v>
      </c>
      <c r="AD1012" s="1" t="s">
        <v>93</v>
      </c>
      <c r="AE1012" s="1" t="s">
        <v>93</v>
      </c>
      <c r="AF1012" s="1" t="s">
        <v>14566</v>
      </c>
      <c r="AG1012" s="1" t="s">
        <v>307</v>
      </c>
      <c r="AH1012" s="1" t="s">
        <v>1191</v>
      </c>
      <c r="AI1012" s="1" t="s">
        <v>131</v>
      </c>
      <c r="AJ1012" s="1">
        <v>83.6</v>
      </c>
      <c r="AK1012" s="1">
        <v>8.8</v>
      </c>
      <c r="AL1012" s="1" t="s">
        <v>14567</v>
      </c>
      <c r="AM1012" s="1" t="s">
        <v>307</v>
      </c>
      <c r="AN1012" s="1" t="s">
        <v>689</v>
      </c>
      <c r="AO1012" s="1" t="s">
        <v>166</v>
      </c>
      <c r="AP1012" s="1">
        <v>70.8</v>
      </c>
      <c r="AQ1012" s="1"/>
      <c r="AR1012" s="1"/>
      <c r="AS1012" s="1"/>
      <c r="AT1012" s="1"/>
      <c r="AU1012" s="1"/>
      <c r="AV1012" s="1"/>
      <c r="AW1012" s="1"/>
      <c r="AX1012" s="1" t="s">
        <v>5110</v>
      </c>
      <c r="AY1012" s="1" t="s">
        <v>14568</v>
      </c>
      <c r="AZ1012" s="1" t="s">
        <v>481</v>
      </c>
      <c r="BA1012" s="1" t="s">
        <v>619</v>
      </c>
      <c r="BB1012" s="1">
        <v>84.4</v>
      </c>
      <c r="BC1012" s="1">
        <v>8.44</v>
      </c>
      <c r="BD1012" s="1"/>
      <c r="BE1012" s="1"/>
      <c r="BF1012" s="1"/>
      <c r="BG1012" s="1"/>
      <c r="BH1012" s="1"/>
      <c r="BI1012" s="1"/>
      <c r="BJ1012" s="1" t="s">
        <v>14569</v>
      </c>
      <c r="BK1012" s="1"/>
      <c r="BL1012" s="1"/>
      <c r="BM1012" s="1" t="s">
        <v>14570</v>
      </c>
      <c r="BN1012" s="1">
        <v>8</v>
      </c>
      <c r="BO1012" s="1" t="s">
        <v>14571</v>
      </c>
      <c r="BP1012" s="1" t="str">
        <f>HYPERLINK("https://nconnect.nicmar.ac.in/storage/profile/ProfilePhoto_P25702006_129674.jpg","Download")</f>
        <v>0</v>
      </c>
      <c r="BQ1012" s="3"/>
      <c r="BR1012" s="3"/>
    </row>
    <row r="1013" spans="1:70">
      <c r="A1013" s="1" t="s">
        <v>14387</v>
      </c>
      <c r="B1013" s="1" t="s">
        <v>441</v>
      </c>
      <c r="C1013" s="1" t="s">
        <v>14572</v>
      </c>
      <c r="D1013" s="1" t="s">
        <v>10025</v>
      </c>
      <c r="E1013" s="1"/>
      <c r="F1013" s="1" t="s">
        <v>2220</v>
      </c>
      <c r="G1013" s="1" t="s">
        <v>14573</v>
      </c>
      <c r="H1013" s="1" t="s">
        <v>14574</v>
      </c>
      <c r="I1013" s="1" t="s">
        <v>14575</v>
      </c>
      <c r="J1013" s="1">
        <v>8789890323</v>
      </c>
      <c r="K1013" s="1" t="s">
        <v>148</v>
      </c>
      <c r="L1013" s="1" t="s">
        <v>14576</v>
      </c>
      <c r="M1013" s="1" t="s">
        <v>81</v>
      </c>
      <c r="N1013" s="1" t="s">
        <v>241</v>
      </c>
      <c r="O1013" s="1"/>
      <c r="P1013" s="1" t="s">
        <v>450</v>
      </c>
      <c r="Q1013" s="1" t="s">
        <v>14577</v>
      </c>
      <c r="R1013" s="1" t="s">
        <v>14578</v>
      </c>
      <c r="S1013" s="1">
        <v>9431305005</v>
      </c>
      <c r="T1013" s="1" t="s">
        <v>820</v>
      </c>
      <c r="U1013" s="1" t="s">
        <v>14579</v>
      </c>
      <c r="V1013" s="1">
        <v>9439947894</v>
      </c>
      <c r="W1013" s="1" t="s">
        <v>89</v>
      </c>
      <c r="X1013" s="1" t="s">
        <v>14580</v>
      </c>
      <c r="Y1013" s="1" t="s">
        <v>14581</v>
      </c>
      <c r="Z1013" s="1" t="s">
        <v>2977</v>
      </c>
      <c r="AA1013" s="1" t="s">
        <v>14580</v>
      </c>
      <c r="AB1013" s="1" t="s">
        <v>14581</v>
      </c>
      <c r="AC1013" s="1" t="s">
        <v>2977</v>
      </c>
      <c r="AD1013" s="1">
        <v>9.5</v>
      </c>
      <c r="AE1013" s="1" t="s">
        <v>93</v>
      </c>
      <c r="AF1013" s="1" t="s">
        <v>14582</v>
      </c>
      <c r="AG1013" s="1" t="s">
        <v>14583</v>
      </c>
      <c r="AH1013" s="1" t="s">
        <v>1191</v>
      </c>
      <c r="AI1013" s="1" t="s">
        <v>131</v>
      </c>
      <c r="AJ1013" s="1">
        <v>89</v>
      </c>
      <c r="AK1013" s="1"/>
      <c r="AL1013" s="1" t="s">
        <v>14582</v>
      </c>
      <c r="AM1013" s="1" t="s">
        <v>14584</v>
      </c>
      <c r="AN1013" s="1" t="s">
        <v>279</v>
      </c>
      <c r="AO1013" s="1" t="s">
        <v>562</v>
      </c>
      <c r="AP1013" s="1">
        <v>81.17</v>
      </c>
      <c r="AQ1013" s="1"/>
      <c r="AR1013" s="1"/>
      <c r="AS1013" s="1"/>
      <c r="AT1013" s="1"/>
      <c r="AU1013" s="1"/>
      <c r="AV1013" s="1"/>
      <c r="AW1013" s="1"/>
      <c r="AX1013" s="1" t="s">
        <v>14585</v>
      </c>
      <c r="AY1013" s="1" t="s">
        <v>14585</v>
      </c>
      <c r="AZ1013" s="1" t="s">
        <v>383</v>
      </c>
      <c r="BA1013" s="1" t="s">
        <v>284</v>
      </c>
      <c r="BB1013" s="1">
        <v>79.3</v>
      </c>
      <c r="BC1013" s="1">
        <v>7.93</v>
      </c>
      <c r="BD1013" s="1"/>
      <c r="BE1013" s="1"/>
      <c r="BF1013" s="1"/>
      <c r="BG1013" s="1"/>
      <c r="BH1013" s="1"/>
      <c r="BI1013" s="1"/>
      <c r="BJ1013" s="1" t="s">
        <v>14586</v>
      </c>
      <c r="BK1013" s="1" t="s">
        <v>14587</v>
      </c>
      <c r="BL1013" s="1" t="s">
        <v>9090</v>
      </c>
      <c r="BM1013" s="1" t="s">
        <v>14588</v>
      </c>
      <c r="BN1013" s="1">
        <v>30</v>
      </c>
      <c r="BO1013" s="1" t="s">
        <v>14589</v>
      </c>
      <c r="BP1013" s="1" t="str">
        <f>HYPERLINK("https://nconnect.nicmar.ac.in/storage/profile/ProfilePhoto_P25702007_643529.jpg","Download")</f>
        <v>0</v>
      </c>
      <c r="BQ1013" s="3"/>
      <c r="BR1013" s="3"/>
    </row>
    <row r="1014" spans="1:70">
      <c r="A1014" s="1" t="s">
        <v>14387</v>
      </c>
      <c r="B1014" s="1" t="s">
        <v>441</v>
      </c>
      <c r="C1014" s="1" t="s">
        <v>14590</v>
      </c>
      <c r="D1014" s="1" t="s">
        <v>8382</v>
      </c>
      <c r="E1014" s="1"/>
      <c r="F1014" s="1" t="s">
        <v>14591</v>
      </c>
      <c r="G1014" s="1" t="s">
        <v>14592</v>
      </c>
      <c r="H1014" s="1" t="s">
        <v>14593</v>
      </c>
      <c r="I1014" s="1" t="s">
        <v>14594</v>
      </c>
      <c r="J1014" s="1">
        <v>8105266479</v>
      </c>
      <c r="K1014" s="1" t="s">
        <v>79</v>
      </c>
      <c r="L1014" s="1" t="s">
        <v>2283</v>
      </c>
      <c r="M1014" s="1" t="s">
        <v>81</v>
      </c>
      <c r="N1014" s="1" t="s">
        <v>11019</v>
      </c>
      <c r="O1014" s="1"/>
      <c r="P1014" s="1" t="s">
        <v>1007</v>
      </c>
      <c r="Q1014" s="1" t="s">
        <v>14595</v>
      </c>
      <c r="R1014" s="1" t="s">
        <v>14596</v>
      </c>
      <c r="S1014" s="1">
        <v>7888399160</v>
      </c>
      <c r="T1014" s="1" t="s">
        <v>14597</v>
      </c>
      <c r="U1014" s="1" t="s">
        <v>14598</v>
      </c>
      <c r="V1014" s="1">
        <v>9611261776</v>
      </c>
      <c r="W1014" s="1" t="s">
        <v>122</v>
      </c>
      <c r="X1014" s="1" t="s">
        <v>14599</v>
      </c>
      <c r="Y1014" s="1" t="s">
        <v>3151</v>
      </c>
      <c r="Z1014" s="1" t="s">
        <v>1187</v>
      </c>
      <c r="AA1014" s="1" t="s">
        <v>14599</v>
      </c>
      <c r="AB1014" s="1" t="s">
        <v>3151</v>
      </c>
      <c r="AC1014" s="1" t="s">
        <v>1187</v>
      </c>
      <c r="AD1014" s="1">
        <v>8.32</v>
      </c>
      <c r="AE1014" s="1" t="s">
        <v>93</v>
      </c>
      <c r="AF1014" s="1" t="s">
        <v>14600</v>
      </c>
      <c r="AG1014" s="1" t="s">
        <v>14601</v>
      </c>
      <c r="AH1014" s="1" t="s">
        <v>162</v>
      </c>
      <c r="AI1014" s="1" t="s">
        <v>165</v>
      </c>
      <c r="AJ1014" s="1">
        <v>91.2</v>
      </c>
      <c r="AK1014" s="1">
        <v>9.6</v>
      </c>
      <c r="AL1014" s="1" t="s">
        <v>14602</v>
      </c>
      <c r="AM1014" s="1" t="s">
        <v>1193</v>
      </c>
      <c r="AN1014" s="1" t="s">
        <v>101</v>
      </c>
      <c r="AO1014" s="1" t="s">
        <v>433</v>
      </c>
      <c r="AP1014" s="1">
        <v>64.16</v>
      </c>
      <c r="AQ1014" s="1"/>
      <c r="AR1014" s="1"/>
      <c r="AS1014" s="1"/>
      <c r="AT1014" s="1"/>
      <c r="AU1014" s="1"/>
      <c r="AV1014" s="1"/>
      <c r="AW1014" s="1"/>
      <c r="AX1014" s="1" t="s">
        <v>14603</v>
      </c>
      <c r="AY1014" s="1" t="s">
        <v>14604</v>
      </c>
      <c r="AZ1014" s="1" t="s">
        <v>310</v>
      </c>
      <c r="BA1014" s="1" t="s">
        <v>1800</v>
      </c>
      <c r="BB1014" s="1">
        <v>72.5</v>
      </c>
      <c r="BC1014" s="1">
        <v>7.25</v>
      </c>
      <c r="BD1014" s="1"/>
      <c r="BE1014" s="1"/>
      <c r="BF1014" s="1"/>
      <c r="BG1014" s="1"/>
      <c r="BH1014" s="1"/>
      <c r="BI1014" s="1"/>
      <c r="BJ1014" s="1" t="s">
        <v>14605</v>
      </c>
      <c r="BK1014" s="1"/>
      <c r="BL1014" s="1"/>
      <c r="BM1014" s="1" t="s">
        <v>14606</v>
      </c>
      <c r="BN1014" s="1">
        <v>8</v>
      </c>
      <c r="BO1014" s="1" t="s">
        <v>14607</v>
      </c>
      <c r="BP1014" s="1" t="str">
        <f>HYPERLINK("https://nconnect.nicmar.ac.in/storage/profile/ProfilePhoto_P25702008_452319.jpg","Download")</f>
        <v>0</v>
      </c>
      <c r="BQ1014" s="3"/>
      <c r="BR1014" s="3"/>
    </row>
    <row r="1015" spans="1:70">
      <c r="A1015" s="1" t="s">
        <v>14387</v>
      </c>
      <c r="B1015" s="1" t="s">
        <v>441</v>
      </c>
      <c r="C1015" s="1" t="s">
        <v>14608</v>
      </c>
      <c r="D1015" s="1" t="s">
        <v>3368</v>
      </c>
      <c r="E1015" s="1" t="s">
        <v>14609</v>
      </c>
      <c r="F1015" s="1" t="s">
        <v>14610</v>
      </c>
      <c r="G1015" s="1" t="s">
        <v>14611</v>
      </c>
      <c r="H1015" s="1" t="s">
        <v>14612</v>
      </c>
      <c r="I1015" s="1" t="s">
        <v>14613</v>
      </c>
      <c r="J1015" s="1">
        <v>9892727082</v>
      </c>
      <c r="K1015" s="1" t="s">
        <v>79</v>
      </c>
      <c r="L1015" s="1" t="s">
        <v>4212</v>
      </c>
      <c r="M1015" s="1" t="s">
        <v>81</v>
      </c>
      <c r="N1015" s="1" t="s">
        <v>883</v>
      </c>
      <c r="O1015" s="1"/>
      <c r="P1015" s="1" t="s">
        <v>450</v>
      </c>
      <c r="Q1015" s="1" t="s">
        <v>14614</v>
      </c>
      <c r="R1015" s="1" t="s">
        <v>14615</v>
      </c>
      <c r="S1015" s="1">
        <v>9757303741</v>
      </c>
      <c r="T1015" s="1" t="s">
        <v>14616</v>
      </c>
      <c r="U1015" s="1" t="s">
        <v>14617</v>
      </c>
      <c r="V1015" s="1">
        <v>8652423781</v>
      </c>
      <c r="W1015" s="1" t="s">
        <v>531</v>
      </c>
      <c r="X1015" s="1" t="s">
        <v>14618</v>
      </c>
      <c r="Y1015" s="1" t="s">
        <v>1857</v>
      </c>
      <c r="Z1015" s="1" t="s">
        <v>92</v>
      </c>
      <c r="AA1015" s="1" t="s">
        <v>14618</v>
      </c>
      <c r="AB1015" s="1" t="s">
        <v>1857</v>
      </c>
      <c r="AC1015" s="1" t="s">
        <v>92</v>
      </c>
      <c r="AD1015" s="1">
        <v>8.08</v>
      </c>
      <c r="AE1015" s="1" t="s">
        <v>93</v>
      </c>
      <c r="AF1015" s="1" t="s">
        <v>14619</v>
      </c>
      <c r="AG1015" s="1" t="s">
        <v>1942</v>
      </c>
      <c r="AH1015" s="1" t="s">
        <v>279</v>
      </c>
      <c r="AI1015" s="1" t="s">
        <v>195</v>
      </c>
      <c r="AJ1015" s="1">
        <v>72</v>
      </c>
      <c r="AK1015" s="1">
        <v>0</v>
      </c>
      <c r="AL1015" s="1" t="s">
        <v>14620</v>
      </c>
      <c r="AM1015" s="1" t="s">
        <v>1942</v>
      </c>
      <c r="AN1015" s="1" t="s">
        <v>101</v>
      </c>
      <c r="AO1015" s="1" t="s">
        <v>308</v>
      </c>
      <c r="AP1015" s="1">
        <v>56.15</v>
      </c>
      <c r="AQ1015" s="1">
        <v>0</v>
      </c>
      <c r="AR1015" s="1"/>
      <c r="AS1015" s="1"/>
      <c r="AT1015" s="1"/>
      <c r="AU1015" s="1"/>
      <c r="AV1015" s="1"/>
      <c r="AW1015" s="1"/>
      <c r="AX1015" s="1" t="s">
        <v>253</v>
      </c>
      <c r="AY1015" s="1" t="s">
        <v>14621</v>
      </c>
      <c r="AZ1015" s="1" t="s">
        <v>201</v>
      </c>
      <c r="BA1015" s="1" t="s">
        <v>174</v>
      </c>
      <c r="BB1015" s="1">
        <v>74.63</v>
      </c>
      <c r="BC1015" s="1">
        <v>8.35</v>
      </c>
      <c r="BD1015" s="1"/>
      <c r="BE1015" s="1"/>
      <c r="BF1015" s="1"/>
      <c r="BG1015" s="1"/>
      <c r="BH1015" s="1"/>
      <c r="BI1015" s="1"/>
      <c r="BJ1015" s="1" t="s">
        <v>14622</v>
      </c>
      <c r="BK1015" s="1"/>
      <c r="BL1015" s="1"/>
      <c r="BM1015" s="1" t="s">
        <v>14623</v>
      </c>
      <c r="BN1015" s="1">
        <v>15</v>
      </c>
      <c r="BO1015" s="1" t="s">
        <v>14624</v>
      </c>
      <c r="BP1015" s="1" t="str">
        <f>HYPERLINK("https://nconnect.nicmar.ac.in/storage/profile/ProfilePhoto_P25702009_718354.jpg","Download")</f>
        <v>0</v>
      </c>
      <c r="BQ1015" s="3"/>
      <c r="BR1015" s="3"/>
    </row>
    <row r="1016" spans="1:70">
      <c r="A1016" s="1" t="s">
        <v>14387</v>
      </c>
      <c r="B1016" s="1" t="s">
        <v>441</v>
      </c>
      <c r="C1016" s="1" t="s">
        <v>14625</v>
      </c>
      <c r="D1016" s="1" t="s">
        <v>112</v>
      </c>
      <c r="E1016" s="1" t="s">
        <v>11369</v>
      </c>
      <c r="F1016" s="1" t="s">
        <v>5721</v>
      </c>
      <c r="G1016" s="1" t="s">
        <v>14626</v>
      </c>
      <c r="H1016" s="1" t="s">
        <v>14627</v>
      </c>
      <c r="I1016" s="1" t="s">
        <v>14628</v>
      </c>
      <c r="J1016" s="1">
        <v>7043115350</v>
      </c>
      <c r="K1016" s="1" t="s">
        <v>79</v>
      </c>
      <c r="L1016" s="1" t="s">
        <v>471</v>
      </c>
      <c r="M1016" s="1" t="s">
        <v>81</v>
      </c>
      <c r="N1016" s="1" t="s">
        <v>14629</v>
      </c>
      <c r="O1016" s="1"/>
      <c r="P1016" s="1" t="s">
        <v>497</v>
      </c>
      <c r="Q1016" s="1" t="s">
        <v>14630</v>
      </c>
      <c r="R1016" s="1" t="s">
        <v>14631</v>
      </c>
      <c r="S1016" s="1">
        <v>9725117523</v>
      </c>
      <c r="T1016" s="1" t="s">
        <v>632</v>
      </c>
      <c r="U1016" s="1" t="s">
        <v>14632</v>
      </c>
      <c r="V1016" s="1">
        <v>9998140784</v>
      </c>
      <c r="W1016" s="1" t="s">
        <v>632</v>
      </c>
      <c r="X1016" s="1" t="s">
        <v>14633</v>
      </c>
      <c r="Y1016" s="1" t="s">
        <v>2889</v>
      </c>
      <c r="Z1016" s="1" t="s">
        <v>662</v>
      </c>
      <c r="AA1016" s="1" t="s">
        <v>14633</v>
      </c>
      <c r="AB1016" s="1" t="s">
        <v>2889</v>
      </c>
      <c r="AC1016" s="1" t="s">
        <v>662</v>
      </c>
      <c r="AD1016" s="1">
        <v>7.03</v>
      </c>
      <c r="AE1016" s="1" t="s">
        <v>93</v>
      </c>
      <c r="AF1016" s="1" t="s">
        <v>14634</v>
      </c>
      <c r="AG1016" s="1" t="s">
        <v>8728</v>
      </c>
      <c r="AH1016" s="1" t="s">
        <v>101</v>
      </c>
      <c r="AI1016" s="1" t="s">
        <v>409</v>
      </c>
      <c r="AJ1016" s="1">
        <v>59.83</v>
      </c>
      <c r="AK1016" s="1">
        <v>0</v>
      </c>
      <c r="AL1016" s="1" t="s">
        <v>14635</v>
      </c>
      <c r="AM1016" s="1" t="s">
        <v>10100</v>
      </c>
      <c r="AN1016" s="1" t="s">
        <v>433</v>
      </c>
      <c r="AO1016" s="1" t="s">
        <v>539</v>
      </c>
      <c r="AP1016" s="1">
        <v>56.4</v>
      </c>
      <c r="AQ1016" s="1">
        <v>0</v>
      </c>
      <c r="AR1016" s="1"/>
      <c r="AS1016" s="1"/>
      <c r="AT1016" s="1"/>
      <c r="AU1016" s="1"/>
      <c r="AV1016" s="1"/>
      <c r="AW1016" s="1"/>
      <c r="AX1016" s="1" t="s">
        <v>14636</v>
      </c>
      <c r="AY1016" s="1" t="s">
        <v>14636</v>
      </c>
      <c r="AZ1016" s="1" t="s">
        <v>542</v>
      </c>
      <c r="BA1016" s="1" t="s">
        <v>2352</v>
      </c>
      <c r="BB1016" s="1">
        <v>55.8</v>
      </c>
      <c r="BC1016" s="1">
        <v>5.58</v>
      </c>
      <c r="BD1016" s="1"/>
      <c r="BE1016" s="1"/>
      <c r="BF1016" s="1"/>
      <c r="BG1016" s="1"/>
      <c r="BH1016" s="1"/>
      <c r="BI1016" s="1"/>
      <c r="BJ1016" s="1" t="s">
        <v>14637</v>
      </c>
      <c r="BK1016" s="1"/>
      <c r="BL1016" s="1"/>
      <c r="BM1016" s="1" t="s">
        <v>14638</v>
      </c>
      <c r="BN1016" s="1">
        <v>8</v>
      </c>
      <c r="BO1016" s="1"/>
      <c r="BP1016" s="1" t="str">
        <f>HYPERLINK("https://nconnect.nicmar.ac.in/storage/profile/ProfilePhoto_P25702010_942758.jpg","Download")</f>
        <v>0</v>
      </c>
      <c r="BQ1016" s="3"/>
      <c r="BR1016" s="3"/>
    </row>
    <row r="1017" spans="1:70">
      <c r="A1017" s="1" t="s">
        <v>14387</v>
      </c>
      <c r="B1017" s="1" t="s">
        <v>441</v>
      </c>
      <c r="C1017" s="1" t="s">
        <v>14639</v>
      </c>
      <c r="D1017" s="1" t="s">
        <v>3235</v>
      </c>
      <c r="E1017" s="1"/>
      <c r="F1017" s="1" t="s">
        <v>14640</v>
      </c>
      <c r="G1017" s="1" t="s">
        <v>14641</v>
      </c>
      <c r="H1017" s="1" t="s">
        <v>14642</v>
      </c>
      <c r="I1017" s="1" t="s">
        <v>14643</v>
      </c>
      <c r="J1017" s="1">
        <v>8637816940</v>
      </c>
      <c r="K1017" s="1" t="s">
        <v>148</v>
      </c>
      <c r="L1017" s="1" t="s">
        <v>14644</v>
      </c>
      <c r="M1017" s="1" t="s">
        <v>81</v>
      </c>
      <c r="N1017" s="1" t="s">
        <v>14645</v>
      </c>
      <c r="O1017" s="1"/>
      <c r="P1017" s="1" t="s">
        <v>472</v>
      </c>
      <c r="Q1017" s="1" t="s">
        <v>14646</v>
      </c>
      <c r="R1017" s="1" t="s">
        <v>14647</v>
      </c>
      <c r="S1017" s="1">
        <v>9932067540</v>
      </c>
      <c r="T1017" s="1" t="s">
        <v>14648</v>
      </c>
      <c r="U1017" s="1" t="s">
        <v>14649</v>
      </c>
      <c r="V1017" s="1">
        <v>9434496187</v>
      </c>
      <c r="W1017" s="1" t="s">
        <v>14650</v>
      </c>
      <c r="X1017" s="1" t="s">
        <v>14651</v>
      </c>
      <c r="Y1017" s="1" t="s">
        <v>11747</v>
      </c>
      <c r="Z1017" s="1" t="s">
        <v>1211</v>
      </c>
      <c r="AA1017" s="1" t="s">
        <v>14652</v>
      </c>
      <c r="AB1017" s="1" t="s">
        <v>14653</v>
      </c>
      <c r="AC1017" s="1" t="s">
        <v>1211</v>
      </c>
      <c r="AD1017" s="1">
        <v>9.47</v>
      </c>
      <c r="AE1017" s="1" t="s">
        <v>93</v>
      </c>
      <c r="AF1017" s="1" t="s">
        <v>14654</v>
      </c>
      <c r="AG1017" s="1" t="s">
        <v>14655</v>
      </c>
      <c r="AH1017" s="1" t="s">
        <v>279</v>
      </c>
      <c r="AI1017" s="1" t="s">
        <v>562</v>
      </c>
      <c r="AJ1017" s="1">
        <v>92.5</v>
      </c>
      <c r="AK1017" s="1"/>
      <c r="AL1017" s="1" t="s">
        <v>14656</v>
      </c>
      <c r="AM1017" s="1" t="s">
        <v>688</v>
      </c>
      <c r="AN1017" s="1" t="s">
        <v>481</v>
      </c>
      <c r="AO1017" s="1" t="s">
        <v>308</v>
      </c>
      <c r="AP1017" s="1">
        <v>91.16</v>
      </c>
      <c r="AQ1017" s="1"/>
      <c r="AR1017" s="1"/>
      <c r="AS1017" s="1"/>
      <c r="AT1017" s="1"/>
      <c r="AU1017" s="1"/>
      <c r="AV1017" s="1"/>
      <c r="AW1017" s="1"/>
      <c r="AX1017" s="1" t="s">
        <v>253</v>
      </c>
      <c r="AY1017" s="1" t="s">
        <v>14657</v>
      </c>
      <c r="AZ1017" s="1" t="s">
        <v>310</v>
      </c>
      <c r="BA1017" s="1" t="s">
        <v>413</v>
      </c>
      <c r="BB1017" s="1">
        <v>77.12</v>
      </c>
      <c r="BC1017" s="1">
        <v>8.8</v>
      </c>
      <c r="BD1017" s="1"/>
      <c r="BE1017" s="1"/>
      <c r="BF1017" s="1"/>
      <c r="BG1017" s="1"/>
      <c r="BH1017" s="1"/>
      <c r="BI1017" s="1"/>
      <c r="BJ1017" s="1" t="s">
        <v>14658</v>
      </c>
      <c r="BK1017" s="1" t="s">
        <v>14659</v>
      </c>
      <c r="BL1017" s="1" t="s">
        <v>287</v>
      </c>
      <c r="BM1017" s="1" t="s">
        <v>14660</v>
      </c>
      <c r="BN1017" s="1">
        <v>27</v>
      </c>
      <c r="BO1017" s="1" t="s">
        <v>14661</v>
      </c>
      <c r="BP1017" s="1" t="str">
        <f>HYPERLINK("https://nconnect.nicmar.ac.in/storage/profile/6a6612129d7f8.png","Download")</f>
        <v>0</v>
      </c>
      <c r="BQ1017" s="3"/>
      <c r="BR1017" s="3"/>
    </row>
    <row r="1018" spans="1:70">
      <c r="A1018" s="1" t="s">
        <v>14387</v>
      </c>
      <c r="B1018" s="1" t="s">
        <v>441</v>
      </c>
      <c r="C1018" s="1" t="s">
        <v>14662</v>
      </c>
      <c r="D1018" s="1" t="s">
        <v>1113</v>
      </c>
      <c r="E1018" s="1"/>
      <c r="F1018" s="1" t="s">
        <v>14663</v>
      </c>
      <c r="G1018" s="1" t="s">
        <v>14664</v>
      </c>
      <c r="H1018" s="1" t="s">
        <v>14665</v>
      </c>
      <c r="I1018" s="1" t="s">
        <v>14666</v>
      </c>
      <c r="J1018" s="1">
        <v>8019470537</v>
      </c>
      <c r="K1018" s="1" t="s">
        <v>79</v>
      </c>
      <c r="L1018" s="1" t="s">
        <v>6906</v>
      </c>
      <c r="M1018" s="1" t="s">
        <v>81</v>
      </c>
      <c r="N1018" s="1" t="s">
        <v>4289</v>
      </c>
      <c r="O1018" s="1"/>
      <c r="P1018" s="1" t="s">
        <v>450</v>
      </c>
      <c r="Q1018" s="1" t="s">
        <v>14667</v>
      </c>
      <c r="R1018" s="1" t="s">
        <v>14668</v>
      </c>
      <c r="S1018" s="1">
        <v>9246524593</v>
      </c>
      <c r="T1018" s="1" t="s">
        <v>820</v>
      </c>
      <c r="U1018" s="1" t="s">
        <v>14669</v>
      </c>
      <c r="V1018" s="1">
        <v>8121146829</v>
      </c>
      <c r="W1018" s="1" t="s">
        <v>89</v>
      </c>
      <c r="X1018" s="1" t="s">
        <v>14670</v>
      </c>
      <c r="Y1018" s="1" t="s">
        <v>3050</v>
      </c>
      <c r="Z1018" s="1" t="s">
        <v>456</v>
      </c>
      <c r="AA1018" s="1" t="s">
        <v>14670</v>
      </c>
      <c r="AB1018" s="1" t="s">
        <v>3050</v>
      </c>
      <c r="AC1018" s="1" t="s">
        <v>456</v>
      </c>
      <c r="AD1018" s="1">
        <v>7.32</v>
      </c>
      <c r="AE1018" s="1" t="s">
        <v>93</v>
      </c>
      <c r="AF1018" s="1" t="s">
        <v>2663</v>
      </c>
      <c r="AG1018" s="1" t="s">
        <v>2645</v>
      </c>
      <c r="AH1018" s="1" t="s">
        <v>1374</v>
      </c>
      <c r="AI1018" s="1" t="s">
        <v>562</v>
      </c>
      <c r="AJ1018" s="1">
        <v>82</v>
      </c>
      <c r="AK1018" s="1">
        <v>8.2</v>
      </c>
      <c r="AL1018" s="1" t="s">
        <v>1578</v>
      </c>
      <c r="AM1018" s="1" t="s">
        <v>7232</v>
      </c>
      <c r="AN1018" s="1" t="s">
        <v>383</v>
      </c>
      <c r="AO1018" s="1" t="s">
        <v>537</v>
      </c>
      <c r="AP1018" s="1">
        <v>87.3</v>
      </c>
      <c r="AQ1018" s="1">
        <v>0</v>
      </c>
      <c r="AR1018" s="1"/>
      <c r="AS1018" s="1"/>
      <c r="AT1018" s="1"/>
      <c r="AU1018" s="1"/>
      <c r="AV1018" s="1"/>
      <c r="AW1018" s="1"/>
      <c r="AX1018" s="1" t="s">
        <v>3054</v>
      </c>
      <c r="AY1018" s="1" t="s">
        <v>14671</v>
      </c>
      <c r="AZ1018" s="1" t="s">
        <v>310</v>
      </c>
      <c r="BA1018" s="1" t="s">
        <v>1378</v>
      </c>
      <c r="BB1018" s="1">
        <v>78.8</v>
      </c>
      <c r="BC1018" s="1">
        <v>8.38</v>
      </c>
      <c r="BD1018" s="1"/>
      <c r="BE1018" s="1"/>
      <c r="BF1018" s="1"/>
      <c r="BG1018" s="1"/>
      <c r="BH1018" s="1"/>
      <c r="BI1018" s="1"/>
      <c r="BJ1018" s="1" t="s">
        <v>3326</v>
      </c>
      <c r="BK1018" s="1"/>
      <c r="BL1018" s="1"/>
      <c r="BM1018" s="1"/>
      <c r="BN1018" s="1"/>
      <c r="BO1018" s="1" t="s">
        <v>14672</v>
      </c>
      <c r="BP1018" s="1" t="str">
        <f>HYPERLINK("https://nconnect.nicmar.ac.in/storage/profile/ProfilePhoto_P25702013_817429.jpg","Download")</f>
        <v>0</v>
      </c>
      <c r="BQ1018" s="3"/>
      <c r="BR1018" s="3"/>
    </row>
    <row r="1019" spans="1:70">
      <c r="A1019" s="1" t="s">
        <v>14387</v>
      </c>
      <c r="B1019" s="1" t="s">
        <v>441</v>
      </c>
      <c r="C1019" s="1" t="s">
        <v>14673</v>
      </c>
      <c r="D1019" s="1" t="s">
        <v>4992</v>
      </c>
      <c r="E1019" s="1" t="s">
        <v>14674</v>
      </c>
      <c r="F1019" s="1" t="s">
        <v>14675</v>
      </c>
      <c r="G1019" s="1" t="s">
        <v>14676</v>
      </c>
      <c r="H1019" s="1" t="s">
        <v>14677</v>
      </c>
      <c r="I1019" s="1" t="s">
        <v>14678</v>
      </c>
      <c r="J1019" s="1">
        <v>8307581603</v>
      </c>
      <c r="K1019" s="1" t="s">
        <v>148</v>
      </c>
      <c r="L1019" s="1" t="s">
        <v>14679</v>
      </c>
      <c r="M1019" s="1" t="s">
        <v>81</v>
      </c>
      <c r="N1019" s="1" t="s">
        <v>241</v>
      </c>
      <c r="O1019" s="1" t="s">
        <v>14680</v>
      </c>
      <c r="P1019" s="1" t="s">
        <v>497</v>
      </c>
      <c r="Q1019" s="1" t="s">
        <v>14681</v>
      </c>
      <c r="R1019" s="1" t="s">
        <v>14674</v>
      </c>
      <c r="S1019" s="1">
        <v>8307581603</v>
      </c>
      <c r="T1019" s="1" t="s">
        <v>14682</v>
      </c>
      <c r="U1019" s="1" t="s">
        <v>2250</v>
      </c>
      <c r="V1019" s="1">
        <v>8550911603</v>
      </c>
      <c r="W1019" s="1" t="s">
        <v>273</v>
      </c>
      <c r="X1019" s="1" t="s">
        <v>14683</v>
      </c>
      <c r="Y1019" s="1" t="s">
        <v>1754</v>
      </c>
      <c r="Z1019" s="1" t="s">
        <v>92</v>
      </c>
      <c r="AA1019" s="1" t="s">
        <v>14683</v>
      </c>
      <c r="AB1019" s="1" t="s">
        <v>1754</v>
      </c>
      <c r="AC1019" s="1" t="s">
        <v>92</v>
      </c>
      <c r="AD1019" s="1">
        <v>7.55</v>
      </c>
      <c r="AE1019" s="1" t="s">
        <v>93</v>
      </c>
      <c r="AF1019" s="1" t="s">
        <v>14684</v>
      </c>
      <c r="AG1019" s="1" t="s">
        <v>14685</v>
      </c>
      <c r="AH1019" s="1" t="s">
        <v>1088</v>
      </c>
      <c r="AI1019" s="1" t="s">
        <v>614</v>
      </c>
      <c r="AJ1019" s="1">
        <v>85.5</v>
      </c>
      <c r="AK1019" s="1">
        <v>9</v>
      </c>
      <c r="AL1019" s="1" t="s">
        <v>14686</v>
      </c>
      <c r="AM1019" s="1" t="s">
        <v>14687</v>
      </c>
      <c r="AN1019" s="1" t="s">
        <v>166</v>
      </c>
      <c r="AO1019" s="1" t="s">
        <v>308</v>
      </c>
      <c r="AP1019" s="1">
        <v>71.4</v>
      </c>
      <c r="AQ1019" s="1"/>
      <c r="AR1019" s="1"/>
      <c r="AS1019" s="1"/>
      <c r="AT1019" s="1"/>
      <c r="AU1019" s="1"/>
      <c r="AV1019" s="1"/>
      <c r="AW1019" s="1"/>
      <c r="AX1019" s="1" t="s">
        <v>361</v>
      </c>
      <c r="AY1019" s="1" t="s">
        <v>14688</v>
      </c>
      <c r="AZ1019" s="1" t="s">
        <v>310</v>
      </c>
      <c r="BA1019" s="1" t="s">
        <v>202</v>
      </c>
      <c r="BB1019" s="1">
        <v>60.07</v>
      </c>
      <c r="BC1019" s="1">
        <v>6.75</v>
      </c>
      <c r="BD1019" s="1"/>
      <c r="BE1019" s="1"/>
      <c r="BF1019" s="1"/>
      <c r="BG1019" s="1"/>
      <c r="BH1019" s="1"/>
      <c r="BI1019" s="1"/>
      <c r="BJ1019" s="1" t="s">
        <v>14689</v>
      </c>
      <c r="BK1019" s="1" t="s">
        <v>14690</v>
      </c>
      <c r="BL1019" s="1" t="s">
        <v>7466</v>
      </c>
      <c r="BM1019" s="1" t="s">
        <v>14691</v>
      </c>
      <c r="BN1019" s="1">
        <v>30</v>
      </c>
      <c r="BO1019" s="1"/>
      <c r="BP1019" s="1" t="str">
        <f>HYPERLINK("https://nconnect.nicmar.ac.in/storage/profile/ProfilePhoto_P25702014_613248.jpg","Download")</f>
        <v>0</v>
      </c>
      <c r="BQ1019" s="3"/>
      <c r="BR1019" s="3"/>
    </row>
    <row r="1020" spans="1:70">
      <c r="A1020" s="1" t="s">
        <v>14387</v>
      </c>
      <c r="B1020" s="1" t="s">
        <v>441</v>
      </c>
      <c r="C1020" s="1" t="s">
        <v>14692</v>
      </c>
      <c r="D1020" s="1" t="s">
        <v>14693</v>
      </c>
      <c r="E1020" s="1" t="s">
        <v>2071</v>
      </c>
      <c r="F1020" s="1" t="s">
        <v>14694</v>
      </c>
      <c r="G1020" s="1" t="s">
        <v>14695</v>
      </c>
      <c r="H1020" s="1" t="s">
        <v>14696</v>
      </c>
      <c r="I1020" s="1" t="s">
        <v>14697</v>
      </c>
      <c r="J1020" s="1">
        <v>9820329908</v>
      </c>
      <c r="K1020" s="1" t="s">
        <v>79</v>
      </c>
      <c r="L1020" s="1" t="s">
        <v>2283</v>
      </c>
      <c r="M1020" s="1" t="s">
        <v>81</v>
      </c>
      <c r="N1020" s="1" t="s">
        <v>883</v>
      </c>
      <c r="O1020" s="1"/>
      <c r="P1020" s="1" t="s">
        <v>472</v>
      </c>
      <c r="Q1020" s="1" t="s">
        <v>14698</v>
      </c>
      <c r="R1020" s="1" t="s">
        <v>14699</v>
      </c>
      <c r="S1020" s="1">
        <v>9594949875</v>
      </c>
      <c r="T1020" s="1" t="s">
        <v>14700</v>
      </c>
      <c r="U1020" s="1" t="s">
        <v>14701</v>
      </c>
      <c r="V1020" s="1">
        <v>9594949874</v>
      </c>
      <c r="W1020" s="1" t="s">
        <v>14702</v>
      </c>
      <c r="X1020" s="1" t="s">
        <v>14703</v>
      </c>
      <c r="Y1020" s="1" t="s">
        <v>191</v>
      </c>
      <c r="Z1020" s="1" t="s">
        <v>92</v>
      </c>
      <c r="AA1020" s="1" t="s">
        <v>14704</v>
      </c>
      <c r="AB1020" s="1" t="s">
        <v>2229</v>
      </c>
      <c r="AC1020" s="1" t="s">
        <v>92</v>
      </c>
      <c r="AD1020" s="1">
        <v>9.53</v>
      </c>
      <c r="AE1020" s="1" t="s">
        <v>93</v>
      </c>
      <c r="AF1020" s="1" t="s">
        <v>14705</v>
      </c>
      <c r="AG1020" s="1" t="s">
        <v>14706</v>
      </c>
      <c r="AH1020" s="1" t="s">
        <v>3131</v>
      </c>
      <c r="AI1020" s="1" t="s">
        <v>562</v>
      </c>
      <c r="AJ1020" s="1">
        <v>82</v>
      </c>
      <c r="AK1020" s="1"/>
      <c r="AL1020" s="1" t="s">
        <v>14707</v>
      </c>
      <c r="AM1020" s="1" t="s">
        <v>4353</v>
      </c>
      <c r="AN1020" s="1" t="s">
        <v>225</v>
      </c>
      <c r="AO1020" s="1" t="s">
        <v>308</v>
      </c>
      <c r="AP1020" s="1">
        <v>78.15</v>
      </c>
      <c r="AQ1020" s="1"/>
      <c r="AR1020" s="1"/>
      <c r="AS1020" s="1"/>
      <c r="AT1020" s="1"/>
      <c r="AU1020" s="1"/>
      <c r="AV1020" s="1"/>
      <c r="AW1020" s="1"/>
      <c r="AX1020" s="1" t="s">
        <v>666</v>
      </c>
      <c r="AY1020" s="1" t="s">
        <v>14708</v>
      </c>
      <c r="AZ1020" s="1" t="s">
        <v>201</v>
      </c>
      <c r="BA1020" s="1" t="s">
        <v>413</v>
      </c>
      <c r="BB1020" s="1">
        <v>62</v>
      </c>
      <c r="BC1020" s="1">
        <v>6.75</v>
      </c>
      <c r="BD1020" s="1"/>
      <c r="BE1020" s="1"/>
      <c r="BF1020" s="1"/>
      <c r="BG1020" s="1"/>
      <c r="BH1020" s="1"/>
      <c r="BI1020" s="1"/>
      <c r="BJ1020" s="1" t="s">
        <v>14709</v>
      </c>
      <c r="BK1020" s="1" t="s">
        <v>14710</v>
      </c>
      <c r="BL1020" s="1" t="s">
        <v>670</v>
      </c>
      <c r="BM1020" s="1" t="s">
        <v>14711</v>
      </c>
      <c r="BN1020" s="1">
        <v>26</v>
      </c>
      <c r="BO1020" s="1" t="s">
        <v>14712</v>
      </c>
      <c r="BP1020" s="1" t="str">
        <f>HYPERLINK("https://nconnect.nicmar.ac.in/storage/profile/ProfilePhoto_P25702015_368254.jpg","Download")</f>
        <v>0</v>
      </c>
      <c r="BQ1020" s="3"/>
      <c r="BR1020" s="3"/>
    </row>
    <row r="1021" spans="1:70">
      <c r="A1021" s="1" t="s">
        <v>14387</v>
      </c>
      <c r="B1021" s="1" t="s">
        <v>441</v>
      </c>
      <c r="C1021" s="1" t="s">
        <v>14713</v>
      </c>
      <c r="D1021" s="1" t="s">
        <v>14714</v>
      </c>
      <c r="E1021" s="1" t="s">
        <v>14715</v>
      </c>
      <c r="F1021" s="1" t="s">
        <v>14716</v>
      </c>
      <c r="G1021" s="1" t="s">
        <v>14717</v>
      </c>
      <c r="H1021" s="1" t="s">
        <v>14718</v>
      </c>
      <c r="I1021" s="1" t="s">
        <v>14719</v>
      </c>
      <c r="J1021" s="1">
        <v>7204781163</v>
      </c>
      <c r="K1021" s="1" t="s">
        <v>79</v>
      </c>
      <c r="L1021" s="1" t="s">
        <v>14720</v>
      </c>
      <c r="M1021" s="1" t="s">
        <v>81</v>
      </c>
      <c r="N1021" s="1" t="s">
        <v>11324</v>
      </c>
      <c r="O1021" s="1"/>
      <c r="P1021" s="1" t="s">
        <v>1007</v>
      </c>
      <c r="Q1021" s="1" t="s">
        <v>14721</v>
      </c>
      <c r="R1021" s="1" t="s">
        <v>14722</v>
      </c>
      <c r="S1021" s="1">
        <v>7204781163</v>
      </c>
      <c r="T1021" s="1" t="s">
        <v>9818</v>
      </c>
      <c r="U1021" s="1" t="s">
        <v>14723</v>
      </c>
      <c r="V1021" s="1">
        <v>9901435792</v>
      </c>
      <c r="W1021" s="1" t="s">
        <v>122</v>
      </c>
      <c r="X1021" s="1" t="s">
        <v>14724</v>
      </c>
      <c r="Y1021" s="1" t="s">
        <v>6411</v>
      </c>
      <c r="Z1021" s="1" t="s">
        <v>1187</v>
      </c>
      <c r="AA1021" s="1" t="s">
        <v>14724</v>
      </c>
      <c r="AB1021" s="1" t="s">
        <v>6411</v>
      </c>
      <c r="AC1021" s="1" t="s">
        <v>1187</v>
      </c>
      <c r="AD1021" s="1">
        <v>7.61</v>
      </c>
      <c r="AE1021" s="1" t="s">
        <v>93</v>
      </c>
      <c r="AF1021" s="1" t="s">
        <v>14725</v>
      </c>
      <c r="AG1021" s="1" t="s">
        <v>14726</v>
      </c>
      <c r="AH1021" s="1" t="s">
        <v>165</v>
      </c>
      <c r="AI1021" s="1" t="s">
        <v>166</v>
      </c>
      <c r="AJ1021" s="1">
        <v>53.4</v>
      </c>
      <c r="AK1021" s="1"/>
      <c r="AL1021" s="1" t="s">
        <v>14727</v>
      </c>
      <c r="AM1021" s="1" t="s">
        <v>14728</v>
      </c>
      <c r="AN1021" s="1" t="s">
        <v>433</v>
      </c>
      <c r="AO1021" s="1" t="s">
        <v>173</v>
      </c>
      <c r="AP1021" s="1">
        <v>70.83</v>
      </c>
      <c r="AQ1021" s="1"/>
      <c r="AR1021" s="1"/>
      <c r="AS1021" s="1"/>
      <c r="AT1021" s="1"/>
      <c r="AU1021" s="1"/>
      <c r="AV1021" s="1"/>
      <c r="AW1021" s="1"/>
      <c r="AX1021" s="1" t="s">
        <v>14729</v>
      </c>
      <c r="AY1021" s="1" t="s">
        <v>14730</v>
      </c>
      <c r="AZ1021" s="1" t="s">
        <v>228</v>
      </c>
      <c r="BA1021" s="1" t="s">
        <v>1067</v>
      </c>
      <c r="BB1021" s="1">
        <v>61</v>
      </c>
      <c r="BC1021" s="1">
        <v>7.42</v>
      </c>
      <c r="BD1021" s="1"/>
      <c r="BE1021" s="1"/>
      <c r="BF1021" s="1"/>
      <c r="BG1021" s="1"/>
      <c r="BH1021" s="1"/>
      <c r="BI1021" s="1"/>
      <c r="BJ1021" s="1" t="s">
        <v>786</v>
      </c>
      <c r="BK1021" s="1"/>
      <c r="BL1021" s="1"/>
      <c r="BM1021" s="1" t="s">
        <v>14731</v>
      </c>
      <c r="BN1021" s="1">
        <v>8</v>
      </c>
      <c r="BO1021" s="1" t="s">
        <v>14732</v>
      </c>
      <c r="BP1021" s="1" t="str">
        <f>HYPERLINK("https://nconnect.nicmar.ac.in/storage/profile/ProfilePhoto_P25702016_652349.jpg","Download")</f>
        <v>0</v>
      </c>
      <c r="BQ1021" s="3"/>
      <c r="BR1021" s="3"/>
    </row>
    <row r="1022" spans="1:70">
      <c r="A1022" s="1" t="s">
        <v>14387</v>
      </c>
      <c r="B1022" s="1" t="s">
        <v>441</v>
      </c>
      <c r="C1022" s="1" t="s">
        <v>14733</v>
      </c>
      <c r="D1022" s="1" t="s">
        <v>6734</v>
      </c>
      <c r="E1022" s="1" t="s">
        <v>2492</v>
      </c>
      <c r="F1022" s="1" t="s">
        <v>14734</v>
      </c>
      <c r="G1022" s="1" t="s">
        <v>14735</v>
      </c>
      <c r="H1022" s="1" t="s">
        <v>14736</v>
      </c>
      <c r="I1022" s="1" t="s">
        <v>14737</v>
      </c>
      <c r="J1022" s="1">
        <v>9423462102</v>
      </c>
      <c r="K1022" s="1" t="s">
        <v>79</v>
      </c>
      <c r="L1022" s="1" t="s">
        <v>14738</v>
      </c>
      <c r="M1022" s="1" t="s">
        <v>81</v>
      </c>
      <c r="N1022" s="1" t="s">
        <v>605</v>
      </c>
      <c r="O1022" s="1"/>
      <c r="P1022" s="1" t="s">
        <v>497</v>
      </c>
      <c r="Q1022" s="1" t="s">
        <v>14739</v>
      </c>
      <c r="R1022" s="1" t="s">
        <v>2492</v>
      </c>
      <c r="S1022" s="1">
        <v>9371436304</v>
      </c>
      <c r="T1022" s="1" t="s">
        <v>14740</v>
      </c>
      <c r="U1022" s="1" t="s">
        <v>2250</v>
      </c>
      <c r="V1022" s="1">
        <v>8999895927</v>
      </c>
      <c r="W1022" s="1" t="s">
        <v>122</v>
      </c>
      <c r="X1022" s="1" t="s">
        <v>14741</v>
      </c>
      <c r="Y1022" s="1" t="s">
        <v>379</v>
      </c>
      <c r="Z1022" s="1" t="s">
        <v>92</v>
      </c>
      <c r="AA1022" s="1" t="s">
        <v>14741</v>
      </c>
      <c r="AB1022" s="1" t="s">
        <v>379</v>
      </c>
      <c r="AC1022" s="1" t="s">
        <v>92</v>
      </c>
      <c r="AD1022" s="1">
        <v>7.05</v>
      </c>
      <c r="AE1022" s="1" t="s">
        <v>93</v>
      </c>
      <c r="AF1022" s="1" t="s">
        <v>14742</v>
      </c>
      <c r="AG1022" s="1" t="s">
        <v>14743</v>
      </c>
      <c r="AH1022" s="1" t="s">
        <v>14744</v>
      </c>
      <c r="AI1022" s="1" t="s">
        <v>409</v>
      </c>
      <c r="AJ1022" s="1">
        <v>58.8</v>
      </c>
      <c r="AK1022" s="1"/>
      <c r="AL1022" s="1" t="s">
        <v>14745</v>
      </c>
      <c r="AM1022" s="1" t="s">
        <v>14746</v>
      </c>
      <c r="AN1022" s="1" t="s">
        <v>310</v>
      </c>
      <c r="AO1022" s="1" t="s">
        <v>826</v>
      </c>
      <c r="AP1022" s="1">
        <v>78.67</v>
      </c>
      <c r="AQ1022" s="1"/>
      <c r="AR1022" s="1"/>
      <c r="AS1022" s="1"/>
      <c r="AT1022" s="1"/>
      <c r="AU1022" s="1"/>
      <c r="AV1022" s="1"/>
      <c r="AW1022" s="1"/>
      <c r="AX1022" s="1" t="s">
        <v>14747</v>
      </c>
      <c r="AY1022" s="1" t="s">
        <v>14748</v>
      </c>
      <c r="AZ1022" s="1" t="s">
        <v>436</v>
      </c>
      <c r="BA1022" s="1" t="s">
        <v>5344</v>
      </c>
      <c r="BB1022" s="1">
        <v>54.2</v>
      </c>
      <c r="BC1022" s="1">
        <v>5.92</v>
      </c>
      <c r="BD1022" s="1"/>
      <c r="BE1022" s="1"/>
      <c r="BF1022" s="1"/>
      <c r="BG1022" s="1"/>
      <c r="BH1022" s="1"/>
      <c r="BI1022" s="1"/>
      <c r="BJ1022" s="1" t="s">
        <v>11010</v>
      </c>
      <c r="BK1022" s="1"/>
      <c r="BL1022" s="1"/>
      <c r="BM1022" s="1" t="s">
        <v>14749</v>
      </c>
      <c r="BN1022" s="1">
        <v>24</v>
      </c>
      <c r="BO1022" s="1"/>
      <c r="BP1022" s="1" t="str">
        <f>HYPERLINK("https://nconnect.nicmar.ac.in/storage/profile/ProfilePhoto_P25702018_693254.jpg","Download")</f>
        <v>0</v>
      </c>
      <c r="BQ1022" s="3"/>
      <c r="BR1022" s="3"/>
    </row>
    <row r="1023" spans="1:70">
      <c r="A1023" s="1" t="s">
        <v>14387</v>
      </c>
      <c r="B1023" s="1" t="s">
        <v>441</v>
      </c>
      <c r="C1023" s="1" t="s">
        <v>14750</v>
      </c>
      <c r="D1023" s="1" t="s">
        <v>14751</v>
      </c>
      <c r="E1023" s="1" t="s">
        <v>208</v>
      </c>
      <c r="F1023" s="1" t="s">
        <v>1847</v>
      </c>
      <c r="G1023" s="1" t="s">
        <v>14752</v>
      </c>
      <c r="H1023" s="1" t="s">
        <v>14753</v>
      </c>
      <c r="I1023" s="1" t="s">
        <v>14754</v>
      </c>
      <c r="J1023" s="1">
        <v>9372834212</v>
      </c>
      <c r="K1023" s="1" t="s">
        <v>148</v>
      </c>
      <c r="L1023" s="1" t="s">
        <v>14755</v>
      </c>
      <c r="M1023" s="1" t="s">
        <v>81</v>
      </c>
      <c r="N1023" s="1" t="s">
        <v>605</v>
      </c>
      <c r="O1023" s="1"/>
      <c r="P1023" s="1" t="s">
        <v>472</v>
      </c>
      <c r="Q1023" s="1" t="s">
        <v>14756</v>
      </c>
      <c r="R1023" s="1" t="s">
        <v>208</v>
      </c>
      <c r="S1023" s="1">
        <v>9594901838</v>
      </c>
      <c r="T1023" s="1" t="s">
        <v>14757</v>
      </c>
      <c r="U1023" s="1" t="s">
        <v>1103</v>
      </c>
      <c r="V1023" s="1">
        <v>9594931830</v>
      </c>
      <c r="W1023" s="1" t="s">
        <v>531</v>
      </c>
      <c r="X1023" s="1" t="s">
        <v>14758</v>
      </c>
      <c r="Y1023" s="1" t="s">
        <v>191</v>
      </c>
      <c r="Z1023" s="1" t="s">
        <v>92</v>
      </c>
      <c r="AA1023" s="1" t="s">
        <v>14758</v>
      </c>
      <c r="AB1023" s="1" t="s">
        <v>191</v>
      </c>
      <c r="AC1023" s="1" t="s">
        <v>92</v>
      </c>
      <c r="AD1023" s="1">
        <v>8.87</v>
      </c>
      <c r="AE1023" s="1" t="s">
        <v>93</v>
      </c>
      <c r="AF1023" s="1" t="s">
        <v>14759</v>
      </c>
      <c r="AG1023" s="1" t="s">
        <v>160</v>
      </c>
      <c r="AH1023" s="1" t="s">
        <v>162</v>
      </c>
      <c r="AI1023" s="1" t="s">
        <v>195</v>
      </c>
      <c r="AJ1023" s="1">
        <v>84.2</v>
      </c>
      <c r="AK1023" s="1"/>
      <c r="AL1023" s="1" t="s">
        <v>14760</v>
      </c>
      <c r="AM1023" s="1" t="s">
        <v>160</v>
      </c>
      <c r="AN1023" s="1" t="s">
        <v>169</v>
      </c>
      <c r="AO1023" s="1" t="s">
        <v>198</v>
      </c>
      <c r="AP1023" s="1">
        <v>58.77</v>
      </c>
      <c r="AQ1023" s="1"/>
      <c r="AR1023" s="1"/>
      <c r="AS1023" s="1"/>
      <c r="AT1023" s="1"/>
      <c r="AU1023" s="1"/>
      <c r="AV1023" s="1"/>
      <c r="AW1023" s="1"/>
      <c r="AX1023" s="1" t="s">
        <v>666</v>
      </c>
      <c r="AY1023" s="1" t="s">
        <v>14761</v>
      </c>
      <c r="AZ1023" s="1" t="s">
        <v>201</v>
      </c>
      <c r="BA1023" s="1" t="s">
        <v>1292</v>
      </c>
      <c r="BB1023" s="1">
        <v>69.35</v>
      </c>
      <c r="BC1023" s="1">
        <v>7.75</v>
      </c>
      <c r="BD1023" s="1"/>
      <c r="BE1023" s="1"/>
      <c r="BF1023" s="1"/>
      <c r="BG1023" s="1"/>
      <c r="BH1023" s="1"/>
      <c r="BI1023" s="1"/>
      <c r="BJ1023" s="1" t="s">
        <v>14762</v>
      </c>
      <c r="BK1023" s="1"/>
      <c r="BL1023" s="1"/>
      <c r="BM1023" s="1" t="s">
        <v>14763</v>
      </c>
      <c r="BN1023" s="1">
        <v>52</v>
      </c>
      <c r="BO1023" s="1"/>
      <c r="BP1023" s="1" t="str">
        <f>HYPERLINK("https://nconnect.nicmar.ac.in/storage/profile/ProfilePhoto_P25702019_689217.jpg","Download")</f>
        <v>0</v>
      </c>
      <c r="BQ1023" s="3"/>
      <c r="BR1023" s="3"/>
    </row>
    <row r="1024" spans="1:70">
      <c r="A1024" s="1" t="s">
        <v>14387</v>
      </c>
      <c r="B1024" s="1" t="s">
        <v>441</v>
      </c>
      <c r="C1024" s="1" t="s">
        <v>14764</v>
      </c>
      <c r="D1024" s="1" t="s">
        <v>5486</v>
      </c>
      <c r="E1024" s="1" t="s">
        <v>9130</v>
      </c>
      <c r="F1024" s="1" t="s">
        <v>14765</v>
      </c>
      <c r="G1024" s="1" t="s">
        <v>14766</v>
      </c>
      <c r="H1024" s="1" t="s">
        <v>14767</v>
      </c>
      <c r="I1024" s="1" t="s">
        <v>14768</v>
      </c>
      <c r="J1024" s="1">
        <v>7304181591</v>
      </c>
      <c r="K1024" s="1" t="s">
        <v>79</v>
      </c>
      <c r="L1024" s="1" t="s">
        <v>4193</v>
      </c>
      <c r="M1024" s="1" t="s">
        <v>81</v>
      </c>
      <c r="N1024" s="1" t="s">
        <v>7455</v>
      </c>
      <c r="O1024" s="1"/>
      <c r="P1024" s="1"/>
      <c r="Q1024" s="1" t="s">
        <v>14769</v>
      </c>
      <c r="R1024" s="1" t="s">
        <v>14770</v>
      </c>
      <c r="S1024" s="1">
        <v>7020459683</v>
      </c>
      <c r="T1024" s="1" t="s">
        <v>14771</v>
      </c>
      <c r="U1024" s="1" t="s">
        <v>14772</v>
      </c>
      <c r="V1024" s="1">
        <v>7559220280</v>
      </c>
      <c r="W1024" s="1" t="s">
        <v>273</v>
      </c>
      <c r="X1024" s="1" t="s">
        <v>14773</v>
      </c>
      <c r="Y1024" s="1" t="s">
        <v>191</v>
      </c>
      <c r="Z1024" s="1" t="s">
        <v>92</v>
      </c>
      <c r="AA1024" s="1" t="s">
        <v>14774</v>
      </c>
      <c r="AB1024" s="1" t="s">
        <v>405</v>
      </c>
      <c r="AC1024" s="1" t="s">
        <v>92</v>
      </c>
      <c r="AD1024" s="1">
        <v>6.21</v>
      </c>
      <c r="AE1024" s="1" t="s">
        <v>93</v>
      </c>
      <c r="AF1024" s="1" t="s">
        <v>14775</v>
      </c>
      <c r="AG1024" s="1" t="s">
        <v>1942</v>
      </c>
      <c r="AH1024" s="1" t="s">
        <v>1089</v>
      </c>
      <c r="AI1024" s="1" t="s">
        <v>195</v>
      </c>
      <c r="AJ1024" s="1">
        <v>71.8</v>
      </c>
      <c r="AK1024" s="1"/>
      <c r="AL1024" s="1"/>
      <c r="AM1024" s="1"/>
      <c r="AN1024" s="1"/>
      <c r="AO1024" s="1"/>
      <c r="AP1024" s="1"/>
      <c r="AQ1024" s="1"/>
      <c r="AR1024" s="1" t="s">
        <v>98</v>
      </c>
      <c r="AS1024" s="1" t="s">
        <v>14776</v>
      </c>
      <c r="AT1024" s="1" t="s">
        <v>5538</v>
      </c>
      <c r="AU1024" s="1" t="s">
        <v>170</v>
      </c>
      <c r="AV1024" s="1">
        <v>82</v>
      </c>
      <c r="AW1024" s="1"/>
      <c r="AX1024" s="1" t="s">
        <v>410</v>
      </c>
      <c r="AY1024" s="1" t="s">
        <v>14777</v>
      </c>
      <c r="AZ1024" s="1" t="s">
        <v>228</v>
      </c>
      <c r="BA1024" s="1" t="s">
        <v>915</v>
      </c>
      <c r="BB1024" s="1">
        <v>53.3</v>
      </c>
      <c r="BC1024" s="1">
        <v>6.08</v>
      </c>
      <c r="BD1024" s="1"/>
      <c r="BE1024" s="1"/>
      <c r="BF1024" s="1"/>
      <c r="BG1024" s="1"/>
      <c r="BH1024" s="1"/>
      <c r="BI1024" s="1"/>
      <c r="BJ1024" s="1" t="s">
        <v>14778</v>
      </c>
      <c r="BK1024" s="1" t="s">
        <v>14779</v>
      </c>
      <c r="BL1024" s="1" t="s">
        <v>2434</v>
      </c>
      <c r="BM1024" s="1" t="s">
        <v>14780</v>
      </c>
      <c r="BN1024" s="1">
        <v>8</v>
      </c>
      <c r="BO1024" s="1"/>
      <c r="BP1024" s="1" t="str">
        <f>HYPERLINK("https://nconnect.nicmar.ac.in/storage/profile/ProfilePhoto_P25702020_435189.jpg","Download")</f>
        <v>0</v>
      </c>
      <c r="BQ1024" s="3"/>
      <c r="BR1024" s="3"/>
    </row>
    <row r="1025" spans="1:70">
      <c r="A1025" s="1" t="s">
        <v>14387</v>
      </c>
      <c r="B1025" s="1" t="s">
        <v>441</v>
      </c>
      <c r="C1025" s="1" t="s">
        <v>14781</v>
      </c>
      <c r="D1025" s="1" t="s">
        <v>1403</v>
      </c>
      <c r="E1025" s="1" t="s">
        <v>111</v>
      </c>
      <c r="F1025" s="1" t="s">
        <v>14782</v>
      </c>
      <c r="G1025" s="1" t="s">
        <v>14783</v>
      </c>
      <c r="H1025" s="1" t="s">
        <v>14784</v>
      </c>
      <c r="I1025" s="1" t="s">
        <v>14785</v>
      </c>
      <c r="J1025" s="1">
        <v>6363755919</v>
      </c>
      <c r="K1025" s="1" t="s">
        <v>79</v>
      </c>
      <c r="L1025" s="1" t="s">
        <v>14786</v>
      </c>
      <c r="M1025" s="1" t="s">
        <v>81</v>
      </c>
      <c r="N1025" s="1" t="s">
        <v>8077</v>
      </c>
      <c r="O1025" s="1"/>
      <c r="P1025" s="1" t="s">
        <v>497</v>
      </c>
      <c r="Q1025" s="1" t="s">
        <v>14787</v>
      </c>
      <c r="R1025" s="1" t="s">
        <v>14788</v>
      </c>
      <c r="S1025" s="1">
        <v>9481137721</v>
      </c>
      <c r="T1025" s="1" t="s">
        <v>14789</v>
      </c>
      <c r="U1025" s="1" t="s">
        <v>14790</v>
      </c>
      <c r="V1025" s="1">
        <v>9036906500</v>
      </c>
      <c r="W1025" s="1" t="s">
        <v>273</v>
      </c>
      <c r="X1025" s="1" t="s">
        <v>14791</v>
      </c>
      <c r="Y1025" s="1" t="s">
        <v>3748</v>
      </c>
      <c r="Z1025" s="1" t="s">
        <v>1187</v>
      </c>
      <c r="AA1025" s="1" t="s">
        <v>14791</v>
      </c>
      <c r="AB1025" s="1" t="s">
        <v>3748</v>
      </c>
      <c r="AC1025" s="1" t="s">
        <v>1187</v>
      </c>
      <c r="AD1025" s="1">
        <v>7.66</v>
      </c>
      <c r="AE1025" s="1" t="s">
        <v>93</v>
      </c>
      <c r="AF1025" s="1" t="s">
        <v>14792</v>
      </c>
      <c r="AG1025" s="1" t="s">
        <v>1920</v>
      </c>
      <c r="AH1025" s="1" t="s">
        <v>165</v>
      </c>
      <c r="AI1025" s="1" t="s">
        <v>481</v>
      </c>
      <c r="AJ1025" s="1">
        <v>75.52</v>
      </c>
      <c r="AK1025" s="1"/>
      <c r="AL1025" s="1"/>
      <c r="AM1025" s="1"/>
      <c r="AN1025" s="1"/>
      <c r="AO1025" s="1"/>
      <c r="AP1025" s="1"/>
      <c r="AQ1025" s="1"/>
      <c r="AR1025" s="1" t="s">
        <v>98</v>
      </c>
      <c r="AS1025" s="1" t="s">
        <v>14793</v>
      </c>
      <c r="AT1025" s="1" t="s">
        <v>13621</v>
      </c>
      <c r="AU1025" s="1" t="s">
        <v>826</v>
      </c>
      <c r="AV1025" s="1">
        <v>59.62</v>
      </c>
      <c r="AW1025" s="1"/>
      <c r="AX1025" s="1" t="s">
        <v>7583</v>
      </c>
      <c r="AY1025" s="1" t="s">
        <v>7583</v>
      </c>
      <c r="AZ1025" s="1" t="s">
        <v>4727</v>
      </c>
      <c r="BA1025" s="1" t="s">
        <v>202</v>
      </c>
      <c r="BB1025" s="1">
        <v>66.3</v>
      </c>
      <c r="BC1025" s="1">
        <v>6.63</v>
      </c>
      <c r="BD1025" s="1"/>
      <c r="BE1025" s="1"/>
      <c r="BF1025" s="1"/>
      <c r="BG1025" s="1"/>
      <c r="BH1025" s="1"/>
      <c r="BI1025" s="1"/>
      <c r="BJ1025" s="1" t="s">
        <v>14794</v>
      </c>
      <c r="BK1025" s="1" t="s">
        <v>14795</v>
      </c>
      <c r="BL1025" s="1" t="s">
        <v>670</v>
      </c>
      <c r="BM1025" s="1" t="s">
        <v>14796</v>
      </c>
      <c r="BN1025" s="1">
        <v>14</v>
      </c>
      <c r="BO1025" s="1" t="s">
        <v>14797</v>
      </c>
      <c r="BP1025" s="1" t="str">
        <f>HYPERLINK("https://nconnect.nicmar.ac.in/storage/profile/ProfilePhoto_P25702021_253841.jpg","Download")</f>
        <v>0</v>
      </c>
      <c r="BQ1025" s="3"/>
      <c r="BR1025" s="3"/>
    </row>
    <row r="1026" spans="1:70">
      <c r="A1026" s="1" t="s">
        <v>14387</v>
      </c>
      <c r="B1026" s="1" t="s">
        <v>441</v>
      </c>
      <c r="C1026" s="1" t="s">
        <v>14798</v>
      </c>
      <c r="D1026" s="1" t="s">
        <v>11369</v>
      </c>
      <c r="E1026" s="1" t="s">
        <v>14799</v>
      </c>
      <c r="F1026" s="1" t="s">
        <v>6630</v>
      </c>
      <c r="G1026" s="1" t="s">
        <v>14800</v>
      </c>
      <c r="H1026" s="1" t="s">
        <v>14801</v>
      </c>
      <c r="I1026" s="1" t="s">
        <v>14802</v>
      </c>
      <c r="J1026" s="1">
        <v>9825051825</v>
      </c>
      <c r="K1026" s="1" t="s">
        <v>79</v>
      </c>
      <c r="L1026" s="1" t="s">
        <v>9616</v>
      </c>
      <c r="M1026" s="1" t="s">
        <v>81</v>
      </c>
      <c r="N1026" s="1" t="s">
        <v>7173</v>
      </c>
      <c r="O1026" s="1"/>
      <c r="P1026" s="1" t="s">
        <v>497</v>
      </c>
      <c r="Q1026" s="1" t="s">
        <v>14803</v>
      </c>
      <c r="R1026" s="1" t="s">
        <v>14799</v>
      </c>
      <c r="S1026" s="1">
        <v>9825051425</v>
      </c>
      <c r="T1026" s="1" t="s">
        <v>906</v>
      </c>
      <c r="U1026" s="1" t="s">
        <v>14804</v>
      </c>
      <c r="V1026" s="1">
        <v>9727113797</v>
      </c>
      <c r="W1026" s="1" t="s">
        <v>156</v>
      </c>
      <c r="X1026" s="1" t="s">
        <v>14805</v>
      </c>
      <c r="Y1026" s="1" t="s">
        <v>191</v>
      </c>
      <c r="Z1026" s="1" t="s">
        <v>92</v>
      </c>
      <c r="AA1026" s="1" t="s">
        <v>14806</v>
      </c>
      <c r="AB1026" s="1" t="s">
        <v>8152</v>
      </c>
      <c r="AC1026" s="1" t="s">
        <v>662</v>
      </c>
      <c r="AD1026" s="1">
        <v>9.03</v>
      </c>
      <c r="AE1026" s="1" t="s">
        <v>93</v>
      </c>
      <c r="AF1026" s="1" t="s">
        <v>14807</v>
      </c>
      <c r="AG1026" s="1" t="s">
        <v>14808</v>
      </c>
      <c r="AH1026" s="1" t="s">
        <v>165</v>
      </c>
      <c r="AI1026" s="1" t="s">
        <v>169</v>
      </c>
      <c r="AJ1026" s="1">
        <v>86.16</v>
      </c>
      <c r="AK1026" s="1"/>
      <c r="AL1026" s="1" t="s">
        <v>14809</v>
      </c>
      <c r="AM1026" s="1" t="s">
        <v>14808</v>
      </c>
      <c r="AN1026" s="1" t="s">
        <v>433</v>
      </c>
      <c r="AO1026" s="1" t="s">
        <v>412</v>
      </c>
      <c r="AP1026" s="1">
        <v>68.76</v>
      </c>
      <c r="AQ1026" s="1"/>
      <c r="AR1026" s="1"/>
      <c r="AS1026" s="1"/>
      <c r="AT1026" s="1"/>
      <c r="AU1026" s="1"/>
      <c r="AV1026" s="1"/>
      <c r="AW1026" s="1"/>
      <c r="AX1026" s="1" t="s">
        <v>14810</v>
      </c>
      <c r="AY1026" s="1" t="s">
        <v>14811</v>
      </c>
      <c r="AZ1026" s="1" t="s">
        <v>173</v>
      </c>
      <c r="BA1026" s="1" t="s">
        <v>413</v>
      </c>
      <c r="BB1026" s="1">
        <v>82.5</v>
      </c>
      <c r="BC1026" s="1">
        <v>8.75</v>
      </c>
      <c r="BD1026" s="1"/>
      <c r="BE1026" s="1"/>
      <c r="BF1026" s="1"/>
      <c r="BG1026" s="1"/>
      <c r="BH1026" s="1"/>
      <c r="BI1026" s="1"/>
      <c r="BJ1026" s="1" t="s">
        <v>14812</v>
      </c>
      <c r="BK1026" s="1"/>
      <c r="BL1026" s="1"/>
      <c r="BM1026" s="1" t="s">
        <v>14813</v>
      </c>
      <c r="BN1026" s="1">
        <v>14</v>
      </c>
      <c r="BO1026" s="1" t="s">
        <v>14814</v>
      </c>
      <c r="BP1026" s="1" t="str">
        <f>HYPERLINK("https://nconnect.nicmar.ac.in/storage/profile/ProfilePhoto_P25702022_617352.jpg","Download")</f>
        <v>0</v>
      </c>
      <c r="BQ1026" s="3"/>
      <c r="BR1026" s="3"/>
    </row>
    <row r="1027" spans="1:70">
      <c r="A1027" s="1" t="s">
        <v>14387</v>
      </c>
      <c r="B1027" s="1" t="s">
        <v>441</v>
      </c>
      <c r="C1027" s="1" t="s">
        <v>14815</v>
      </c>
      <c r="D1027" s="1" t="s">
        <v>14816</v>
      </c>
      <c r="E1027" s="1" t="s">
        <v>208</v>
      </c>
      <c r="F1027" s="1" t="s">
        <v>11252</v>
      </c>
      <c r="G1027" s="1" t="s">
        <v>14817</v>
      </c>
      <c r="H1027" s="1" t="s">
        <v>14818</v>
      </c>
      <c r="I1027" s="1" t="s">
        <v>14818</v>
      </c>
      <c r="J1027" s="1">
        <v>7350783095</v>
      </c>
      <c r="K1027" s="1" t="s">
        <v>148</v>
      </c>
      <c r="L1027" s="1" t="s">
        <v>14819</v>
      </c>
      <c r="M1027" s="1" t="s">
        <v>81</v>
      </c>
      <c r="N1027" s="1" t="s">
        <v>605</v>
      </c>
      <c r="O1027" s="1" t="s">
        <v>14820</v>
      </c>
      <c r="P1027" s="1" t="s">
        <v>1994</v>
      </c>
      <c r="Q1027" s="1" t="s">
        <v>14821</v>
      </c>
      <c r="R1027" s="1" t="s">
        <v>14822</v>
      </c>
      <c r="S1027" s="1">
        <v>9975485912</v>
      </c>
      <c r="T1027" s="1" t="s">
        <v>632</v>
      </c>
      <c r="U1027" s="1" t="s">
        <v>14823</v>
      </c>
      <c r="V1027" s="1">
        <v>8975244575</v>
      </c>
      <c r="W1027" s="1" t="s">
        <v>156</v>
      </c>
      <c r="X1027" s="1" t="s">
        <v>14824</v>
      </c>
      <c r="Y1027" s="1" t="s">
        <v>191</v>
      </c>
      <c r="Z1027" s="1" t="s">
        <v>92</v>
      </c>
      <c r="AA1027" s="1" t="s">
        <v>14825</v>
      </c>
      <c r="AB1027" s="1" t="s">
        <v>158</v>
      </c>
      <c r="AC1027" s="1" t="s">
        <v>92</v>
      </c>
      <c r="AD1027" s="1">
        <v>8.56</v>
      </c>
      <c r="AE1027" s="1" t="s">
        <v>93</v>
      </c>
      <c r="AF1027" s="1" t="s">
        <v>14826</v>
      </c>
      <c r="AG1027" s="1" t="s">
        <v>14827</v>
      </c>
      <c r="AH1027" s="1" t="s">
        <v>1190</v>
      </c>
      <c r="AI1027" s="1" t="s">
        <v>505</v>
      </c>
      <c r="AJ1027" s="1">
        <v>88.2</v>
      </c>
      <c r="AK1027" s="1">
        <v>0</v>
      </c>
      <c r="AL1027" s="1" t="s">
        <v>14828</v>
      </c>
      <c r="AM1027" s="1" t="s">
        <v>14829</v>
      </c>
      <c r="AN1027" s="1" t="s">
        <v>97</v>
      </c>
      <c r="AO1027" s="1" t="s">
        <v>614</v>
      </c>
      <c r="AP1027" s="1">
        <v>74.8</v>
      </c>
      <c r="AQ1027" s="1"/>
      <c r="AR1027" s="1"/>
      <c r="AS1027" s="1"/>
      <c r="AT1027" s="1"/>
      <c r="AU1027" s="1"/>
      <c r="AV1027" s="1"/>
      <c r="AW1027" s="1"/>
      <c r="AX1027" s="1" t="s">
        <v>666</v>
      </c>
      <c r="AY1027" s="1" t="s">
        <v>14830</v>
      </c>
      <c r="AZ1027" s="1" t="s">
        <v>134</v>
      </c>
      <c r="BA1027" s="1" t="s">
        <v>828</v>
      </c>
      <c r="BB1027" s="1">
        <v>58.9</v>
      </c>
      <c r="BC1027" s="1">
        <v>5.89</v>
      </c>
      <c r="BD1027" s="1"/>
      <c r="BE1027" s="1"/>
      <c r="BF1027" s="1"/>
      <c r="BG1027" s="1"/>
      <c r="BH1027" s="1"/>
      <c r="BI1027" s="1"/>
      <c r="BJ1027" s="1" t="s">
        <v>14831</v>
      </c>
      <c r="BK1027" s="1" t="s">
        <v>14832</v>
      </c>
      <c r="BL1027" s="1" t="s">
        <v>138</v>
      </c>
      <c r="BM1027" s="1" t="s">
        <v>14833</v>
      </c>
      <c r="BN1027" s="1">
        <v>33</v>
      </c>
      <c r="BO1027" s="1"/>
      <c r="BP1027" s="1" t="str">
        <f>HYPERLINK("https://nconnect.nicmar.ac.in/storage/profile/ProfilePhoto_P25702023_483726.jpg","Download")</f>
        <v>0</v>
      </c>
      <c r="BQ1027" s="3"/>
      <c r="BR1027" s="3"/>
    </row>
    <row r="1028" spans="1:70">
      <c r="A1028" s="1" t="s">
        <v>14387</v>
      </c>
      <c r="B1028" s="1" t="s">
        <v>441</v>
      </c>
      <c r="C1028" s="1" t="s">
        <v>14834</v>
      </c>
      <c r="D1028" s="1" t="s">
        <v>5061</v>
      </c>
      <c r="E1028" s="1" t="s">
        <v>4970</v>
      </c>
      <c r="F1028" s="1" t="s">
        <v>3237</v>
      </c>
      <c r="G1028" s="1" t="s">
        <v>14835</v>
      </c>
      <c r="H1028" s="1" t="s">
        <v>14836</v>
      </c>
      <c r="I1028" s="1" t="s">
        <v>14837</v>
      </c>
      <c r="J1028" s="1">
        <v>7264038682</v>
      </c>
      <c r="K1028" s="1" t="s">
        <v>79</v>
      </c>
      <c r="L1028" s="1" t="s">
        <v>6723</v>
      </c>
      <c r="M1028" s="1" t="s">
        <v>81</v>
      </c>
      <c r="N1028" s="1" t="s">
        <v>4976</v>
      </c>
      <c r="O1028" s="1"/>
      <c r="P1028" s="1" t="s">
        <v>472</v>
      </c>
      <c r="Q1028" s="1" t="s">
        <v>14838</v>
      </c>
      <c r="R1028" s="1" t="s">
        <v>14839</v>
      </c>
      <c r="S1028" s="1">
        <v>9552899175</v>
      </c>
      <c r="T1028" s="1" t="s">
        <v>14840</v>
      </c>
      <c r="U1028" s="1" t="s">
        <v>14841</v>
      </c>
      <c r="V1028" s="1">
        <v>7775908847</v>
      </c>
      <c r="W1028" s="1" t="s">
        <v>156</v>
      </c>
      <c r="X1028" s="1" t="s">
        <v>14842</v>
      </c>
      <c r="Y1028" s="1" t="s">
        <v>379</v>
      </c>
      <c r="Z1028" s="1" t="s">
        <v>92</v>
      </c>
      <c r="AA1028" s="1" t="s">
        <v>14842</v>
      </c>
      <c r="AB1028" s="1" t="s">
        <v>379</v>
      </c>
      <c r="AC1028" s="1" t="s">
        <v>92</v>
      </c>
      <c r="AD1028" s="1">
        <v>8.0</v>
      </c>
      <c r="AE1028" s="1" t="s">
        <v>93</v>
      </c>
      <c r="AF1028" s="1" t="s">
        <v>14843</v>
      </c>
      <c r="AG1028" s="1" t="s">
        <v>307</v>
      </c>
      <c r="AH1028" s="1" t="s">
        <v>689</v>
      </c>
      <c r="AI1028" s="1" t="s">
        <v>166</v>
      </c>
      <c r="AJ1028" s="1">
        <v>71.4</v>
      </c>
      <c r="AK1028" s="1"/>
      <c r="AL1028" s="1" t="s">
        <v>14844</v>
      </c>
      <c r="AM1028" s="1" t="s">
        <v>14845</v>
      </c>
      <c r="AN1028" s="1" t="s">
        <v>310</v>
      </c>
      <c r="AO1028" s="1" t="s">
        <v>360</v>
      </c>
      <c r="AP1028" s="1">
        <v>58.92</v>
      </c>
      <c r="AQ1028" s="1"/>
      <c r="AR1028" s="1"/>
      <c r="AS1028" s="1"/>
      <c r="AT1028" s="1"/>
      <c r="AU1028" s="1"/>
      <c r="AV1028" s="1"/>
      <c r="AW1028" s="1"/>
      <c r="AX1028" s="1" t="s">
        <v>14846</v>
      </c>
      <c r="AY1028" s="1" t="s">
        <v>14847</v>
      </c>
      <c r="AZ1028" s="1" t="s">
        <v>852</v>
      </c>
      <c r="BA1028" s="1" t="s">
        <v>829</v>
      </c>
      <c r="BB1028" s="1">
        <v>55.6</v>
      </c>
      <c r="BC1028" s="1">
        <v>6.31</v>
      </c>
      <c r="BD1028" s="1"/>
      <c r="BE1028" s="1"/>
      <c r="BF1028" s="1"/>
      <c r="BG1028" s="1"/>
      <c r="BH1028" s="1"/>
      <c r="BI1028" s="1"/>
      <c r="BJ1028" s="1" t="s">
        <v>14848</v>
      </c>
      <c r="BK1028" s="1"/>
      <c r="BL1028" s="1"/>
      <c r="BM1028" s="1" t="s">
        <v>14849</v>
      </c>
      <c r="BN1028" s="1">
        <v>29</v>
      </c>
      <c r="BO1028" s="1" t="s">
        <v>14850</v>
      </c>
      <c r="BP1028" s="1" t="str">
        <f>HYPERLINK("https://nconnect.nicmar.ac.in/storage/profile/ProfilePhoto_P25702024_291845.jpg","Download")</f>
        <v>0</v>
      </c>
      <c r="BQ1028" s="3"/>
      <c r="BR1028" s="3"/>
    </row>
    <row r="1029" spans="1:70">
      <c r="A1029" s="1" t="s">
        <v>14387</v>
      </c>
      <c r="B1029" s="1" t="s">
        <v>441</v>
      </c>
      <c r="C1029" s="1" t="s">
        <v>14851</v>
      </c>
      <c r="D1029" s="1" t="s">
        <v>3684</v>
      </c>
      <c r="E1029" s="1" t="s">
        <v>2744</v>
      </c>
      <c r="F1029" s="1" t="s">
        <v>14852</v>
      </c>
      <c r="G1029" s="1" t="s">
        <v>14853</v>
      </c>
      <c r="H1029" s="1" t="s">
        <v>14854</v>
      </c>
      <c r="I1029" s="1" t="s">
        <v>14855</v>
      </c>
      <c r="J1029" s="1">
        <v>9403851279</v>
      </c>
      <c r="K1029" s="1" t="s">
        <v>79</v>
      </c>
      <c r="L1029" s="1" t="s">
        <v>14856</v>
      </c>
      <c r="M1029" s="1" t="s">
        <v>81</v>
      </c>
      <c r="N1029" s="1" t="s">
        <v>6599</v>
      </c>
      <c r="O1029" s="1"/>
      <c r="P1029" s="1" t="s">
        <v>472</v>
      </c>
      <c r="Q1029" s="1" t="s">
        <v>14857</v>
      </c>
      <c r="R1029" s="1" t="s">
        <v>2744</v>
      </c>
      <c r="S1029" s="1">
        <v>9422691741</v>
      </c>
      <c r="T1029" s="1" t="s">
        <v>6019</v>
      </c>
      <c r="U1029" s="1" t="s">
        <v>3357</v>
      </c>
      <c r="V1029" s="1">
        <v>9422196757</v>
      </c>
      <c r="W1029" s="1" t="s">
        <v>156</v>
      </c>
      <c r="X1029" s="1" t="s">
        <v>14858</v>
      </c>
      <c r="Y1029" s="1" t="s">
        <v>991</v>
      </c>
      <c r="Z1029" s="1" t="s">
        <v>92</v>
      </c>
      <c r="AA1029" s="1" t="s">
        <v>14858</v>
      </c>
      <c r="AB1029" s="1" t="s">
        <v>991</v>
      </c>
      <c r="AC1029" s="1" t="s">
        <v>92</v>
      </c>
      <c r="AD1029" s="1">
        <v>7.08</v>
      </c>
      <c r="AE1029" s="1" t="s">
        <v>93</v>
      </c>
      <c r="AF1029" s="1" t="s">
        <v>14859</v>
      </c>
      <c r="AG1029" s="1" t="s">
        <v>1942</v>
      </c>
      <c r="AH1029" s="1" t="s">
        <v>162</v>
      </c>
      <c r="AI1029" s="1" t="s">
        <v>562</v>
      </c>
      <c r="AJ1029" s="1">
        <v>75.2</v>
      </c>
      <c r="AK1029" s="1"/>
      <c r="AL1029" s="1" t="s">
        <v>14860</v>
      </c>
      <c r="AM1029" s="1" t="s">
        <v>1942</v>
      </c>
      <c r="AN1029" s="1" t="s">
        <v>169</v>
      </c>
      <c r="AO1029" s="1" t="s">
        <v>537</v>
      </c>
      <c r="AP1029" s="1">
        <v>52.15</v>
      </c>
      <c r="AQ1029" s="1"/>
      <c r="AR1029" s="1"/>
      <c r="AS1029" s="1"/>
      <c r="AT1029" s="1"/>
      <c r="AU1029" s="1"/>
      <c r="AV1029" s="1"/>
      <c r="AW1029" s="1"/>
      <c r="AX1029" s="1" t="s">
        <v>14861</v>
      </c>
      <c r="AY1029" s="1" t="s">
        <v>14862</v>
      </c>
      <c r="AZ1029" s="1" t="s">
        <v>310</v>
      </c>
      <c r="BA1029" s="1" t="s">
        <v>229</v>
      </c>
      <c r="BB1029" s="1">
        <v>67.1</v>
      </c>
      <c r="BC1029" s="1">
        <v>7.46</v>
      </c>
      <c r="BD1029" s="1"/>
      <c r="BE1029" s="1"/>
      <c r="BF1029" s="1"/>
      <c r="BG1029" s="1"/>
      <c r="BH1029" s="1"/>
      <c r="BI1029" s="1"/>
      <c r="BJ1029" s="1" t="s">
        <v>14863</v>
      </c>
      <c r="BK1029" s="1"/>
      <c r="BL1029" s="1"/>
      <c r="BM1029" s="1" t="s">
        <v>14864</v>
      </c>
      <c r="BN1029" s="1">
        <v>21</v>
      </c>
      <c r="BO1029" s="1"/>
      <c r="BP1029" s="1" t="str">
        <f>HYPERLINK("https://nconnect.nicmar.ac.in/storage/profile/ProfilePhoto_P25702025_648375.jpg","Download")</f>
        <v>0</v>
      </c>
      <c r="BQ1029" s="3"/>
      <c r="BR1029" s="3"/>
    </row>
    <row r="1030" spans="1:70">
      <c r="A1030" s="1" t="s">
        <v>14387</v>
      </c>
      <c r="B1030" s="1" t="s">
        <v>441</v>
      </c>
      <c r="C1030" s="1" t="s">
        <v>14865</v>
      </c>
      <c r="D1030" s="1" t="s">
        <v>9402</v>
      </c>
      <c r="E1030" s="1" t="s">
        <v>14866</v>
      </c>
      <c r="F1030" s="1" t="s">
        <v>11596</v>
      </c>
      <c r="G1030" s="1" t="s">
        <v>14867</v>
      </c>
      <c r="H1030" s="1" t="s">
        <v>14868</v>
      </c>
      <c r="I1030" s="1" t="s">
        <v>14869</v>
      </c>
      <c r="J1030" s="1">
        <v>7083246505</v>
      </c>
      <c r="K1030" s="1" t="s">
        <v>79</v>
      </c>
      <c r="L1030" s="1" t="s">
        <v>14870</v>
      </c>
      <c r="M1030" s="1" t="s">
        <v>81</v>
      </c>
      <c r="N1030" s="1" t="s">
        <v>350</v>
      </c>
      <c r="O1030" s="1"/>
      <c r="P1030" s="1" t="s">
        <v>450</v>
      </c>
      <c r="Q1030" s="1" t="s">
        <v>14871</v>
      </c>
      <c r="R1030" s="1" t="s">
        <v>14872</v>
      </c>
      <c r="S1030" s="1">
        <v>9168924773</v>
      </c>
      <c r="T1030" s="1" t="s">
        <v>820</v>
      </c>
      <c r="U1030" s="1" t="s">
        <v>14873</v>
      </c>
      <c r="V1030" s="1">
        <v>9420476388</v>
      </c>
      <c r="W1030" s="1" t="s">
        <v>156</v>
      </c>
      <c r="X1030" s="1" t="s">
        <v>14874</v>
      </c>
      <c r="Y1030" s="1" t="s">
        <v>219</v>
      </c>
      <c r="Z1030" s="1" t="s">
        <v>92</v>
      </c>
      <c r="AA1030" s="1" t="s">
        <v>14874</v>
      </c>
      <c r="AB1030" s="1" t="s">
        <v>219</v>
      </c>
      <c r="AC1030" s="1" t="s">
        <v>92</v>
      </c>
      <c r="AD1030" s="1">
        <v>7.79</v>
      </c>
      <c r="AE1030" s="1" t="s">
        <v>93</v>
      </c>
      <c r="AF1030" s="1" t="s">
        <v>14875</v>
      </c>
      <c r="AG1030" s="1" t="s">
        <v>14876</v>
      </c>
      <c r="AH1030" s="1" t="s">
        <v>101</v>
      </c>
      <c r="AI1030" s="1" t="s">
        <v>537</v>
      </c>
      <c r="AJ1030" s="1">
        <v>83.2</v>
      </c>
      <c r="AK1030" s="1"/>
      <c r="AL1030" s="1" t="s">
        <v>14877</v>
      </c>
      <c r="AM1030" s="1" t="s">
        <v>14878</v>
      </c>
      <c r="AN1030" s="1" t="s">
        <v>173</v>
      </c>
      <c r="AO1030" s="1" t="s">
        <v>436</v>
      </c>
      <c r="AP1030" s="1">
        <v>90.67</v>
      </c>
      <c r="AQ1030" s="1"/>
      <c r="AR1030" s="1"/>
      <c r="AS1030" s="1"/>
      <c r="AT1030" s="1"/>
      <c r="AU1030" s="1"/>
      <c r="AV1030" s="1"/>
      <c r="AW1030" s="1"/>
      <c r="AX1030" s="1" t="s">
        <v>666</v>
      </c>
      <c r="AY1030" s="1" t="s">
        <v>14879</v>
      </c>
      <c r="AZ1030" s="1" t="s">
        <v>852</v>
      </c>
      <c r="BA1030" s="1" t="s">
        <v>829</v>
      </c>
      <c r="BB1030" s="1">
        <v>55.3</v>
      </c>
      <c r="BC1030" s="1">
        <v>6.28</v>
      </c>
      <c r="BD1030" s="1"/>
      <c r="BE1030" s="1"/>
      <c r="BF1030" s="1"/>
      <c r="BG1030" s="1"/>
      <c r="BH1030" s="1"/>
      <c r="BI1030" s="1"/>
      <c r="BJ1030" s="1" t="s">
        <v>364</v>
      </c>
      <c r="BK1030" s="1"/>
      <c r="BL1030" s="1"/>
      <c r="BM1030" s="1" t="s">
        <v>14880</v>
      </c>
      <c r="BN1030" s="1">
        <v>7</v>
      </c>
      <c r="BO1030" s="1"/>
      <c r="BP1030" s="1" t="str">
        <f>HYPERLINK("https://nconnect.nicmar.ac.in/storage/profile/ProfilePhoto_P25702026_459627.jpg","Download")</f>
        <v>0</v>
      </c>
      <c r="BQ1030" s="3"/>
      <c r="BR1030" s="3"/>
    </row>
    <row r="1031" spans="1:70">
      <c r="A1031" s="1" t="s">
        <v>14387</v>
      </c>
      <c r="B1031" s="1" t="s">
        <v>441</v>
      </c>
      <c r="C1031" s="1" t="s">
        <v>14881</v>
      </c>
      <c r="D1031" s="1" t="s">
        <v>14882</v>
      </c>
      <c r="E1031" s="1" t="s">
        <v>3061</v>
      </c>
      <c r="F1031" s="1" t="s">
        <v>14883</v>
      </c>
      <c r="G1031" s="1" t="s">
        <v>14884</v>
      </c>
      <c r="H1031" s="1" t="s">
        <v>14885</v>
      </c>
      <c r="I1031" s="1" t="s">
        <v>14886</v>
      </c>
      <c r="J1031" s="1">
        <v>6353203996</v>
      </c>
      <c r="K1031" s="1" t="s">
        <v>79</v>
      </c>
      <c r="L1031" s="1" t="s">
        <v>14887</v>
      </c>
      <c r="M1031" s="1" t="s">
        <v>81</v>
      </c>
      <c r="N1031" s="1" t="s">
        <v>14888</v>
      </c>
      <c r="O1031" s="1"/>
      <c r="P1031" s="1" t="s">
        <v>497</v>
      </c>
      <c r="Q1031" s="1" t="s">
        <v>14889</v>
      </c>
      <c r="R1031" s="1" t="s">
        <v>14890</v>
      </c>
      <c r="S1031" s="1">
        <v>9227222882</v>
      </c>
      <c r="T1031" s="1" t="s">
        <v>6961</v>
      </c>
      <c r="U1031" s="1" t="s">
        <v>14891</v>
      </c>
      <c r="V1031" s="1">
        <v>9104412231</v>
      </c>
      <c r="W1031" s="1" t="s">
        <v>531</v>
      </c>
      <c r="X1031" s="1" t="s">
        <v>14892</v>
      </c>
      <c r="Y1031" s="1" t="s">
        <v>8152</v>
      </c>
      <c r="Z1031" s="1" t="s">
        <v>662</v>
      </c>
      <c r="AA1031" s="1" t="s">
        <v>14892</v>
      </c>
      <c r="AB1031" s="1" t="s">
        <v>8152</v>
      </c>
      <c r="AC1031" s="1" t="s">
        <v>662</v>
      </c>
      <c r="AD1031" s="1">
        <v>7.58</v>
      </c>
      <c r="AE1031" s="1" t="s">
        <v>93</v>
      </c>
      <c r="AF1031" s="1" t="s">
        <v>14893</v>
      </c>
      <c r="AG1031" s="1" t="s">
        <v>14894</v>
      </c>
      <c r="AH1031" s="1" t="s">
        <v>481</v>
      </c>
      <c r="AI1031" s="1" t="s">
        <v>409</v>
      </c>
      <c r="AJ1031" s="1">
        <v>53.16</v>
      </c>
      <c r="AK1031" s="1"/>
      <c r="AL1031" s="1" t="s">
        <v>14895</v>
      </c>
      <c r="AM1031" s="1" t="s">
        <v>14894</v>
      </c>
      <c r="AN1031" s="1" t="s">
        <v>173</v>
      </c>
      <c r="AO1031" s="1" t="s">
        <v>826</v>
      </c>
      <c r="AP1031" s="1">
        <v>57.85</v>
      </c>
      <c r="AQ1031" s="1"/>
      <c r="AR1031" s="1"/>
      <c r="AS1031" s="1"/>
      <c r="AT1031" s="1"/>
      <c r="AU1031" s="1"/>
      <c r="AV1031" s="1"/>
      <c r="AW1031" s="1"/>
      <c r="AX1031" s="1" t="s">
        <v>8155</v>
      </c>
      <c r="AY1031" s="1" t="s">
        <v>14896</v>
      </c>
      <c r="AZ1031" s="1" t="s">
        <v>593</v>
      </c>
      <c r="BA1031" s="1" t="s">
        <v>543</v>
      </c>
      <c r="BB1031" s="1">
        <v>59.5</v>
      </c>
      <c r="BC1031" s="1"/>
      <c r="BD1031" s="1"/>
      <c r="BE1031" s="1"/>
      <c r="BF1031" s="1"/>
      <c r="BG1031" s="1"/>
      <c r="BH1031" s="1"/>
      <c r="BI1031" s="1"/>
      <c r="BJ1031" s="1" t="s">
        <v>567</v>
      </c>
      <c r="BK1031" s="1"/>
      <c r="BL1031" s="1"/>
      <c r="BM1031" s="1" t="s">
        <v>14897</v>
      </c>
      <c r="BN1031" s="1">
        <v>22</v>
      </c>
      <c r="BO1031" s="1" t="s">
        <v>14898</v>
      </c>
      <c r="BP1031" s="1" t="str">
        <f>HYPERLINK("https://nconnect.nicmar.ac.in/storage/profile/ProfilePhoto_P25702027_156924.jpg","Download")</f>
        <v>0</v>
      </c>
      <c r="BQ1031" s="3"/>
      <c r="BR1031" s="3"/>
    </row>
    <row r="1032" spans="1:70">
      <c r="A1032" s="1" t="s">
        <v>14387</v>
      </c>
      <c r="B1032" s="1" t="s">
        <v>441</v>
      </c>
      <c r="C1032" s="1" t="s">
        <v>14899</v>
      </c>
      <c r="D1032" s="1" t="s">
        <v>5008</v>
      </c>
      <c r="E1032" s="1" t="s">
        <v>14900</v>
      </c>
      <c r="F1032" s="1" t="s">
        <v>14901</v>
      </c>
      <c r="G1032" s="1" t="s">
        <v>14902</v>
      </c>
      <c r="H1032" s="1" t="s">
        <v>14903</v>
      </c>
      <c r="I1032" s="1" t="s">
        <v>14904</v>
      </c>
      <c r="J1032" s="1">
        <v>7558269151</v>
      </c>
      <c r="K1032" s="1" t="s">
        <v>79</v>
      </c>
      <c r="L1032" s="1" t="s">
        <v>14905</v>
      </c>
      <c r="M1032" s="1" t="s">
        <v>81</v>
      </c>
      <c r="N1032" s="1" t="s">
        <v>605</v>
      </c>
      <c r="O1032" s="1"/>
      <c r="P1032" s="1" t="s">
        <v>497</v>
      </c>
      <c r="Q1032" s="1" t="s">
        <v>14906</v>
      </c>
      <c r="R1032" s="1" t="s">
        <v>14900</v>
      </c>
      <c r="S1032" s="1">
        <v>9812887049</v>
      </c>
      <c r="T1032" s="1" t="s">
        <v>14907</v>
      </c>
      <c r="U1032" s="1" t="s">
        <v>14908</v>
      </c>
      <c r="V1032" s="1">
        <v>9112724882</v>
      </c>
      <c r="W1032" s="1" t="s">
        <v>156</v>
      </c>
      <c r="X1032" s="1" t="s">
        <v>14909</v>
      </c>
      <c r="Y1032" s="1" t="s">
        <v>1754</v>
      </c>
      <c r="Z1032" s="1" t="s">
        <v>92</v>
      </c>
      <c r="AA1032" s="1" t="s">
        <v>14909</v>
      </c>
      <c r="AB1032" s="1" t="s">
        <v>1754</v>
      </c>
      <c r="AC1032" s="1" t="s">
        <v>92</v>
      </c>
      <c r="AD1032" s="1">
        <v>8.56</v>
      </c>
      <c r="AE1032" s="1" t="s">
        <v>93</v>
      </c>
      <c r="AF1032" s="1" t="s">
        <v>14910</v>
      </c>
      <c r="AG1032" s="1" t="s">
        <v>307</v>
      </c>
      <c r="AH1032" s="1" t="s">
        <v>337</v>
      </c>
      <c r="AI1032" s="1" t="s">
        <v>279</v>
      </c>
      <c r="AJ1032" s="1">
        <v>76</v>
      </c>
      <c r="AK1032" s="1">
        <v>8</v>
      </c>
      <c r="AL1032" s="1" t="s">
        <v>14911</v>
      </c>
      <c r="AM1032" s="1" t="s">
        <v>160</v>
      </c>
      <c r="AN1032" s="1" t="s">
        <v>383</v>
      </c>
      <c r="AO1032" s="1" t="s">
        <v>481</v>
      </c>
      <c r="AP1032" s="1">
        <v>54.62</v>
      </c>
      <c r="AQ1032" s="1"/>
      <c r="AR1032" s="1"/>
      <c r="AS1032" s="1"/>
      <c r="AT1032" s="1"/>
      <c r="AU1032" s="1"/>
      <c r="AV1032" s="1"/>
      <c r="AW1032" s="1"/>
      <c r="AX1032" s="1" t="s">
        <v>361</v>
      </c>
      <c r="AY1032" s="1" t="s">
        <v>14912</v>
      </c>
      <c r="AZ1032" s="1" t="s">
        <v>169</v>
      </c>
      <c r="BA1032" s="1" t="s">
        <v>386</v>
      </c>
      <c r="BB1032" s="1">
        <v>59.7</v>
      </c>
      <c r="BC1032" s="1">
        <v>6.72</v>
      </c>
      <c r="BD1032" s="1"/>
      <c r="BE1032" s="1"/>
      <c r="BF1032" s="1"/>
      <c r="BG1032" s="1"/>
      <c r="BH1032" s="1"/>
      <c r="BI1032" s="1"/>
      <c r="BJ1032" s="1" t="s">
        <v>14913</v>
      </c>
      <c r="BK1032" s="1" t="s">
        <v>14914</v>
      </c>
      <c r="BL1032" s="1" t="s">
        <v>645</v>
      </c>
      <c r="BM1032" s="1" t="s">
        <v>14915</v>
      </c>
      <c r="BN1032" s="1">
        <v>12</v>
      </c>
      <c r="BO1032" s="1" t="s">
        <v>14916</v>
      </c>
      <c r="BP1032" s="1" t="str">
        <f>HYPERLINK("https://nconnect.nicmar.ac.in/storage/profile/ProfilePhoto_P25702028_937845.jpg","Download")</f>
        <v>0</v>
      </c>
      <c r="BQ1032" s="3"/>
      <c r="BR1032" s="3"/>
    </row>
    <row r="1033" spans="1:70">
      <c r="A1033" s="1" t="s">
        <v>14387</v>
      </c>
      <c r="B1033" s="1" t="s">
        <v>441</v>
      </c>
      <c r="C1033" s="1" t="s">
        <v>14917</v>
      </c>
      <c r="D1033" s="1" t="s">
        <v>14918</v>
      </c>
      <c r="E1033" s="1" t="s">
        <v>144</v>
      </c>
      <c r="F1033" s="1" t="s">
        <v>14919</v>
      </c>
      <c r="G1033" s="1" t="s">
        <v>14920</v>
      </c>
      <c r="H1033" s="1" t="s">
        <v>14921</v>
      </c>
      <c r="I1033" s="1" t="s">
        <v>14922</v>
      </c>
      <c r="J1033" s="1">
        <v>7276167578</v>
      </c>
      <c r="K1033" s="1" t="s">
        <v>79</v>
      </c>
      <c r="L1033" s="1" t="s">
        <v>2708</v>
      </c>
      <c r="M1033" s="1" t="s">
        <v>81</v>
      </c>
      <c r="N1033" s="1" t="s">
        <v>1140</v>
      </c>
      <c r="O1033" s="1"/>
      <c r="P1033" s="1" t="s">
        <v>497</v>
      </c>
      <c r="Q1033" s="1" t="s">
        <v>14923</v>
      </c>
      <c r="R1033" s="1" t="s">
        <v>14924</v>
      </c>
      <c r="S1033" s="1">
        <v>9423977883</v>
      </c>
      <c r="T1033" s="1" t="s">
        <v>632</v>
      </c>
      <c r="U1033" s="1" t="s">
        <v>14925</v>
      </c>
      <c r="V1033" s="1">
        <v>9511212856</v>
      </c>
      <c r="W1033" s="1" t="s">
        <v>156</v>
      </c>
      <c r="X1033" s="1" t="s">
        <v>14926</v>
      </c>
      <c r="Y1033" s="1" t="s">
        <v>191</v>
      </c>
      <c r="Z1033" s="1" t="s">
        <v>92</v>
      </c>
      <c r="AA1033" s="1" t="s">
        <v>14926</v>
      </c>
      <c r="AB1033" s="1" t="s">
        <v>191</v>
      </c>
      <c r="AC1033" s="1" t="s">
        <v>92</v>
      </c>
      <c r="AD1033" s="1">
        <v>7.61</v>
      </c>
      <c r="AE1033" s="1" t="s">
        <v>93</v>
      </c>
      <c r="AF1033" s="1" t="s">
        <v>14927</v>
      </c>
      <c r="AG1033" s="1" t="s">
        <v>160</v>
      </c>
      <c r="AH1033" s="1" t="s">
        <v>165</v>
      </c>
      <c r="AI1033" s="1" t="s">
        <v>281</v>
      </c>
      <c r="AJ1033" s="1">
        <v>79</v>
      </c>
      <c r="AK1033" s="1"/>
      <c r="AL1033" s="1"/>
      <c r="AM1033" s="1"/>
      <c r="AN1033" s="1"/>
      <c r="AO1033" s="1"/>
      <c r="AP1033" s="1"/>
      <c r="AQ1033" s="1"/>
      <c r="AR1033" s="1" t="s">
        <v>98</v>
      </c>
      <c r="AS1033" s="1" t="s">
        <v>14928</v>
      </c>
      <c r="AT1033" s="1" t="s">
        <v>1043</v>
      </c>
      <c r="AU1033" s="1" t="s">
        <v>1800</v>
      </c>
      <c r="AV1033" s="1">
        <v>69</v>
      </c>
      <c r="AW1033" s="1"/>
      <c r="AX1033" s="1" t="s">
        <v>361</v>
      </c>
      <c r="AY1033" s="1" t="s">
        <v>14929</v>
      </c>
      <c r="AZ1033" s="1" t="s">
        <v>1864</v>
      </c>
      <c r="BA1033" s="1" t="s">
        <v>5344</v>
      </c>
      <c r="BB1033" s="1">
        <v>56.2</v>
      </c>
      <c r="BC1033" s="1">
        <v>5.99</v>
      </c>
      <c r="BD1033" s="1"/>
      <c r="BE1033" s="1"/>
      <c r="BF1033" s="1"/>
      <c r="BG1033" s="1"/>
      <c r="BH1033" s="1"/>
      <c r="BI1033" s="1"/>
      <c r="BJ1033" s="1" t="s">
        <v>14930</v>
      </c>
      <c r="BK1033" s="1" t="s">
        <v>14931</v>
      </c>
      <c r="BL1033" s="1" t="s">
        <v>7466</v>
      </c>
      <c r="BM1033" s="1" t="s">
        <v>14932</v>
      </c>
      <c r="BN1033" s="1">
        <v>17</v>
      </c>
      <c r="BO1033" s="1" t="s">
        <v>14933</v>
      </c>
      <c r="BP1033" s="1" t="str">
        <f>HYPERLINK("https://nconnect.nicmar.ac.in/storage/profile/ProfilePhoto_P25702029_478612.jpg","Download")</f>
        <v>0</v>
      </c>
      <c r="BQ1033" s="3"/>
      <c r="BR1033" s="3"/>
    </row>
    <row r="1034" spans="1:70">
      <c r="A1034" s="1" t="s">
        <v>14387</v>
      </c>
      <c r="B1034" s="1" t="s">
        <v>441</v>
      </c>
      <c r="C1034" s="1" t="s">
        <v>14934</v>
      </c>
      <c r="D1034" s="1" t="s">
        <v>929</v>
      </c>
      <c r="E1034" s="1" t="s">
        <v>13070</v>
      </c>
      <c r="F1034" s="1" t="s">
        <v>14935</v>
      </c>
      <c r="G1034" s="1" t="s">
        <v>14936</v>
      </c>
      <c r="H1034" s="1" t="s">
        <v>14937</v>
      </c>
      <c r="I1034" s="1" t="s">
        <v>14938</v>
      </c>
      <c r="J1034" s="1">
        <v>7517419935</v>
      </c>
      <c r="K1034" s="1" t="s">
        <v>148</v>
      </c>
      <c r="L1034" s="1" t="s">
        <v>14939</v>
      </c>
      <c r="M1034" s="1" t="s">
        <v>81</v>
      </c>
      <c r="N1034" s="1" t="s">
        <v>1140</v>
      </c>
      <c r="O1034" s="1"/>
      <c r="P1034" s="1" t="s">
        <v>472</v>
      </c>
      <c r="Q1034" s="1" t="s">
        <v>14940</v>
      </c>
      <c r="R1034" s="1" t="s">
        <v>14941</v>
      </c>
      <c r="S1034" s="1">
        <v>9765368537</v>
      </c>
      <c r="T1034" s="1" t="s">
        <v>14942</v>
      </c>
      <c r="U1034" s="1" t="s">
        <v>14943</v>
      </c>
      <c r="V1034" s="1">
        <v>9158047991</v>
      </c>
      <c r="W1034" s="1" t="s">
        <v>156</v>
      </c>
      <c r="X1034" s="1" t="s">
        <v>14944</v>
      </c>
      <c r="Y1034" s="1" t="s">
        <v>219</v>
      </c>
      <c r="Z1034" s="1" t="s">
        <v>92</v>
      </c>
      <c r="AA1034" s="1" t="s">
        <v>14944</v>
      </c>
      <c r="AB1034" s="1" t="s">
        <v>219</v>
      </c>
      <c r="AC1034" s="1" t="s">
        <v>92</v>
      </c>
      <c r="AD1034" s="1">
        <v>7.42</v>
      </c>
      <c r="AE1034" s="1" t="s">
        <v>93</v>
      </c>
      <c r="AF1034" s="1" t="s">
        <v>14945</v>
      </c>
      <c r="AG1034" s="1" t="s">
        <v>14946</v>
      </c>
      <c r="AH1034" s="1" t="s">
        <v>131</v>
      </c>
      <c r="AI1034" s="1" t="s">
        <v>1089</v>
      </c>
      <c r="AJ1034" s="1">
        <v>85</v>
      </c>
      <c r="AK1034" s="1"/>
      <c r="AL1034" s="1" t="s">
        <v>14947</v>
      </c>
      <c r="AM1034" s="1" t="s">
        <v>14946</v>
      </c>
      <c r="AN1034" s="1" t="s">
        <v>195</v>
      </c>
      <c r="AO1034" s="1" t="s">
        <v>1455</v>
      </c>
      <c r="AP1034" s="1">
        <v>53.08</v>
      </c>
      <c r="AQ1034" s="1"/>
      <c r="AR1034" s="1"/>
      <c r="AS1034" s="1"/>
      <c r="AT1034" s="1"/>
      <c r="AU1034" s="1"/>
      <c r="AV1034" s="1"/>
      <c r="AW1034" s="1"/>
      <c r="AX1034" s="1" t="s">
        <v>14948</v>
      </c>
      <c r="AY1034" s="1" t="s">
        <v>14949</v>
      </c>
      <c r="AZ1034" s="1" t="s">
        <v>169</v>
      </c>
      <c r="BA1034" s="1" t="s">
        <v>386</v>
      </c>
      <c r="BB1034" s="1">
        <v>69.82</v>
      </c>
      <c r="BC1034" s="1">
        <v>7.35</v>
      </c>
      <c r="BD1034" s="1"/>
      <c r="BE1034" s="1"/>
      <c r="BF1034" s="1"/>
      <c r="BG1034" s="1"/>
      <c r="BH1034" s="1"/>
      <c r="BI1034" s="1"/>
      <c r="BJ1034" s="1" t="s">
        <v>14950</v>
      </c>
      <c r="BK1034" s="1"/>
      <c r="BL1034" s="1"/>
      <c r="BM1034" s="1" t="s">
        <v>14951</v>
      </c>
      <c r="BN1034" s="1">
        <v>33</v>
      </c>
      <c r="BO1034" s="1"/>
      <c r="BP1034" s="1" t="str">
        <f>HYPERLINK("https://nconnect.nicmar.ac.in/storage/profile/ProfilePhoto_P25702030_594783.jpg","Download")</f>
        <v>0</v>
      </c>
      <c r="BQ1034" s="3"/>
      <c r="BR1034" s="3"/>
    </row>
    <row r="1035" spans="1:70">
      <c r="A1035" s="1" t="s">
        <v>14387</v>
      </c>
      <c r="B1035" s="1" t="s">
        <v>441</v>
      </c>
      <c r="C1035" s="1" t="s">
        <v>14952</v>
      </c>
      <c r="D1035" s="1" t="s">
        <v>10539</v>
      </c>
      <c r="E1035" s="1" t="s">
        <v>144</v>
      </c>
      <c r="F1035" s="1" t="s">
        <v>393</v>
      </c>
      <c r="G1035" s="1" t="s">
        <v>14953</v>
      </c>
      <c r="H1035" s="1" t="s">
        <v>14954</v>
      </c>
      <c r="I1035" s="1" t="s">
        <v>14955</v>
      </c>
      <c r="J1035" s="1">
        <v>9529272388</v>
      </c>
      <c r="K1035" s="1" t="s">
        <v>79</v>
      </c>
      <c r="L1035" s="1" t="s">
        <v>14956</v>
      </c>
      <c r="M1035" s="1" t="s">
        <v>81</v>
      </c>
      <c r="N1035" s="1" t="s">
        <v>14957</v>
      </c>
      <c r="O1035" s="1" t="s">
        <v>14958</v>
      </c>
      <c r="P1035" s="1" t="s">
        <v>450</v>
      </c>
      <c r="Q1035" s="1" t="s">
        <v>14959</v>
      </c>
      <c r="R1035" s="1" t="s">
        <v>144</v>
      </c>
      <c r="S1035" s="1">
        <v>9529272388</v>
      </c>
      <c r="T1035" s="1" t="s">
        <v>120</v>
      </c>
      <c r="U1035" s="1" t="s">
        <v>14960</v>
      </c>
      <c r="V1035" s="1">
        <v>9552555331</v>
      </c>
      <c r="W1035" s="1" t="s">
        <v>531</v>
      </c>
      <c r="X1035" s="1" t="s">
        <v>14961</v>
      </c>
      <c r="Y1035" s="1" t="s">
        <v>405</v>
      </c>
      <c r="Z1035" s="1" t="s">
        <v>92</v>
      </c>
      <c r="AA1035" s="1" t="s">
        <v>14961</v>
      </c>
      <c r="AB1035" s="1" t="s">
        <v>405</v>
      </c>
      <c r="AC1035" s="1" t="s">
        <v>92</v>
      </c>
      <c r="AD1035" s="1" t="s">
        <v>93</v>
      </c>
      <c r="AE1035" s="1" t="s">
        <v>93</v>
      </c>
      <c r="AF1035" s="1" t="s">
        <v>2869</v>
      </c>
      <c r="AG1035" s="1" t="s">
        <v>1942</v>
      </c>
      <c r="AH1035" s="1" t="s">
        <v>97</v>
      </c>
      <c r="AI1035" s="1" t="s">
        <v>1089</v>
      </c>
      <c r="AJ1035" s="1">
        <v>80.4</v>
      </c>
      <c r="AK1035" s="1"/>
      <c r="AL1035" s="1" t="s">
        <v>14962</v>
      </c>
      <c r="AM1035" s="1" t="s">
        <v>1942</v>
      </c>
      <c r="AN1035" s="1" t="s">
        <v>195</v>
      </c>
      <c r="AO1035" s="1" t="s">
        <v>281</v>
      </c>
      <c r="AP1035" s="1">
        <v>53</v>
      </c>
      <c r="AQ1035" s="1"/>
      <c r="AR1035" s="1"/>
      <c r="AS1035" s="1"/>
      <c r="AT1035" s="1"/>
      <c r="AU1035" s="1"/>
      <c r="AV1035" s="1"/>
      <c r="AW1035" s="1"/>
      <c r="AX1035" s="1" t="s">
        <v>410</v>
      </c>
      <c r="AY1035" s="1" t="s">
        <v>14963</v>
      </c>
      <c r="AZ1035" s="1" t="s">
        <v>1043</v>
      </c>
      <c r="BA1035" s="1" t="s">
        <v>1245</v>
      </c>
      <c r="BB1035" s="1">
        <v>56.6</v>
      </c>
      <c r="BC1035" s="1">
        <v>6.41</v>
      </c>
      <c r="BD1035" s="1"/>
      <c r="BE1035" s="1"/>
      <c r="BF1035" s="1"/>
      <c r="BG1035" s="1"/>
      <c r="BH1035" s="1"/>
      <c r="BI1035" s="1"/>
      <c r="BJ1035" s="1" t="s">
        <v>14964</v>
      </c>
      <c r="BK1035" s="1"/>
      <c r="BL1035" s="1"/>
      <c r="BM1035" s="1" t="s">
        <v>14965</v>
      </c>
      <c r="BN1035" s="1">
        <v>10</v>
      </c>
      <c r="BO1035" s="1" t="s">
        <v>14966</v>
      </c>
      <c r="BP1035" s="1" t="str">
        <f>HYPERLINK("https://nconnect.nicmar.ac.in/storage/profile/ProfilePhoto_P25702031_539764.jpg","Download")</f>
        <v>0</v>
      </c>
      <c r="BQ1035" s="3"/>
      <c r="BR1035" s="3"/>
    </row>
    <row r="1036" spans="1:70">
      <c r="A1036" s="1" t="s">
        <v>14387</v>
      </c>
      <c r="B1036" s="1" t="s">
        <v>441</v>
      </c>
      <c r="C1036" s="1" t="s">
        <v>14967</v>
      </c>
      <c r="D1036" s="1" t="s">
        <v>1315</v>
      </c>
      <c r="E1036" s="1"/>
      <c r="F1036" s="1" t="s">
        <v>4304</v>
      </c>
      <c r="G1036" s="1" t="s">
        <v>14968</v>
      </c>
      <c r="H1036" s="1" t="s">
        <v>14969</v>
      </c>
      <c r="I1036" s="1" t="s">
        <v>14970</v>
      </c>
      <c r="J1036" s="1">
        <v>8138844161</v>
      </c>
      <c r="K1036" s="1" t="s">
        <v>79</v>
      </c>
      <c r="L1036" s="1" t="s">
        <v>14971</v>
      </c>
      <c r="M1036" s="1" t="s">
        <v>81</v>
      </c>
      <c r="N1036" s="1" t="s">
        <v>3279</v>
      </c>
      <c r="O1036" s="1" t="s">
        <v>14972</v>
      </c>
      <c r="P1036" s="1" t="s">
        <v>450</v>
      </c>
      <c r="Q1036" s="1" t="s">
        <v>14973</v>
      </c>
      <c r="R1036" s="1" t="s">
        <v>14974</v>
      </c>
      <c r="S1036" s="1">
        <v>8086487698</v>
      </c>
      <c r="T1036" s="1" t="s">
        <v>906</v>
      </c>
      <c r="U1036" s="1" t="s">
        <v>14975</v>
      </c>
      <c r="V1036" s="1">
        <v>9037368968</v>
      </c>
      <c r="W1036" s="1" t="s">
        <v>89</v>
      </c>
      <c r="X1036" s="1" t="s">
        <v>14976</v>
      </c>
      <c r="Y1036" s="1" t="s">
        <v>2518</v>
      </c>
      <c r="Z1036" s="1" t="s">
        <v>125</v>
      </c>
      <c r="AA1036" s="1" t="s">
        <v>14976</v>
      </c>
      <c r="AB1036" s="1" t="s">
        <v>2518</v>
      </c>
      <c r="AC1036" s="1" t="s">
        <v>125</v>
      </c>
      <c r="AD1036" s="1">
        <v>9.32</v>
      </c>
      <c r="AE1036" s="1" t="s">
        <v>93</v>
      </c>
      <c r="AF1036" s="1" t="s">
        <v>14977</v>
      </c>
      <c r="AG1036" s="1" t="s">
        <v>307</v>
      </c>
      <c r="AH1036" s="1" t="s">
        <v>162</v>
      </c>
      <c r="AI1036" s="1" t="s">
        <v>165</v>
      </c>
      <c r="AJ1036" s="1">
        <v>95</v>
      </c>
      <c r="AK1036" s="1">
        <v>10</v>
      </c>
      <c r="AL1036" s="1" t="s">
        <v>14977</v>
      </c>
      <c r="AM1036" s="1" t="s">
        <v>307</v>
      </c>
      <c r="AN1036" s="1" t="s">
        <v>166</v>
      </c>
      <c r="AO1036" s="1" t="s">
        <v>308</v>
      </c>
      <c r="AP1036" s="1">
        <v>91</v>
      </c>
      <c r="AQ1036" s="1"/>
      <c r="AR1036" s="1"/>
      <c r="AS1036" s="1"/>
      <c r="AT1036" s="1"/>
      <c r="AU1036" s="1"/>
      <c r="AV1036" s="1"/>
      <c r="AW1036" s="1"/>
      <c r="AX1036" s="1" t="s">
        <v>14978</v>
      </c>
      <c r="AY1036" s="1" t="s">
        <v>14979</v>
      </c>
      <c r="AZ1036" s="1" t="s">
        <v>310</v>
      </c>
      <c r="BA1036" s="1" t="s">
        <v>413</v>
      </c>
      <c r="BB1036" s="1">
        <v>82.8</v>
      </c>
      <c r="BC1036" s="1">
        <v>8.28</v>
      </c>
      <c r="BD1036" s="1"/>
      <c r="BE1036" s="1"/>
      <c r="BF1036" s="1"/>
      <c r="BG1036" s="1"/>
      <c r="BH1036" s="1"/>
      <c r="BI1036" s="1"/>
      <c r="BJ1036" s="1" t="s">
        <v>14980</v>
      </c>
      <c r="BK1036" s="1" t="s">
        <v>14981</v>
      </c>
      <c r="BL1036" s="1" t="s">
        <v>287</v>
      </c>
      <c r="BM1036" s="1" t="s">
        <v>14982</v>
      </c>
      <c r="BN1036" s="1">
        <v>35</v>
      </c>
      <c r="BO1036" s="1" t="s">
        <v>14983</v>
      </c>
      <c r="BP1036" s="1" t="str">
        <f>HYPERLINK("https://nconnect.nicmar.ac.in/storage/profile/ProfilePhoto_P25702032_856149.jpg","Download")</f>
        <v>0</v>
      </c>
      <c r="BQ1036" s="3"/>
      <c r="BR1036" s="3"/>
    </row>
    <row r="1037" spans="1:70">
      <c r="A1037" s="1" t="s">
        <v>14387</v>
      </c>
      <c r="B1037" s="1" t="s">
        <v>441</v>
      </c>
      <c r="C1037" s="1" t="s">
        <v>14984</v>
      </c>
      <c r="D1037" s="1" t="s">
        <v>14985</v>
      </c>
      <c r="E1037" s="1" t="s">
        <v>14986</v>
      </c>
      <c r="F1037" s="1" t="s">
        <v>9061</v>
      </c>
      <c r="G1037" s="1" t="s">
        <v>14987</v>
      </c>
      <c r="H1037" s="1" t="s">
        <v>14988</v>
      </c>
      <c r="I1037" s="1" t="s">
        <v>14989</v>
      </c>
      <c r="J1037" s="1">
        <v>9370854324</v>
      </c>
      <c r="K1037" s="1" t="s">
        <v>79</v>
      </c>
      <c r="L1037" s="1" t="s">
        <v>14990</v>
      </c>
      <c r="M1037" s="1" t="s">
        <v>81</v>
      </c>
      <c r="N1037" s="1" t="s">
        <v>13390</v>
      </c>
      <c r="O1037" s="1"/>
      <c r="P1037" s="1" t="s">
        <v>472</v>
      </c>
      <c r="Q1037" s="1" t="s">
        <v>14991</v>
      </c>
      <c r="R1037" s="1" t="s">
        <v>14986</v>
      </c>
      <c r="S1037" s="1">
        <v>9890903862</v>
      </c>
      <c r="T1037" s="1" t="s">
        <v>754</v>
      </c>
      <c r="U1037" s="1" t="s">
        <v>14992</v>
      </c>
      <c r="V1037" s="1">
        <v>9890903818</v>
      </c>
      <c r="W1037" s="1" t="s">
        <v>156</v>
      </c>
      <c r="X1037" s="1" t="s">
        <v>14993</v>
      </c>
      <c r="Y1037" s="1" t="s">
        <v>5185</v>
      </c>
      <c r="Z1037" s="1" t="s">
        <v>92</v>
      </c>
      <c r="AA1037" s="1" t="s">
        <v>14994</v>
      </c>
      <c r="AB1037" s="1" t="s">
        <v>5185</v>
      </c>
      <c r="AC1037" s="1" t="s">
        <v>92</v>
      </c>
      <c r="AD1037" s="1">
        <v>7.5</v>
      </c>
      <c r="AE1037" s="1" t="s">
        <v>93</v>
      </c>
      <c r="AF1037" s="1" t="s">
        <v>14995</v>
      </c>
      <c r="AG1037" s="1" t="s">
        <v>14996</v>
      </c>
      <c r="AH1037" s="1" t="s">
        <v>101</v>
      </c>
      <c r="AI1037" s="1" t="s">
        <v>308</v>
      </c>
      <c r="AJ1037" s="1">
        <v>92</v>
      </c>
      <c r="AK1037" s="1">
        <v>0</v>
      </c>
      <c r="AL1037" s="1" t="s">
        <v>14997</v>
      </c>
      <c r="AM1037" s="1" t="s">
        <v>14998</v>
      </c>
      <c r="AN1037" s="1" t="s">
        <v>460</v>
      </c>
      <c r="AO1037" s="1" t="s">
        <v>1148</v>
      </c>
      <c r="AP1037" s="1">
        <v>89.17</v>
      </c>
      <c r="AQ1037" s="1">
        <v>0</v>
      </c>
      <c r="AR1037" s="1"/>
      <c r="AS1037" s="1"/>
      <c r="AT1037" s="1"/>
      <c r="AU1037" s="1"/>
      <c r="AV1037" s="1"/>
      <c r="AW1037" s="1"/>
      <c r="AX1037" s="1" t="s">
        <v>361</v>
      </c>
      <c r="AY1037" s="1" t="s">
        <v>5683</v>
      </c>
      <c r="AZ1037" s="1" t="s">
        <v>201</v>
      </c>
      <c r="BA1037" s="1" t="s">
        <v>543</v>
      </c>
      <c r="BB1037" s="1">
        <v>71.82</v>
      </c>
      <c r="BC1037" s="1">
        <v>7.98</v>
      </c>
      <c r="BD1037" s="1"/>
      <c r="BE1037" s="1"/>
      <c r="BF1037" s="1"/>
      <c r="BG1037" s="1"/>
      <c r="BH1037" s="1"/>
      <c r="BI1037" s="1"/>
      <c r="BJ1037" s="1" t="s">
        <v>364</v>
      </c>
      <c r="BK1037" s="1"/>
      <c r="BL1037" s="1"/>
      <c r="BM1037" s="1" t="s">
        <v>14999</v>
      </c>
      <c r="BN1037" s="1">
        <v>9</v>
      </c>
      <c r="BO1037" s="1"/>
      <c r="BP1037" s="1" t="str">
        <f>HYPERLINK("https://nconnect.nicmar.ac.in/storage/profile/ProfilePhoto_P25702033_792583.jpg","Download")</f>
        <v>0</v>
      </c>
      <c r="BQ1037" s="3"/>
      <c r="BR1037" s="3"/>
    </row>
    <row r="1038" spans="1:70">
      <c r="A1038" s="1" t="s">
        <v>14387</v>
      </c>
      <c r="B1038" s="1" t="s">
        <v>441</v>
      </c>
      <c r="C1038" s="1" t="s">
        <v>15000</v>
      </c>
      <c r="D1038" s="1" t="s">
        <v>9144</v>
      </c>
      <c r="E1038" s="1"/>
      <c r="F1038" s="1" t="s">
        <v>15001</v>
      </c>
      <c r="G1038" s="1" t="s">
        <v>15002</v>
      </c>
      <c r="H1038" s="1" t="s">
        <v>15003</v>
      </c>
      <c r="I1038" s="1" t="s">
        <v>15004</v>
      </c>
      <c r="J1038" s="1">
        <v>8639120440</v>
      </c>
      <c r="K1038" s="1" t="s">
        <v>79</v>
      </c>
      <c r="L1038" s="1" t="s">
        <v>6226</v>
      </c>
      <c r="M1038" s="1" t="s">
        <v>81</v>
      </c>
      <c r="N1038" s="1" t="s">
        <v>4844</v>
      </c>
      <c r="O1038" s="1"/>
      <c r="P1038" s="1" t="s">
        <v>497</v>
      </c>
      <c r="Q1038" s="1" t="s">
        <v>15005</v>
      </c>
      <c r="R1038" s="1" t="s">
        <v>15006</v>
      </c>
      <c r="S1038" s="1">
        <v>9393939971</v>
      </c>
      <c r="T1038" s="1" t="s">
        <v>15007</v>
      </c>
      <c r="U1038" s="1" t="s">
        <v>15008</v>
      </c>
      <c r="V1038" s="1">
        <v>9652398801</v>
      </c>
      <c r="W1038" s="1" t="s">
        <v>273</v>
      </c>
      <c r="X1038" s="1" t="s">
        <v>15009</v>
      </c>
      <c r="Y1038" s="1" t="s">
        <v>1898</v>
      </c>
      <c r="Z1038" s="1" t="s">
        <v>276</v>
      </c>
      <c r="AA1038" s="1" t="s">
        <v>15010</v>
      </c>
      <c r="AB1038" s="1" t="s">
        <v>1898</v>
      </c>
      <c r="AC1038" s="1" t="s">
        <v>276</v>
      </c>
      <c r="AD1038" s="1" t="s">
        <v>93</v>
      </c>
      <c r="AE1038" s="1" t="s">
        <v>93</v>
      </c>
      <c r="AF1038" s="1" t="s">
        <v>1415</v>
      </c>
      <c r="AG1038" s="1" t="s">
        <v>15011</v>
      </c>
      <c r="AH1038" s="1" t="s">
        <v>689</v>
      </c>
      <c r="AI1038" s="1" t="s">
        <v>481</v>
      </c>
      <c r="AJ1038" s="1">
        <v>93</v>
      </c>
      <c r="AK1038" s="1"/>
      <c r="AL1038" s="1" t="s">
        <v>1818</v>
      </c>
      <c r="AM1038" s="1" t="s">
        <v>15012</v>
      </c>
      <c r="AN1038" s="1" t="s">
        <v>101</v>
      </c>
      <c r="AO1038" s="1" t="s">
        <v>460</v>
      </c>
      <c r="AP1038" s="1">
        <v>62.5</v>
      </c>
      <c r="AQ1038" s="1">
        <v>6.25</v>
      </c>
      <c r="AR1038" s="1"/>
      <c r="AS1038" s="1"/>
      <c r="AT1038" s="1"/>
      <c r="AU1038" s="1"/>
      <c r="AV1038" s="1"/>
      <c r="AW1038" s="1"/>
      <c r="AX1038" s="1" t="s">
        <v>15013</v>
      </c>
      <c r="AY1038" s="1" t="s">
        <v>15014</v>
      </c>
      <c r="AZ1038" s="1" t="s">
        <v>460</v>
      </c>
      <c r="BA1038" s="1" t="s">
        <v>202</v>
      </c>
      <c r="BB1038" s="1">
        <v>63.93</v>
      </c>
      <c r="BC1038" s="1">
        <v>7.75</v>
      </c>
      <c r="BD1038" s="1"/>
      <c r="BE1038" s="1"/>
      <c r="BF1038" s="1"/>
      <c r="BG1038" s="1"/>
      <c r="BH1038" s="1"/>
      <c r="BI1038" s="1"/>
      <c r="BJ1038" s="1" t="s">
        <v>15015</v>
      </c>
      <c r="BK1038" s="1"/>
      <c r="BL1038" s="1"/>
      <c r="BM1038" s="1" t="s">
        <v>15016</v>
      </c>
      <c r="BN1038" s="1">
        <v>9</v>
      </c>
      <c r="BO1038" s="1"/>
      <c r="BP1038" s="1" t="str">
        <f>HYPERLINK("https://nconnect.nicmar.ac.in/storage/profile/ProfilePhoto_P25702034_732194.jpg","Download")</f>
        <v>0</v>
      </c>
      <c r="BQ1038" s="3"/>
      <c r="BR1038" s="3"/>
    </row>
    <row r="1039" spans="1:70">
      <c r="A1039" s="1" t="s">
        <v>14387</v>
      </c>
      <c r="B1039" s="1" t="s">
        <v>441</v>
      </c>
      <c r="C1039" s="1" t="s">
        <v>15017</v>
      </c>
      <c r="D1039" s="1" t="s">
        <v>14751</v>
      </c>
      <c r="E1039" s="1" t="s">
        <v>4321</v>
      </c>
      <c r="F1039" s="1" t="s">
        <v>7079</v>
      </c>
      <c r="G1039" s="1" t="s">
        <v>15018</v>
      </c>
      <c r="H1039" s="1" t="s">
        <v>15019</v>
      </c>
      <c r="I1039" s="1" t="s">
        <v>15020</v>
      </c>
      <c r="J1039" s="1">
        <v>8856058919</v>
      </c>
      <c r="K1039" s="1" t="s">
        <v>148</v>
      </c>
      <c r="L1039" s="1" t="s">
        <v>15021</v>
      </c>
      <c r="M1039" s="1" t="s">
        <v>81</v>
      </c>
      <c r="N1039" s="1" t="s">
        <v>751</v>
      </c>
      <c r="O1039" s="1" t="s">
        <v>15022</v>
      </c>
      <c r="P1039" s="1" t="s">
        <v>497</v>
      </c>
      <c r="Q1039" s="1" t="s">
        <v>15023</v>
      </c>
      <c r="R1039" s="1" t="s">
        <v>4321</v>
      </c>
      <c r="S1039" s="1">
        <v>8551899461</v>
      </c>
      <c r="T1039" s="1" t="s">
        <v>2344</v>
      </c>
      <c r="U1039" s="1" t="s">
        <v>9375</v>
      </c>
      <c r="V1039" s="1">
        <v>9112199461</v>
      </c>
      <c r="W1039" s="1" t="s">
        <v>156</v>
      </c>
      <c r="X1039" s="1" t="s">
        <v>15024</v>
      </c>
      <c r="Y1039" s="1" t="s">
        <v>5663</v>
      </c>
      <c r="Z1039" s="1" t="s">
        <v>92</v>
      </c>
      <c r="AA1039" s="1" t="s">
        <v>15024</v>
      </c>
      <c r="AB1039" s="1" t="s">
        <v>5663</v>
      </c>
      <c r="AC1039" s="1" t="s">
        <v>92</v>
      </c>
      <c r="AD1039" s="1" t="s">
        <v>93</v>
      </c>
      <c r="AE1039" s="1" t="s">
        <v>93</v>
      </c>
      <c r="AF1039" s="1" t="s">
        <v>15025</v>
      </c>
      <c r="AG1039" s="1" t="s">
        <v>15026</v>
      </c>
      <c r="AH1039" s="1" t="s">
        <v>162</v>
      </c>
      <c r="AI1039" s="1" t="s">
        <v>195</v>
      </c>
      <c r="AJ1039" s="1">
        <v>57.4</v>
      </c>
      <c r="AK1039" s="1"/>
      <c r="AL1039" s="1" t="s">
        <v>15027</v>
      </c>
      <c r="AM1039" s="1" t="s">
        <v>15028</v>
      </c>
      <c r="AN1039" s="1" t="s">
        <v>101</v>
      </c>
      <c r="AO1039" s="1" t="s">
        <v>198</v>
      </c>
      <c r="AP1039" s="1">
        <v>66.46</v>
      </c>
      <c r="AQ1039" s="1"/>
      <c r="AR1039" s="1"/>
      <c r="AS1039" s="1"/>
      <c r="AT1039" s="1"/>
      <c r="AU1039" s="1"/>
      <c r="AV1039" s="1"/>
      <c r="AW1039" s="1"/>
      <c r="AX1039" s="1" t="s">
        <v>361</v>
      </c>
      <c r="AY1039" s="1" t="s">
        <v>15029</v>
      </c>
      <c r="AZ1039" s="1" t="s">
        <v>201</v>
      </c>
      <c r="BA1039" s="1" t="s">
        <v>174</v>
      </c>
      <c r="BB1039" s="1">
        <v>65.4</v>
      </c>
      <c r="BC1039" s="1">
        <v>7.35</v>
      </c>
      <c r="BD1039" s="1"/>
      <c r="BE1039" s="1"/>
      <c r="BF1039" s="1"/>
      <c r="BG1039" s="1"/>
      <c r="BH1039" s="1"/>
      <c r="BI1039" s="1"/>
      <c r="BJ1039" s="1" t="s">
        <v>1068</v>
      </c>
      <c r="BK1039" s="1" t="s">
        <v>15030</v>
      </c>
      <c r="BL1039" s="1" t="s">
        <v>7903</v>
      </c>
      <c r="BM1039" s="1" t="s">
        <v>15031</v>
      </c>
      <c r="BN1039" s="1">
        <v>33</v>
      </c>
      <c r="BO1039" s="1" t="s">
        <v>15032</v>
      </c>
      <c r="BP1039" s="1" t="str">
        <f>HYPERLINK("https://nconnect.nicmar.ac.in/storage/profile/ProfilePhoto_P25702035_359426.jpg","Download")</f>
        <v>0</v>
      </c>
      <c r="BQ1039" s="3"/>
      <c r="BR1039" s="3"/>
    </row>
    <row r="1040" spans="1:70">
      <c r="A1040" s="1" t="s">
        <v>14387</v>
      </c>
      <c r="B1040" s="1" t="s">
        <v>441</v>
      </c>
      <c r="C1040" s="1" t="s">
        <v>15033</v>
      </c>
      <c r="D1040" s="1" t="s">
        <v>15034</v>
      </c>
      <c r="E1040" s="1" t="s">
        <v>15035</v>
      </c>
      <c r="F1040" s="1" t="s">
        <v>15036</v>
      </c>
      <c r="G1040" s="1" t="s">
        <v>15037</v>
      </c>
      <c r="H1040" s="1" t="s">
        <v>15038</v>
      </c>
      <c r="I1040" s="1" t="s">
        <v>15039</v>
      </c>
      <c r="J1040" s="1">
        <v>8855949360</v>
      </c>
      <c r="K1040" s="1" t="s">
        <v>79</v>
      </c>
      <c r="L1040" s="1" t="s">
        <v>15040</v>
      </c>
      <c r="M1040" s="1" t="s">
        <v>81</v>
      </c>
      <c r="N1040" s="1" t="s">
        <v>605</v>
      </c>
      <c r="O1040" s="1"/>
      <c r="P1040" s="1" t="s">
        <v>497</v>
      </c>
      <c r="Q1040" s="1" t="s">
        <v>15041</v>
      </c>
      <c r="R1040" s="1" t="s">
        <v>15042</v>
      </c>
      <c r="S1040" s="1">
        <v>9403353266</v>
      </c>
      <c r="T1040" s="1" t="s">
        <v>15043</v>
      </c>
      <c r="U1040" s="1" t="s">
        <v>15044</v>
      </c>
      <c r="V1040" s="1">
        <v>9403353266</v>
      </c>
      <c r="W1040" s="1" t="s">
        <v>93</v>
      </c>
      <c r="X1040" s="1" t="s">
        <v>15045</v>
      </c>
      <c r="Y1040" s="1" t="s">
        <v>6127</v>
      </c>
      <c r="Z1040" s="1" t="s">
        <v>92</v>
      </c>
      <c r="AA1040" s="1" t="s">
        <v>15045</v>
      </c>
      <c r="AB1040" s="1" t="s">
        <v>6127</v>
      </c>
      <c r="AC1040" s="1" t="s">
        <v>92</v>
      </c>
      <c r="AD1040" s="1">
        <v>7.43</v>
      </c>
      <c r="AE1040" s="1" t="s">
        <v>93</v>
      </c>
      <c r="AF1040" s="1" t="s">
        <v>15046</v>
      </c>
      <c r="AG1040" s="1" t="s">
        <v>975</v>
      </c>
      <c r="AH1040" s="1" t="s">
        <v>162</v>
      </c>
      <c r="AI1040" s="1" t="s">
        <v>195</v>
      </c>
      <c r="AJ1040" s="1">
        <v>89.6</v>
      </c>
      <c r="AK1040" s="1"/>
      <c r="AL1040" s="1" t="s">
        <v>15047</v>
      </c>
      <c r="AM1040" s="1" t="s">
        <v>975</v>
      </c>
      <c r="AN1040" s="1" t="s">
        <v>101</v>
      </c>
      <c r="AO1040" s="1" t="s">
        <v>198</v>
      </c>
      <c r="AP1040" s="1">
        <v>57.69</v>
      </c>
      <c r="AQ1040" s="1"/>
      <c r="AR1040" s="1"/>
      <c r="AS1040" s="1"/>
      <c r="AT1040" s="1"/>
      <c r="AU1040" s="1"/>
      <c r="AV1040" s="1"/>
      <c r="AW1040" s="1"/>
      <c r="AX1040" s="1" t="s">
        <v>2255</v>
      </c>
      <c r="AY1040" s="1" t="s">
        <v>15048</v>
      </c>
      <c r="AZ1040" s="1" t="s">
        <v>201</v>
      </c>
      <c r="BA1040" s="1" t="s">
        <v>174</v>
      </c>
      <c r="BB1040" s="1">
        <v>67.81</v>
      </c>
      <c r="BC1040" s="1">
        <v>7.62</v>
      </c>
      <c r="BD1040" s="1"/>
      <c r="BE1040" s="1"/>
      <c r="BF1040" s="1"/>
      <c r="BG1040" s="1"/>
      <c r="BH1040" s="1"/>
      <c r="BI1040" s="1"/>
      <c r="BJ1040" s="1" t="s">
        <v>15049</v>
      </c>
      <c r="BK1040" s="1"/>
      <c r="BL1040" s="1"/>
      <c r="BM1040" s="1" t="s">
        <v>15050</v>
      </c>
      <c r="BN1040" s="1">
        <v>16</v>
      </c>
      <c r="BO1040" s="1"/>
      <c r="BP1040" s="1" t="str">
        <f>HYPERLINK("https://nconnect.nicmar.ac.in/storage/profile/ProfilePhoto_P25702036_658941.jpg","Download")</f>
        <v>0</v>
      </c>
      <c r="BQ1040" s="3"/>
      <c r="BR1040" s="3"/>
    </row>
    <row r="1041" spans="1:70">
      <c r="A1041" s="1" t="s">
        <v>14387</v>
      </c>
      <c r="B1041" s="1" t="s">
        <v>441</v>
      </c>
      <c r="C1041" s="1" t="s">
        <v>15051</v>
      </c>
      <c r="D1041" s="1" t="s">
        <v>15052</v>
      </c>
      <c r="E1041" s="1" t="s">
        <v>15053</v>
      </c>
      <c r="F1041" s="1" t="s">
        <v>15054</v>
      </c>
      <c r="G1041" s="1" t="s">
        <v>15055</v>
      </c>
      <c r="H1041" s="1" t="s">
        <v>15056</v>
      </c>
      <c r="I1041" s="1" t="s">
        <v>15057</v>
      </c>
      <c r="J1041" s="1">
        <v>7021314511</v>
      </c>
      <c r="K1041" s="1" t="s">
        <v>79</v>
      </c>
      <c r="L1041" s="1" t="s">
        <v>15058</v>
      </c>
      <c r="M1041" s="1" t="s">
        <v>81</v>
      </c>
      <c r="N1041" s="1" t="s">
        <v>751</v>
      </c>
      <c r="O1041" s="1"/>
      <c r="P1041" s="1" t="s">
        <v>450</v>
      </c>
      <c r="Q1041" s="1" t="s">
        <v>15059</v>
      </c>
      <c r="R1041" s="1" t="s">
        <v>15060</v>
      </c>
      <c r="S1041" s="1">
        <v>9892544733</v>
      </c>
      <c r="T1041" s="1" t="s">
        <v>4698</v>
      </c>
      <c r="U1041" s="1" t="s">
        <v>15061</v>
      </c>
      <c r="V1041" s="1">
        <v>7021898208</v>
      </c>
      <c r="W1041" s="1" t="s">
        <v>89</v>
      </c>
      <c r="X1041" s="1" t="s">
        <v>15062</v>
      </c>
      <c r="Y1041" s="1" t="s">
        <v>2229</v>
      </c>
      <c r="Z1041" s="1" t="s">
        <v>92</v>
      </c>
      <c r="AA1041" s="1" t="s">
        <v>15062</v>
      </c>
      <c r="AB1041" s="1" t="s">
        <v>2229</v>
      </c>
      <c r="AC1041" s="1" t="s">
        <v>92</v>
      </c>
      <c r="AD1041" s="1">
        <v>8.29</v>
      </c>
      <c r="AE1041" s="1" t="s">
        <v>93</v>
      </c>
      <c r="AF1041" s="1" t="s">
        <v>15063</v>
      </c>
      <c r="AG1041" s="1" t="s">
        <v>15064</v>
      </c>
      <c r="AH1041" s="1" t="s">
        <v>614</v>
      </c>
      <c r="AI1041" s="1" t="s">
        <v>195</v>
      </c>
      <c r="AJ1041" s="1">
        <v>83.8</v>
      </c>
      <c r="AK1041" s="1"/>
      <c r="AL1041" s="1" t="s">
        <v>2233</v>
      </c>
      <c r="AM1041" s="1" t="s">
        <v>15064</v>
      </c>
      <c r="AN1041" s="1" t="s">
        <v>165</v>
      </c>
      <c r="AO1041" s="1" t="s">
        <v>198</v>
      </c>
      <c r="AP1041" s="1">
        <v>58</v>
      </c>
      <c r="AQ1041" s="1"/>
      <c r="AR1041" s="1"/>
      <c r="AS1041" s="1"/>
      <c r="AT1041" s="1"/>
      <c r="AU1041" s="1"/>
      <c r="AV1041" s="1"/>
      <c r="AW1041" s="1"/>
      <c r="AX1041" s="1" t="s">
        <v>666</v>
      </c>
      <c r="AY1041" s="1" t="s">
        <v>15065</v>
      </c>
      <c r="AZ1041" s="1" t="s">
        <v>310</v>
      </c>
      <c r="BA1041" s="1" t="s">
        <v>174</v>
      </c>
      <c r="BB1041" s="1">
        <v>74.21</v>
      </c>
      <c r="BC1041" s="1">
        <v>8.34</v>
      </c>
      <c r="BD1041" s="1"/>
      <c r="BE1041" s="1"/>
      <c r="BF1041" s="1"/>
      <c r="BG1041" s="1"/>
      <c r="BH1041" s="1"/>
      <c r="BI1041" s="1"/>
      <c r="BJ1041" s="1" t="s">
        <v>15066</v>
      </c>
      <c r="BK1041" s="1"/>
      <c r="BL1041" s="1"/>
      <c r="BM1041" s="1" t="s">
        <v>15067</v>
      </c>
      <c r="BN1041" s="1">
        <v>39</v>
      </c>
      <c r="BO1041" s="1"/>
      <c r="BP1041" s="1" t="str">
        <f>HYPERLINK("https://nconnect.nicmar.ac.in/storage/profile/ProfilePhoto_P25702037_783451.jpg","Download")</f>
        <v>0</v>
      </c>
      <c r="BQ1041" s="3"/>
      <c r="BR1041" s="3"/>
    </row>
    <row r="1042" spans="1:70">
      <c r="A1042" s="1" t="s">
        <v>14387</v>
      </c>
      <c r="B1042" s="1" t="s">
        <v>441</v>
      </c>
      <c r="C1042" s="1" t="s">
        <v>15068</v>
      </c>
      <c r="D1042" s="1" t="s">
        <v>599</v>
      </c>
      <c r="E1042" s="1" t="s">
        <v>15069</v>
      </c>
      <c r="F1042" s="1" t="s">
        <v>15070</v>
      </c>
      <c r="G1042" s="1" t="s">
        <v>15071</v>
      </c>
      <c r="H1042" s="1" t="s">
        <v>15072</v>
      </c>
      <c r="I1042" s="1" t="s">
        <v>15073</v>
      </c>
      <c r="J1042" s="1">
        <v>7620345159</v>
      </c>
      <c r="K1042" s="1" t="s">
        <v>79</v>
      </c>
      <c r="L1042" s="1" t="s">
        <v>15074</v>
      </c>
      <c r="M1042" s="1" t="s">
        <v>81</v>
      </c>
      <c r="N1042" s="1" t="s">
        <v>13390</v>
      </c>
      <c r="O1042" s="1"/>
      <c r="P1042" s="1" t="s">
        <v>472</v>
      </c>
      <c r="Q1042" s="1" t="s">
        <v>15075</v>
      </c>
      <c r="R1042" s="1" t="s">
        <v>15076</v>
      </c>
      <c r="S1042" s="1">
        <v>9359439569</v>
      </c>
      <c r="T1042" s="1" t="s">
        <v>15077</v>
      </c>
      <c r="U1042" s="1" t="s">
        <v>15078</v>
      </c>
      <c r="V1042" s="1">
        <v>9673071898</v>
      </c>
      <c r="W1042" s="1" t="s">
        <v>156</v>
      </c>
      <c r="X1042" s="1" t="s">
        <v>15079</v>
      </c>
      <c r="Y1042" s="1" t="s">
        <v>405</v>
      </c>
      <c r="Z1042" s="1" t="s">
        <v>92</v>
      </c>
      <c r="AA1042" s="1" t="s">
        <v>15079</v>
      </c>
      <c r="AB1042" s="1" t="s">
        <v>405</v>
      </c>
      <c r="AC1042" s="1" t="s">
        <v>92</v>
      </c>
      <c r="AD1042" s="1">
        <v>7.21</v>
      </c>
      <c r="AE1042" s="1" t="s">
        <v>93</v>
      </c>
      <c r="AF1042" s="1" t="s">
        <v>15080</v>
      </c>
      <c r="AG1042" s="1" t="s">
        <v>15081</v>
      </c>
      <c r="AH1042" s="1" t="s">
        <v>97</v>
      </c>
      <c r="AI1042" s="1" t="s">
        <v>279</v>
      </c>
      <c r="AJ1042" s="1">
        <v>80</v>
      </c>
      <c r="AK1042" s="1">
        <v>0</v>
      </c>
      <c r="AL1042" s="1" t="s">
        <v>15082</v>
      </c>
      <c r="AM1042" s="1" t="s">
        <v>15083</v>
      </c>
      <c r="AN1042" s="1" t="s">
        <v>1374</v>
      </c>
      <c r="AO1042" s="1" t="s">
        <v>101</v>
      </c>
      <c r="AP1042" s="1">
        <v>64.77</v>
      </c>
      <c r="AQ1042" s="1">
        <v>0</v>
      </c>
      <c r="AR1042" s="1"/>
      <c r="AS1042" s="1"/>
      <c r="AT1042" s="1"/>
      <c r="AU1042" s="1"/>
      <c r="AV1042" s="1"/>
      <c r="AW1042" s="1"/>
      <c r="AX1042" s="1" t="s">
        <v>410</v>
      </c>
      <c r="AY1042" s="1" t="s">
        <v>15084</v>
      </c>
      <c r="AZ1042" s="1" t="s">
        <v>169</v>
      </c>
      <c r="BA1042" s="1" t="s">
        <v>1378</v>
      </c>
      <c r="BB1042" s="1">
        <v>85.8</v>
      </c>
      <c r="BC1042" s="1">
        <v>9.33</v>
      </c>
      <c r="BD1042" s="1"/>
      <c r="BE1042" s="1"/>
      <c r="BF1042" s="1"/>
      <c r="BG1042" s="1"/>
      <c r="BH1042" s="1"/>
      <c r="BI1042" s="1"/>
      <c r="BJ1042" s="1" t="s">
        <v>1659</v>
      </c>
      <c r="BK1042" s="1" t="s">
        <v>15085</v>
      </c>
      <c r="BL1042" s="1" t="s">
        <v>4887</v>
      </c>
      <c r="BM1042" s="1" t="s">
        <v>15086</v>
      </c>
      <c r="BN1042" s="1">
        <v>8</v>
      </c>
      <c r="BO1042" s="1" t="s">
        <v>3967</v>
      </c>
      <c r="BP1042" s="1" t="str">
        <f>HYPERLINK("https://nconnect.nicmar.ac.in/storage/profile/ProfilePhoto_P25702038_746298.jpg","Download")</f>
        <v>0</v>
      </c>
      <c r="BQ1042" s="3"/>
      <c r="BR1042" s="3"/>
    </row>
    <row r="1043" spans="1:70">
      <c r="A1043" s="1" t="s">
        <v>14387</v>
      </c>
      <c r="B1043" s="1" t="s">
        <v>441</v>
      </c>
      <c r="C1043" s="1" t="s">
        <v>15087</v>
      </c>
      <c r="D1043" s="1" t="s">
        <v>15088</v>
      </c>
      <c r="E1043" s="1"/>
      <c r="F1043" s="1" t="s">
        <v>3927</v>
      </c>
      <c r="G1043" s="1" t="s">
        <v>15089</v>
      </c>
      <c r="H1043" s="1" t="s">
        <v>15090</v>
      </c>
      <c r="I1043" s="1" t="s">
        <v>15091</v>
      </c>
      <c r="J1043" s="1">
        <v>8866454994</v>
      </c>
      <c r="K1043" s="1" t="s">
        <v>148</v>
      </c>
      <c r="L1043" s="1" t="s">
        <v>5527</v>
      </c>
      <c r="M1043" s="1" t="s">
        <v>81</v>
      </c>
      <c r="N1043" s="1" t="s">
        <v>4757</v>
      </c>
      <c r="O1043" s="1"/>
      <c r="P1043" s="1" t="s">
        <v>497</v>
      </c>
      <c r="Q1043" s="1" t="s">
        <v>15092</v>
      </c>
      <c r="R1043" s="1" t="s">
        <v>15093</v>
      </c>
      <c r="S1043" s="1">
        <v>9511724606</v>
      </c>
      <c r="T1043" s="1" t="s">
        <v>15094</v>
      </c>
      <c r="U1043" s="1" t="s">
        <v>15095</v>
      </c>
      <c r="V1043" s="1">
        <v>7046356347</v>
      </c>
      <c r="W1043" s="1" t="s">
        <v>15096</v>
      </c>
      <c r="X1043" s="1" t="s">
        <v>15097</v>
      </c>
      <c r="Y1043" s="1" t="s">
        <v>6543</v>
      </c>
      <c r="Z1043" s="1" t="s">
        <v>6544</v>
      </c>
      <c r="AA1043" s="1" t="s">
        <v>15097</v>
      </c>
      <c r="AB1043" s="1" t="s">
        <v>6543</v>
      </c>
      <c r="AC1043" s="1" t="s">
        <v>6544</v>
      </c>
      <c r="AD1043" s="1">
        <v>8.19</v>
      </c>
      <c r="AE1043" s="1" t="s">
        <v>93</v>
      </c>
      <c r="AF1043" s="1" t="s">
        <v>15098</v>
      </c>
      <c r="AG1043" s="1" t="s">
        <v>15099</v>
      </c>
      <c r="AH1043" s="1" t="s">
        <v>1190</v>
      </c>
      <c r="AI1043" s="1" t="s">
        <v>162</v>
      </c>
      <c r="AJ1043" s="1">
        <v>92.5</v>
      </c>
      <c r="AK1043" s="1"/>
      <c r="AL1043" s="1" t="s">
        <v>15100</v>
      </c>
      <c r="AM1043" s="1" t="s">
        <v>15101</v>
      </c>
      <c r="AN1043" s="1" t="s">
        <v>1374</v>
      </c>
      <c r="AO1043" s="1" t="s">
        <v>101</v>
      </c>
      <c r="AP1043" s="1">
        <v>62.5</v>
      </c>
      <c r="AQ1043" s="1"/>
      <c r="AR1043" s="1"/>
      <c r="AS1043" s="1"/>
      <c r="AT1043" s="1"/>
      <c r="AU1043" s="1"/>
      <c r="AV1043" s="1"/>
      <c r="AW1043" s="1"/>
      <c r="AX1043" s="1" t="s">
        <v>8155</v>
      </c>
      <c r="AY1043" s="1" t="s">
        <v>15102</v>
      </c>
      <c r="AZ1043" s="1" t="s">
        <v>1043</v>
      </c>
      <c r="BA1043" s="1" t="s">
        <v>105</v>
      </c>
      <c r="BB1043" s="1">
        <v>73.9</v>
      </c>
      <c r="BC1043" s="1"/>
      <c r="BD1043" s="1"/>
      <c r="BE1043" s="1"/>
      <c r="BF1043" s="1"/>
      <c r="BG1043" s="1"/>
      <c r="BH1043" s="1"/>
      <c r="BI1043" s="1"/>
      <c r="BJ1043" s="1" t="s">
        <v>15103</v>
      </c>
      <c r="BK1043" s="1" t="s">
        <v>15104</v>
      </c>
      <c r="BL1043" s="1" t="s">
        <v>670</v>
      </c>
      <c r="BM1043" s="1" t="s">
        <v>15105</v>
      </c>
      <c r="BN1043" s="1">
        <v>19</v>
      </c>
      <c r="BO1043" s="1" t="s">
        <v>15106</v>
      </c>
      <c r="BP1043" s="1" t="str">
        <f>HYPERLINK("https://nconnect.nicmar.ac.in/storage/profile/ProfilePhoto_P25702039_538214.jpg","Download")</f>
        <v>0</v>
      </c>
      <c r="BQ1043" s="3"/>
      <c r="BR1043" s="3"/>
    </row>
    <row r="1044" spans="1:70">
      <c r="A1044" s="1" t="s">
        <v>14387</v>
      </c>
      <c r="B1044" s="1" t="s">
        <v>441</v>
      </c>
      <c r="C1044" s="1" t="s">
        <v>15107</v>
      </c>
      <c r="D1044" s="1" t="s">
        <v>899</v>
      </c>
      <c r="E1044" s="1"/>
      <c r="F1044" s="1" t="s">
        <v>899</v>
      </c>
      <c r="G1044" s="1" t="s">
        <v>15108</v>
      </c>
      <c r="H1044" s="1" t="s">
        <v>15109</v>
      </c>
      <c r="I1044" s="1" t="s">
        <v>15110</v>
      </c>
      <c r="J1044" s="1">
        <v>8307704369</v>
      </c>
      <c r="K1044" s="1" t="s">
        <v>79</v>
      </c>
      <c r="L1044" s="1" t="s">
        <v>15111</v>
      </c>
      <c r="M1044" s="1" t="s">
        <v>81</v>
      </c>
      <c r="N1044" s="1" t="s">
        <v>82</v>
      </c>
      <c r="O1044" s="1"/>
      <c r="P1044" s="1" t="s">
        <v>450</v>
      </c>
      <c r="Q1044" s="1" t="s">
        <v>15112</v>
      </c>
      <c r="R1044" s="1" t="s">
        <v>15113</v>
      </c>
      <c r="S1044" s="1">
        <v>7082711109</v>
      </c>
      <c r="T1044" s="1" t="s">
        <v>120</v>
      </c>
      <c r="U1044" s="1" t="s">
        <v>15114</v>
      </c>
      <c r="V1044" s="1">
        <v>9896370990</v>
      </c>
      <c r="W1044" s="1" t="s">
        <v>156</v>
      </c>
      <c r="X1044" s="1" t="s">
        <v>15115</v>
      </c>
      <c r="Y1044" s="1" t="s">
        <v>15116</v>
      </c>
      <c r="Z1044" s="1" t="s">
        <v>1675</v>
      </c>
      <c r="AA1044" s="1" t="s">
        <v>15115</v>
      </c>
      <c r="AB1044" s="1" t="s">
        <v>15116</v>
      </c>
      <c r="AC1044" s="1" t="s">
        <v>1675</v>
      </c>
      <c r="AD1044" s="1">
        <v>9.29</v>
      </c>
      <c r="AE1044" s="1" t="s">
        <v>93</v>
      </c>
      <c r="AF1044" s="1" t="s">
        <v>15117</v>
      </c>
      <c r="AG1044" s="1" t="s">
        <v>15118</v>
      </c>
      <c r="AH1044" s="1" t="s">
        <v>689</v>
      </c>
      <c r="AI1044" s="1" t="s">
        <v>166</v>
      </c>
      <c r="AJ1044" s="1">
        <v>77.8</v>
      </c>
      <c r="AK1044" s="1"/>
      <c r="AL1044" s="1" t="s">
        <v>15117</v>
      </c>
      <c r="AM1044" s="1" t="s">
        <v>15119</v>
      </c>
      <c r="AN1044" s="1" t="s">
        <v>537</v>
      </c>
      <c r="AO1044" s="1" t="s">
        <v>460</v>
      </c>
      <c r="AP1044" s="1">
        <v>92.8</v>
      </c>
      <c r="AQ1044" s="1"/>
      <c r="AR1044" s="1"/>
      <c r="AS1044" s="1"/>
      <c r="AT1044" s="1"/>
      <c r="AU1044" s="1"/>
      <c r="AV1044" s="1"/>
      <c r="AW1044" s="1"/>
      <c r="AX1044" s="1" t="s">
        <v>15120</v>
      </c>
      <c r="AY1044" s="1" t="s">
        <v>15121</v>
      </c>
      <c r="AZ1044" s="1" t="s">
        <v>1622</v>
      </c>
      <c r="BA1044" s="1" t="s">
        <v>386</v>
      </c>
      <c r="BB1044" s="1">
        <v>73.82</v>
      </c>
      <c r="BC1044" s="1">
        <v>7.77</v>
      </c>
      <c r="BD1044" s="1"/>
      <c r="BE1044" s="1"/>
      <c r="BF1044" s="1"/>
      <c r="BG1044" s="1"/>
      <c r="BH1044" s="1"/>
      <c r="BI1044" s="1"/>
      <c r="BJ1044" s="1" t="s">
        <v>15122</v>
      </c>
      <c r="BK1044" s="1" t="s">
        <v>15123</v>
      </c>
      <c r="BL1044" s="1" t="s">
        <v>741</v>
      </c>
      <c r="BM1044" s="1" t="s">
        <v>15124</v>
      </c>
      <c r="BN1044" s="1">
        <v>28</v>
      </c>
      <c r="BO1044" s="1" t="s">
        <v>15125</v>
      </c>
      <c r="BP1044" s="1" t="str">
        <f>HYPERLINK("https://nconnect.nicmar.ac.in/storage/profile/ProfilePhoto_P25702040_591438.jpg","Download")</f>
        <v>0</v>
      </c>
      <c r="BQ1044" s="3"/>
      <c r="BR1044" s="3"/>
    </row>
    <row r="1045" spans="1:70">
      <c r="A1045" s="1" t="s">
        <v>14387</v>
      </c>
      <c r="B1045" s="1" t="s">
        <v>441</v>
      </c>
      <c r="C1045" s="1" t="s">
        <v>15126</v>
      </c>
      <c r="D1045" s="1" t="s">
        <v>10305</v>
      </c>
      <c r="E1045" s="1" t="s">
        <v>10274</v>
      </c>
      <c r="F1045" s="1" t="s">
        <v>15127</v>
      </c>
      <c r="G1045" s="1" t="s">
        <v>15128</v>
      </c>
      <c r="H1045" s="1" t="s">
        <v>15129</v>
      </c>
      <c r="I1045" s="1" t="s">
        <v>15130</v>
      </c>
      <c r="J1045" s="1">
        <v>8446459475</v>
      </c>
      <c r="K1045" s="1" t="s">
        <v>79</v>
      </c>
      <c r="L1045" s="1" t="s">
        <v>15131</v>
      </c>
      <c r="M1045" s="1" t="s">
        <v>81</v>
      </c>
      <c r="N1045" s="1" t="s">
        <v>15132</v>
      </c>
      <c r="O1045" s="1"/>
      <c r="P1045" s="1" t="s">
        <v>1007</v>
      </c>
      <c r="Q1045" s="1" t="s">
        <v>15133</v>
      </c>
      <c r="R1045" s="1" t="s">
        <v>10274</v>
      </c>
      <c r="S1045" s="1">
        <v>9822680767</v>
      </c>
      <c r="T1045" s="1" t="s">
        <v>15134</v>
      </c>
      <c r="U1045" s="1" t="s">
        <v>9187</v>
      </c>
      <c r="V1045" s="1">
        <v>9527545975</v>
      </c>
      <c r="W1045" s="1" t="s">
        <v>156</v>
      </c>
      <c r="X1045" s="1" t="s">
        <v>15135</v>
      </c>
      <c r="Y1045" s="1" t="s">
        <v>1963</v>
      </c>
      <c r="Z1045" s="1" t="s">
        <v>92</v>
      </c>
      <c r="AA1045" s="1" t="s">
        <v>15135</v>
      </c>
      <c r="AB1045" s="1" t="s">
        <v>1963</v>
      </c>
      <c r="AC1045" s="1" t="s">
        <v>92</v>
      </c>
      <c r="AD1045" s="1">
        <v>8.37</v>
      </c>
      <c r="AE1045" s="1" t="s">
        <v>93</v>
      </c>
      <c r="AF1045" s="1" t="s">
        <v>15136</v>
      </c>
      <c r="AG1045" s="1" t="s">
        <v>160</v>
      </c>
      <c r="AH1045" s="1" t="s">
        <v>281</v>
      </c>
      <c r="AI1045" s="1" t="s">
        <v>409</v>
      </c>
      <c r="AJ1045" s="1">
        <v>85.8</v>
      </c>
      <c r="AK1045" s="1"/>
      <c r="AL1045" s="1" t="s">
        <v>15137</v>
      </c>
      <c r="AM1045" s="1" t="s">
        <v>160</v>
      </c>
      <c r="AN1045" s="1" t="s">
        <v>590</v>
      </c>
      <c r="AO1045" s="1" t="s">
        <v>1169</v>
      </c>
      <c r="AP1045" s="1">
        <v>77.17</v>
      </c>
      <c r="AQ1045" s="1"/>
      <c r="AR1045" s="1"/>
      <c r="AS1045" s="1"/>
      <c r="AT1045" s="1"/>
      <c r="AU1045" s="1"/>
      <c r="AV1045" s="1"/>
      <c r="AW1045" s="1"/>
      <c r="AX1045" s="1" t="s">
        <v>361</v>
      </c>
      <c r="AY1045" s="1" t="s">
        <v>2504</v>
      </c>
      <c r="AZ1045" s="1" t="s">
        <v>852</v>
      </c>
      <c r="BA1045" s="1" t="s">
        <v>594</v>
      </c>
      <c r="BB1045" s="1">
        <v>61.47</v>
      </c>
      <c r="BC1045" s="1">
        <v>6.47</v>
      </c>
      <c r="BD1045" s="1"/>
      <c r="BE1045" s="1"/>
      <c r="BF1045" s="1"/>
      <c r="BG1045" s="1"/>
      <c r="BH1045" s="1"/>
      <c r="BI1045" s="1"/>
      <c r="BJ1045" s="1" t="s">
        <v>15138</v>
      </c>
      <c r="BK1045" s="1"/>
      <c r="BL1045" s="1"/>
      <c r="BM1045" s="1" t="s">
        <v>15139</v>
      </c>
      <c r="BN1045" s="1">
        <v>12</v>
      </c>
      <c r="BO1045" s="1" t="s">
        <v>15140</v>
      </c>
      <c r="BP1045" s="1" t="str">
        <f>HYPERLINK("https://nconnect.nicmar.ac.in/storage/profile/ProfilePhoto_P25702041_289157.jpg","Download")</f>
        <v>0</v>
      </c>
      <c r="BQ1045" s="3"/>
      <c r="BR1045" s="3"/>
    </row>
    <row r="1046" spans="1:70">
      <c r="A1046" s="1" t="s">
        <v>14387</v>
      </c>
      <c r="B1046" s="1" t="s">
        <v>441</v>
      </c>
      <c r="C1046" s="1" t="s">
        <v>15141</v>
      </c>
      <c r="D1046" s="1" t="s">
        <v>15142</v>
      </c>
      <c r="E1046" s="1"/>
      <c r="F1046" s="1" t="s">
        <v>765</v>
      </c>
      <c r="G1046" s="1" t="s">
        <v>15143</v>
      </c>
      <c r="H1046" s="1" t="s">
        <v>15144</v>
      </c>
      <c r="I1046" s="1" t="s">
        <v>15145</v>
      </c>
      <c r="J1046" s="1">
        <v>7739897579</v>
      </c>
      <c r="K1046" s="1" t="s">
        <v>79</v>
      </c>
      <c r="L1046" s="1" t="s">
        <v>15146</v>
      </c>
      <c r="M1046" s="1" t="s">
        <v>81</v>
      </c>
      <c r="N1046" s="1" t="s">
        <v>82</v>
      </c>
      <c r="O1046" s="1"/>
      <c r="P1046" s="1" t="s">
        <v>497</v>
      </c>
      <c r="Q1046" s="1" t="s">
        <v>15147</v>
      </c>
      <c r="R1046" s="1" t="s">
        <v>15148</v>
      </c>
      <c r="S1046" s="1">
        <v>9472696942</v>
      </c>
      <c r="T1046" s="1" t="s">
        <v>10583</v>
      </c>
      <c r="U1046" s="1" t="s">
        <v>15149</v>
      </c>
      <c r="V1046" s="1">
        <v>7979718965</v>
      </c>
      <c r="W1046" s="1" t="s">
        <v>15150</v>
      </c>
      <c r="X1046" s="1" t="s">
        <v>15151</v>
      </c>
      <c r="Y1046" s="1" t="s">
        <v>15152</v>
      </c>
      <c r="Z1046" s="1" t="s">
        <v>636</v>
      </c>
      <c r="AA1046" s="1" t="s">
        <v>15151</v>
      </c>
      <c r="AB1046" s="1" t="s">
        <v>15152</v>
      </c>
      <c r="AC1046" s="1" t="s">
        <v>636</v>
      </c>
      <c r="AD1046" s="1">
        <v>7.87</v>
      </c>
      <c r="AE1046" s="1" t="s">
        <v>93</v>
      </c>
      <c r="AF1046" s="1" t="s">
        <v>15153</v>
      </c>
      <c r="AG1046" s="1" t="s">
        <v>15154</v>
      </c>
      <c r="AH1046" s="1" t="s">
        <v>281</v>
      </c>
      <c r="AI1046" s="1" t="s">
        <v>409</v>
      </c>
      <c r="AJ1046" s="1">
        <v>61.6</v>
      </c>
      <c r="AK1046" s="1"/>
      <c r="AL1046" s="1" t="s">
        <v>15153</v>
      </c>
      <c r="AM1046" s="1" t="s">
        <v>15154</v>
      </c>
      <c r="AN1046" s="1" t="s">
        <v>409</v>
      </c>
      <c r="AO1046" s="1" t="s">
        <v>1169</v>
      </c>
      <c r="AP1046" s="1">
        <v>63.6</v>
      </c>
      <c r="AQ1046" s="1"/>
      <c r="AR1046" s="1"/>
      <c r="AS1046" s="1"/>
      <c r="AT1046" s="1"/>
      <c r="AU1046" s="1"/>
      <c r="AV1046" s="1"/>
      <c r="AW1046" s="1"/>
      <c r="AX1046" s="1" t="s">
        <v>15155</v>
      </c>
      <c r="AY1046" s="1" t="s">
        <v>15156</v>
      </c>
      <c r="AZ1046" s="1" t="s">
        <v>852</v>
      </c>
      <c r="BA1046" s="1" t="s">
        <v>543</v>
      </c>
      <c r="BB1046" s="1">
        <v>62.3</v>
      </c>
      <c r="BC1046" s="1"/>
      <c r="BD1046" s="1"/>
      <c r="BE1046" s="1"/>
      <c r="BF1046" s="1"/>
      <c r="BG1046" s="1"/>
      <c r="BH1046" s="1"/>
      <c r="BI1046" s="1"/>
      <c r="BJ1046" s="1" t="s">
        <v>15157</v>
      </c>
      <c r="BK1046" s="1"/>
      <c r="BL1046" s="1"/>
      <c r="BM1046" s="1" t="s">
        <v>15158</v>
      </c>
      <c r="BN1046" s="1">
        <v>16</v>
      </c>
      <c r="BO1046" s="1" t="s">
        <v>15159</v>
      </c>
      <c r="BP1046" s="1" t="str">
        <f>HYPERLINK("https://nconnect.nicmar.ac.in/storage/profile/6a7bf50811c8c.png","Download")</f>
        <v>0</v>
      </c>
      <c r="BQ1046" s="3"/>
      <c r="BR1046" s="3"/>
    </row>
    <row r="1047" spans="1:70">
      <c r="A1047" s="1" t="s">
        <v>14387</v>
      </c>
      <c r="B1047" s="1" t="s">
        <v>441</v>
      </c>
      <c r="C1047" s="1" t="s">
        <v>15160</v>
      </c>
      <c r="D1047" s="1" t="s">
        <v>744</v>
      </c>
      <c r="E1047" s="1" t="s">
        <v>2203</v>
      </c>
      <c r="F1047" s="1" t="s">
        <v>3685</v>
      </c>
      <c r="G1047" s="1" t="s">
        <v>15161</v>
      </c>
      <c r="H1047" s="1" t="s">
        <v>15162</v>
      </c>
      <c r="I1047" s="1" t="s">
        <v>15163</v>
      </c>
      <c r="J1047" s="1">
        <v>9975547234</v>
      </c>
      <c r="K1047" s="1" t="s">
        <v>79</v>
      </c>
      <c r="L1047" s="1" t="s">
        <v>15164</v>
      </c>
      <c r="M1047" s="1" t="s">
        <v>81</v>
      </c>
      <c r="N1047" s="1" t="s">
        <v>151</v>
      </c>
      <c r="O1047" s="1"/>
      <c r="P1047" s="1" t="s">
        <v>472</v>
      </c>
      <c r="Q1047" s="1" t="s">
        <v>15165</v>
      </c>
      <c r="R1047" s="1" t="s">
        <v>15166</v>
      </c>
      <c r="S1047" s="1">
        <v>8275837726</v>
      </c>
      <c r="T1047" s="1" t="s">
        <v>154</v>
      </c>
      <c r="U1047" s="1" t="s">
        <v>5275</v>
      </c>
      <c r="V1047" s="1">
        <v>9423611488</v>
      </c>
      <c r="W1047" s="1" t="s">
        <v>156</v>
      </c>
      <c r="X1047" s="1" t="s">
        <v>15167</v>
      </c>
      <c r="Y1047" s="1" t="s">
        <v>2081</v>
      </c>
      <c r="Z1047" s="1" t="s">
        <v>92</v>
      </c>
      <c r="AA1047" s="1" t="s">
        <v>15167</v>
      </c>
      <c r="AB1047" s="1" t="s">
        <v>2081</v>
      </c>
      <c r="AC1047" s="1" t="s">
        <v>92</v>
      </c>
      <c r="AD1047" s="1">
        <v>6.21</v>
      </c>
      <c r="AE1047" s="1" t="s">
        <v>93</v>
      </c>
      <c r="AF1047" s="1" t="s">
        <v>15168</v>
      </c>
      <c r="AG1047" s="1" t="s">
        <v>3071</v>
      </c>
      <c r="AH1047" s="1" t="s">
        <v>162</v>
      </c>
      <c r="AI1047" s="1" t="s">
        <v>195</v>
      </c>
      <c r="AJ1047" s="1">
        <v>71.4</v>
      </c>
      <c r="AK1047" s="1"/>
      <c r="AL1047" s="1"/>
      <c r="AM1047" s="1"/>
      <c r="AN1047" s="1"/>
      <c r="AO1047" s="1"/>
      <c r="AP1047" s="1"/>
      <c r="AQ1047" s="1"/>
      <c r="AR1047" s="1" t="s">
        <v>434</v>
      </c>
      <c r="AS1047" s="1" t="s">
        <v>15169</v>
      </c>
      <c r="AT1047" s="1" t="s">
        <v>225</v>
      </c>
      <c r="AU1047" s="1" t="s">
        <v>170</v>
      </c>
      <c r="AV1047" s="1">
        <v>72.26</v>
      </c>
      <c r="AW1047" s="1"/>
      <c r="AX1047" s="1" t="s">
        <v>335</v>
      </c>
      <c r="AY1047" s="1" t="s">
        <v>15170</v>
      </c>
      <c r="AZ1047" s="1" t="s">
        <v>1148</v>
      </c>
      <c r="BA1047" s="1" t="s">
        <v>229</v>
      </c>
      <c r="BB1047" s="1">
        <v>57.18</v>
      </c>
      <c r="BC1047" s="1">
        <v>6.12</v>
      </c>
      <c r="BD1047" s="1"/>
      <c r="BE1047" s="1"/>
      <c r="BF1047" s="1"/>
      <c r="BG1047" s="1"/>
      <c r="BH1047" s="1"/>
      <c r="BI1047" s="1"/>
      <c r="BJ1047" s="1" t="s">
        <v>364</v>
      </c>
      <c r="BK1047" s="1"/>
      <c r="BL1047" s="1"/>
      <c r="BM1047" s="1" t="s">
        <v>15171</v>
      </c>
      <c r="BN1047" s="1">
        <v>20</v>
      </c>
      <c r="BO1047" s="1" t="s">
        <v>15172</v>
      </c>
      <c r="BP1047" s="1" t="str">
        <f>HYPERLINK("https://nconnect.nicmar.ac.in/storage/profile/ProfilePhoto_P25702043_481923.jpg","Download")</f>
        <v>0</v>
      </c>
      <c r="BQ1047" s="3"/>
      <c r="BR1047" s="3"/>
    </row>
    <row r="1048" spans="1:70">
      <c r="A1048" s="1" t="s">
        <v>14387</v>
      </c>
      <c r="B1048" s="1" t="s">
        <v>441</v>
      </c>
      <c r="C1048" s="1" t="s">
        <v>15173</v>
      </c>
      <c r="D1048" s="1" t="s">
        <v>15174</v>
      </c>
      <c r="E1048" s="1"/>
      <c r="F1048" s="1" t="s">
        <v>15175</v>
      </c>
      <c r="G1048" s="1" t="s">
        <v>15176</v>
      </c>
      <c r="H1048" s="1" t="s">
        <v>15177</v>
      </c>
      <c r="I1048" s="1" t="s">
        <v>15178</v>
      </c>
      <c r="J1048" s="1">
        <v>9944949008</v>
      </c>
      <c r="K1048" s="1" t="s">
        <v>79</v>
      </c>
      <c r="L1048" s="1" t="s">
        <v>15179</v>
      </c>
      <c r="M1048" s="1" t="s">
        <v>81</v>
      </c>
      <c r="N1048" s="1" t="s">
        <v>15180</v>
      </c>
      <c r="O1048" s="1"/>
      <c r="P1048" s="1" t="s">
        <v>472</v>
      </c>
      <c r="Q1048" s="1" t="s">
        <v>15181</v>
      </c>
      <c r="R1048" s="1" t="s">
        <v>15182</v>
      </c>
      <c r="S1048" s="1">
        <v>9842206959</v>
      </c>
      <c r="T1048" s="1" t="s">
        <v>820</v>
      </c>
      <c r="U1048" s="1" t="s">
        <v>15183</v>
      </c>
      <c r="V1048" s="1">
        <v>9629535515</v>
      </c>
      <c r="W1048" s="1" t="s">
        <v>531</v>
      </c>
      <c r="X1048" s="1" t="s">
        <v>15184</v>
      </c>
      <c r="Y1048" s="1" t="s">
        <v>2104</v>
      </c>
      <c r="Z1048" s="1" t="s">
        <v>559</v>
      </c>
      <c r="AA1048" s="1" t="s">
        <v>15184</v>
      </c>
      <c r="AB1048" s="1" t="s">
        <v>2104</v>
      </c>
      <c r="AC1048" s="1" t="s">
        <v>559</v>
      </c>
      <c r="AD1048" s="1">
        <v>7.22</v>
      </c>
      <c r="AE1048" s="1" t="s">
        <v>93</v>
      </c>
      <c r="AF1048" s="1" t="s">
        <v>15185</v>
      </c>
      <c r="AG1048" s="1" t="s">
        <v>15186</v>
      </c>
      <c r="AH1048" s="1" t="s">
        <v>165</v>
      </c>
      <c r="AI1048" s="1" t="s">
        <v>281</v>
      </c>
      <c r="AJ1048" s="1">
        <v>78.2</v>
      </c>
      <c r="AK1048" s="1"/>
      <c r="AL1048" s="1" t="s">
        <v>15185</v>
      </c>
      <c r="AM1048" s="1" t="s">
        <v>15186</v>
      </c>
      <c r="AN1048" s="1" t="s">
        <v>433</v>
      </c>
      <c r="AO1048" s="1" t="s">
        <v>590</v>
      </c>
      <c r="AP1048" s="1">
        <v>62</v>
      </c>
      <c r="AQ1048" s="1"/>
      <c r="AR1048" s="1"/>
      <c r="AS1048" s="1"/>
      <c r="AT1048" s="1"/>
      <c r="AU1048" s="1"/>
      <c r="AV1048" s="1"/>
      <c r="AW1048" s="1"/>
      <c r="AX1048" s="1" t="s">
        <v>15187</v>
      </c>
      <c r="AY1048" s="1" t="s">
        <v>15188</v>
      </c>
      <c r="AZ1048" s="1" t="s">
        <v>460</v>
      </c>
      <c r="BA1048" s="1" t="s">
        <v>935</v>
      </c>
      <c r="BB1048" s="1">
        <v>70.49</v>
      </c>
      <c r="BC1048" s="1">
        <v>7.42</v>
      </c>
      <c r="BD1048" s="1"/>
      <c r="BE1048" s="1"/>
      <c r="BF1048" s="1"/>
      <c r="BG1048" s="1"/>
      <c r="BH1048" s="1"/>
      <c r="BI1048" s="1"/>
      <c r="BJ1048" s="1" t="s">
        <v>3326</v>
      </c>
      <c r="BK1048" s="1"/>
      <c r="BL1048" s="1"/>
      <c r="BM1048" s="1" t="s">
        <v>15189</v>
      </c>
      <c r="BN1048" s="1">
        <v>11</v>
      </c>
      <c r="BO1048" s="1" t="s">
        <v>15190</v>
      </c>
      <c r="BP1048" s="1" t="str">
        <f>HYPERLINK("https://nconnect.nicmar.ac.in/storage/profile/ProfilePhoto_P25702044_783125.jpg","Download")</f>
        <v>0</v>
      </c>
      <c r="BQ1048" s="3"/>
      <c r="BR1048" s="3"/>
    </row>
    <row r="1049" spans="1:70">
      <c r="A1049" s="1" t="s">
        <v>14387</v>
      </c>
      <c r="B1049" s="1" t="s">
        <v>441</v>
      </c>
      <c r="C1049" s="1" t="s">
        <v>15191</v>
      </c>
      <c r="D1049" s="1" t="s">
        <v>15192</v>
      </c>
      <c r="E1049" s="1"/>
      <c r="F1049" s="1" t="s">
        <v>3512</v>
      </c>
      <c r="G1049" s="1" t="s">
        <v>15193</v>
      </c>
      <c r="H1049" s="1" t="s">
        <v>15194</v>
      </c>
      <c r="I1049" s="1" t="s">
        <v>15195</v>
      </c>
      <c r="J1049" s="1">
        <v>7560825115</v>
      </c>
      <c r="K1049" s="1" t="s">
        <v>148</v>
      </c>
      <c r="L1049" s="1" t="s">
        <v>1320</v>
      </c>
      <c r="M1049" s="1" t="s">
        <v>81</v>
      </c>
      <c r="N1049" s="1" t="s">
        <v>5198</v>
      </c>
      <c r="O1049" s="1"/>
      <c r="P1049" s="1" t="s">
        <v>472</v>
      </c>
      <c r="Q1049" s="1" t="s">
        <v>15196</v>
      </c>
      <c r="R1049" s="1" t="s">
        <v>15197</v>
      </c>
      <c r="S1049" s="1">
        <v>9847916345</v>
      </c>
      <c r="T1049" s="1" t="s">
        <v>15198</v>
      </c>
      <c r="U1049" s="1" t="s">
        <v>15199</v>
      </c>
      <c r="V1049" s="1">
        <v>9895076345</v>
      </c>
      <c r="W1049" s="1" t="s">
        <v>271</v>
      </c>
      <c r="X1049" s="1" t="s">
        <v>15200</v>
      </c>
      <c r="Y1049" s="1" t="s">
        <v>686</v>
      </c>
      <c r="Z1049" s="1" t="s">
        <v>125</v>
      </c>
      <c r="AA1049" s="1" t="s">
        <v>15200</v>
      </c>
      <c r="AB1049" s="1" t="s">
        <v>686</v>
      </c>
      <c r="AC1049" s="1" t="s">
        <v>125</v>
      </c>
      <c r="AD1049" s="1">
        <v>7.84</v>
      </c>
      <c r="AE1049" s="1" t="s">
        <v>93</v>
      </c>
      <c r="AF1049" s="1" t="s">
        <v>15201</v>
      </c>
      <c r="AG1049" s="1" t="s">
        <v>15202</v>
      </c>
      <c r="AH1049" s="1" t="s">
        <v>161</v>
      </c>
      <c r="AI1049" s="1" t="s">
        <v>614</v>
      </c>
      <c r="AJ1049" s="1">
        <v>85.5</v>
      </c>
      <c r="AK1049" s="1">
        <v>9</v>
      </c>
      <c r="AL1049" s="1" t="s">
        <v>15201</v>
      </c>
      <c r="AM1049" s="1" t="s">
        <v>15202</v>
      </c>
      <c r="AN1049" s="1" t="s">
        <v>165</v>
      </c>
      <c r="AO1049" s="1" t="s">
        <v>166</v>
      </c>
      <c r="AP1049" s="1">
        <v>81.2</v>
      </c>
      <c r="AQ1049" s="1">
        <v>8.5</v>
      </c>
      <c r="AR1049" s="1"/>
      <c r="AS1049" s="1"/>
      <c r="AT1049" s="1"/>
      <c r="AU1049" s="1"/>
      <c r="AV1049" s="1"/>
      <c r="AW1049" s="1"/>
      <c r="AX1049" s="1" t="s">
        <v>15203</v>
      </c>
      <c r="AY1049" s="1" t="s">
        <v>15204</v>
      </c>
      <c r="AZ1049" s="1" t="s">
        <v>1043</v>
      </c>
      <c r="BA1049" s="1" t="s">
        <v>174</v>
      </c>
      <c r="BB1049" s="1">
        <v>68</v>
      </c>
      <c r="BC1049" s="1">
        <v>6.91</v>
      </c>
      <c r="BD1049" s="1"/>
      <c r="BE1049" s="1"/>
      <c r="BF1049" s="1"/>
      <c r="BG1049" s="1"/>
      <c r="BH1049" s="1"/>
      <c r="BI1049" s="1"/>
      <c r="BJ1049" s="1" t="s">
        <v>15205</v>
      </c>
      <c r="BK1049" s="1" t="s">
        <v>15206</v>
      </c>
      <c r="BL1049" s="1" t="s">
        <v>1151</v>
      </c>
      <c r="BM1049" s="1" t="s">
        <v>15207</v>
      </c>
      <c r="BN1049" s="1">
        <v>25</v>
      </c>
      <c r="BO1049" s="1"/>
      <c r="BP1049" s="1" t="str">
        <f>HYPERLINK("https://nconnect.nicmar.ac.in/storage/profile/ProfilePhoto_P25702045_132689.jpg","Download")</f>
        <v>0</v>
      </c>
      <c r="BQ1049" s="3"/>
      <c r="BR1049" s="3"/>
    </row>
    <row r="1050" spans="1:70">
      <c r="A1050" s="1" t="s">
        <v>14387</v>
      </c>
      <c r="B1050" s="1" t="s">
        <v>441</v>
      </c>
      <c r="C1050" s="1" t="s">
        <v>15208</v>
      </c>
      <c r="D1050" s="1" t="s">
        <v>15209</v>
      </c>
      <c r="E1050" s="1" t="s">
        <v>15210</v>
      </c>
      <c r="F1050" s="1" t="s">
        <v>15211</v>
      </c>
      <c r="G1050" s="1" t="s">
        <v>15212</v>
      </c>
      <c r="H1050" s="1" t="s">
        <v>15213</v>
      </c>
      <c r="I1050" s="1" t="s">
        <v>15214</v>
      </c>
      <c r="J1050" s="1">
        <v>8433616226</v>
      </c>
      <c r="K1050" s="1" t="s">
        <v>148</v>
      </c>
      <c r="L1050" s="1" t="s">
        <v>15215</v>
      </c>
      <c r="M1050" s="1" t="s">
        <v>81</v>
      </c>
      <c r="N1050" s="1" t="s">
        <v>15216</v>
      </c>
      <c r="O1050" s="1"/>
      <c r="P1050" s="1" t="s">
        <v>497</v>
      </c>
      <c r="Q1050" s="1" t="s">
        <v>15217</v>
      </c>
      <c r="R1050" s="1" t="s">
        <v>15210</v>
      </c>
      <c r="S1050" s="1">
        <v>9920935656</v>
      </c>
      <c r="T1050" s="1" t="s">
        <v>4496</v>
      </c>
      <c r="U1050" s="1" t="s">
        <v>15218</v>
      </c>
      <c r="V1050" s="1">
        <v>9819357451</v>
      </c>
      <c r="W1050" s="1" t="s">
        <v>156</v>
      </c>
      <c r="X1050" s="1" t="s">
        <v>15219</v>
      </c>
      <c r="Y1050" s="1" t="s">
        <v>991</v>
      </c>
      <c r="Z1050" s="1" t="s">
        <v>92</v>
      </c>
      <c r="AA1050" s="1" t="s">
        <v>15219</v>
      </c>
      <c r="AB1050" s="1" t="s">
        <v>991</v>
      </c>
      <c r="AC1050" s="1" t="s">
        <v>92</v>
      </c>
      <c r="AD1050" s="1">
        <v>8.37</v>
      </c>
      <c r="AE1050" s="1" t="s">
        <v>93</v>
      </c>
      <c r="AF1050" s="1" t="s">
        <v>15220</v>
      </c>
      <c r="AG1050" s="1" t="s">
        <v>15221</v>
      </c>
      <c r="AH1050" s="1" t="s">
        <v>2793</v>
      </c>
      <c r="AI1050" s="1" t="s">
        <v>195</v>
      </c>
      <c r="AJ1050" s="1">
        <v>91.2</v>
      </c>
      <c r="AK1050" s="1">
        <v>9.6</v>
      </c>
      <c r="AL1050" s="1" t="s">
        <v>15222</v>
      </c>
      <c r="AM1050" s="1" t="s">
        <v>15223</v>
      </c>
      <c r="AN1050" s="1" t="s">
        <v>383</v>
      </c>
      <c r="AO1050" s="1" t="s">
        <v>198</v>
      </c>
      <c r="AP1050" s="1">
        <v>66.92</v>
      </c>
      <c r="AQ1050" s="1">
        <v>0</v>
      </c>
      <c r="AR1050" s="1"/>
      <c r="AS1050" s="1"/>
      <c r="AT1050" s="1"/>
      <c r="AU1050" s="1"/>
      <c r="AV1050" s="1"/>
      <c r="AW1050" s="1"/>
      <c r="AX1050" s="1" t="s">
        <v>666</v>
      </c>
      <c r="AY1050" s="1" t="s">
        <v>15224</v>
      </c>
      <c r="AZ1050" s="1" t="s">
        <v>201</v>
      </c>
      <c r="BA1050" s="1" t="s">
        <v>1292</v>
      </c>
      <c r="BB1050" s="1">
        <v>75.56</v>
      </c>
      <c r="BC1050" s="1">
        <v>8.59</v>
      </c>
      <c r="BD1050" s="1"/>
      <c r="BE1050" s="1"/>
      <c r="BF1050" s="1"/>
      <c r="BG1050" s="1"/>
      <c r="BH1050" s="1"/>
      <c r="BI1050" s="1"/>
      <c r="BJ1050" s="1" t="s">
        <v>15225</v>
      </c>
      <c r="BK1050" s="1" t="s">
        <v>15226</v>
      </c>
      <c r="BL1050" s="1" t="s">
        <v>463</v>
      </c>
      <c r="BM1050" s="1" t="s">
        <v>15227</v>
      </c>
      <c r="BN1050" s="1">
        <v>71</v>
      </c>
      <c r="BO1050" s="1"/>
      <c r="BP1050" s="1" t="str">
        <f>HYPERLINK("https://nconnect.nicmar.ac.in/storage/profile/ProfilePhoto_P25702046_835946.jpg","Download")</f>
        <v>0</v>
      </c>
      <c r="BQ1050" s="3"/>
      <c r="BR1050" s="3"/>
    </row>
    <row r="1051" spans="1:70">
      <c r="A1051" s="1" t="s">
        <v>14387</v>
      </c>
      <c r="B1051" s="1" t="s">
        <v>441</v>
      </c>
      <c r="C1051" s="1" t="s">
        <v>15228</v>
      </c>
      <c r="D1051" s="1" t="s">
        <v>3511</v>
      </c>
      <c r="E1051" s="1" t="s">
        <v>15229</v>
      </c>
      <c r="F1051" s="1" t="s">
        <v>13297</v>
      </c>
      <c r="G1051" s="1" t="s">
        <v>15230</v>
      </c>
      <c r="H1051" s="1" t="s">
        <v>15231</v>
      </c>
      <c r="I1051" s="1" t="s">
        <v>15232</v>
      </c>
      <c r="J1051" s="1">
        <v>9867010382</v>
      </c>
      <c r="K1051" s="1" t="s">
        <v>79</v>
      </c>
      <c r="L1051" s="1" t="s">
        <v>15233</v>
      </c>
      <c r="M1051" s="1" t="s">
        <v>81</v>
      </c>
      <c r="N1051" s="1" t="s">
        <v>969</v>
      </c>
      <c r="O1051" s="1" t="s">
        <v>15234</v>
      </c>
      <c r="P1051" s="1" t="s">
        <v>117</v>
      </c>
      <c r="Q1051" s="1" t="s">
        <v>15235</v>
      </c>
      <c r="R1051" s="1" t="s">
        <v>15236</v>
      </c>
      <c r="S1051" s="1">
        <v>7710831848</v>
      </c>
      <c r="T1051" s="1" t="s">
        <v>6564</v>
      </c>
      <c r="U1051" s="1" t="s">
        <v>15237</v>
      </c>
      <c r="V1051" s="1">
        <v>7710831848</v>
      </c>
      <c r="W1051" s="1" t="s">
        <v>156</v>
      </c>
      <c r="X1051" s="1" t="s">
        <v>15238</v>
      </c>
      <c r="Y1051" s="1" t="s">
        <v>2229</v>
      </c>
      <c r="Z1051" s="1" t="s">
        <v>92</v>
      </c>
      <c r="AA1051" s="1" t="s">
        <v>15239</v>
      </c>
      <c r="AB1051" s="1" t="s">
        <v>191</v>
      </c>
      <c r="AC1051" s="1" t="s">
        <v>92</v>
      </c>
      <c r="AD1051" s="1">
        <v>8.64</v>
      </c>
      <c r="AE1051" s="1" t="s">
        <v>93</v>
      </c>
      <c r="AF1051" s="1" t="s">
        <v>15240</v>
      </c>
      <c r="AG1051" s="1" t="s">
        <v>15241</v>
      </c>
      <c r="AH1051" s="1" t="s">
        <v>162</v>
      </c>
      <c r="AI1051" s="1" t="s">
        <v>195</v>
      </c>
      <c r="AJ1051" s="1">
        <v>74</v>
      </c>
      <c r="AK1051" s="1"/>
      <c r="AL1051" s="1"/>
      <c r="AM1051" s="1"/>
      <c r="AN1051" s="1"/>
      <c r="AO1051" s="1"/>
      <c r="AP1051" s="1"/>
      <c r="AQ1051" s="1"/>
      <c r="AR1051" s="1" t="s">
        <v>15242</v>
      </c>
      <c r="AS1051" s="1" t="s">
        <v>15243</v>
      </c>
      <c r="AT1051" s="1" t="s">
        <v>225</v>
      </c>
      <c r="AU1051" s="1" t="s">
        <v>170</v>
      </c>
      <c r="AV1051" s="1">
        <v>85.58</v>
      </c>
      <c r="AW1051" s="1"/>
      <c r="AX1051" s="1" t="s">
        <v>253</v>
      </c>
      <c r="AY1051" s="1" t="s">
        <v>15244</v>
      </c>
      <c r="AZ1051" s="1" t="s">
        <v>363</v>
      </c>
      <c r="BA1051" s="1" t="s">
        <v>935</v>
      </c>
      <c r="BB1051" s="1">
        <v>75.67</v>
      </c>
      <c r="BC1051" s="1">
        <v>8.52</v>
      </c>
      <c r="BD1051" s="1"/>
      <c r="BE1051" s="1"/>
      <c r="BF1051" s="1"/>
      <c r="BG1051" s="1"/>
      <c r="BH1051" s="1"/>
      <c r="BI1051" s="1"/>
      <c r="BJ1051" s="1" t="s">
        <v>15245</v>
      </c>
      <c r="BK1051" s="1" t="s">
        <v>15246</v>
      </c>
      <c r="BL1051" s="1" t="s">
        <v>569</v>
      </c>
      <c r="BM1051" s="1" t="s">
        <v>15247</v>
      </c>
      <c r="BN1051" s="1">
        <v>14</v>
      </c>
      <c r="BO1051" s="1" t="s">
        <v>15248</v>
      </c>
      <c r="BP1051" s="1" t="str">
        <f>HYPERLINK("https://nconnect.nicmar.ac.in/storage/profile/ProfilePhoto_P25702048_294635.jpg","Download")</f>
        <v>0</v>
      </c>
      <c r="BQ1051" s="3"/>
      <c r="BR1051" s="3"/>
    </row>
    <row r="1052" spans="1:70">
      <c r="A1052" s="1" t="s">
        <v>14387</v>
      </c>
      <c r="B1052" s="1" t="s">
        <v>441</v>
      </c>
      <c r="C1052" s="1" t="s">
        <v>15249</v>
      </c>
      <c r="D1052" s="1" t="s">
        <v>15250</v>
      </c>
      <c r="E1052" s="1" t="s">
        <v>2838</v>
      </c>
      <c r="F1052" s="1" t="s">
        <v>15251</v>
      </c>
      <c r="G1052" s="1" t="s">
        <v>15252</v>
      </c>
      <c r="H1052" s="1" t="s">
        <v>15253</v>
      </c>
      <c r="I1052" s="1" t="s">
        <v>15254</v>
      </c>
      <c r="J1052" s="1">
        <v>8200991002</v>
      </c>
      <c r="K1052" s="1" t="s">
        <v>79</v>
      </c>
      <c r="L1052" s="1" t="s">
        <v>15255</v>
      </c>
      <c r="M1052" s="1" t="s">
        <v>81</v>
      </c>
      <c r="N1052" s="1" t="s">
        <v>15256</v>
      </c>
      <c r="O1052" s="1"/>
      <c r="P1052" s="1" t="s">
        <v>1007</v>
      </c>
      <c r="Q1052" s="1" t="s">
        <v>15257</v>
      </c>
      <c r="R1052" s="1" t="s">
        <v>15258</v>
      </c>
      <c r="S1052" s="1">
        <v>9825472657</v>
      </c>
      <c r="T1052" s="1" t="s">
        <v>7701</v>
      </c>
      <c r="U1052" s="1" t="s">
        <v>15259</v>
      </c>
      <c r="V1052" s="1">
        <v>9687259762</v>
      </c>
      <c r="W1052" s="1" t="s">
        <v>156</v>
      </c>
      <c r="X1052" s="1" t="s">
        <v>15260</v>
      </c>
      <c r="Y1052" s="1" t="s">
        <v>15261</v>
      </c>
      <c r="Z1052" s="1" t="s">
        <v>662</v>
      </c>
      <c r="AA1052" s="1" t="s">
        <v>15260</v>
      </c>
      <c r="AB1052" s="1" t="s">
        <v>15261</v>
      </c>
      <c r="AC1052" s="1" t="s">
        <v>662</v>
      </c>
      <c r="AD1052" s="1">
        <v>7.71</v>
      </c>
      <c r="AE1052" s="1" t="s">
        <v>93</v>
      </c>
      <c r="AF1052" s="1" t="s">
        <v>15262</v>
      </c>
      <c r="AG1052" s="1" t="s">
        <v>2891</v>
      </c>
      <c r="AH1052" s="1" t="s">
        <v>1374</v>
      </c>
      <c r="AI1052" s="1" t="s">
        <v>195</v>
      </c>
      <c r="AJ1052" s="1">
        <v>63.3</v>
      </c>
      <c r="AK1052" s="1"/>
      <c r="AL1052" s="1" t="s">
        <v>15263</v>
      </c>
      <c r="AM1052" s="1" t="s">
        <v>2891</v>
      </c>
      <c r="AN1052" s="1" t="s">
        <v>169</v>
      </c>
      <c r="AO1052" s="1" t="s">
        <v>590</v>
      </c>
      <c r="AP1052" s="1">
        <v>45</v>
      </c>
      <c r="AQ1052" s="1"/>
      <c r="AR1052" s="1" t="s">
        <v>434</v>
      </c>
      <c r="AS1052" s="1" t="s">
        <v>15264</v>
      </c>
      <c r="AT1052" s="1" t="s">
        <v>310</v>
      </c>
      <c r="AU1052" s="1" t="s">
        <v>619</v>
      </c>
      <c r="AV1052" s="1">
        <v>87.2</v>
      </c>
      <c r="AW1052" s="1">
        <v>9.22</v>
      </c>
      <c r="AX1052" s="1" t="s">
        <v>15265</v>
      </c>
      <c r="AY1052" s="1" t="s">
        <v>15266</v>
      </c>
      <c r="AZ1052" s="1" t="s">
        <v>105</v>
      </c>
      <c r="BA1052" s="1" t="s">
        <v>594</v>
      </c>
      <c r="BB1052" s="1">
        <v>61.4</v>
      </c>
      <c r="BC1052" s="1">
        <v>6.89</v>
      </c>
      <c r="BD1052" s="1"/>
      <c r="BE1052" s="1"/>
      <c r="BF1052" s="1"/>
      <c r="BG1052" s="1"/>
      <c r="BH1052" s="1"/>
      <c r="BI1052" s="1"/>
      <c r="BJ1052" s="1" t="s">
        <v>1293</v>
      </c>
      <c r="BK1052" s="1"/>
      <c r="BL1052" s="1"/>
      <c r="BM1052" s="1" t="s">
        <v>15267</v>
      </c>
      <c r="BN1052" s="1">
        <v>68</v>
      </c>
      <c r="BO1052" s="1"/>
      <c r="BP1052" s="1" t="str">
        <f>HYPERLINK("https://nconnect.nicmar.ac.in/storage/profile/ProfilePhoto_P25702049_725163.jpg","Download")</f>
        <v>0</v>
      </c>
      <c r="BQ1052" s="3"/>
      <c r="BR1052" s="3"/>
    </row>
    <row r="1053" spans="1:70">
      <c r="A1053" s="1" t="s">
        <v>14387</v>
      </c>
      <c r="B1053" s="1" t="s">
        <v>441</v>
      </c>
      <c r="C1053" s="1" t="s">
        <v>15268</v>
      </c>
      <c r="D1053" s="1" t="s">
        <v>15269</v>
      </c>
      <c r="E1053" s="1"/>
      <c r="F1053" s="1" t="s">
        <v>15270</v>
      </c>
      <c r="G1053" s="1" t="s">
        <v>15271</v>
      </c>
      <c r="H1053" s="1" t="s">
        <v>15272</v>
      </c>
      <c r="I1053" s="1" t="s">
        <v>15273</v>
      </c>
      <c r="J1053" s="1">
        <v>9039533353</v>
      </c>
      <c r="K1053" s="1" t="s">
        <v>79</v>
      </c>
      <c r="L1053" s="1" t="s">
        <v>15274</v>
      </c>
      <c r="M1053" s="1" t="s">
        <v>81</v>
      </c>
      <c r="N1053" s="1" t="s">
        <v>751</v>
      </c>
      <c r="O1053" s="1" t="s">
        <v>15275</v>
      </c>
      <c r="P1053" s="1" t="s">
        <v>472</v>
      </c>
      <c r="Q1053" s="1" t="s">
        <v>15276</v>
      </c>
      <c r="R1053" s="1" t="s">
        <v>15277</v>
      </c>
      <c r="S1053" s="1">
        <v>9893167353</v>
      </c>
      <c r="T1053" s="1" t="s">
        <v>529</v>
      </c>
      <c r="U1053" s="1" t="s">
        <v>15278</v>
      </c>
      <c r="V1053" s="1">
        <v>7389255534</v>
      </c>
      <c r="W1053" s="1" t="s">
        <v>820</v>
      </c>
      <c r="X1053" s="1" t="s">
        <v>15279</v>
      </c>
      <c r="Y1053" s="1" t="s">
        <v>5645</v>
      </c>
      <c r="Z1053" s="1" t="s">
        <v>3437</v>
      </c>
      <c r="AA1053" s="1" t="s">
        <v>15279</v>
      </c>
      <c r="AB1053" s="1" t="s">
        <v>5645</v>
      </c>
      <c r="AC1053" s="1" t="s">
        <v>3437</v>
      </c>
      <c r="AD1053" s="1">
        <v>7.63</v>
      </c>
      <c r="AE1053" s="1" t="s">
        <v>93</v>
      </c>
      <c r="AF1053" s="1" t="s">
        <v>15280</v>
      </c>
      <c r="AG1053" s="1" t="s">
        <v>5731</v>
      </c>
      <c r="AH1053" s="1" t="s">
        <v>165</v>
      </c>
      <c r="AI1053" s="1" t="s">
        <v>281</v>
      </c>
      <c r="AJ1053" s="1">
        <v>50.4</v>
      </c>
      <c r="AK1053" s="1">
        <v>0</v>
      </c>
      <c r="AL1053" s="1"/>
      <c r="AM1053" s="1"/>
      <c r="AN1053" s="1"/>
      <c r="AO1053" s="1"/>
      <c r="AP1053" s="1"/>
      <c r="AQ1053" s="1"/>
      <c r="AR1053" s="1" t="s">
        <v>7251</v>
      </c>
      <c r="AS1053" s="1" t="s">
        <v>15281</v>
      </c>
      <c r="AT1053" s="1" t="s">
        <v>101</v>
      </c>
      <c r="AU1053" s="1" t="s">
        <v>826</v>
      </c>
      <c r="AV1053" s="1">
        <v>73.5</v>
      </c>
      <c r="AW1053" s="1">
        <v>7.35</v>
      </c>
      <c r="AX1053" s="1" t="s">
        <v>15282</v>
      </c>
      <c r="AY1053" s="1" t="s">
        <v>15283</v>
      </c>
      <c r="AZ1053" s="1" t="s">
        <v>542</v>
      </c>
      <c r="BA1053" s="1" t="s">
        <v>5282</v>
      </c>
      <c r="BB1053" s="1">
        <v>69.6</v>
      </c>
      <c r="BC1053" s="1">
        <v>6.96</v>
      </c>
      <c r="BD1053" s="1"/>
      <c r="BE1053" s="1"/>
      <c r="BF1053" s="1"/>
      <c r="BG1053" s="1"/>
      <c r="BH1053" s="1"/>
      <c r="BI1053" s="1"/>
      <c r="BJ1053" s="1" t="s">
        <v>15284</v>
      </c>
      <c r="BK1053" s="1"/>
      <c r="BL1053" s="1"/>
      <c r="BM1053" s="1" t="s">
        <v>15285</v>
      </c>
      <c r="BN1053" s="1">
        <v>73</v>
      </c>
      <c r="BO1053" s="1"/>
      <c r="BP1053" s="1" t="str">
        <f>HYPERLINK("https://nconnect.nicmar.ac.in/storage/profile/ProfilePhoto_P25702050_734158.jpg","Download")</f>
        <v>0</v>
      </c>
      <c r="BQ1053" s="3"/>
      <c r="BR1053" s="3"/>
    </row>
    <row r="1054" spans="1:70">
      <c r="A1054" s="1" t="s">
        <v>14387</v>
      </c>
      <c r="B1054" s="1" t="s">
        <v>441</v>
      </c>
      <c r="C1054" s="1" t="s">
        <v>15286</v>
      </c>
      <c r="D1054" s="1" t="s">
        <v>15287</v>
      </c>
      <c r="E1054" s="1"/>
      <c r="F1054" s="1" t="s">
        <v>15288</v>
      </c>
      <c r="G1054" s="1" t="s">
        <v>15289</v>
      </c>
      <c r="H1054" s="1" t="s">
        <v>15290</v>
      </c>
      <c r="I1054" s="1" t="s">
        <v>15291</v>
      </c>
      <c r="J1054" s="1">
        <v>7013366449</v>
      </c>
      <c r="K1054" s="1" t="s">
        <v>79</v>
      </c>
      <c r="L1054" s="1" t="s">
        <v>15292</v>
      </c>
      <c r="M1054" s="1" t="s">
        <v>81</v>
      </c>
      <c r="N1054" s="1" t="s">
        <v>15293</v>
      </c>
      <c r="O1054" s="1" t="s">
        <v>15294</v>
      </c>
      <c r="P1054" s="1" t="s">
        <v>450</v>
      </c>
      <c r="Q1054" s="1" t="s">
        <v>15295</v>
      </c>
      <c r="R1054" s="1" t="s">
        <v>15296</v>
      </c>
      <c r="S1054" s="1">
        <v>8179118550</v>
      </c>
      <c r="T1054" s="1" t="s">
        <v>820</v>
      </c>
      <c r="U1054" s="1" t="s">
        <v>15297</v>
      </c>
      <c r="V1054" s="1">
        <v>8179118550</v>
      </c>
      <c r="W1054" s="1" t="s">
        <v>273</v>
      </c>
      <c r="X1054" s="1" t="s">
        <v>15298</v>
      </c>
      <c r="Y1054" s="1" t="s">
        <v>711</v>
      </c>
      <c r="Z1054" s="1" t="s">
        <v>276</v>
      </c>
      <c r="AA1054" s="1" t="s">
        <v>15299</v>
      </c>
      <c r="AB1054" s="1" t="s">
        <v>711</v>
      </c>
      <c r="AC1054" s="1" t="s">
        <v>276</v>
      </c>
      <c r="AD1054" s="1">
        <v>8.08</v>
      </c>
      <c r="AE1054" s="1" t="s">
        <v>93</v>
      </c>
      <c r="AF1054" s="1" t="s">
        <v>15300</v>
      </c>
      <c r="AG1054" s="1" t="s">
        <v>15301</v>
      </c>
      <c r="AH1054" s="1" t="s">
        <v>162</v>
      </c>
      <c r="AI1054" s="1" t="s">
        <v>195</v>
      </c>
      <c r="AJ1054" s="1">
        <v>97.1</v>
      </c>
      <c r="AK1054" s="1">
        <v>9.7</v>
      </c>
      <c r="AL1054" s="1" t="s">
        <v>15302</v>
      </c>
      <c r="AM1054" s="1" t="s">
        <v>2312</v>
      </c>
      <c r="AN1054" s="1" t="s">
        <v>165</v>
      </c>
      <c r="AO1054" s="1" t="s">
        <v>409</v>
      </c>
      <c r="AP1054" s="1">
        <v>93.4</v>
      </c>
      <c r="AQ1054" s="1">
        <v>9.34</v>
      </c>
      <c r="AR1054" s="1"/>
      <c r="AS1054" s="1"/>
      <c r="AT1054" s="1"/>
      <c r="AU1054" s="1"/>
      <c r="AV1054" s="1"/>
      <c r="AW1054" s="1"/>
      <c r="AX1054" s="1" t="s">
        <v>2313</v>
      </c>
      <c r="AY1054" s="1" t="s">
        <v>15303</v>
      </c>
      <c r="AZ1054" s="1" t="s">
        <v>310</v>
      </c>
      <c r="BA1054" s="1" t="s">
        <v>7373</v>
      </c>
      <c r="BB1054" s="1">
        <v>52.9</v>
      </c>
      <c r="BC1054" s="1">
        <v>5.79</v>
      </c>
      <c r="BD1054" s="1"/>
      <c r="BE1054" s="1"/>
      <c r="BF1054" s="1"/>
      <c r="BG1054" s="1"/>
      <c r="BH1054" s="1"/>
      <c r="BI1054" s="1"/>
      <c r="BJ1054" s="1" t="s">
        <v>567</v>
      </c>
      <c r="BK1054" s="1" t="s">
        <v>15304</v>
      </c>
      <c r="BL1054" s="1" t="s">
        <v>1540</v>
      </c>
      <c r="BM1054" s="1" t="s">
        <v>15305</v>
      </c>
      <c r="BN1054" s="1">
        <v>8</v>
      </c>
      <c r="BO1054" s="1"/>
      <c r="BP1054" s="1" t="str">
        <f>HYPERLINK("https://nconnect.nicmar.ac.in/storage/profile/ProfilePhoto_P25702051_167852.jpg","Download")</f>
        <v>0</v>
      </c>
      <c r="BQ1054" s="3"/>
      <c r="BR1054" s="3"/>
    </row>
    <row r="1055" spans="1:70">
      <c r="A1055" s="1" t="s">
        <v>14387</v>
      </c>
      <c r="B1055" s="1" t="s">
        <v>441</v>
      </c>
      <c r="C1055" s="1" t="s">
        <v>15306</v>
      </c>
      <c r="D1055" s="1" t="s">
        <v>856</v>
      </c>
      <c r="E1055" s="1" t="s">
        <v>745</v>
      </c>
      <c r="F1055" s="1" t="s">
        <v>1847</v>
      </c>
      <c r="G1055" s="1" t="s">
        <v>15307</v>
      </c>
      <c r="H1055" s="1" t="s">
        <v>15308</v>
      </c>
      <c r="I1055" s="1" t="s">
        <v>15309</v>
      </c>
      <c r="J1055" s="1">
        <v>9096857500</v>
      </c>
      <c r="K1055" s="1" t="s">
        <v>79</v>
      </c>
      <c r="L1055" s="1" t="s">
        <v>15310</v>
      </c>
      <c r="M1055" s="1" t="s">
        <v>81</v>
      </c>
      <c r="N1055" s="1" t="s">
        <v>2381</v>
      </c>
      <c r="O1055" s="1"/>
      <c r="P1055" s="1" t="s">
        <v>472</v>
      </c>
      <c r="Q1055" s="1" t="s">
        <v>15311</v>
      </c>
      <c r="R1055" s="1" t="s">
        <v>15312</v>
      </c>
      <c r="S1055" s="1">
        <v>9096857500</v>
      </c>
      <c r="T1055" s="1" t="s">
        <v>632</v>
      </c>
      <c r="U1055" s="1" t="s">
        <v>15313</v>
      </c>
      <c r="V1055" s="1">
        <v>9970173799</v>
      </c>
      <c r="W1055" s="1" t="s">
        <v>15314</v>
      </c>
      <c r="X1055" s="1" t="s">
        <v>15315</v>
      </c>
      <c r="Y1055" s="1" t="s">
        <v>1012</v>
      </c>
      <c r="Z1055" s="1" t="s">
        <v>92</v>
      </c>
      <c r="AA1055" s="1" t="s">
        <v>15315</v>
      </c>
      <c r="AB1055" s="1" t="s">
        <v>1012</v>
      </c>
      <c r="AC1055" s="1" t="s">
        <v>92</v>
      </c>
      <c r="AD1055" s="1">
        <v>7.66</v>
      </c>
      <c r="AE1055" s="1" t="s">
        <v>93</v>
      </c>
      <c r="AF1055" s="1" t="s">
        <v>6110</v>
      </c>
      <c r="AG1055" s="1" t="s">
        <v>307</v>
      </c>
      <c r="AH1055" s="1" t="s">
        <v>162</v>
      </c>
      <c r="AI1055" s="1" t="s">
        <v>689</v>
      </c>
      <c r="AJ1055" s="1">
        <v>53.2</v>
      </c>
      <c r="AK1055" s="1">
        <v>5.6</v>
      </c>
      <c r="AL1055" s="1" t="s">
        <v>15316</v>
      </c>
      <c r="AM1055" s="1" t="s">
        <v>160</v>
      </c>
      <c r="AN1055" s="1" t="s">
        <v>101</v>
      </c>
      <c r="AO1055" s="1" t="s">
        <v>409</v>
      </c>
      <c r="AP1055" s="1">
        <v>52.77</v>
      </c>
      <c r="AQ1055" s="1">
        <v>5.55</v>
      </c>
      <c r="AR1055" s="1"/>
      <c r="AS1055" s="1"/>
      <c r="AT1055" s="1"/>
      <c r="AU1055" s="1"/>
      <c r="AV1055" s="1"/>
      <c r="AW1055" s="1"/>
      <c r="AX1055" s="1" t="s">
        <v>3731</v>
      </c>
      <c r="AY1055" s="1" t="s">
        <v>15317</v>
      </c>
      <c r="AZ1055" s="1" t="s">
        <v>201</v>
      </c>
      <c r="BA1055" s="1" t="s">
        <v>5282</v>
      </c>
      <c r="BB1055" s="1">
        <v>56.9</v>
      </c>
      <c r="BC1055" s="1">
        <v>6.44</v>
      </c>
      <c r="BD1055" s="1"/>
      <c r="BE1055" s="1"/>
      <c r="BF1055" s="1"/>
      <c r="BG1055" s="1"/>
      <c r="BH1055" s="1"/>
      <c r="BI1055" s="1"/>
      <c r="BJ1055" s="1" t="s">
        <v>255</v>
      </c>
      <c r="BK1055" s="1"/>
      <c r="BL1055" s="1"/>
      <c r="BM1055" s="1" t="s">
        <v>15318</v>
      </c>
      <c r="BN1055" s="1">
        <v>28</v>
      </c>
      <c r="BO1055" s="1" t="s">
        <v>15319</v>
      </c>
      <c r="BP1055" s="1" t="str">
        <f>HYPERLINK("https://nconnect.nicmar.ac.in/storage/profile/ProfilePhoto_P25702052_983415.jpg","Download")</f>
        <v>0</v>
      </c>
      <c r="BQ1055" s="3"/>
      <c r="BR1055" s="3"/>
    </row>
    <row r="1056" spans="1:70">
      <c r="A1056" s="1" t="s">
        <v>14387</v>
      </c>
      <c r="B1056" s="1" t="s">
        <v>441</v>
      </c>
      <c r="C1056" s="1" t="s">
        <v>15320</v>
      </c>
      <c r="D1056" s="1" t="s">
        <v>2457</v>
      </c>
      <c r="E1056" s="1" t="s">
        <v>15321</v>
      </c>
      <c r="F1056" s="1" t="s">
        <v>8239</v>
      </c>
      <c r="G1056" s="1" t="s">
        <v>15322</v>
      </c>
      <c r="H1056" s="1" t="s">
        <v>15323</v>
      </c>
      <c r="I1056" s="1" t="s">
        <v>15324</v>
      </c>
      <c r="J1056" s="1">
        <v>8329927069</v>
      </c>
      <c r="K1056" s="1" t="s">
        <v>79</v>
      </c>
      <c r="L1056" s="1" t="s">
        <v>14856</v>
      </c>
      <c r="M1056" s="1" t="s">
        <v>81</v>
      </c>
      <c r="N1056" s="1" t="s">
        <v>15325</v>
      </c>
      <c r="O1056" s="1" t="s">
        <v>15326</v>
      </c>
      <c r="P1056" s="1" t="s">
        <v>450</v>
      </c>
      <c r="Q1056" s="1" t="s">
        <v>15327</v>
      </c>
      <c r="R1056" s="1" t="s">
        <v>15328</v>
      </c>
      <c r="S1056" s="1">
        <v>9822899383</v>
      </c>
      <c r="T1056" s="1" t="s">
        <v>8760</v>
      </c>
      <c r="U1056" s="1" t="s">
        <v>15329</v>
      </c>
      <c r="V1056" s="1">
        <v>9673936696</v>
      </c>
      <c r="W1056" s="1" t="s">
        <v>156</v>
      </c>
      <c r="X1056" s="1" t="s">
        <v>15330</v>
      </c>
      <c r="Y1056" s="1" t="s">
        <v>91</v>
      </c>
      <c r="Z1056" s="1" t="s">
        <v>92</v>
      </c>
      <c r="AA1056" s="1" t="s">
        <v>15330</v>
      </c>
      <c r="AB1056" s="1" t="s">
        <v>91</v>
      </c>
      <c r="AC1056" s="1" t="s">
        <v>92</v>
      </c>
      <c r="AD1056" s="1">
        <v>7.53</v>
      </c>
      <c r="AE1056" s="1" t="s">
        <v>93</v>
      </c>
      <c r="AF1056" s="1" t="s">
        <v>15331</v>
      </c>
      <c r="AG1056" s="1" t="s">
        <v>15332</v>
      </c>
      <c r="AH1056" s="1" t="s">
        <v>97</v>
      </c>
      <c r="AI1056" s="1" t="s">
        <v>195</v>
      </c>
      <c r="AJ1056" s="1">
        <v>91</v>
      </c>
      <c r="AK1056" s="1">
        <v>0</v>
      </c>
      <c r="AL1056" s="1" t="s">
        <v>7955</v>
      </c>
      <c r="AM1056" s="1" t="s">
        <v>15332</v>
      </c>
      <c r="AN1056" s="1" t="s">
        <v>225</v>
      </c>
      <c r="AO1056" s="1" t="s">
        <v>198</v>
      </c>
      <c r="AP1056" s="1">
        <v>65</v>
      </c>
      <c r="AQ1056" s="1">
        <v>0</v>
      </c>
      <c r="AR1056" s="1"/>
      <c r="AS1056" s="1"/>
      <c r="AT1056" s="1"/>
      <c r="AU1056" s="1"/>
      <c r="AV1056" s="1"/>
      <c r="AW1056" s="1"/>
      <c r="AX1056" s="1" t="s">
        <v>361</v>
      </c>
      <c r="AY1056" s="1" t="s">
        <v>15333</v>
      </c>
      <c r="AZ1056" s="1" t="s">
        <v>201</v>
      </c>
      <c r="BA1056" s="1" t="s">
        <v>413</v>
      </c>
      <c r="BB1056" s="1">
        <v>58</v>
      </c>
      <c r="BC1056" s="1">
        <v>6.53</v>
      </c>
      <c r="BD1056" s="1"/>
      <c r="BE1056" s="1"/>
      <c r="BF1056" s="1"/>
      <c r="BG1056" s="1"/>
      <c r="BH1056" s="1"/>
      <c r="BI1056" s="1"/>
      <c r="BJ1056" s="1" t="s">
        <v>15334</v>
      </c>
      <c r="BK1056" s="1"/>
      <c r="BL1056" s="1"/>
      <c r="BM1056" s="1" t="s">
        <v>15335</v>
      </c>
      <c r="BN1056" s="1">
        <v>17</v>
      </c>
      <c r="BO1056" s="1"/>
      <c r="BP1056" s="1" t="str">
        <f>HYPERLINK("https://nconnect.nicmar.ac.in/storage/profile/ProfilePhoto_P25702053_548217.jpg","Download")</f>
        <v>0</v>
      </c>
      <c r="BQ1056" s="3"/>
      <c r="BR1056" s="3"/>
    </row>
    <row r="1057" spans="1:70">
      <c r="A1057" s="1" t="s">
        <v>14387</v>
      </c>
      <c r="B1057" s="1" t="s">
        <v>441</v>
      </c>
      <c r="C1057" s="1" t="s">
        <v>15336</v>
      </c>
      <c r="D1057" s="1" t="s">
        <v>744</v>
      </c>
      <c r="E1057" s="1" t="s">
        <v>4321</v>
      </c>
      <c r="F1057" s="1" t="s">
        <v>15337</v>
      </c>
      <c r="G1057" s="1" t="s">
        <v>15338</v>
      </c>
      <c r="H1057" s="1" t="s">
        <v>15339</v>
      </c>
      <c r="I1057" s="1" t="s">
        <v>15340</v>
      </c>
      <c r="J1057" s="1">
        <v>7021276625</v>
      </c>
      <c r="K1057" s="1" t="s">
        <v>79</v>
      </c>
      <c r="L1057" s="1" t="s">
        <v>15341</v>
      </c>
      <c r="M1057" s="1" t="s">
        <v>81</v>
      </c>
      <c r="N1057" s="1" t="s">
        <v>15342</v>
      </c>
      <c r="O1057" s="1"/>
      <c r="P1057" s="1" t="s">
        <v>472</v>
      </c>
      <c r="Q1057" s="1" t="s">
        <v>15343</v>
      </c>
      <c r="R1057" s="1" t="s">
        <v>15344</v>
      </c>
      <c r="S1057" s="1">
        <v>9833719279</v>
      </c>
      <c r="T1057" s="1" t="s">
        <v>820</v>
      </c>
      <c r="U1057" s="1" t="s">
        <v>15345</v>
      </c>
      <c r="V1057" s="1">
        <v>9869120731</v>
      </c>
      <c r="W1057" s="1" t="s">
        <v>273</v>
      </c>
      <c r="X1057" s="1" t="s">
        <v>15346</v>
      </c>
      <c r="Y1057" s="1" t="s">
        <v>2229</v>
      </c>
      <c r="Z1057" s="1" t="s">
        <v>92</v>
      </c>
      <c r="AA1057" s="1" t="s">
        <v>15346</v>
      </c>
      <c r="AB1057" s="1" t="s">
        <v>2229</v>
      </c>
      <c r="AC1057" s="1" t="s">
        <v>92</v>
      </c>
      <c r="AD1057" s="1">
        <v>8.08</v>
      </c>
      <c r="AE1057" s="1" t="s">
        <v>93</v>
      </c>
      <c r="AF1057" s="1" t="s">
        <v>15347</v>
      </c>
      <c r="AG1057" s="1" t="s">
        <v>15348</v>
      </c>
      <c r="AH1057" s="1" t="s">
        <v>162</v>
      </c>
      <c r="AI1057" s="1" t="s">
        <v>195</v>
      </c>
      <c r="AJ1057" s="1">
        <v>62.2</v>
      </c>
      <c r="AK1057" s="1">
        <v>0</v>
      </c>
      <c r="AL1057" s="1" t="s">
        <v>15349</v>
      </c>
      <c r="AM1057" s="1" t="s">
        <v>15348</v>
      </c>
      <c r="AN1057" s="1" t="s">
        <v>101</v>
      </c>
      <c r="AO1057" s="1" t="s">
        <v>310</v>
      </c>
      <c r="AP1057" s="1">
        <v>48.77</v>
      </c>
      <c r="AQ1057" s="1">
        <v>0</v>
      </c>
      <c r="AR1057" s="1" t="s">
        <v>434</v>
      </c>
      <c r="AS1057" s="1" t="s">
        <v>15350</v>
      </c>
      <c r="AT1057" s="1" t="s">
        <v>201</v>
      </c>
      <c r="AU1057" s="1" t="s">
        <v>436</v>
      </c>
      <c r="AV1057" s="1">
        <v>78.53</v>
      </c>
      <c r="AW1057" s="1">
        <v>0</v>
      </c>
      <c r="AX1057" s="1" t="s">
        <v>253</v>
      </c>
      <c r="AY1057" s="1" t="s">
        <v>15351</v>
      </c>
      <c r="AZ1057" s="1" t="s">
        <v>436</v>
      </c>
      <c r="BA1057" s="1" t="s">
        <v>1067</v>
      </c>
      <c r="BB1057" s="1">
        <v>58.45</v>
      </c>
      <c r="BC1057" s="1">
        <v>6.36</v>
      </c>
      <c r="BD1057" s="1"/>
      <c r="BE1057" s="1"/>
      <c r="BF1057" s="1"/>
      <c r="BG1057" s="1"/>
      <c r="BH1057" s="1"/>
      <c r="BI1057" s="1"/>
      <c r="BJ1057" s="1" t="s">
        <v>15352</v>
      </c>
      <c r="BK1057" s="1" t="s">
        <v>15353</v>
      </c>
      <c r="BL1057" s="1" t="s">
        <v>1022</v>
      </c>
      <c r="BM1057" s="1" t="s">
        <v>15354</v>
      </c>
      <c r="BN1057" s="1">
        <v>8</v>
      </c>
      <c r="BO1057" s="1" t="s">
        <v>15355</v>
      </c>
      <c r="BP1057" s="1" t="str">
        <f>HYPERLINK("https://nconnect.nicmar.ac.in/storage/profile/ProfilePhoto_P25702054_231546.jpg","Download")</f>
        <v>0</v>
      </c>
      <c r="BQ1057" s="3"/>
      <c r="BR1057" s="3"/>
    </row>
    <row r="1058" spans="1:70">
      <c r="A1058" s="1" t="s">
        <v>14387</v>
      </c>
      <c r="B1058" s="1" t="s">
        <v>441</v>
      </c>
      <c r="C1058" s="1" t="s">
        <v>15356</v>
      </c>
      <c r="D1058" s="1" t="s">
        <v>14409</v>
      </c>
      <c r="E1058" s="1" t="s">
        <v>7532</v>
      </c>
      <c r="F1058" s="1" t="s">
        <v>15357</v>
      </c>
      <c r="G1058" s="1" t="s">
        <v>15358</v>
      </c>
      <c r="H1058" s="1" t="s">
        <v>15359</v>
      </c>
      <c r="I1058" s="1" t="s">
        <v>15360</v>
      </c>
      <c r="J1058" s="1">
        <v>7841819174</v>
      </c>
      <c r="K1058" s="1" t="s">
        <v>148</v>
      </c>
      <c r="L1058" s="1" t="s">
        <v>654</v>
      </c>
      <c r="M1058" s="1" t="s">
        <v>81</v>
      </c>
      <c r="N1058" s="1" t="s">
        <v>1140</v>
      </c>
      <c r="O1058" s="1"/>
      <c r="P1058" s="1" t="s">
        <v>497</v>
      </c>
      <c r="Q1058" s="1" t="s">
        <v>15361</v>
      </c>
      <c r="R1058" s="1" t="s">
        <v>15362</v>
      </c>
      <c r="S1058" s="1">
        <v>9822575650</v>
      </c>
      <c r="T1058" s="1" t="s">
        <v>120</v>
      </c>
      <c r="U1058" s="1" t="s">
        <v>15363</v>
      </c>
      <c r="V1058" s="1">
        <v>9423636268</v>
      </c>
      <c r="W1058" s="1" t="s">
        <v>120</v>
      </c>
      <c r="X1058" s="1" t="s">
        <v>15364</v>
      </c>
      <c r="Y1058" s="1" t="s">
        <v>191</v>
      </c>
      <c r="Z1058" s="1" t="s">
        <v>92</v>
      </c>
      <c r="AA1058" s="1" t="s">
        <v>15365</v>
      </c>
      <c r="AB1058" s="1" t="s">
        <v>405</v>
      </c>
      <c r="AC1058" s="1" t="s">
        <v>92</v>
      </c>
      <c r="AD1058" s="1">
        <v>6.95</v>
      </c>
      <c r="AE1058" s="1" t="s">
        <v>93</v>
      </c>
      <c r="AF1058" s="1" t="s">
        <v>15366</v>
      </c>
      <c r="AG1058" s="1" t="s">
        <v>160</v>
      </c>
      <c r="AH1058" s="1" t="s">
        <v>279</v>
      </c>
      <c r="AI1058" s="1" t="s">
        <v>165</v>
      </c>
      <c r="AJ1058" s="1">
        <v>66.2</v>
      </c>
      <c r="AK1058" s="1">
        <v>6.97</v>
      </c>
      <c r="AL1058" s="1"/>
      <c r="AM1058" s="1"/>
      <c r="AN1058" s="1"/>
      <c r="AO1058" s="1"/>
      <c r="AP1058" s="1"/>
      <c r="AQ1058" s="1"/>
      <c r="AR1058" s="1" t="s">
        <v>15367</v>
      </c>
      <c r="AS1058" s="1" t="s">
        <v>15368</v>
      </c>
      <c r="AT1058" s="1" t="s">
        <v>225</v>
      </c>
      <c r="AU1058" s="1" t="s">
        <v>542</v>
      </c>
      <c r="AV1058" s="1">
        <v>82.58</v>
      </c>
      <c r="AW1058" s="1">
        <v>8.29</v>
      </c>
      <c r="AX1058" s="1" t="s">
        <v>15369</v>
      </c>
      <c r="AY1058" s="1" t="s">
        <v>15370</v>
      </c>
      <c r="AZ1058" s="1" t="s">
        <v>852</v>
      </c>
      <c r="BA1058" s="1" t="s">
        <v>1067</v>
      </c>
      <c r="BB1058" s="1">
        <v>58.7</v>
      </c>
      <c r="BC1058" s="1">
        <v>6.62</v>
      </c>
      <c r="BD1058" s="1"/>
      <c r="BE1058" s="1"/>
      <c r="BF1058" s="1"/>
      <c r="BG1058" s="1"/>
      <c r="BH1058" s="1"/>
      <c r="BI1058" s="1"/>
      <c r="BJ1058" s="1" t="s">
        <v>364</v>
      </c>
      <c r="BK1058" s="1"/>
      <c r="BL1058" s="1"/>
      <c r="BM1058" s="1" t="s">
        <v>15371</v>
      </c>
      <c r="BN1058" s="1">
        <v>39</v>
      </c>
      <c r="BO1058" s="1" t="s">
        <v>15372</v>
      </c>
      <c r="BP1058" s="1" t="str">
        <f>HYPERLINK("https://nconnect.nicmar.ac.in/storage/profile/ProfilePhoto_P25702055_726958.jpg","Download")</f>
        <v>0</v>
      </c>
      <c r="BQ1058" s="3"/>
      <c r="BR1058" s="3"/>
    </row>
    <row r="1059" spans="1:70">
      <c r="A1059" s="1" t="s">
        <v>14387</v>
      </c>
      <c r="B1059" s="1" t="s">
        <v>441</v>
      </c>
      <c r="C1059" s="1" t="s">
        <v>15373</v>
      </c>
      <c r="D1059" s="1" t="s">
        <v>15374</v>
      </c>
      <c r="E1059" s="1" t="s">
        <v>15375</v>
      </c>
      <c r="F1059" s="1" t="s">
        <v>793</v>
      </c>
      <c r="G1059" s="1" t="s">
        <v>15376</v>
      </c>
      <c r="H1059" s="1" t="s">
        <v>15377</v>
      </c>
      <c r="I1059" s="1" t="s">
        <v>15378</v>
      </c>
      <c r="J1059" s="1">
        <v>6382585010</v>
      </c>
      <c r="K1059" s="1" t="s">
        <v>79</v>
      </c>
      <c r="L1059" s="1" t="s">
        <v>15379</v>
      </c>
      <c r="M1059" s="1" t="s">
        <v>81</v>
      </c>
      <c r="N1059" s="1" t="s">
        <v>15380</v>
      </c>
      <c r="O1059" s="1"/>
      <c r="P1059" s="1" t="s">
        <v>450</v>
      </c>
      <c r="Q1059" s="1" t="s">
        <v>15381</v>
      </c>
      <c r="R1059" s="1" t="s">
        <v>15382</v>
      </c>
      <c r="S1059" s="1">
        <v>9698163134</v>
      </c>
      <c r="T1059" s="1" t="s">
        <v>820</v>
      </c>
      <c r="U1059" s="1" t="s">
        <v>15383</v>
      </c>
      <c r="V1059" s="1">
        <v>9360526996</v>
      </c>
      <c r="W1059" s="1" t="s">
        <v>89</v>
      </c>
      <c r="X1059" s="1" t="s">
        <v>15384</v>
      </c>
      <c r="Y1059" s="1" t="s">
        <v>15385</v>
      </c>
      <c r="Z1059" s="1" t="s">
        <v>559</v>
      </c>
      <c r="AA1059" s="1" t="s">
        <v>15384</v>
      </c>
      <c r="AB1059" s="1" t="s">
        <v>15385</v>
      </c>
      <c r="AC1059" s="1" t="s">
        <v>559</v>
      </c>
      <c r="AD1059" s="1" t="s">
        <v>93</v>
      </c>
      <c r="AE1059" s="1" t="s">
        <v>93</v>
      </c>
      <c r="AF1059" s="1" t="s">
        <v>15386</v>
      </c>
      <c r="AG1059" s="1" t="s">
        <v>15387</v>
      </c>
      <c r="AH1059" s="1" t="s">
        <v>96</v>
      </c>
      <c r="AI1059" s="1" t="s">
        <v>279</v>
      </c>
      <c r="AJ1059" s="1">
        <v>88.4</v>
      </c>
      <c r="AK1059" s="1"/>
      <c r="AL1059" s="1" t="s">
        <v>15386</v>
      </c>
      <c r="AM1059" s="1" t="s">
        <v>15388</v>
      </c>
      <c r="AN1059" s="1" t="s">
        <v>165</v>
      </c>
      <c r="AO1059" s="1" t="s">
        <v>481</v>
      </c>
      <c r="AP1059" s="1">
        <v>75.5</v>
      </c>
      <c r="AQ1059" s="1"/>
      <c r="AR1059" s="1"/>
      <c r="AS1059" s="1"/>
      <c r="AT1059" s="1"/>
      <c r="AU1059" s="1"/>
      <c r="AV1059" s="1"/>
      <c r="AW1059" s="1"/>
      <c r="AX1059" s="1" t="s">
        <v>2625</v>
      </c>
      <c r="AY1059" s="1" t="s">
        <v>15389</v>
      </c>
      <c r="AZ1059" s="1" t="s">
        <v>169</v>
      </c>
      <c r="BA1059" s="1" t="s">
        <v>935</v>
      </c>
      <c r="BB1059" s="1">
        <v>56.4</v>
      </c>
      <c r="BC1059" s="1">
        <v>5.64</v>
      </c>
      <c r="BD1059" s="1"/>
      <c r="BE1059" s="1"/>
      <c r="BF1059" s="1"/>
      <c r="BG1059" s="1"/>
      <c r="BH1059" s="1"/>
      <c r="BI1059" s="1"/>
      <c r="BJ1059" s="1" t="s">
        <v>15390</v>
      </c>
      <c r="BK1059" s="1" t="s">
        <v>15391</v>
      </c>
      <c r="BL1059" s="1" t="s">
        <v>645</v>
      </c>
      <c r="BM1059" s="1" t="s">
        <v>15392</v>
      </c>
      <c r="BN1059" s="1">
        <v>14</v>
      </c>
      <c r="BO1059" s="1"/>
      <c r="BP1059" s="1" t="str">
        <f>HYPERLINK("https://nconnect.nicmar.ac.in/storage/profile/ProfilePhoto_P25702056_163759.jpg","Download")</f>
        <v>0</v>
      </c>
      <c r="BQ1059" s="3"/>
      <c r="BR1059" s="3"/>
    </row>
    <row r="1060" spans="1:70">
      <c r="A1060" s="1" t="s">
        <v>14387</v>
      </c>
      <c r="B1060" s="1" t="s">
        <v>441</v>
      </c>
      <c r="C1060" s="1" t="s">
        <v>15393</v>
      </c>
      <c r="D1060" s="1" t="s">
        <v>7747</v>
      </c>
      <c r="E1060" s="1" t="s">
        <v>4651</v>
      </c>
      <c r="F1060" s="1" t="s">
        <v>15394</v>
      </c>
      <c r="G1060" s="1" t="s">
        <v>15395</v>
      </c>
      <c r="H1060" s="1" t="s">
        <v>15396</v>
      </c>
      <c r="I1060" s="1" t="s">
        <v>15397</v>
      </c>
      <c r="J1060" s="1">
        <v>9307865578</v>
      </c>
      <c r="K1060" s="1" t="s">
        <v>79</v>
      </c>
      <c r="L1060" s="1" t="s">
        <v>15398</v>
      </c>
      <c r="M1060" s="1" t="s">
        <v>81</v>
      </c>
      <c r="N1060" s="1" t="s">
        <v>15399</v>
      </c>
      <c r="O1060" s="1"/>
      <c r="P1060" s="1" t="s">
        <v>450</v>
      </c>
      <c r="Q1060" s="1" t="s">
        <v>15400</v>
      </c>
      <c r="R1060" s="1" t="s">
        <v>15401</v>
      </c>
      <c r="S1060" s="1">
        <v>8329082119</v>
      </c>
      <c r="T1060" s="1" t="s">
        <v>2344</v>
      </c>
      <c r="U1060" s="1" t="s">
        <v>15402</v>
      </c>
      <c r="V1060" s="1">
        <v>9359906515</v>
      </c>
      <c r="W1060" s="1" t="s">
        <v>89</v>
      </c>
      <c r="X1060" s="1" t="s">
        <v>15403</v>
      </c>
      <c r="Y1060" s="1" t="s">
        <v>191</v>
      </c>
      <c r="Z1060" s="1" t="s">
        <v>92</v>
      </c>
      <c r="AA1060" s="1" t="s">
        <v>15404</v>
      </c>
      <c r="AB1060" s="1" t="s">
        <v>7229</v>
      </c>
      <c r="AC1060" s="1" t="s">
        <v>92</v>
      </c>
      <c r="AD1060" s="1">
        <v>8.16</v>
      </c>
      <c r="AE1060" s="1" t="s">
        <v>93</v>
      </c>
      <c r="AF1060" s="1" t="s">
        <v>15405</v>
      </c>
      <c r="AG1060" s="1" t="s">
        <v>15406</v>
      </c>
      <c r="AH1060" s="1" t="s">
        <v>162</v>
      </c>
      <c r="AI1060" s="1" t="s">
        <v>165</v>
      </c>
      <c r="AJ1060" s="1">
        <v>90.8</v>
      </c>
      <c r="AK1060" s="1">
        <v>9.8</v>
      </c>
      <c r="AL1060" s="1" t="s">
        <v>15405</v>
      </c>
      <c r="AM1060" s="1" t="s">
        <v>15406</v>
      </c>
      <c r="AN1060" s="1" t="s">
        <v>101</v>
      </c>
      <c r="AO1060" s="1" t="s">
        <v>433</v>
      </c>
      <c r="AP1060" s="1">
        <v>57.2</v>
      </c>
      <c r="AQ1060" s="1"/>
      <c r="AR1060" s="1"/>
      <c r="AS1060" s="1"/>
      <c r="AT1060" s="1"/>
      <c r="AU1060" s="1"/>
      <c r="AV1060" s="1"/>
      <c r="AW1060" s="1"/>
      <c r="AX1060" s="1" t="s">
        <v>976</v>
      </c>
      <c r="AY1060" s="1" t="s">
        <v>15407</v>
      </c>
      <c r="AZ1060" s="1" t="s">
        <v>310</v>
      </c>
      <c r="BA1060" s="1" t="s">
        <v>174</v>
      </c>
      <c r="BB1060" s="1">
        <v>56.4</v>
      </c>
      <c r="BC1060" s="1">
        <v>6.39</v>
      </c>
      <c r="BD1060" s="1"/>
      <c r="BE1060" s="1"/>
      <c r="BF1060" s="1"/>
      <c r="BG1060" s="1"/>
      <c r="BH1060" s="1"/>
      <c r="BI1060" s="1"/>
      <c r="BJ1060" s="1" t="s">
        <v>830</v>
      </c>
      <c r="BK1060" s="1"/>
      <c r="BL1060" s="1"/>
      <c r="BM1060" s="1" t="s">
        <v>15408</v>
      </c>
      <c r="BN1060" s="1">
        <v>52</v>
      </c>
      <c r="BO1060" s="1" t="s">
        <v>15409</v>
      </c>
      <c r="BP1060" s="1" t="str">
        <f>HYPERLINK("https://nconnect.nicmar.ac.in/storage/profile/ProfilePhoto_P25702057_789125.jpg","Download")</f>
        <v>0</v>
      </c>
      <c r="BQ1060" s="3"/>
      <c r="BR1060" s="3"/>
    </row>
    <row r="1061" spans="1:70">
      <c r="A1061" s="1" t="s">
        <v>14387</v>
      </c>
      <c r="B1061" s="1" t="s">
        <v>441</v>
      </c>
      <c r="C1061" s="1" t="s">
        <v>15410</v>
      </c>
      <c r="D1061" s="1" t="s">
        <v>15411</v>
      </c>
      <c r="E1061" s="1"/>
      <c r="F1061" s="1" t="s">
        <v>15412</v>
      </c>
      <c r="G1061" s="1" t="s">
        <v>15413</v>
      </c>
      <c r="H1061" s="1" t="s">
        <v>15414</v>
      </c>
      <c r="I1061" s="1" t="s">
        <v>15415</v>
      </c>
      <c r="J1061" s="1">
        <v>9875625081</v>
      </c>
      <c r="K1061" s="1" t="s">
        <v>79</v>
      </c>
      <c r="L1061" s="1" t="s">
        <v>15416</v>
      </c>
      <c r="M1061" s="1" t="s">
        <v>81</v>
      </c>
      <c r="N1061" s="1" t="s">
        <v>15417</v>
      </c>
      <c r="O1061" s="1"/>
      <c r="P1061" s="1" t="s">
        <v>497</v>
      </c>
      <c r="Q1061" s="1" t="s">
        <v>15418</v>
      </c>
      <c r="R1061" s="1" t="s">
        <v>15419</v>
      </c>
      <c r="S1061" s="1">
        <v>9831082721</v>
      </c>
      <c r="T1061" s="1" t="s">
        <v>632</v>
      </c>
      <c r="U1061" s="1" t="s">
        <v>15420</v>
      </c>
      <c r="V1061" s="1">
        <v>9831082721</v>
      </c>
      <c r="W1061" s="1" t="s">
        <v>89</v>
      </c>
      <c r="X1061" s="1" t="s">
        <v>15421</v>
      </c>
      <c r="Y1061" s="1" t="s">
        <v>3300</v>
      </c>
      <c r="Z1061" s="1" t="s">
        <v>1211</v>
      </c>
      <c r="AA1061" s="1" t="s">
        <v>15421</v>
      </c>
      <c r="AB1061" s="1" t="s">
        <v>3300</v>
      </c>
      <c r="AC1061" s="1" t="s">
        <v>1211</v>
      </c>
      <c r="AD1061" s="1" t="s">
        <v>93</v>
      </c>
      <c r="AE1061" s="1" t="s">
        <v>93</v>
      </c>
      <c r="AF1061" s="1" t="s">
        <v>15422</v>
      </c>
      <c r="AG1061" s="1" t="s">
        <v>2154</v>
      </c>
      <c r="AH1061" s="1" t="s">
        <v>614</v>
      </c>
      <c r="AI1061" s="1" t="s">
        <v>562</v>
      </c>
      <c r="AJ1061" s="1">
        <v>91.33</v>
      </c>
      <c r="AK1061" s="1"/>
      <c r="AL1061" s="1" t="s">
        <v>15422</v>
      </c>
      <c r="AM1061" s="1" t="s">
        <v>2154</v>
      </c>
      <c r="AN1061" s="1" t="s">
        <v>166</v>
      </c>
      <c r="AO1061" s="1" t="s">
        <v>308</v>
      </c>
      <c r="AP1061" s="1">
        <v>68.33</v>
      </c>
      <c r="AQ1061" s="1"/>
      <c r="AR1061" s="1"/>
      <c r="AS1061" s="1"/>
      <c r="AT1061" s="1"/>
      <c r="AU1061" s="1"/>
      <c r="AV1061" s="1"/>
      <c r="AW1061" s="1"/>
      <c r="AX1061" s="1" t="s">
        <v>5110</v>
      </c>
      <c r="AY1061" s="1" t="s">
        <v>15423</v>
      </c>
      <c r="AZ1061" s="1" t="s">
        <v>310</v>
      </c>
      <c r="BA1061" s="1" t="s">
        <v>1067</v>
      </c>
      <c r="BB1061" s="1">
        <v>80.9</v>
      </c>
      <c r="BC1061" s="1">
        <v>8.9</v>
      </c>
      <c r="BD1061" s="1"/>
      <c r="BE1061" s="1"/>
      <c r="BF1061" s="1"/>
      <c r="BG1061" s="1"/>
      <c r="BH1061" s="1"/>
      <c r="BI1061" s="1"/>
      <c r="BJ1061" s="1" t="s">
        <v>15424</v>
      </c>
      <c r="BK1061" s="1"/>
      <c r="BL1061" s="1"/>
      <c r="BM1061" s="1" t="s">
        <v>15425</v>
      </c>
      <c r="BN1061" s="1">
        <v>9</v>
      </c>
      <c r="BO1061" s="1"/>
      <c r="BP1061" s="1" t="str">
        <f>HYPERLINK("https://nconnect.nicmar.ac.in/storage/profile/ProfilePhoto_P25702058_624583.jpg","Download")</f>
        <v>0</v>
      </c>
      <c r="BQ1061" s="3"/>
      <c r="BR1061" s="3"/>
    </row>
    <row r="1062" spans="1:70">
      <c r="A1062" s="1" t="s">
        <v>14387</v>
      </c>
      <c r="B1062" s="1" t="s">
        <v>441</v>
      </c>
      <c r="C1062" s="1" t="s">
        <v>15426</v>
      </c>
      <c r="D1062" s="1" t="s">
        <v>15427</v>
      </c>
      <c r="E1062" s="1" t="s">
        <v>1644</v>
      </c>
      <c r="F1062" s="1" t="s">
        <v>3059</v>
      </c>
      <c r="G1062" s="1" t="s">
        <v>15428</v>
      </c>
      <c r="H1062" s="1" t="s">
        <v>15429</v>
      </c>
      <c r="I1062" s="1" t="s">
        <v>15430</v>
      </c>
      <c r="J1062" s="1">
        <v>9987068565</v>
      </c>
      <c r="K1062" s="1" t="s">
        <v>148</v>
      </c>
      <c r="L1062" s="1" t="s">
        <v>15431</v>
      </c>
      <c r="M1062" s="1" t="s">
        <v>81</v>
      </c>
      <c r="N1062" s="1" t="s">
        <v>15432</v>
      </c>
      <c r="O1062" s="1"/>
      <c r="P1062" s="1" t="s">
        <v>497</v>
      </c>
      <c r="Q1062" s="1" t="s">
        <v>15433</v>
      </c>
      <c r="R1062" s="1" t="s">
        <v>1644</v>
      </c>
      <c r="S1062" s="1">
        <v>9324401690</v>
      </c>
      <c r="T1062" s="1" t="s">
        <v>120</v>
      </c>
      <c r="U1062" s="1" t="s">
        <v>15434</v>
      </c>
      <c r="V1062" s="1">
        <v>9594553014</v>
      </c>
      <c r="W1062" s="1" t="s">
        <v>89</v>
      </c>
      <c r="X1062" s="1" t="s">
        <v>15435</v>
      </c>
      <c r="Y1062" s="1" t="s">
        <v>991</v>
      </c>
      <c r="Z1062" s="1" t="s">
        <v>92</v>
      </c>
      <c r="AA1062" s="1" t="s">
        <v>15435</v>
      </c>
      <c r="AB1062" s="1" t="s">
        <v>991</v>
      </c>
      <c r="AC1062" s="1" t="s">
        <v>92</v>
      </c>
      <c r="AD1062" s="1">
        <v>7.32</v>
      </c>
      <c r="AE1062" s="1" t="s">
        <v>93</v>
      </c>
      <c r="AF1062" s="1" t="s">
        <v>15436</v>
      </c>
      <c r="AG1062" s="1" t="s">
        <v>15437</v>
      </c>
      <c r="AH1062" s="1" t="s">
        <v>96</v>
      </c>
      <c r="AI1062" s="1" t="s">
        <v>97</v>
      </c>
      <c r="AJ1062" s="1">
        <v>81.6</v>
      </c>
      <c r="AK1062" s="1"/>
      <c r="AL1062" s="1" t="s">
        <v>15438</v>
      </c>
      <c r="AM1062" s="1" t="s">
        <v>15437</v>
      </c>
      <c r="AN1062" s="1" t="s">
        <v>162</v>
      </c>
      <c r="AO1062" s="1" t="s">
        <v>508</v>
      </c>
      <c r="AP1062" s="1">
        <v>55.69</v>
      </c>
      <c r="AQ1062" s="1"/>
      <c r="AR1062" s="1"/>
      <c r="AS1062" s="1"/>
      <c r="AT1062" s="1"/>
      <c r="AU1062" s="1"/>
      <c r="AV1062" s="1"/>
      <c r="AW1062" s="1"/>
      <c r="AX1062" s="1" t="s">
        <v>253</v>
      </c>
      <c r="AY1062" s="1" t="s">
        <v>15439</v>
      </c>
      <c r="AZ1062" s="1" t="s">
        <v>225</v>
      </c>
      <c r="BA1062" s="1" t="s">
        <v>284</v>
      </c>
      <c r="BB1062" s="1">
        <v>57.01</v>
      </c>
      <c r="BC1062" s="1">
        <v>6.34</v>
      </c>
      <c r="BD1062" s="1"/>
      <c r="BE1062" s="1"/>
      <c r="BF1062" s="1"/>
      <c r="BG1062" s="1"/>
      <c r="BH1062" s="1"/>
      <c r="BI1062" s="1"/>
      <c r="BJ1062" s="1" t="s">
        <v>15440</v>
      </c>
      <c r="BK1062" s="1" t="s">
        <v>15441</v>
      </c>
      <c r="BL1062" s="1" t="s">
        <v>7635</v>
      </c>
      <c r="BM1062" s="1" t="s">
        <v>15442</v>
      </c>
      <c r="BN1062" s="1">
        <v>26</v>
      </c>
      <c r="BO1062" s="1"/>
      <c r="BP1062" s="1" t="str">
        <f>HYPERLINK("https://nconnect.nicmar.ac.in/storage/profile/ProfilePhoto_P25702059_864359.jpg","Download")</f>
        <v>0</v>
      </c>
      <c r="BQ1062" s="3"/>
      <c r="BR1062" s="3"/>
    </row>
    <row r="1063" spans="1:70">
      <c r="A1063" s="1" t="s">
        <v>14387</v>
      </c>
      <c r="B1063" s="1" t="s">
        <v>441</v>
      </c>
      <c r="C1063" s="1" t="s">
        <v>15443</v>
      </c>
      <c r="D1063" s="1" t="s">
        <v>1225</v>
      </c>
      <c r="E1063" s="1"/>
      <c r="F1063" s="1" t="s">
        <v>15444</v>
      </c>
      <c r="G1063" s="1" t="s">
        <v>15445</v>
      </c>
      <c r="H1063" s="1" t="s">
        <v>15446</v>
      </c>
      <c r="I1063" s="1" t="s">
        <v>15447</v>
      </c>
      <c r="J1063" s="1">
        <v>7846834615</v>
      </c>
      <c r="K1063" s="1" t="s">
        <v>79</v>
      </c>
      <c r="L1063" s="1" t="s">
        <v>15448</v>
      </c>
      <c r="M1063" s="1" t="s">
        <v>81</v>
      </c>
      <c r="N1063" s="1" t="s">
        <v>839</v>
      </c>
      <c r="O1063" s="1" t="s">
        <v>15449</v>
      </c>
      <c r="P1063" s="1" t="s">
        <v>472</v>
      </c>
      <c r="Q1063" s="1" t="s">
        <v>15450</v>
      </c>
      <c r="R1063" s="1" t="s">
        <v>15451</v>
      </c>
      <c r="S1063" s="1">
        <v>9337219992</v>
      </c>
      <c r="T1063" s="1" t="s">
        <v>15452</v>
      </c>
      <c r="U1063" s="1" t="s">
        <v>15453</v>
      </c>
      <c r="V1063" s="1">
        <v>9438629300</v>
      </c>
      <c r="W1063" s="1" t="s">
        <v>15454</v>
      </c>
      <c r="X1063" s="1" t="s">
        <v>15455</v>
      </c>
      <c r="Y1063" s="1" t="s">
        <v>1236</v>
      </c>
      <c r="Z1063" s="1" t="s">
        <v>846</v>
      </c>
      <c r="AA1063" s="1" t="s">
        <v>15455</v>
      </c>
      <c r="AB1063" s="1" t="s">
        <v>1236</v>
      </c>
      <c r="AC1063" s="1" t="s">
        <v>846</v>
      </c>
      <c r="AD1063" s="1">
        <v>7.24</v>
      </c>
      <c r="AE1063" s="1" t="s">
        <v>93</v>
      </c>
      <c r="AF1063" s="1" t="s">
        <v>15456</v>
      </c>
      <c r="AG1063" s="1" t="s">
        <v>15457</v>
      </c>
      <c r="AH1063" s="1" t="s">
        <v>165</v>
      </c>
      <c r="AI1063" s="1" t="s">
        <v>166</v>
      </c>
      <c r="AJ1063" s="1">
        <v>70.8</v>
      </c>
      <c r="AK1063" s="1">
        <v>0</v>
      </c>
      <c r="AL1063" s="1" t="s">
        <v>15458</v>
      </c>
      <c r="AM1063" s="1" t="s">
        <v>15457</v>
      </c>
      <c r="AN1063" s="1" t="s">
        <v>101</v>
      </c>
      <c r="AO1063" s="1" t="s">
        <v>173</v>
      </c>
      <c r="AP1063" s="1">
        <v>66.8</v>
      </c>
      <c r="AQ1063" s="1"/>
      <c r="AR1063" s="1"/>
      <c r="AS1063" s="1"/>
      <c r="AT1063" s="1"/>
      <c r="AU1063" s="1"/>
      <c r="AV1063" s="1"/>
      <c r="AW1063" s="1"/>
      <c r="AX1063" s="1" t="s">
        <v>15459</v>
      </c>
      <c r="AY1063" s="1" t="s">
        <v>15459</v>
      </c>
      <c r="AZ1063" s="1" t="s">
        <v>852</v>
      </c>
      <c r="BA1063" s="1" t="s">
        <v>829</v>
      </c>
      <c r="BB1063" s="1">
        <v>57.7</v>
      </c>
      <c r="BC1063" s="1">
        <v>6.27</v>
      </c>
      <c r="BD1063" s="1"/>
      <c r="BE1063" s="1"/>
      <c r="BF1063" s="1"/>
      <c r="BG1063" s="1"/>
      <c r="BH1063" s="1"/>
      <c r="BI1063" s="1"/>
      <c r="BJ1063" s="1" t="s">
        <v>1904</v>
      </c>
      <c r="BK1063" s="1"/>
      <c r="BL1063" s="1"/>
      <c r="BM1063" s="1" t="s">
        <v>15460</v>
      </c>
      <c r="BN1063" s="1">
        <v>19</v>
      </c>
      <c r="BO1063" s="1" t="s">
        <v>15461</v>
      </c>
      <c r="BP1063" s="1" t="str">
        <f>HYPERLINK("https://nconnect.nicmar.ac.in/storage/profile/ProfilePhoto_P25702060_829173.jpg","Download")</f>
        <v>0</v>
      </c>
      <c r="BQ1063" s="3"/>
      <c r="BR1063" s="3"/>
    </row>
    <row r="1064" spans="1:70">
      <c r="A1064" s="1" t="s">
        <v>14387</v>
      </c>
      <c r="B1064" s="1" t="s">
        <v>441</v>
      </c>
      <c r="C1064" s="1" t="s">
        <v>15462</v>
      </c>
      <c r="D1064" s="1" t="s">
        <v>15463</v>
      </c>
      <c r="E1064" s="1" t="s">
        <v>2632</v>
      </c>
      <c r="F1064" s="1" t="s">
        <v>15464</v>
      </c>
      <c r="G1064" s="1" t="s">
        <v>15465</v>
      </c>
      <c r="H1064" s="1" t="s">
        <v>15466</v>
      </c>
      <c r="I1064" s="1" t="s">
        <v>15467</v>
      </c>
      <c r="J1064" s="1">
        <v>9594111227</v>
      </c>
      <c r="K1064" s="1" t="s">
        <v>79</v>
      </c>
      <c r="L1064" s="1" t="s">
        <v>15468</v>
      </c>
      <c r="M1064" s="1" t="s">
        <v>81</v>
      </c>
      <c r="N1064" s="1" t="s">
        <v>15469</v>
      </c>
      <c r="O1064" s="1"/>
      <c r="P1064" s="1" t="s">
        <v>497</v>
      </c>
      <c r="Q1064" s="1" t="s">
        <v>15470</v>
      </c>
      <c r="R1064" s="1" t="s">
        <v>2632</v>
      </c>
      <c r="S1064" s="1">
        <v>9594111230</v>
      </c>
      <c r="T1064" s="1" t="s">
        <v>820</v>
      </c>
      <c r="U1064" s="1" t="s">
        <v>15471</v>
      </c>
      <c r="V1064" s="1">
        <v>9594111229</v>
      </c>
      <c r="W1064" s="1" t="s">
        <v>89</v>
      </c>
      <c r="X1064" s="1" t="s">
        <v>15472</v>
      </c>
      <c r="Y1064" s="1" t="s">
        <v>2229</v>
      </c>
      <c r="Z1064" s="1" t="s">
        <v>92</v>
      </c>
      <c r="AA1064" s="1" t="s">
        <v>15472</v>
      </c>
      <c r="AB1064" s="1" t="s">
        <v>2229</v>
      </c>
      <c r="AC1064" s="1" t="s">
        <v>92</v>
      </c>
      <c r="AD1064" s="1">
        <v>7.9</v>
      </c>
      <c r="AE1064" s="1" t="s">
        <v>93</v>
      </c>
      <c r="AF1064" s="1" t="s">
        <v>15473</v>
      </c>
      <c r="AG1064" s="1" t="s">
        <v>160</v>
      </c>
      <c r="AH1064" s="1" t="s">
        <v>383</v>
      </c>
      <c r="AI1064" s="1" t="s">
        <v>281</v>
      </c>
      <c r="AJ1064" s="1">
        <v>80.2</v>
      </c>
      <c r="AK1064" s="1"/>
      <c r="AL1064" s="1" t="s">
        <v>15474</v>
      </c>
      <c r="AM1064" s="1" t="s">
        <v>160</v>
      </c>
      <c r="AN1064" s="1" t="s">
        <v>433</v>
      </c>
      <c r="AO1064" s="1" t="s">
        <v>360</v>
      </c>
      <c r="AP1064" s="1">
        <v>53.23</v>
      </c>
      <c r="AQ1064" s="1"/>
      <c r="AR1064" s="1"/>
      <c r="AS1064" s="1"/>
      <c r="AT1064" s="1"/>
      <c r="AU1064" s="1"/>
      <c r="AV1064" s="1"/>
      <c r="AW1064" s="1"/>
      <c r="AX1064" s="1" t="s">
        <v>253</v>
      </c>
      <c r="AY1064" s="1" t="s">
        <v>15475</v>
      </c>
      <c r="AZ1064" s="1" t="s">
        <v>173</v>
      </c>
      <c r="BA1064" s="1" t="s">
        <v>2352</v>
      </c>
      <c r="BB1064" s="1">
        <v>64.17</v>
      </c>
      <c r="BC1064" s="1">
        <v>7.11</v>
      </c>
      <c r="BD1064" s="1"/>
      <c r="BE1064" s="1"/>
      <c r="BF1064" s="1"/>
      <c r="BG1064" s="1"/>
      <c r="BH1064" s="1"/>
      <c r="BI1064" s="1"/>
      <c r="BJ1064" s="1" t="s">
        <v>15476</v>
      </c>
      <c r="BK1064" s="1"/>
      <c r="BL1064" s="1"/>
      <c r="BM1064" s="1" t="s">
        <v>15477</v>
      </c>
      <c r="BN1064" s="1">
        <v>17</v>
      </c>
      <c r="BO1064" s="1" t="s">
        <v>15478</v>
      </c>
      <c r="BP1064" s="1" t="str">
        <f>HYPERLINK("https://nconnect.nicmar.ac.in/storage/profile/ProfilePhoto_P25702061_731829.jpg","Download")</f>
        <v>0</v>
      </c>
      <c r="BQ1064" s="3"/>
      <c r="BR1064" s="3"/>
    </row>
    <row r="1065" spans="1:70">
      <c r="A1065" s="1" t="s">
        <v>14387</v>
      </c>
      <c r="B1065" s="1" t="s">
        <v>441</v>
      </c>
      <c r="C1065" s="1" t="s">
        <v>15479</v>
      </c>
      <c r="D1065" s="1" t="s">
        <v>15480</v>
      </c>
      <c r="E1065" s="1" t="s">
        <v>15481</v>
      </c>
      <c r="F1065" s="1" t="s">
        <v>15482</v>
      </c>
      <c r="G1065" s="1" t="s">
        <v>15483</v>
      </c>
      <c r="H1065" s="1" t="s">
        <v>15484</v>
      </c>
      <c r="I1065" s="1" t="s">
        <v>15485</v>
      </c>
      <c r="J1065" s="1">
        <v>7741939823</v>
      </c>
      <c r="K1065" s="1" t="s">
        <v>79</v>
      </c>
      <c r="L1065" s="1" t="s">
        <v>15486</v>
      </c>
      <c r="M1065" s="1" t="s">
        <v>81</v>
      </c>
      <c r="N1065" s="1" t="s">
        <v>1140</v>
      </c>
      <c r="O1065" s="1"/>
      <c r="P1065" s="1" t="s">
        <v>450</v>
      </c>
      <c r="Q1065" s="1" t="s">
        <v>15487</v>
      </c>
      <c r="R1065" s="1" t="s">
        <v>15488</v>
      </c>
      <c r="S1065" s="1">
        <v>9503069376</v>
      </c>
      <c r="T1065" s="1" t="s">
        <v>1490</v>
      </c>
      <c r="U1065" s="1" t="s">
        <v>15489</v>
      </c>
      <c r="V1065" s="1">
        <v>8698852057</v>
      </c>
      <c r="W1065" s="1" t="s">
        <v>273</v>
      </c>
      <c r="X1065" s="1" t="s">
        <v>15490</v>
      </c>
      <c r="Y1065" s="1" t="s">
        <v>379</v>
      </c>
      <c r="Z1065" s="1" t="s">
        <v>92</v>
      </c>
      <c r="AA1065" s="1" t="s">
        <v>15490</v>
      </c>
      <c r="AB1065" s="1" t="s">
        <v>379</v>
      </c>
      <c r="AC1065" s="1" t="s">
        <v>92</v>
      </c>
      <c r="AD1065" s="1" t="s">
        <v>93</v>
      </c>
      <c r="AE1065" s="1" t="s">
        <v>93</v>
      </c>
      <c r="AF1065" s="1" t="s">
        <v>15491</v>
      </c>
      <c r="AG1065" s="1" t="s">
        <v>15492</v>
      </c>
      <c r="AH1065" s="1" t="s">
        <v>161</v>
      </c>
      <c r="AI1065" s="1" t="s">
        <v>1089</v>
      </c>
      <c r="AJ1065" s="1">
        <v>69.8</v>
      </c>
      <c r="AK1065" s="1"/>
      <c r="AL1065" s="1" t="s">
        <v>15493</v>
      </c>
      <c r="AM1065" s="1" t="s">
        <v>15492</v>
      </c>
      <c r="AN1065" s="1" t="s">
        <v>165</v>
      </c>
      <c r="AO1065" s="1" t="s">
        <v>1455</v>
      </c>
      <c r="AP1065" s="1">
        <v>54.15</v>
      </c>
      <c r="AQ1065" s="1"/>
      <c r="AR1065" s="1"/>
      <c r="AS1065" s="1"/>
      <c r="AT1065" s="1"/>
      <c r="AU1065" s="1"/>
      <c r="AV1065" s="1"/>
      <c r="AW1065" s="1"/>
      <c r="AX1065" s="1" t="s">
        <v>15494</v>
      </c>
      <c r="AY1065" s="1" t="s">
        <v>15495</v>
      </c>
      <c r="AZ1065" s="1" t="s">
        <v>169</v>
      </c>
      <c r="BA1065" s="1" t="s">
        <v>105</v>
      </c>
      <c r="BB1065" s="1">
        <v>71.8</v>
      </c>
      <c r="BC1065" s="1">
        <v>7.68</v>
      </c>
      <c r="BD1065" s="1"/>
      <c r="BE1065" s="1"/>
      <c r="BF1065" s="1"/>
      <c r="BG1065" s="1"/>
      <c r="BH1065" s="1"/>
      <c r="BI1065" s="1"/>
      <c r="BJ1065" s="1" t="s">
        <v>15496</v>
      </c>
      <c r="BK1065" s="1" t="s">
        <v>15497</v>
      </c>
      <c r="BL1065" s="1" t="s">
        <v>8843</v>
      </c>
      <c r="BM1065" s="1" t="s">
        <v>15498</v>
      </c>
      <c r="BN1065" s="1">
        <v>26</v>
      </c>
      <c r="BO1065" s="1"/>
      <c r="BP1065" s="1" t="str">
        <f>HYPERLINK("https://nconnect.nicmar.ac.in/storage/profile/ProfilePhoto_P25702062_861492.jpg","Download")</f>
        <v>0</v>
      </c>
      <c r="BQ1065" s="3"/>
      <c r="BR1065" s="3"/>
    </row>
    <row r="1066" spans="1:70">
      <c r="A1066" s="1" t="s">
        <v>14387</v>
      </c>
      <c r="B1066" s="1" t="s">
        <v>441</v>
      </c>
      <c r="C1066" s="1" t="s">
        <v>15499</v>
      </c>
      <c r="D1066" s="1" t="s">
        <v>15500</v>
      </c>
      <c r="E1066" s="1" t="s">
        <v>2203</v>
      </c>
      <c r="F1066" s="1" t="s">
        <v>15501</v>
      </c>
      <c r="G1066" s="1" t="s">
        <v>15502</v>
      </c>
      <c r="H1066" s="1" t="s">
        <v>15503</v>
      </c>
      <c r="I1066" s="1" t="s">
        <v>15504</v>
      </c>
      <c r="J1066" s="1">
        <v>7218330499</v>
      </c>
      <c r="K1066" s="1" t="s">
        <v>148</v>
      </c>
      <c r="L1066" s="1" t="s">
        <v>15505</v>
      </c>
      <c r="M1066" s="1" t="s">
        <v>81</v>
      </c>
      <c r="N1066" s="1" t="s">
        <v>2402</v>
      </c>
      <c r="O1066" s="1"/>
      <c r="P1066" s="1" t="s">
        <v>497</v>
      </c>
      <c r="Q1066" s="1" t="s">
        <v>15506</v>
      </c>
      <c r="R1066" s="1" t="s">
        <v>15507</v>
      </c>
      <c r="S1066" s="1">
        <v>9921856587</v>
      </c>
      <c r="T1066" s="1" t="s">
        <v>2344</v>
      </c>
      <c r="U1066" s="1" t="s">
        <v>15508</v>
      </c>
      <c r="V1066" s="1">
        <v>8788336890</v>
      </c>
      <c r="W1066" s="1" t="s">
        <v>156</v>
      </c>
      <c r="X1066" s="1" t="s">
        <v>15509</v>
      </c>
      <c r="Y1066" s="1" t="s">
        <v>219</v>
      </c>
      <c r="Z1066" s="1" t="s">
        <v>92</v>
      </c>
      <c r="AA1066" s="1" t="s">
        <v>15509</v>
      </c>
      <c r="AB1066" s="1" t="s">
        <v>219</v>
      </c>
      <c r="AC1066" s="1" t="s">
        <v>92</v>
      </c>
      <c r="AD1066" s="1">
        <v>8.03</v>
      </c>
      <c r="AE1066" s="1" t="s">
        <v>93</v>
      </c>
      <c r="AF1066" s="1" t="s">
        <v>15510</v>
      </c>
      <c r="AG1066" s="1" t="s">
        <v>7017</v>
      </c>
      <c r="AH1066" s="1" t="s">
        <v>11466</v>
      </c>
      <c r="AI1066" s="1" t="s">
        <v>1089</v>
      </c>
      <c r="AJ1066" s="1">
        <v>82.6</v>
      </c>
      <c r="AK1066" s="1"/>
      <c r="AL1066" s="1" t="s">
        <v>15511</v>
      </c>
      <c r="AM1066" s="1" t="s">
        <v>7017</v>
      </c>
      <c r="AN1066" s="1" t="s">
        <v>162</v>
      </c>
      <c r="AO1066" s="1" t="s">
        <v>1455</v>
      </c>
      <c r="AP1066" s="1">
        <v>66.46</v>
      </c>
      <c r="AQ1066" s="1"/>
      <c r="AR1066" s="1"/>
      <c r="AS1066" s="1"/>
      <c r="AT1066" s="1"/>
      <c r="AU1066" s="1"/>
      <c r="AV1066" s="1"/>
      <c r="AW1066" s="1"/>
      <c r="AX1066" s="1" t="s">
        <v>9601</v>
      </c>
      <c r="AY1066" s="1" t="s">
        <v>15512</v>
      </c>
      <c r="AZ1066" s="1" t="s">
        <v>169</v>
      </c>
      <c r="BA1066" s="1" t="s">
        <v>566</v>
      </c>
      <c r="BB1066" s="1">
        <v>64.73</v>
      </c>
      <c r="BC1066" s="1">
        <v>6.81</v>
      </c>
      <c r="BD1066" s="1"/>
      <c r="BE1066" s="1"/>
      <c r="BF1066" s="1"/>
      <c r="BG1066" s="1"/>
      <c r="BH1066" s="1"/>
      <c r="BI1066" s="1"/>
      <c r="BJ1066" s="1" t="s">
        <v>15513</v>
      </c>
      <c r="BK1066" s="1"/>
      <c r="BL1066" s="1"/>
      <c r="BM1066" s="1" t="s">
        <v>15514</v>
      </c>
      <c r="BN1066" s="1">
        <v>35</v>
      </c>
      <c r="BO1066" s="1"/>
      <c r="BP1066" s="1" t="str">
        <f>HYPERLINK("https://nconnect.nicmar.ac.in/storage/profile/ProfilePhoto_P25702063_125638.jpg","Download")</f>
        <v>0</v>
      </c>
      <c r="BQ1066" s="3"/>
      <c r="BR1066" s="3"/>
    </row>
    <row r="1067" spans="1:70">
      <c r="A1067" s="1" t="s">
        <v>14387</v>
      </c>
      <c r="B1067" s="1" t="s">
        <v>441</v>
      </c>
      <c r="C1067" s="1" t="s">
        <v>15515</v>
      </c>
      <c r="D1067" s="1" t="s">
        <v>15516</v>
      </c>
      <c r="E1067" s="1"/>
      <c r="F1067" s="1" t="s">
        <v>15517</v>
      </c>
      <c r="G1067" s="1" t="s">
        <v>15518</v>
      </c>
      <c r="H1067" s="1" t="s">
        <v>15519</v>
      </c>
      <c r="I1067" s="1" t="s">
        <v>15520</v>
      </c>
      <c r="J1067" s="1">
        <v>7032052925</v>
      </c>
      <c r="K1067" s="1" t="s">
        <v>79</v>
      </c>
      <c r="L1067" s="1" t="s">
        <v>15521</v>
      </c>
      <c r="M1067" s="1" t="s">
        <v>81</v>
      </c>
      <c r="N1067" s="1" t="s">
        <v>3045</v>
      </c>
      <c r="O1067" s="1"/>
      <c r="P1067" s="1" t="s">
        <v>497</v>
      </c>
      <c r="Q1067" s="1" t="s">
        <v>15522</v>
      </c>
      <c r="R1067" s="1" t="s">
        <v>15523</v>
      </c>
      <c r="S1067" s="1">
        <v>9848070745</v>
      </c>
      <c r="T1067" s="1" t="s">
        <v>5069</v>
      </c>
      <c r="U1067" s="1" t="s">
        <v>15524</v>
      </c>
      <c r="V1067" s="1">
        <v>9949035359</v>
      </c>
      <c r="W1067" s="1" t="s">
        <v>89</v>
      </c>
      <c r="X1067" s="1" t="s">
        <v>15525</v>
      </c>
      <c r="Y1067" s="1" t="s">
        <v>11294</v>
      </c>
      <c r="Z1067" s="1" t="s">
        <v>276</v>
      </c>
      <c r="AA1067" s="1" t="s">
        <v>15525</v>
      </c>
      <c r="AB1067" s="1" t="s">
        <v>11294</v>
      </c>
      <c r="AC1067" s="1" t="s">
        <v>276</v>
      </c>
      <c r="AD1067" s="1">
        <v>7.82</v>
      </c>
      <c r="AE1067" s="1" t="s">
        <v>93</v>
      </c>
      <c r="AF1067" s="1" t="s">
        <v>15526</v>
      </c>
      <c r="AG1067" s="1" t="s">
        <v>15527</v>
      </c>
      <c r="AH1067" s="1" t="s">
        <v>162</v>
      </c>
      <c r="AI1067" s="1" t="s">
        <v>689</v>
      </c>
      <c r="AJ1067" s="1">
        <v>74.1</v>
      </c>
      <c r="AK1067" s="1">
        <v>7.8</v>
      </c>
      <c r="AL1067" s="1" t="s">
        <v>1578</v>
      </c>
      <c r="AM1067" s="1" t="s">
        <v>5609</v>
      </c>
      <c r="AN1067" s="1" t="s">
        <v>165</v>
      </c>
      <c r="AO1067" s="1" t="s">
        <v>537</v>
      </c>
      <c r="AP1067" s="1">
        <v>80.6</v>
      </c>
      <c r="AQ1067" s="1">
        <v>0</v>
      </c>
      <c r="AR1067" s="1"/>
      <c r="AS1067" s="1"/>
      <c r="AT1067" s="1"/>
      <c r="AU1067" s="1"/>
      <c r="AV1067" s="1"/>
      <c r="AW1067" s="1"/>
      <c r="AX1067" s="1" t="s">
        <v>282</v>
      </c>
      <c r="AY1067" s="1" t="s">
        <v>15528</v>
      </c>
      <c r="AZ1067" s="1" t="s">
        <v>433</v>
      </c>
      <c r="BA1067" s="1" t="s">
        <v>2352</v>
      </c>
      <c r="BB1067" s="1">
        <v>57.8</v>
      </c>
      <c r="BC1067" s="1">
        <v>6.28</v>
      </c>
      <c r="BD1067" s="1"/>
      <c r="BE1067" s="1"/>
      <c r="BF1067" s="1"/>
      <c r="BG1067" s="1"/>
      <c r="BH1067" s="1"/>
      <c r="BI1067" s="1"/>
      <c r="BJ1067" s="1" t="s">
        <v>364</v>
      </c>
      <c r="BK1067" s="1"/>
      <c r="BL1067" s="1"/>
      <c r="BM1067" s="1" t="s">
        <v>15529</v>
      </c>
      <c r="BN1067" s="1">
        <v>9</v>
      </c>
      <c r="BO1067" s="1"/>
      <c r="BP1067" s="1" t="str">
        <f>HYPERLINK("https://nconnect.nicmar.ac.in/storage/profile/ProfilePhoto_P25702064_159876.jpg","Download")</f>
        <v>0</v>
      </c>
      <c r="BQ1067" s="3"/>
      <c r="BR1067" s="3"/>
    </row>
    <row r="1068" spans="1:70">
      <c r="A1068" s="1" t="s">
        <v>14387</v>
      </c>
      <c r="B1068" s="1" t="s">
        <v>441</v>
      </c>
      <c r="C1068" s="1" t="s">
        <v>15530</v>
      </c>
      <c r="D1068" s="1" t="s">
        <v>15531</v>
      </c>
      <c r="E1068" s="1" t="s">
        <v>490</v>
      </c>
      <c r="F1068" s="1" t="s">
        <v>6630</v>
      </c>
      <c r="G1068" s="1" t="s">
        <v>15532</v>
      </c>
      <c r="H1068" s="1" t="s">
        <v>15533</v>
      </c>
      <c r="I1068" s="1" t="s">
        <v>15534</v>
      </c>
      <c r="J1068" s="1">
        <v>7984205653</v>
      </c>
      <c r="K1068" s="1" t="s">
        <v>79</v>
      </c>
      <c r="L1068" s="1" t="s">
        <v>4421</v>
      </c>
      <c r="M1068" s="1" t="s">
        <v>81</v>
      </c>
      <c r="N1068" s="1" t="s">
        <v>15535</v>
      </c>
      <c r="O1068" s="1"/>
      <c r="P1068" s="1" t="s">
        <v>450</v>
      </c>
      <c r="Q1068" s="1" t="s">
        <v>15536</v>
      </c>
      <c r="R1068" s="1" t="s">
        <v>15537</v>
      </c>
      <c r="S1068" s="1">
        <v>7572911148</v>
      </c>
      <c r="T1068" s="1" t="s">
        <v>7701</v>
      </c>
      <c r="U1068" s="1" t="s">
        <v>15538</v>
      </c>
      <c r="V1068" s="1">
        <v>8698098005</v>
      </c>
      <c r="W1068" s="1" t="s">
        <v>156</v>
      </c>
      <c r="X1068" s="1" t="s">
        <v>15539</v>
      </c>
      <c r="Y1068" s="1" t="s">
        <v>191</v>
      </c>
      <c r="Z1068" s="1" t="s">
        <v>92</v>
      </c>
      <c r="AA1068" s="1" t="s">
        <v>15539</v>
      </c>
      <c r="AB1068" s="1" t="s">
        <v>191</v>
      </c>
      <c r="AC1068" s="1" t="s">
        <v>92</v>
      </c>
      <c r="AD1068" s="1">
        <v>8.32</v>
      </c>
      <c r="AE1068" s="1" t="s">
        <v>93</v>
      </c>
      <c r="AF1068" s="1" t="s">
        <v>15540</v>
      </c>
      <c r="AG1068" s="1" t="s">
        <v>15541</v>
      </c>
      <c r="AH1068" s="1" t="s">
        <v>101</v>
      </c>
      <c r="AI1068" s="1" t="s">
        <v>409</v>
      </c>
      <c r="AJ1068" s="1">
        <v>84.2</v>
      </c>
      <c r="AK1068" s="1">
        <v>0</v>
      </c>
      <c r="AL1068" s="1" t="s">
        <v>15542</v>
      </c>
      <c r="AM1068" s="1" t="s">
        <v>15543</v>
      </c>
      <c r="AN1068" s="1" t="s">
        <v>460</v>
      </c>
      <c r="AO1068" s="1" t="s">
        <v>826</v>
      </c>
      <c r="AP1068" s="1">
        <v>86.5</v>
      </c>
      <c r="AQ1068" s="1">
        <v>0</v>
      </c>
      <c r="AR1068" s="1"/>
      <c r="AS1068" s="1"/>
      <c r="AT1068" s="1"/>
      <c r="AU1068" s="1"/>
      <c r="AV1068" s="1"/>
      <c r="AW1068" s="1"/>
      <c r="AX1068" s="1" t="s">
        <v>15544</v>
      </c>
      <c r="AY1068" s="1" t="s">
        <v>15545</v>
      </c>
      <c r="AZ1068" s="1" t="s">
        <v>436</v>
      </c>
      <c r="BA1068" s="1" t="s">
        <v>5344</v>
      </c>
      <c r="BB1068" s="1">
        <v>85.5</v>
      </c>
      <c r="BC1068" s="1">
        <v>8.45</v>
      </c>
      <c r="BD1068" s="1"/>
      <c r="BE1068" s="1"/>
      <c r="BF1068" s="1"/>
      <c r="BG1068" s="1"/>
      <c r="BH1068" s="1"/>
      <c r="BI1068" s="1"/>
      <c r="BJ1068" s="1" t="s">
        <v>15546</v>
      </c>
      <c r="BK1068" s="1"/>
      <c r="BL1068" s="1"/>
      <c r="BM1068" s="1" t="s">
        <v>15547</v>
      </c>
      <c r="BN1068" s="1">
        <v>48</v>
      </c>
      <c r="BO1068" s="1"/>
      <c r="BP1068" s="1" t="str">
        <f>HYPERLINK("https://nconnect.nicmar.ac.in/storage/profile/ProfilePhoto_P25702065_917365.jpg","Download")</f>
        <v>0</v>
      </c>
      <c r="BQ1068" s="3"/>
      <c r="BR1068" s="3"/>
    </row>
    <row r="1069" spans="1:70">
      <c r="A1069" s="1" t="s">
        <v>14387</v>
      </c>
      <c r="B1069" s="1" t="s">
        <v>441</v>
      </c>
      <c r="C1069" s="1" t="s">
        <v>15548</v>
      </c>
      <c r="D1069" s="1" t="s">
        <v>15549</v>
      </c>
      <c r="E1069" s="1" t="s">
        <v>9403</v>
      </c>
      <c r="F1069" s="1" t="s">
        <v>15550</v>
      </c>
      <c r="G1069" s="1" t="s">
        <v>15551</v>
      </c>
      <c r="H1069" s="1" t="s">
        <v>15552</v>
      </c>
      <c r="I1069" s="1" t="s">
        <v>15553</v>
      </c>
      <c r="J1069" s="1">
        <v>8530633365</v>
      </c>
      <c r="K1069" s="1" t="s">
        <v>79</v>
      </c>
      <c r="L1069" s="1" t="s">
        <v>15554</v>
      </c>
      <c r="M1069" s="1" t="s">
        <v>81</v>
      </c>
      <c r="N1069" s="1" t="s">
        <v>883</v>
      </c>
      <c r="O1069" s="1"/>
      <c r="P1069" s="1" t="s">
        <v>497</v>
      </c>
      <c r="Q1069" s="1" t="s">
        <v>15555</v>
      </c>
      <c r="R1069" s="1" t="s">
        <v>9403</v>
      </c>
      <c r="S1069" s="1">
        <v>9422208365</v>
      </c>
      <c r="T1069" s="1" t="s">
        <v>15556</v>
      </c>
      <c r="U1069" s="1" t="s">
        <v>217</v>
      </c>
      <c r="V1069" s="1">
        <v>9422204418</v>
      </c>
      <c r="W1069" s="1" t="s">
        <v>156</v>
      </c>
      <c r="X1069" s="1" t="s">
        <v>15557</v>
      </c>
      <c r="Y1069" s="1" t="s">
        <v>91</v>
      </c>
      <c r="Z1069" s="1" t="s">
        <v>92</v>
      </c>
      <c r="AA1069" s="1" t="s">
        <v>15557</v>
      </c>
      <c r="AB1069" s="1" t="s">
        <v>91</v>
      </c>
      <c r="AC1069" s="1" t="s">
        <v>92</v>
      </c>
      <c r="AD1069" s="1">
        <v>8.05</v>
      </c>
      <c r="AE1069" s="1" t="s">
        <v>93</v>
      </c>
      <c r="AF1069" s="1" t="s">
        <v>15558</v>
      </c>
      <c r="AG1069" s="1" t="s">
        <v>160</v>
      </c>
      <c r="AH1069" s="1" t="s">
        <v>433</v>
      </c>
      <c r="AI1069" s="1" t="s">
        <v>590</v>
      </c>
      <c r="AJ1069" s="1">
        <v>88.8</v>
      </c>
      <c r="AK1069" s="1"/>
      <c r="AL1069" s="1" t="s">
        <v>15559</v>
      </c>
      <c r="AM1069" s="1" t="s">
        <v>160</v>
      </c>
      <c r="AN1069" s="1" t="s">
        <v>1019</v>
      </c>
      <c r="AO1069" s="1" t="s">
        <v>1861</v>
      </c>
      <c r="AP1069" s="1">
        <v>85.5</v>
      </c>
      <c r="AQ1069" s="1"/>
      <c r="AR1069" s="1"/>
      <c r="AS1069" s="1"/>
      <c r="AT1069" s="1"/>
      <c r="AU1069" s="1"/>
      <c r="AV1069" s="1"/>
      <c r="AW1069" s="1"/>
      <c r="AX1069" s="1" t="s">
        <v>3193</v>
      </c>
      <c r="AY1069" s="1" t="s">
        <v>15560</v>
      </c>
      <c r="AZ1069" s="1" t="s">
        <v>1378</v>
      </c>
      <c r="BA1069" s="1" t="s">
        <v>594</v>
      </c>
      <c r="BB1069" s="1">
        <v>60.91</v>
      </c>
      <c r="BC1069" s="1">
        <v>6.81</v>
      </c>
      <c r="BD1069" s="1"/>
      <c r="BE1069" s="1"/>
      <c r="BF1069" s="1"/>
      <c r="BG1069" s="1"/>
      <c r="BH1069" s="1"/>
      <c r="BI1069" s="1"/>
      <c r="BJ1069" s="1" t="s">
        <v>15561</v>
      </c>
      <c r="BK1069" s="1"/>
      <c r="BL1069" s="1"/>
      <c r="BM1069" s="1" t="s">
        <v>15562</v>
      </c>
      <c r="BN1069" s="1">
        <v>21</v>
      </c>
      <c r="BO1069" s="1"/>
      <c r="BP1069" s="1" t="str">
        <f>HYPERLINK("https://nconnect.nicmar.ac.in/storage/profile/ProfilePhoto_P25702066_973218.jpg","Download")</f>
        <v>0</v>
      </c>
      <c r="BQ1069" s="3"/>
      <c r="BR1069" s="3"/>
    </row>
    <row r="1070" spans="1:70">
      <c r="A1070" s="1" t="s">
        <v>14387</v>
      </c>
      <c r="B1070" s="1" t="s">
        <v>441</v>
      </c>
      <c r="C1070" s="1" t="s">
        <v>15563</v>
      </c>
      <c r="D1070" s="1" t="s">
        <v>15564</v>
      </c>
      <c r="E1070" s="1" t="s">
        <v>2396</v>
      </c>
      <c r="F1070" s="1" t="s">
        <v>15270</v>
      </c>
      <c r="G1070" s="1" t="s">
        <v>15565</v>
      </c>
      <c r="H1070" s="1" t="s">
        <v>15566</v>
      </c>
      <c r="I1070" s="1" t="s">
        <v>15567</v>
      </c>
      <c r="J1070" s="1">
        <v>9421611955</v>
      </c>
      <c r="K1070" s="1" t="s">
        <v>148</v>
      </c>
      <c r="L1070" s="1" t="s">
        <v>15568</v>
      </c>
      <c r="M1070" s="1" t="s">
        <v>81</v>
      </c>
      <c r="N1070" s="1" t="s">
        <v>1140</v>
      </c>
      <c r="O1070" s="1"/>
      <c r="P1070" s="1" t="s">
        <v>450</v>
      </c>
      <c r="Q1070" s="1" t="s">
        <v>15569</v>
      </c>
      <c r="R1070" s="1" t="s">
        <v>2396</v>
      </c>
      <c r="S1070" s="1">
        <v>9960753111</v>
      </c>
      <c r="T1070" s="1" t="s">
        <v>2344</v>
      </c>
      <c r="U1070" s="1" t="s">
        <v>12119</v>
      </c>
      <c r="V1070" s="1">
        <v>8830634955</v>
      </c>
      <c r="W1070" s="1" t="s">
        <v>156</v>
      </c>
      <c r="X1070" s="1" t="s">
        <v>15570</v>
      </c>
      <c r="Y1070" s="1" t="s">
        <v>304</v>
      </c>
      <c r="Z1070" s="1" t="s">
        <v>92</v>
      </c>
      <c r="AA1070" s="1" t="s">
        <v>15570</v>
      </c>
      <c r="AB1070" s="1" t="s">
        <v>304</v>
      </c>
      <c r="AC1070" s="1" t="s">
        <v>92</v>
      </c>
      <c r="AD1070" s="1">
        <v>8.21</v>
      </c>
      <c r="AE1070" s="1" t="s">
        <v>93</v>
      </c>
      <c r="AF1070" s="1" t="s">
        <v>15571</v>
      </c>
      <c r="AG1070" s="1" t="s">
        <v>15572</v>
      </c>
      <c r="AH1070" s="1" t="s">
        <v>101</v>
      </c>
      <c r="AI1070" s="1" t="s">
        <v>433</v>
      </c>
      <c r="AJ1070" s="1">
        <v>86.8</v>
      </c>
      <c r="AK1070" s="1"/>
      <c r="AL1070" s="1"/>
      <c r="AM1070" s="1"/>
      <c r="AN1070" s="1"/>
      <c r="AO1070" s="1"/>
      <c r="AP1070" s="1"/>
      <c r="AQ1070" s="1"/>
      <c r="AR1070" s="1" t="s">
        <v>434</v>
      </c>
      <c r="AS1070" s="1" t="s">
        <v>15573</v>
      </c>
      <c r="AT1070" s="1" t="s">
        <v>201</v>
      </c>
      <c r="AU1070" s="1" t="s">
        <v>1378</v>
      </c>
      <c r="AV1070" s="1">
        <v>77.47</v>
      </c>
      <c r="AW1070" s="1"/>
      <c r="AX1070" s="1" t="s">
        <v>361</v>
      </c>
      <c r="AY1070" s="1" t="s">
        <v>15574</v>
      </c>
      <c r="AZ1070" s="1" t="s">
        <v>1864</v>
      </c>
      <c r="BA1070" s="1" t="s">
        <v>829</v>
      </c>
      <c r="BB1070" s="1">
        <v>60.96</v>
      </c>
      <c r="BC1070" s="1">
        <v>6.85</v>
      </c>
      <c r="BD1070" s="1"/>
      <c r="BE1070" s="1"/>
      <c r="BF1070" s="1"/>
      <c r="BG1070" s="1"/>
      <c r="BH1070" s="1"/>
      <c r="BI1070" s="1"/>
      <c r="BJ1070" s="1" t="s">
        <v>364</v>
      </c>
      <c r="BK1070" s="1"/>
      <c r="BL1070" s="1"/>
      <c r="BM1070" s="1" t="s">
        <v>15575</v>
      </c>
      <c r="BN1070" s="1">
        <v>13</v>
      </c>
      <c r="BO1070" s="1" t="s">
        <v>15576</v>
      </c>
      <c r="BP1070" s="1" t="str">
        <f>HYPERLINK("https://nconnect.nicmar.ac.in/storage/profile/ProfilePhoto_P25702067_257683.jpg","Download")</f>
        <v>0</v>
      </c>
      <c r="BQ1070" s="3"/>
      <c r="BR1070" s="3"/>
    </row>
    <row r="1071" spans="1:70">
      <c r="A1071" s="1" t="s">
        <v>14387</v>
      </c>
      <c r="B1071" s="1" t="s">
        <v>441</v>
      </c>
      <c r="C1071" s="1" t="s">
        <v>15577</v>
      </c>
      <c r="D1071" s="1" t="s">
        <v>15578</v>
      </c>
      <c r="E1071" s="1" t="s">
        <v>15579</v>
      </c>
      <c r="F1071" s="1" t="s">
        <v>4035</v>
      </c>
      <c r="G1071" s="1" t="s">
        <v>15580</v>
      </c>
      <c r="H1071" s="1" t="s">
        <v>15581</v>
      </c>
      <c r="I1071" s="1" t="s">
        <v>15582</v>
      </c>
      <c r="J1071" s="1">
        <v>7046561995</v>
      </c>
      <c r="K1071" s="1" t="s">
        <v>79</v>
      </c>
      <c r="L1071" s="1" t="s">
        <v>15583</v>
      </c>
      <c r="M1071" s="1" t="s">
        <v>81</v>
      </c>
      <c r="N1071" s="1" t="s">
        <v>15584</v>
      </c>
      <c r="O1071" s="1"/>
      <c r="P1071" s="1" t="s">
        <v>497</v>
      </c>
      <c r="Q1071" s="1" t="s">
        <v>15585</v>
      </c>
      <c r="R1071" s="1" t="s">
        <v>15586</v>
      </c>
      <c r="S1071" s="1">
        <v>9825491390</v>
      </c>
      <c r="T1071" s="1" t="s">
        <v>15587</v>
      </c>
      <c r="U1071" s="1" t="s">
        <v>15588</v>
      </c>
      <c r="V1071" s="1">
        <v>7874124229</v>
      </c>
      <c r="W1071" s="1" t="s">
        <v>156</v>
      </c>
      <c r="X1071" s="1" t="s">
        <v>15589</v>
      </c>
      <c r="Y1071" s="1" t="s">
        <v>2889</v>
      </c>
      <c r="Z1071" s="1" t="s">
        <v>662</v>
      </c>
      <c r="AA1071" s="1" t="s">
        <v>15589</v>
      </c>
      <c r="AB1071" s="1" t="s">
        <v>2889</v>
      </c>
      <c r="AC1071" s="1" t="s">
        <v>662</v>
      </c>
      <c r="AD1071" s="1">
        <v>8.11</v>
      </c>
      <c r="AE1071" s="1" t="s">
        <v>93</v>
      </c>
      <c r="AF1071" s="1" t="s">
        <v>15590</v>
      </c>
      <c r="AG1071" s="1" t="s">
        <v>15591</v>
      </c>
      <c r="AH1071" s="1" t="s">
        <v>101</v>
      </c>
      <c r="AI1071" s="1" t="s">
        <v>409</v>
      </c>
      <c r="AJ1071" s="1">
        <v>66.6</v>
      </c>
      <c r="AK1071" s="1">
        <v>7</v>
      </c>
      <c r="AL1071" s="1" t="s">
        <v>15592</v>
      </c>
      <c r="AM1071" s="1" t="s">
        <v>15591</v>
      </c>
      <c r="AN1071" s="1" t="s">
        <v>460</v>
      </c>
      <c r="AO1071" s="1" t="s">
        <v>826</v>
      </c>
      <c r="AP1071" s="1">
        <v>69.03</v>
      </c>
      <c r="AQ1071" s="1">
        <v>7</v>
      </c>
      <c r="AR1071" s="1"/>
      <c r="AS1071" s="1"/>
      <c r="AT1071" s="1"/>
      <c r="AU1071" s="1"/>
      <c r="AV1071" s="1"/>
      <c r="AW1071" s="1"/>
      <c r="AX1071" s="1" t="s">
        <v>15593</v>
      </c>
      <c r="AY1071" s="1" t="s">
        <v>15594</v>
      </c>
      <c r="AZ1071" s="1" t="s">
        <v>542</v>
      </c>
      <c r="BA1071" s="1" t="s">
        <v>543</v>
      </c>
      <c r="BB1071" s="1">
        <v>69.07</v>
      </c>
      <c r="BC1071" s="1">
        <v>7.43</v>
      </c>
      <c r="BD1071" s="1"/>
      <c r="BE1071" s="1"/>
      <c r="BF1071" s="1"/>
      <c r="BG1071" s="1"/>
      <c r="BH1071" s="1"/>
      <c r="BI1071" s="1"/>
      <c r="BJ1071" s="1" t="s">
        <v>364</v>
      </c>
      <c r="BK1071" s="1"/>
      <c r="BL1071" s="1"/>
      <c r="BM1071" s="1" t="s">
        <v>15595</v>
      </c>
      <c r="BN1071" s="1">
        <v>19</v>
      </c>
      <c r="BO1071" s="1"/>
      <c r="BP1071" s="1" t="str">
        <f>HYPERLINK("https://nconnect.nicmar.ac.in/storage/profile/ProfilePhoto_P25702068_328657.jpg","Download")</f>
        <v>0</v>
      </c>
      <c r="BQ1071" s="3"/>
      <c r="BR1071" s="3"/>
    </row>
    <row r="1072" spans="1:70">
      <c r="A1072" s="1" t="s">
        <v>14387</v>
      </c>
      <c r="B1072" s="1" t="s">
        <v>441</v>
      </c>
      <c r="C1072" s="1" t="s">
        <v>15596</v>
      </c>
      <c r="D1072" s="1" t="s">
        <v>1762</v>
      </c>
      <c r="E1072" s="1" t="s">
        <v>745</v>
      </c>
      <c r="F1072" s="1" t="s">
        <v>3549</v>
      </c>
      <c r="G1072" s="1" t="s">
        <v>15597</v>
      </c>
      <c r="H1072" s="1" t="s">
        <v>15598</v>
      </c>
      <c r="I1072" s="1" t="s">
        <v>15599</v>
      </c>
      <c r="J1072" s="1">
        <v>9370934304</v>
      </c>
      <c r="K1072" s="1" t="s">
        <v>79</v>
      </c>
      <c r="L1072" s="1" t="s">
        <v>9553</v>
      </c>
      <c r="M1072" s="1" t="s">
        <v>81</v>
      </c>
      <c r="N1072" s="1" t="s">
        <v>1140</v>
      </c>
      <c r="O1072" s="1"/>
      <c r="P1072" s="1" t="s">
        <v>472</v>
      </c>
      <c r="Q1072" s="1" t="s">
        <v>15600</v>
      </c>
      <c r="R1072" s="1" t="s">
        <v>745</v>
      </c>
      <c r="S1072" s="1">
        <v>9021211628</v>
      </c>
      <c r="T1072" s="1" t="s">
        <v>2344</v>
      </c>
      <c r="U1072" s="1" t="s">
        <v>15601</v>
      </c>
      <c r="V1072" s="1">
        <v>7972754720</v>
      </c>
      <c r="W1072" s="1" t="s">
        <v>156</v>
      </c>
      <c r="X1072" s="1" t="s">
        <v>15602</v>
      </c>
      <c r="Y1072" s="1" t="s">
        <v>3557</v>
      </c>
      <c r="Z1072" s="1" t="s">
        <v>92</v>
      </c>
      <c r="AA1072" s="1" t="s">
        <v>15602</v>
      </c>
      <c r="AB1072" s="1" t="s">
        <v>3557</v>
      </c>
      <c r="AC1072" s="1" t="s">
        <v>92</v>
      </c>
      <c r="AD1072" s="1">
        <v>6.69</v>
      </c>
      <c r="AE1072" s="1" t="s">
        <v>93</v>
      </c>
      <c r="AF1072" s="1" t="s">
        <v>15603</v>
      </c>
      <c r="AG1072" s="1" t="s">
        <v>15604</v>
      </c>
      <c r="AH1072" s="1" t="s">
        <v>161</v>
      </c>
      <c r="AI1072" s="1" t="s">
        <v>281</v>
      </c>
      <c r="AJ1072" s="1">
        <v>83</v>
      </c>
      <c r="AK1072" s="1"/>
      <c r="AL1072" s="1" t="s">
        <v>15605</v>
      </c>
      <c r="AM1072" s="1" t="s">
        <v>15604</v>
      </c>
      <c r="AN1072" s="1" t="s">
        <v>169</v>
      </c>
      <c r="AO1072" s="1" t="s">
        <v>360</v>
      </c>
      <c r="AP1072" s="1">
        <v>56.15</v>
      </c>
      <c r="AQ1072" s="1"/>
      <c r="AR1072" s="1"/>
      <c r="AS1072" s="1"/>
      <c r="AT1072" s="1"/>
      <c r="AU1072" s="1"/>
      <c r="AV1072" s="1"/>
      <c r="AW1072" s="1"/>
      <c r="AX1072" s="1" t="s">
        <v>1862</v>
      </c>
      <c r="AY1072" s="1" t="s">
        <v>15606</v>
      </c>
      <c r="AZ1072" s="1" t="s">
        <v>363</v>
      </c>
      <c r="BA1072" s="1" t="s">
        <v>202</v>
      </c>
      <c r="BB1072" s="1">
        <v>65.2</v>
      </c>
      <c r="BC1072" s="1">
        <v>7.27</v>
      </c>
      <c r="BD1072" s="1"/>
      <c r="BE1072" s="1"/>
      <c r="BF1072" s="1"/>
      <c r="BG1072" s="1"/>
      <c r="BH1072" s="1"/>
      <c r="BI1072" s="1"/>
      <c r="BJ1072" s="1" t="s">
        <v>15607</v>
      </c>
      <c r="BK1072" s="1"/>
      <c r="BL1072" s="1"/>
      <c r="BM1072" s="1" t="s">
        <v>15608</v>
      </c>
      <c r="BN1072" s="1">
        <v>8</v>
      </c>
      <c r="BO1072" s="1" t="s">
        <v>15609</v>
      </c>
      <c r="BP1072" s="1" t="str">
        <f>HYPERLINK("https://nconnect.nicmar.ac.in/storage/profile/ProfilePhoto_P25702069_148397.jpg","Download")</f>
        <v>0</v>
      </c>
      <c r="BQ1072" s="3"/>
      <c r="BR1072" s="3"/>
    </row>
    <row r="1073" spans="1:70">
      <c r="A1073" s="1" t="s">
        <v>14387</v>
      </c>
      <c r="B1073" s="1" t="s">
        <v>441</v>
      </c>
      <c r="C1073" s="1" t="s">
        <v>15610</v>
      </c>
      <c r="D1073" s="1" t="s">
        <v>518</v>
      </c>
      <c r="E1073" s="1" t="s">
        <v>2439</v>
      </c>
      <c r="F1073" s="1" t="s">
        <v>6630</v>
      </c>
      <c r="G1073" s="1" t="s">
        <v>15611</v>
      </c>
      <c r="H1073" s="1" t="s">
        <v>15612</v>
      </c>
      <c r="I1073" s="1" t="s">
        <v>15613</v>
      </c>
      <c r="J1073" s="1">
        <v>8888749834</v>
      </c>
      <c r="K1073" s="1" t="s">
        <v>79</v>
      </c>
      <c r="L1073" s="1" t="s">
        <v>15614</v>
      </c>
      <c r="M1073" s="1" t="s">
        <v>81</v>
      </c>
      <c r="N1073" s="1" t="s">
        <v>15615</v>
      </c>
      <c r="O1073" s="1"/>
      <c r="P1073" s="1" t="s">
        <v>1007</v>
      </c>
      <c r="Q1073" s="1" t="s">
        <v>15616</v>
      </c>
      <c r="R1073" s="1" t="s">
        <v>15617</v>
      </c>
      <c r="S1073" s="1">
        <v>9422116230</v>
      </c>
      <c r="T1073" s="1" t="s">
        <v>820</v>
      </c>
      <c r="U1073" s="1" t="s">
        <v>15618</v>
      </c>
      <c r="V1073" s="1">
        <v>9607060445</v>
      </c>
      <c r="W1073" s="1" t="s">
        <v>15619</v>
      </c>
      <c r="X1073" s="1" t="s">
        <v>15620</v>
      </c>
      <c r="Y1073" s="1" t="s">
        <v>405</v>
      </c>
      <c r="Z1073" s="1" t="s">
        <v>92</v>
      </c>
      <c r="AA1073" s="1" t="s">
        <v>15620</v>
      </c>
      <c r="AB1073" s="1" t="s">
        <v>405</v>
      </c>
      <c r="AC1073" s="1" t="s">
        <v>92</v>
      </c>
      <c r="AD1073" s="1">
        <v>7.66</v>
      </c>
      <c r="AE1073" s="1" t="s">
        <v>93</v>
      </c>
      <c r="AF1073" s="1" t="s">
        <v>15621</v>
      </c>
      <c r="AG1073" s="1" t="s">
        <v>15622</v>
      </c>
      <c r="AH1073" s="1" t="s">
        <v>460</v>
      </c>
      <c r="AI1073" s="1" t="s">
        <v>590</v>
      </c>
      <c r="AJ1073" s="1">
        <v>76</v>
      </c>
      <c r="AK1073" s="1">
        <v>7.6</v>
      </c>
      <c r="AL1073" s="1" t="s">
        <v>15623</v>
      </c>
      <c r="AM1073" s="1" t="s">
        <v>15624</v>
      </c>
      <c r="AN1073" s="1" t="s">
        <v>284</v>
      </c>
      <c r="AO1073" s="1" t="s">
        <v>1861</v>
      </c>
      <c r="AP1073" s="1">
        <v>65.17</v>
      </c>
      <c r="AQ1073" s="1">
        <v>6.51</v>
      </c>
      <c r="AR1073" s="1"/>
      <c r="AS1073" s="1"/>
      <c r="AT1073" s="1"/>
      <c r="AU1073" s="1"/>
      <c r="AV1073" s="1"/>
      <c r="AW1073" s="1"/>
      <c r="AX1073" s="1" t="s">
        <v>8965</v>
      </c>
      <c r="AY1073" s="1" t="s">
        <v>15625</v>
      </c>
      <c r="AZ1073" s="1" t="s">
        <v>105</v>
      </c>
      <c r="BA1073" s="1" t="s">
        <v>829</v>
      </c>
      <c r="BB1073" s="1">
        <v>67.3</v>
      </c>
      <c r="BC1073" s="1">
        <v>7.48</v>
      </c>
      <c r="BD1073" s="1"/>
      <c r="BE1073" s="1"/>
      <c r="BF1073" s="1"/>
      <c r="BG1073" s="1"/>
      <c r="BH1073" s="1"/>
      <c r="BI1073" s="1"/>
      <c r="BJ1073" s="1" t="s">
        <v>15626</v>
      </c>
      <c r="BK1073" s="1"/>
      <c r="BL1073" s="1"/>
      <c r="BM1073" s="1" t="s">
        <v>15627</v>
      </c>
      <c r="BN1073" s="1">
        <v>9</v>
      </c>
      <c r="BO1073" s="1" t="s">
        <v>15628</v>
      </c>
      <c r="BP1073" s="1" t="str">
        <f>HYPERLINK("https://nconnect.nicmar.ac.in/storage/profile/ProfilePhoto_P25702070_546397.jpg","Download")</f>
        <v>0</v>
      </c>
      <c r="BQ1073" s="3"/>
      <c r="BR1073" s="3"/>
    </row>
    <row r="1074" spans="1:70">
      <c r="A1074" s="1" t="s">
        <v>14387</v>
      </c>
      <c r="B1074" s="1" t="s">
        <v>441</v>
      </c>
      <c r="C1074" s="1" t="s">
        <v>15629</v>
      </c>
      <c r="D1074" s="1" t="s">
        <v>7078</v>
      </c>
      <c r="E1074" s="1" t="s">
        <v>2071</v>
      </c>
      <c r="F1074" s="1" t="s">
        <v>15630</v>
      </c>
      <c r="G1074" s="1" t="s">
        <v>15631</v>
      </c>
      <c r="H1074" s="1" t="s">
        <v>15632</v>
      </c>
      <c r="I1074" s="1" t="s">
        <v>15633</v>
      </c>
      <c r="J1074" s="1">
        <v>8369065887</v>
      </c>
      <c r="K1074" s="1" t="s">
        <v>79</v>
      </c>
      <c r="L1074" s="1" t="s">
        <v>10970</v>
      </c>
      <c r="M1074" s="1" t="s">
        <v>81</v>
      </c>
      <c r="N1074" s="1" t="s">
        <v>1140</v>
      </c>
      <c r="O1074" s="1"/>
      <c r="P1074" s="1"/>
      <c r="Q1074" s="1" t="s">
        <v>15634</v>
      </c>
      <c r="R1074" s="1" t="s">
        <v>15635</v>
      </c>
      <c r="S1074" s="1">
        <v>8007779042</v>
      </c>
      <c r="T1074" s="1" t="s">
        <v>632</v>
      </c>
      <c r="U1074" s="1" t="s">
        <v>15636</v>
      </c>
      <c r="V1074" s="1">
        <v>8097617083</v>
      </c>
      <c r="W1074" s="1" t="s">
        <v>156</v>
      </c>
      <c r="X1074" s="1" t="s">
        <v>15637</v>
      </c>
      <c r="Y1074" s="1" t="s">
        <v>991</v>
      </c>
      <c r="Z1074" s="1" t="s">
        <v>92</v>
      </c>
      <c r="AA1074" s="1" t="s">
        <v>15637</v>
      </c>
      <c r="AB1074" s="1" t="s">
        <v>991</v>
      </c>
      <c r="AC1074" s="1" t="s">
        <v>92</v>
      </c>
      <c r="AD1074" s="1">
        <v>6.87</v>
      </c>
      <c r="AE1074" s="1" t="s">
        <v>93</v>
      </c>
      <c r="AF1074" s="1" t="s">
        <v>15638</v>
      </c>
      <c r="AG1074" s="1" t="s">
        <v>160</v>
      </c>
      <c r="AH1074" s="1" t="s">
        <v>101</v>
      </c>
      <c r="AI1074" s="1" t="s">
        <v>409</v>
      </c>
      <c r="AJ1074" s="1">
        <v>66.4</v>
      </c>
      <c r="AK1074" s="1"/>
      <c r="AL1074" s="1"/>
      <c r="AM1074" s="1"/>
      <c r="AN1074" s="1"/>
      <c r="AO1074" s="1"/>
      <c r="AP1074" s="1"/>
      <c r="AQ1074" s="1"/>
      <c r="AR1074" s="1" t="s">
        <v>98</v>
      </c>
      <c r="AS1074" s="1" t="s">
        <v>15639</v>
      </c>
      <c r="AT1074" s="1" t="s">
        <v>433</v>
      </c>
      <c r="AU1074" s="1" t="s">
        <v>619</v>
      </c>
      <c r="AV1074" s="1">
        <v>72.84</v>
      </c>
      <c r="AW1074" s="1"/>
      <c r="AX1074" s="1" t="s">
        <v>666</v>
      </c>
      <c r="AY1074" s="1" t="s">
        <v>15640</v>
      </c>
      <c r="AZ1074" s="1" t="s">
        <v>284</v>
      </c>
      <c r="BA1074" s="1" t="s">
        <v>543</v>
      </c>
      <c r="BB1074" s="1">
        <v>59.58</v>
      </c>
      <c r="BC1074" s="1">
        <v>6.5</v>
      </c>
      <c r="BD1074" s="1"/>
      <c r="BE1074" s="1"/>
      <c r="BF1074" s="1"/>
      <c r="BG1074" s="1"/>
      <c r="BH1074" s="1"/>
      <c r="BI1074" s="1"/>
      <c r="BJ1074" s="1" t="s">
        <v>364</v>
      </c>
      <c r="BK1074" s="1"/>
      <c r="BL1074" s="1"/>
      <c r="BM1074" s="1" t="s">
        <v>15641</v>
      </c>
      <c r="BN1074" s="1">
        <v>13</v>
      </c>
      <c r="BO1074" s="1"/>
      <c r="BP1074" s="1" t="str">
        <f>HYPERLINK("https://nconnect.nicmar.ac.in/storage/profile/ProfilePhoto_P25702071_618479.jpg","Download")</f>
        <v>0</v>
      </c>
      <c r="BQ1074" s="3"/>
      <c r="BR1074" s="3"/>
    </row>
    <row r="1075" spans="1:70">
      <c r="A1075" s="1" t="s">
        <v>14387</v>
      </c>
      <c r="B1075" s="1" t="s">
        <v>441</v>
      </c>
      <c r="C1075" s="1" t="s">
        <v>15642</v>
      </c>
      <c r="D1075" s="1" t="s">
        <v>7895</v>
      </c>
      <c r="E1075" s="1" t="s">
        <v>235</v>
      </c>
      <c r="F1075" s="1" t="s">
        <v>15643</v>
      </c>
      <c r="G1075" s="1" t="s">
        <v>15644</v>
      </c>
      <c r="H1075" s="1" t="s">
        <v>15645</v>
      </c>
      <c r="I1075" s="1" t="s">
        <v>15646</v>
      </c>
      <c r="J1075" s="1">
        <v>9987856361</v>
      </c>
      <c r="K1075" s="1" t="s">
        <v>148</v>
      </c>
      <c r="L1075" s="1" t="s">
        <v>15647</v>
      </c>
      <c r="M1075" s="1" t="s">
        <v>81</v>
      </c>
      <c r="N1075" s="1" t="s">
        <v>8662</v>
      </c>
      <c r="O1075" s="1"/>
      <c r="P1075" s="1" t="s">
        <v>450</v>
      </c>
      <c r="Q1075" s="1" t="s">
        <v>15648</v>
      </c>
      <c r="R1075" s="1" t="s">
        <v>235</v>
      </c>
      <c r="S1075" s="1">
        <v>9922644246</v>
      </c>
      <c r="T1075" s="1" t="s">
        <v>13149</v>
      </c>
      <c r="U1075" s="1" t="s">
        <v>15434</v>
      </c>
      <c r="V1075" s="1">
        <v>9766456373</v>
      </c>
      <c r="W1075" s="1" t="s">
        <v>156</v>
      </c>
      <c r="X1075" s="1" t="s">
        <v>15649</v>
      </c>
      <c r="Y1075" s="1" t="s">
        <v>191</v>
      </c>
      <c r="Z1075" s="1" t="s">
        <v>92</v>
      </c>
      <c r="AA1075" s="1" t="s">
        <v>15650</v>
      </c>
      <c r="AB1075" s="1" t="s">
        <v>191</v>
      </c>
      <c r="AC1075" s="1" t="s">
        <v>92</v>
      </c>
      <c r="AD1075" s="1">
        <v>7.98</v>
      </c>
      <c r="AE1075" s="1" t="s">
        <v>93</v>
      </c>
      <c r="AF1075" s="1" t="s">
        <v>15651</v>
      </c>
      <c r="AG1075" s="1" t="s">
        <v>160</v>
      </c>
      <c r="AH1075" s="1" t="s">
        <v>162</v>
      </c>
      <c r="AI1075" s="1" t="s">
        <v>195</v>
      </c>
      <c r="AJ1075" s="1">
        <v>91.4</v>
      </c>
      <c r="AK1075" s="1"/>
      <c r="AL1075" s="1" t="s">
        <v>15651</v>
      </c>
      <c r="AM1075" s="1" t="s">
        <v>160</v>
      </c>
      <c r="AN1075" s="1" t="s">
        <v>101</v>
      </c>
      <c r="AO1075" s="1" t="s">
        <v>198</v>
      </c>
      <c r="AP1075" s="1">
        <v>62.77</v>
      </c>
      <c r="AQ1075" s="1"/>
      <c r="AR1075" s="1"/>
      <c r="AS1075" s="1"/>
      <c r="AT1075" s="1"/>
      <c r="AU1075" s="1"/>
      <c r="AV1075" s="1"/>
      <c r="AW1075" s="1"/>
      <c r="AX1075" s="1" t="s">
        <v>361</v>
      </c>
      <c r="AY1075" s="1" t="s">
        <v>15652</v>
      </c>
      <c r="AZ1075" s="1" t="s">
        <v>201</v>
      </c>
      <c r="BA1075" s="1" t="s">
        <v>829</v>
      </c>
      <c r="BB1075" s="1">
        <v>57.13</v>
      </c>
      <c r="BC1075" s="1">
        <v>6.42</v>
      </c>
      <c r="BD1075" s="1"/>
      <c r="BE1075" s="1"/>
      <c r="BF1075" s="1"/>
      <c r="BG1075" s="1"/>
      <c r="BH1075" s="1"/>
      <c r="BI1075" s="1"/>
      <c r="BJ1075" s="1" t="s">
        <v>255</v>
      </c>
      <c r="BK1075" s="1"/>
      <c r="BL1075" s="1"/>
      <c r="BM1075" s="1" t="s">
        <v>15653</v>
      </c>
      <c r="BN1075" s="1">
        <v>26</v>
      </c>
      <c r="BO1075" s="1" t="s">
        <v>15654</v>
      </c>
      <c r="BP1075" s="1" t="str">
        <f>HYPERLINK("https://nconnect.nicmar.ac.in/storage/profile/ProfilePhoto_P25702072_513768.jpg","Download")</f>
        <v>0</v>
      </c>
      <c r="BQ1075" s="3"/>
      <c r="BR1075" s="3"/>
    </row>
    <row r="1076" spans="1:70">
      <c r="A1076" s="1" t="s">
        <v>14387</v>
      </c>
      <c r="B1076" s="1" t="s">
        <v>441</v>
      </c>
      <c r="C1076" s="1" t="s">
        <v>15655</v>
      </c>
      <c r="D1076" s="1" t="s">
        <v>5096</v>
      </c>
      <c r="E1076" s="1" t="s">
        <v>8309</v>
      </c>
      <c r="F1076" s="1" t="s">
        <v>15656</v>
      </c>
      <c r="G1076" s="1" t="s">
        <v>15657</v>
      </c>
      <c r="H1076" s="1" t="s">
        <v>15658</v>
      </c>
      <c r="I1076" s="1" t="s">
        <v>15659</v>
      </c>
      <c r="J1076" s="1">
        <v>9096239603</v>
      </c>
      <c r="K1076" s="1" t="s">
        <v>79</v>
      </c>
      <c r="L1076" s="1" t="s">
        <v>15660</v>
      </c>
      <c r="M1076" s="1" t="s">
        <v>81</v>
      </c>
      <c r="N1076" s="1" t="s">
        <v>3518</v>
      </c>
      <c r="O1076" s="1"/>
      <c r="P1076" s="1" t="s">
        <v>497</v>
      </c>
      <c r="Q1076" s="1" t="s">
        <v>15661</v>
      </c>
      <c r="R1076" s="1" t="s">
        <v>15662</v>
      </c>
      <c r="S1076" s="1">
        <v>9420334022</v>
      </c>
      <c r="T1076" s="1" t="s">
        <v>3807</v>
      </c>
      <c r="U1076" s="1" t="s">
        <v>15663</v>
      </c>
      <c r="V1076" s="1">
        <v>9420334022</v>
      </c>
      <c r="W1076" s="1" t="s">
        <v>156</v>
      </c>
      <c r="X1076" s="1" t="s">
        <v>15664</v>
      </c>
      <c r="Y1076" s="1" t="s">
        <v>191</v>
      </c>
      <c r="Z1076" s="1" t="s">
        <v>92</v>
      </c>
      <c r="AA1076" s="1" t="s">
        <v>15665</v>
      </c>
      <c r="AB1076" s="1" t="s">
        <v>191</v>
      </c>
      <c r="AC1076" s="1" t="s">
        <v>92</v>
      </c>
      <c r="AD1076" s="1">
        <v>7.18</v>
      </c>
      <c r="AE1076" s="1" t="s">
        <v>93</v>
      </c>
      <c r="AF1076" s="1" t="s">
        <v>15666</v>
      </c>
      <c r="AG1076" s="1" t="s">
        <v>160</v>
      </c>
      <c r="AH1076" s="1" t="s">
        <v>281</v>
      </c>
      <c r="AI1076" s="1" t="s">
        <v>409</v>
      </c>
      <c r="AJ1076" s="1">
        <v>82.2</v>
      </c>
      <c r="AK1076" s="1"/>
      <c r="AL1076" s="1" t="s">
        <v>15667</v>
      </c>
      <c r="AM1076" s="1" t="s">
        <v>160</v>
      </c>
      <c r="AN1076" s="1" t="s">
        <v>590</v>
      </c>
      <c r="AO1076" s="1" t="s">
        <v>1169</v>
      </c>
      <c r="AP1076" s="1">
        <v>86</v>
      </c>
      <c r="AQ1076" s="1"/>
      <c r="AR1076" s="1"/>
      <c r="AS1076" s="1"/>
      <c r="AT1076" s="1"/>
      <c r="AU1076" s="1"/>
      <c r="AV1076" s="1"/>
      <c r="AW1076" s="1"/>
      <c r="AX1076" s="1" t="s">
        <v>15668</v>
      </c>
      <c r="AY1076" s="1" t="s">
        <v>15669</v>
      </c>
      <c r="AZ1076" s="1" t="s">
        <v>828</v>
      </c>
      <c r="BA1076" s="1" t="s">
        <v>829</v>
      </c>
      <c r="BB1076" s="1">
        <v>58.2</v>
      </c>
      <c r="BC1076" s="1">
        <v>6.54</v>
      </c>
      <c r="BD1076" s="1"/>
      <c r="BE1076" s="1"/>
      <c r="BF1076" s="1"/>
      <c r="BG1076" s="1"/>
      <c r="BH1076" s="1"/>
      <c r="BI1076" s="1"/>
      <c r="BJ1076" s="1" t="s">
        <v>15670</v>
      </c>
      <c r="BK1076" s="1"/>
      <c r="BL1076" s="1"/>
      <c r="BM1076" s="1" t="s">
        <v>15671</v>
      </c>
      <c r="BN1076" s="1">
        <v>11</v>
      </c>
      <c r="BO1076" s="1"/>
      <c r="BP1076" s="1" t="str">
        <f>HYPERLINK("https://nconnect.nicmar.ac.in/storage/profile/ProfilePhoto_P25702073_278631.jpg","Download")</f>
        <v>0</v>
      </c>
      <c r="BQ1076" s="3"/>
      <c r="BR1076" s="3"/>
    </row>
    <row r="1077" spans="1:70">
      <c r="A1077" s="1" t="s">
        <v>14387</v>
      </c>
      <c r="B1077" s="1" t="s">
        <v>441</v>
      </c>
      <c r="C1077" s="1" t="s">
        <v>15672</v>
      </c>
      <c r="D1077" s="1" t="s">
        <v>4052</v>
      </c>
      <c r="E1077" s="1"/>
      <c r="F1077" s="1" t="s">
        <v>1156</v>
      </c>
      <c r="G1077" s="1" t="s">
        <v>15673</v>
      </c>
      <c r="H1077" s="1" t="s">
        <v>15674</v>
      </c>
      <c r="I1077" s="1" t="s">
        <v>15675</v>
      </c>
      <c r="J1077" s="1">
        <v>7249331145</v>
      </c>
      <c r="K1077" s="1" t="s">
        <v>79</v>
      </c>
      <c r="L1077" s="1" t="s">
        <v>12081</v>
      </c>
      <c r="M1077" s="1" t="s">
        <v>81</v>
      </c>
      <c r="N1077" s="1" t="s">
        <v>1140</v>
      </c>
      <c r="O1077" s="1"/>
      <c r="P1077" s="1" t="s">
        <v>656</v>
      </c>
      <c r="Q1077" s="1" t="s">
        <v>15676</v>
      </c>
      <c r="R1077" s="1" t="s">
        <v>15677</v>
      </c>
      <c r="S1077" s="1">
        <v>9890574296</v>
      </c>
      <c r="T1077" s="1" t="s">
        <v>632</v>
      </c>
      <c r="U1077" s="1" t="s">
        <v>15678</v>
      </c>
      <c r="V1077" s="1">
        <v>7249310653</v>
      </c>
      <c r="W1077" s="1" t="s">
        <v>89</v>
      </c>
      <c r="X1077" s="1" t="s">
        <v>15679</v>
      </c>
      <c r="Y1077" s="1" t="s">
        <v>191</v>
      </c>
      <c r="Z1077" s="1" t="s">
        <v>92</v>
      </c>
      <c r="AA1077" s="1" t="s">
        <v>15680</v>
      </c>
      <c r="AB1077" s="1" t="s">
        <v>304</v>
      </c>
      <c r="AC1077" s="1" t="s">
        <v>92</v>
      </c>
      <c r="AD1077" s="1">
        <v>8.37</v>
      </c>
      <c r="AE1077" s="1" t="s">
        <v>93</v>
      </c>
      <c r="AF1077" s="1" t="s">
        <v>15681</v>
      </c>
      <c r="AG1077" s="1" t="s">
        <v>15682</v>
      </c>
      <c r="AH1077" s="1" t="s">
        <v>128</v>
      </c>
      <c r="AI1077" s="1" t="s">
        <v>590</v>
      </c>
      <c r="AJ1077" s="1">
        <v>80</v>
      </c>
      <c r="AK1077" s="1"/>
      <c r="AL1077" s="1" t="s">
        <v>15683</v>
      </c>
      <c r="AM1077" s="1" t="s">
        <v>3901</v>
      </c>
      <c r="AN1077" s="1" t="s">
        <v>173</v>
      </c>
      <c r="AO1077" s="1" t="s">
        <v>1861</v>
      </c>
      <c r="AP1077" s="1">
        <v>85.17</v>
      </c>
      <c r="AQ1077" s="1"/>
      <c r="AR1077" s="1"/>
      <c r="AS1077" s="1"/>
      <c r="AT1077" s="1"/>
      <c r="AU1077" s="1"/>
      <c r="AV1077" s="1"/>
      <c r="AW1077" s="1"/>
      <c r="AX1077" s="1" t="s">
        <v>15684</v>
      </c>
      <c r="AY1077" s="1" t="s">
        <v>15685</v>
      </c>
      <c r="AZ1077" s="1" t="s">
        <v>105</v>
      </c>
      <c r="BA1077" s="1" t="s">
        <v>594</v>
      </c>
      <c r="BB1077" s="1">
        <v>77.7</v>
      </c>
      <c r="BC1077" s="1">
        <v>7.77</v>
      </c>
      <c r="BD1077" s="1"/>
      <c r="BE1077" s="1"/>
      <c r="BF1077" s="1"/>
      <c r="BG1077" s="1"/>
      <c r="BH1077" s="1"/>
      <c r="BI1077" s="1"/>
      <c r="BJ1077" s="1" t="s">
        <v>15686</v>
      </c>
      <c r="BK1077" s="1"/>
      <c r="BL1077" s="1"/>
      <c r="BM1077" s="1" t="s">
        <v>15687</v>
      </c>
      <c r="BN1077" s="1">
        <v>42</v>
      </c>
      <c r="BO1077" s="1" t="s">
        <v>15688</v>
      </c>
      <c r="BP1077" s="1" t="str">
        <f>HYPERLINK("https://nconnect.nicmar.ac.in/storage/profile/ProfilePhoto_P25702074_418937.jpg","Download")</f>
        <v>0</v>
      </c>
      <c r="BQ1077" s="3"/>
      <c r="BR1077" s="3"/>
    </row>
    <row r="1078" spans="1:70">
      <c r="A1078" s="1" t="s">
        <v>14387</v>
      </c>
      <c r="B1078" s="1" t="s">
        <v>441</v>
      </c>
      <c r="C1078" s="1" t="s">
        <v>15689</v>
      </c>
      <c r="D1078" s="1" t="s">
        <v>1846</v>
      </c>
      <c r="E1078" s="1" t="s">
        <v>2203</v>
      </c>
      <c r="F1078" s="1" t="s">
        <v>11195</v>
      </c>
      <c r="G1078" s="1" t="s">
        <v>15690</v>
      </c>
      <c r="H1078" s="1" t="s">
        <v>15691</v>
      </c>
      <c r="I1078" s="1" t="s">
        <v>15692</v>
      </c>
      <c r="J1078" s="1">
        <v>9372634449</v>
      </c>
      <c r="K1078" s="1" t="s">
        <v>148</v>
      </c>
      <c r="L1078" s="1" t="s">
        <v>15693</v>
      </c>
      <c r="M1078" s="1" t="s">
        <v>81</v>
      </c>
      <c r="N1078" s="1" t="s">
        <v>15694</v>
      </c>
      <c r="O1078" s="1"/>
      <c r="P1078" s="1" t="s">
        <v>497</v>
      </c>
      <c r="Q1078" s="1" t="s">
        <v>15695</v>
      </c>
      <c r="R1078" s="1" t="s">
        <v>15696</v>
      </c>
      <c r="S1078" s="1">
        <v>9769997851</v>
      </c>
      <c r="T1078" s="1" t="s">
        <v>9236</v>
      </c>
      <c r="U1078" s="1" t="s">
        <v>15697</v>
      </c>
      <c r="V1078" s="1">
        <v>9869064189</v>
      </c>
      <c r="W1078" s="1" t="s">
        <v>8316</v>
      </c>
      <c r="X1078" s="1" t="s">
        <v>15698</v>
      </c>
      <c r="Y1078" s="1" t="s">
        <v>2229</v>
      </c>
      <c r="Z1078" s="1" t="s">
        <v>92</v>
      </c>
      <c r="AA1078" s="1" t="s">
        <v>15698</v>
      </c>
      <c r="AB1078" s="1" t="s">
        <v>2229</v>
      </c>
      <c r="AC1078" s="1" t="s">
        <v>92</v>
      </c>
      <c r="AD1078" s="1">
        <v>9.08</v>
      </c>
      <c r="AE1078" s="1" t="s">
        <v>93</v>
      </c>
      <c r="AF1078" s="1" t="s">
        <v>15699</v>
      </c>
      <c r="AG1078" s="1" t="s">
        <v>7354</v>
      </c>
      <c r="AH1078" s="1" t="s">
        <v>161</v>
      </c>
      <c r="AI1078" s="1" t="s">
        <v>1089</v>
      </c>
      <c r="AJ1078" s="1">
        <v>86.6</v>
      </c>
      <c r="AK1078" s="1"/>
      <c r="AL1078" s="1" t="s">
        <v>15700</v>
      </c>
      <c r="AM1078" s="1" t="s">
        <v>7354</v>
      </c>
      <c r="AN1078" s="1" t="s">
        <v>165</v>
      </c>
      <c r="AO1078" s="1" t="s">
        <v>1455</v>
      </c>
      <c r="AP1078" s="1">
        <v>66.62</v>
      </c>
      <c r="AQ1078" s="1"/>
      <c r="AR1078" s="1"/>
      <c r="AS1078" s="1"/>
      <c r="AT1078" s="1"/>
      <c r="AU1078" s="1"/>
      <c r="AV1078" s="1"/>
      <c r="AW1078" s="1"/>
      <c r="AX1078" s="1" t="s">
        <v>253</v>
      </c>
      <c r="AY1078" s="1" t="s">
        <v>15701</v>
      </c>
      <c r="AZ1078" s="1" t="s">
        <v>101</v>
      </c>
      <c r="BA1078" s="1" t="s">
        <v>229</v>
      </c>
      <c r="BB1078" s="1">
        <v>60.7</v>
      </c>
      <c r="BC1078" s="1">
        <v>6.86</v>
      </c>
      <c r="BD1078" s="1"/>
      <c r="BE1078" s="1"/>
      <c r="BF1078" s="1"/>
      <c r="BG1078" s="1"/>
      <c r="BH1078" s="1"/>
      <c r="BI1078" s="1"/>
      <c r="BJ1078" s="1" t="s">
        <v>15702</v>
      </c>
      <c r="BK1078" s="1" t="s">
        <v>15703</v>
      </c>
      <c r="BL1078" s="1" t="s">
        <v>569</v>
      </c>
      <c r="BM1078" s="1" t="s">
        <v>15704</v>
      </c>
      <c r="BN1078" s="1">
        <v>33</v>
      </c>
      <c r="BO1078" s="1"/>
      <c r="BP1078" s="1" t="str">
        <f>HYPERLINK("https://nconnect.nicmar.ac.in/storage/profile/ProfilePhoto_P25702075_348759.jpg","Download")</f>
        <v>0</v>
      </c>
      <c r="BQ1078" s="3"/>
      <c r="BR1078" s="3"/>
    </row>
    <row r="1079" spans="1:70">
      <c r="A1079" s="1" t="s">
        <v>14387</v>
      </c>
      <c r="B1079" s="1" t="s">
        <v>441</v>
      </c>
      <c r="C1079" s="1" t="s">
        <v>15705</v>
      </c>
      <c r="D1079" s="1" t="s">
        <v>15706</v>
      </c>
      <c r="E1079" s="1" t="s">
        <v>3512</v>
      </c>
      <c r="F1079" s="1" t="s">
        <v>15707</v>
      </c>
      <c r="G1079" s="1" t="s">
        <v>15708</v>
      </c>
      <c r="H1079" s="1" t="s">
        <v>15709</v>
      </c>
      <c r="I1079" s="1" t="s">
        <v>15710</v>
      </c>
      <c r="J1079" s="1">
        <v>7448070021</v>
      </c>
      <c r="K1079" s="1" t="s">
        <v>79</v>
      </c>
      <c r="L1079" s="1" t="s">
        <v>15711</v>
      </c>
      <c r="M1079" s="1" t="s">
        <v>81</v>
      </c>
      <c r="N1079" s="1" t="s">
        <v>883</v>
      </c>
      <c r="O1079" s="1"/>
      <c r="P1079" s="1" t="s">
        <v>497</v>
      </c>
      <c r="Q1079" s="1" t="s">
        <v>15712</v>
      </c>
      <c r="R1079" s="1" t="s">
        <v>3512</v>
      </c>
      <c r="S1079" s="1">
        <v>9766944795</v>
      </c>
      <c r="T1079" s="1" t="s">
        <v>906</v>
      </c>
      <c r="U1079" s="1" t="s">
        <v>2559</v>
      </c>
      <c r="V1079" s="1">
        <v>9403618688</v>
      </c>
      <c r="W1079" s="1" t="s">
        <v>156</v>
      </c>
      <c r="X1079" s="1" t="s">
        <v>15713</v>
      </c>
      <c r="Y1079" s="1" t="s">
        <v>328</v>
      </c>
      <c r="Z1079" s="1" t="s">
        <v>92</v>
      </c>
      <c r="AA1079" s="1" t="s">
        <v>15713</v>
      </c>
      <c r="AB1079" s="1" t="s">
        <v>328</v>
      </c>
      <c r="AC1079" s="1" t="s">
        <v>92</v>
      </c>
      <c r="AD1079" s="1">
        <v>9.19</v>
      </c>
      <c r="AE1079" s="1" t="s">
        <v>93</v>
      </c>
      <c r="AF1079" s="1" t="s">
        <v>15714</v>
      </c>
      <c r="AG1079" s="1" t="s">
        <v>616</v>
      </c>
      <c r="AH1079" s="1" t="s">
        <v>97</v>
      </c>
      <c r="AI1079" s="1" t="s">
        <v>1089</v>
      </c>
      <c r="AJ1079" s="1">
        <v>91.8</v>
      </c>
      <c r="AK1079" s="1">
        <v>0</v>
      </c>
      <c r="AL1079" s="1" t="s">
        <v>15715</v>
      </c>
      <c r="AM1079" s="1" t="s">
        <v>616</v>
      </c>
      <c r="AN1079" s="1" t="s">
        <v>508</v>
      </c>
      <c r="AO1079" s="1" t="s">
        <v>1455</v>
      </c>
      <c r="AP1079" s="1">
        <v>72.15</v>
      </c>
      <c r="AQ1079" s="1">
        <v>0</v>
      </c>
      <c r="AR1079" s="1"/>
      <c r="AS1079" s="1"/>
      <c r="AT1079" s="1"/>
      <c r="AU1079" s="1"/>
      <c r="AV1079" s="1"/>
      <c r="AW1079" s="1"/>
      <c r="AX1079" s="1" t="s">
        <v>361</v>
      </c>
      <c r="AY1079" s="1" t="s">
        <v>15716</v>
      </c>
      <c r="AZ1079" s="1" t="s">
        <v>201</v>
      </c>
      <c r="BA1079" s="1" t="s">
        <v>1219</v>
      </c>
      <c r="BB1079" s="1">
        <v>70.57</v>
      </c>
      <c r="BC1079" s="1">
        <v>7.93</v>
      </c>
      <c r="BD1079" s="1"/>
      <c r="BE1079" s="1"/>
      <c r="BF1079" s="1"/>
      <c r="BG1079" s="1"/>
      <c r="BH1079" s="1"/>
      <c r="BI1079" s="1"/>
      <c r="BJ1079" s="1" t="s">
        <v>15717</v>
      </c>
      <c r="BK1079" s="1" t="s">
        <v>15718</v>
      </c>
      <c r="BL1079" s="1" t="s">
        <v>1022</v>
      </c>
      <c r="BM1079" s="1" t="s">
        <v>15719</v>
      </c>
      <c r="BN1079" s="1">
        <v>35</v>
      </c>
      <c r="BO1079" s="1"/>
      <c r="BP1079" s="1" t="str">
        <f>HYPERLINK("https://nconnect.nicmar.ac.in/storage/profile/ProfilePhoto_P25702076_298574.jpg","Download")</f>
        <v>0</v>
      </c>
      <c r="BQ1079" s="3"/>
      <c r="BR1079" s="3"/>
    </row>
    <row r="1080" spans="1:70">
      <c r="A1080" s="1" t="s">
        <v>14387</v>
      </c>
      <c r="B1080" s="1" t="s">
        <v>441</v>
      </c>
      <c r="C1080" s="1" t="s">
        <v>15720</v>
      </c>
      <c r="D1080" s="1" t="s">
        <v>15721</v>
      </c>
      <c r="E1080" s="1" t="s">
        <v>7532</v>
      </c>
      <c r="F1080" s="1" t="s">
        <v>9632</v>
      </c>
      <c r="G1080" s="1" t="s">
        <v>15722</v>
      </c>
      <c r="H1080" s="1" t="s">
        <v>15723</v>
      </c>
      <c r="I1080" s="1" t="s">
        <v>15724</v>
      </c>
      <c r="J1080" s="1">
        <v>6309341375</v>
      </c>
      <c r="K1080" s="1" t="s">
        <v>79</v>
      </c>
      <c r="L1080" s="1" t="s">
        <v>7910</v>
      </c>
      <c r="M1080" s="1" t="s">
        <v>81</v>
      </c>
      <c r="N1080" s="1" t="s">
        <v>11427</v>
      </c>
      <c r="O1080" s="1"/>
      <c r="P1080" s="1" t="s">
        <v>450</v>
      </c>
      <c r="Q1080" s="1" t="s">
        <v>15725</v>
      </c>
      <c r="R1080" s="1" t="s">
        <v>15726</v>
      </c>
      <c r="S1080" s="1">
        <v>9849827700</v>
      </c>
      <c r="T1080" s="1" t="s">
        <v>15727</v>
      </c>
      <c r="U1080" s="1" t="s">
        <v>15728</v>
      </c>
      <c r="V1080" s="1">
        <v>7601064855</v>
      </c>
      <c r="W1080" s="1" t="s">
        <v>89</v>
      </c>
      <c r="X1080" s="1" t="s">
        <v>15729</v>
      </c>
      <c r="Y1080" s="1" t="s">
        <v>478</v>
      </c>
      <c r="Z1080" s="1" t="s">
        <v>276</v>
      </c>
      <c r="AA1080" s="1" t="s">
        <v>15729</v>
      </c>
      <c r="AB1080" s="1" t="s">
        <v>478</v>
      </c>
      <c r="AC1080" s="1" t="s">
        <v>276</v>
      </c>
      <c r="AD1080" s="1">
        <v>8.74</v>
      </c>
      <c r="AE1080" s="1" t="s">
        <v>93</v>
      </c>
      <c r="AF1080" s="1" t="s">
        <v>15730</v>
      </c>
      <c r="AG1080" s="1" t="s">
        <v>15731</v>
      </c>
      <c r="AH1080" s="1" t="s">
        <v>162</v>
      </c>
      <c r="AI1080" s="1" t="s">
        <v>537</v>
      </c>
      <c r="AJ1080" s="1">
        <v>100</v>
      </c>
      <c r="AK1080" s="1">
        <v>10</v>
      </c>
      <c r="AL1080" s="1" t="s">
        <v>15732</v>
      </c>
      <c r="AM1080" s="1" t="s">
        <v>15733</v>
      </c>
      <c r="AN1080" s="1" t="s">
        <v>433</v>
      </c>
      <c r="AO1080" s="1" t="s">
        <v>826</v>
      </c>
      <c r="AP1080" s="1">
        <v>91.3</v>
      </c>
      <c r="AQ1080" s="1"/>
      <c r="AR1080" s="1"/>
      <c r="AS1080" s="1"/>
      <c r="AT1080" s="1"/>
      <c r="AU1080" s="1"/>
      <c r="AV1080" s="1"/>
      <c r="AW1080" s="1"/>
      <c r="AX1080" s="1" t="s">
        <v>15734</v>
      </c>
      <c r="AY1080" s="1" t="s">
        <v>15735</v>
      </c>
      <c r="AZ1080" s="1" t="s">
        <v>4727</v>
      </c>
      <c r="BA1080" s="1" t="s">
        <v>594</v>
      </c>
      <c r="BB1080" s="1">
        <v>64.12</v>
      </c>
      <c r="BC1080" s="1">
        <v>6.75</v>
      </c>
      <c r="BD1080" s="1"/>
      <c r="BE1080" s="1"/>
      <c r="BF1080" s="1"/>
      <c r="BG1080" s="1"/>
      <c r="BH1080" s="1"/>
      <c r="BI1080" s="1"/>
      <c r="BJ1080" s="1" t="s">
        <v>364</v>
      </c>
      <c r="BK1080" s="1"/>
      <c r="BL1080" s="1"/>
      <c r="BM1080" s="1" t="s">
        <v>15736</v>
      </c>
      <c r="BN1080" s="1">
        <v>13</v>
      </c>
      <c r="BO1080" s="1" t="s">
        <v>15737</v>
      </c>
      <c r="BP1080" s="1" t="str">
        <f>HYPERLINK("https://nconnect.nicmar.ac.in/storage/profile/ProfilePhoto_P25702077_746891.jpg","Download")</f>
        <v>0</v>
      </c>
      <c r="BQ1080" s="3"/>
      <c r="BR1080" s="3"/>
    </row>
    <row r="1081" spans="1:70">
      <c r="A1081" s="1" t="s">
        <v>14387</v>
      </c>
      <c r="B1081" s="1" t="s">
        <v>441</v>
      </c>
      <c r="C1081" s="1" t="s">
        <v>15738</v>
      </c>
      <c r="D1081" s="1" t="s">
        <v>8142</v>
      </c>
      <c r="E1081" s="1" t="s">
        <v>2419</v>
      </c>
      <c r="F1081" s="1" t="s">
        <v>15739</v>
      </c>
      <c r="G1081" s="1" t="s">
        <v>15740</v>
      </c>
      <c r="H1081" s="1" t="s">
        <v>15741</v>
      </c>
      <c r="I1081" s="1" t="s">
        <v>15742</v>
      </c>
      <c r="J1081" s="1">
        <v>8850894537</v>
      </c>
      <c r="K1081" s="1" t="s">
        <v>79</v>
      </c>
      <c r="L1081" s="1" t="s">
        <v>5333</v>
      </c>
      <c r="M1081" s="1" t="s">
        <v>81</v>
      </c>
      <c r="N1081" s="1" t="s">
        <v>883</v>
      </c>
      <c r="O1081" s="1"/>
      <c r="P1081" s="1" t="s">
        <v>497</v>
      </c>
      <c r="Q1081" s="1" t="s">
        <v>15743</v>
      </c>
      <c r="R1081" s="1" t="s">
        <v>2419</v>
      </c>
      <c r="S1081" s="1">
        <v>9223279997</v>
      </c>
      <c r="T1081" s="1" t="s">
        <v>15744</v>
      </c>
      <c r="U1081" s="1" t="s">
        <v>14409</v>
      </c>
      <c r="V1081" s="1">
        <v>7506763987</v>
      </c>
      <c r="W1081" s="1" t="s">
        <v>273</v>
      </c>
      <c r="X1081" s="1" t="s">
        <v>15745</v>
      </c>
      <c r="Y1081" s="1" t="s">
        <v>2229</v>
      </c>
      <c r="Z1081" s="1" t="s">
        <v>92</v>
      </c>
      <c r="AA1081" s="1" t="s">
        <v>15745</v>
      </c>
      <c r="AB1081" s="1" t="s">
        <v>2229</v>
      </c>
      <c r="AC1081" s="1" t="s">
        <v>92</v>
      </c>
      <c r="AD1081" s="1">
        <v>9.03</v>
      </c>
      <c r="AE1081" s="1" t="s">
        <v>93</v>
      </c>
      <c r="AF1081" s="1" t="s">
        <v>15746</v>
      </c>
      <c r="AG1081" s="1" t="s">
        <v>15747</v>
      </c>
      <c r="AH1081" s="1" t="s">
        <v>165</v>
      </c>
      <c r="AI1081" s="1" t="s">
        <v>166</v>
      </c>
      <c r="AJ1081" s="1">
        <v>88.8</v>
      </c>
      <c r="AK1081" s="1"/>
      <c r="AL1081" s="1" t="s">
        <v>15748</v>
      </c>
      <c r="AM1081" s="1" t="s">
        <v>15747</v>
      </c>
      <c r="AN1081" s="1" t="s">
        <v>433</v>
      </c>
      <c r="AO1081" s="1" t="s">
        <v>412</v>
      </c>
      <c r="AP1081" s="1">
        <v>77.85</v>
      </c>
      <c r="AQ1081" s="1"/>
      <c r="AR1081" s="1"/>
      <c r="AS1081" s="1"/>
      <c r="AT1081" s="1"/>
      <c r="AU1081" s="1"/>
      <c r="AV1081" s="1"/>
      <c r="AW1081" s="1"/>
      <c r="AX1081" s="1" t="s">
        <v>666</v>
      </c>
      <c r="AY1081" s="1" t="s">
        <v>15749</v>
      </c>
      <c r="AZ1081" s="1" t="s">
        <v>1019</v>
      </c>
      <c r="BA1081" s="1" t="s">
        <v>566</v>
      </c>
      <c r="BB1081" s="1">
        <v>75.39</v>
      </c>
      <c r="BC1081" s="1">
        <v>9.07</v>
      </c>
      <c r="BD1081" s="1"/>
      <c r="BE1081" s="1"/>
      <c r="BF1081" s="1"/>
      <c r="BG1081" s="1"/>
      <c r="BH1081" s="1"/>
      <c r="BI1081" s="1"/>
      <c r="BJ1081" s="1" t="s">
        <v>15750</v>
      </c>
      <c r="BK1081" s="1"/>
      <c r="BL1081" s="1"/>
      <c r="BM1081" s="1" t="s">
        <v>15751</v>
      </c>
      <c r="BN1081" s="1">
        <v>8</v>
      </c>
      <c r="BO1081" s="1"/>
      <c r="BP1081" s="1" t="str">
        <f>HYPERLINK("https://nconnect.nicmar.ac.in/storage/profile/ProfilePhoto_P25702078_395712.jpg","Download")</f>
        <v>0</v>
      </c>
      <c r="BQ1081" s="3"/>
      <c r="BR1081" s="3"/>
    </row>
    <row r="1082" spans="1:70">
      <c r="A1082" s="1" t="s">
        <v>14387</v>
      </c>
      <c r="B1082" s="1" t="s">
        <v>441</v>
      </c>
      <c r="C1082" s="1" t="s">
        <v>15752</v>
      </c>
      <c r="D1082" s="1" t="s">
        <v>10539</v>
      </c>
      <c r="E1082" s="1" t="s">
        <v>144</v>
      </c>
      <c r="F1082" s="1" t="s">
        <v>15753</v>
      </c>
      <c r="G1082" s="1" t="s">
        <v>15754</v>
      </c>
      <c r="H1082" s="1" t="s">
        <v>15755</v>
      </c>
      <c r="I1082" s="1" t="s">
        <v>15756</v>
      </c>
      <c r="J1082" s="1">
        <v>9175161843</v>
      </c>
      <c r="K1082" s="1" t="s">
        <v>79</v>
      </c>
      <c r="L1082" s="1" t="s">
        <v>15757</v>
      </c>
      <c r="M1082" s="1" t="s">
        <v>81</v>
      </c>
      <c r="N1082" s="1" t="s">
        <v>1140</v>
      </c>
      <c r="O1082" s="1" t="s">
        <v>15758</v>
      </c>
      <c r="P1082" s="1" t="s">
        <v>497</v>
      </c>
      <c r="Q1082" s="1" t="s">
        <v>15759</v>
      </c>
      <c r="R1082" s="1" t="s">
        <v>15760</v>
      </c>
      <c r="S1082" s="1">
        <v>9518597764</v>
      </c>
      <c r="T1082" s="1" t="s">
        <v>11309</v>
      </c>
      <c r="U1082" s="1" t="s">
        <v>15761</v>
      </c>
      <c r="V1082" s="1">
        <v>9422063958</v>
      </c>
      <c r="W1082" s="1" t="s">
        <v>273</v>
      </c>
      <c r="X1082" s="1" t="s">
        <v>15762</v>
      </c>
      <c r="Y1082" s="1" t="s">
        <v>191</v>
      </c>
      <c r="Z1082" s="1" t="s">
        <v>92</v>
      </c>
      <c r="AA1082" s="1" t="s">
        <v>15762</v>
      </c>
      <c r="AB1082" s="1" t="s">
        <v>191</v>
      </c>
      <c r="AC1082" s="1" t="s">
        <v>92</v>
      </c>
      <c r="AD1082" s="1">
        <v>8.58</v>
      </c>
      <c r="AE1082" s="1" t="s">
        <v>93</v>
      </c>
      <c r="AF1082" s="1" t="s">
        <v>15763</v>
      </c>
      <c r="AG1082" s="1" t="s">
        <v>15764</v>
      </c>
      <c r="AH1082" s="1" t="s">
        <v>101</v>
      </c>
      <c r="AI1082" s="1" t="s">
        <v>433</v>
      </c>
      <c r="AJ1082" s="1">
        <v>79.6</v>
      </c>
      <c r="AK1082" s="1"/>
      <c r="AL1082" s="1" t="s">
        <v>15765</v>
      </c>
      <c r="AM1082" s="1" t="s">
        <v>15766</v>
      </c>
      <c r="AN1082" s="1" t="s">
        <v>460</v>
      </c>
      <c r="AO1082" s="1" t="s">
        <v>828</v>
      </c>
      <c r="AP1082" s="1">
        <v>84</v>
      </c>
      <c r="AQ1082" s="1"/>
      <c r="AR1082" s="1"/>
      <c r="AS1082" s="1"/>
      <c r="AT1082" s="1"/>
      <c r="AU1082" s="1"/>
      <c r="AV1082" s="1"/>
      <c r="AW1082" s="1"/>
      <c r="AX1082" s="1" t="s">
        <v>15767</v>
      </c>
      <c r="AY1082" s="1" t="s">
        <v>15768</v>
      </c>
      <c r="AZ1082" s="1" t="s">
        <v>852</v>
      </c>
      <c r="BA1082" s="1" t="s">
        <v>543</v>
      </c>
      <c r="BB1082" s="1">
        <v>73.17</v>
      </c>
      <c r="BC1082" s="1">
        <v>8.13</v>
      </c>
      <c r="BD1082" s="1"/>
      <c r="BE1082" s="1"/>
      <c r="BF1082" s="1"/>
      <c r="BG1082" s="1"/>
      <c r="BH1082" s="1"/>
      <c r="BI1082" s="1"/>
      <c r="BJ1082" s="1" t="s">
        <v>15769</v>
      </c>
      <c r="BK1082" s="1"/>
      <c r="BL1082" s="1"/>
      <c r="BM1082" s="1" t="s">
        <v>15770</v>
      </c>
      <c r="BN1082" s="1">
        <v>29</v>
      </c>
      <c r="BO1082" s="1"/>
      <c r="BP1082" s="1" t="str">
        <f>HYPERLINK("https://nconnect.nicmar.ac.in/storage/profile/ProfilePhoto_P25702079_346712.jpg","Download")</f>
        <v>0</v>
      </c>
      <c r="BQ1082" s="3"/>
      <c r="BR1082" s="3"/>
    </row>
    <row r="1083" spans="1:70">
      <c r="A1083" s="1" t="s">
        <v>14387</v>
      </c>
      <c r="B1083" s="1" t="s">
        <v>441</v>
      </c>
      <c r="C1083" s="1" t="s">
        <v>15771</v>
      </c>
      <c r="D1083" s="1" t="s">
        <v>15772</v>
      </c>
      <c r="E1083" s="1"/>
      <c r="F1083" s="1" t="s">
        <v>15773</v>
      </c>
      <c r="G1083" s="1" t="s">
        <v>15774</v>
      </c>
      <c r="H1083" s="1" t="s">
        <v>15775</v>
      </c>
      <c r="I1083" s="1" t="s">
        <v>15775</v>
      </c>
      <c r="J1083" s="1"/>
      <c r="K1083" s="1"/>
      <c r="L1083" s="1"/>
      <c r="M1083" s="1"/>
      <c r="N1083" s="1"/>
      <c r="O1083" s="1"/>
      <c r="P1083" s="1"/>
      <c r="Q1083" s="1"/>
      <c r="R1083" s="1"/>
      <c r="S1083" s="1"/>
      <c r="T1083" s="1"/>
      <c r="U1083" s="1"/>
      <c r="V1083" s="1"/>
      <c r="W1083" s="1"/>
      <c r="X1083" s="1"/>
      <c r="Y1083" s="1"/>
      <c r="Z1083" s="1"/>
      <c r="AA1083" s="1"/>
      <c r="AB1083" s="1"/>
      <c r="AC1083" s="1"/>
      <c r="AD1083" s="1" t="s">
        <v>93</v>
      </c>
      <c r="AE1083" s="1" t="s">
        <v>93</v>
      </c>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t="s">
        <v>9609</v>
      </c>
      <c r="BQ1083" s="3"/>
      <c r="BR1083" s="3"/>
    </row>
    <row r="1084" spans="1:70">
      <c r="A1084" s="1" t="s">
        <v>14387</v>
      </c>
      <c r="B1084" s="1" t="s">
        <v>441</v>
      </c>
      <c r="C1084" s="1" t="s">
        <v>15776</v>
      </c>
      <c r="D1084" s="1" t="s">
        <v>15777</v>
      </c>
      <c r="E1084" s="1"/>
      <c r="F1084" s="1" t="s">
        <v>15778</v>
      </c>
      <c r="G1084" s="1" t="s">
        <v>15779</v>
      </c>
      <c r="H1084" s="1" t="s">
        <v>15780</v>
      </c>
      <c r="I1084" s="1" t="s">
        <v>15780</v>
      </c>
      <c r="J1084" s="1"/>
      <c r="K1084" s="1"/>
      <c r="L1084" s="1"/>
      <c r="M1084" s="1"/>
      <c r="N1084" s="1"/>
      <c r="O1084" s="1"/>
      <c r="P1084" s="1"/>
      <c r="Q1084" s="1"/>
      <c r="R1084" s="1"/>
      <c r="S1084" s="1"/>
      <c r="T1084" s="1"/>
      <c r="U1084" s="1"/>
      <c r="V1084" s="1"/>
      <c r="W1084" s="1"/>
      <c r="X1084" s="1"/>
      <c r="Y1084" s="1"/>
      <c r="Z1084" s="1"/>
      <c r="AA1084" s="1"/>
      <c r="AB1084" s="1"/>
      <c r="AC1084" s="1"/>
      <c r="AD1084" s="1" t="s">
        <v>93</v>
      </c>
      <c r="AE1084" s="1" t="s">
        <v>93</v>
      </c>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t="s">
        <v>9609</v>
      </c>
      <c r="BQ1084" s="3"/>
      <c r="BR1084" s="3"/>
    </row>
    <row r="1085" spans="1:70">
      <c r="A1085" s="1" t="s">
        <v>14387</v>
      </c>
      <c r="B1085" s="1" t="s">
        <v>441</v>
      </c>
      <c r="C1085" s="1" t="s">
        <v>15781</v>
      </c>
      <c r="D1085" s="1" t="s">
        <v>13506</v>
      </c>
      <c r="E1085" s="1" t="s">
        <v>8497</v>
      </c>
      <c r="F1085" s="1" t="s">
        <v>2072</v>
      </c>
      <c r="G1085" s="1" t="s">
        <v>13507</v>
      </c>
      <c r="H1085" s="1" t="s">
        <v>15782</v>
      </c>
      <c r="I1085" s="1" t="s">
        <v>15782</v>
      </c>
      <c r="J1085" s="1"/>
      <c r="K1085" s="1"/>
      <c r="L1085" s="1"/>
      <c r="M1085" s="1"/>
      <c r="N1085" s="1"/>
      <c r="O1085" s="1"/>
      <c r="P1085" s="1"/>
      <c r="Q1085" s="1"/>
      <c r="R1085" s="1"/>
      <c r="S1085" s="1"/>
      <c r="T1085" s="1"/>
      <c r="U1085" s="1"/>
      <c r="V1085" s="1"/>
      <c r="W1085" s="1"/>
      <c r="X1085" s="1"/>
      <c r="Y1085" s="1"/>
      <c r="Z1085" s="1"/>
      <c r="AA1085" s="1"/>
      <c r="AB1085" s="1"/>
      <c r="AC1085" s="1"/>
      <c r="AD1085" s="1" t="s">
        <v>93</v>
      </c>
      <c r="AE1085" s="1" t="s">
        <v>93</v>
      </c>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t="s">
        <v>9609</v>
      </c>
      <c r="BQ1085" s="3"/>
      <c r="BR1085" s="3"/>
    </row>
    <row r="1086" spans="1:70">
      <c r="A1086" s="1" t="s">
        <v>70</v>
      </c>
      <c r="B1086" s="1" t="s">
        <v>13846</v>
      </c>
      <c r="C1086" s="1" t="s">
        <v>15783</v>
      </c>
      <c r="D1086" s="1"/>
      <c r="E1086" s="1"/>
      <c r="F1086" s="1"/>
      <c r="G1086" s="1"/>
      <c r="H1086" s="1" t="s">
        <v>15784</v>
      </c>
      <c r="I1086" s="1" t="s">
        <v>15784</v>
      </c>
      <c r="J1086" s="1"/>
      <c r="K1086" s="1"/>
      <c r="L1086" s="1"/>
      <c r="M1086" s="1"/>
      <c r="N1086" s="1"/>
      <c r="O1086" s="1"/>
      <c r="P1086" s="1"/>
      <c r="Q1086" s="1"/>
      <c r="R1086" s="1"/>
      <c r="S1086" s="1"/>
      <c r="T1086" s="1"/>
      <c r="U1086" s="1"/>
      <c r="V1086" s="1"/>
      <c r="W1086" s="1"/>
      <c r="X1086" s="1"/>
      <c r="Y1086" s="1"/>
      <c r="Z1086" s="1"/>
      <c r="AA1086" s="1"/>
      <c r="AB1086" s="1"/>
      <c r="AC1086" s="1"/>
      <c r="AD1086" s="1" t="s">
        <v>93</v>
      </c>
      <c r="AE1086" s="1" t="s">
        <v>93</v>
      </c>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t="s">
        <v>9609</v>
      </c>
      <c r="BQ1086" s="3"/>
      <c r="BR1086" s="3"/>
    </row>
    <row r="1087" spans="1:70">
      <c r="A1087" s="1" t="s">
        <v>70</v>
      </c>
      <c r="B1087" s="1" t="s">
        <v>13846</v>
      </c>
      <c r="C1087" s="1" t="s">
        <v>15785</v>
      </c>
      <c r="D1087" s="1"/>
      <c r="E1087" s="1"/>
      <c r="F1087" s="1"/>
      <c r="G1087" s="1"/>
      <c r="H1087" s="1" t="s">
        <v>15786</v>
      </c>
      <c r="I1087" s="1" t="s">
        <v>15786</v>
      </c>
      <c r="J1087" s="1"/>
      <c r="K1087" s="1"/>
      <c r="L1087" s="1"/>
      <c r="M1087" s="1"/>
      <c r="N1087" s="1"/>
      <c r="O1087" s="1"/>
      <c r="P1087" s="1"/>
      <c r="Q1087" s="1"/>
      <c r="R1087" s="1"/>
      <c r="S1087" s="1"/>
      <c r="T1087" s="1"/>
      <c r="U1087" s="1"/>
      <c r="V1087" s="1"/>
      <c r="W1087" s="1"/>
      <c r="X1087" s="1"/>
      <c r="Y1087" s="1"/>
      <c r="Z1087" s="1"/>
      <c r="AA1087" s="1"/>
      <c r="AB1087" s="1"/>
      <c r="AC1087" s="1"/>
      <c r="AD1087" s="1" t="s">
        <v>93</v>
      </c>
      <c r="AE1087" s="1" t="s">
        <v>93</v>
      </c>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t="s">
        <v>9609</v>
      </c>
      <c r="BQ1087" s="3"/>
      <c r="BR1087" s="3"/>
    </row>
    <row r="1088" spans="1:70">
      <c r="A1088" s="1" t="s">
        <v>70</v>
      </c>
      <c r="B1088" s="1" t="s">
        <v>13846</v>
      </c>
      <c r="C1088" s="1" t="s">
        <v>15787</v>
      </c>
      <c r="D1088" s="1"/>
      <c r="E1088" s="1"/>
      <c r="F1088" s="1"/>
      <c r="G1088" s="1"/>
      <c r="H1088" s="1" t="s">
        <v>15788</v>
      </c>
      <c r="I1088" s="1" t="s">
        <v>15788</v>
      </c>
      <c r="J1088" s="1"/>
      <c r="K1088" s="1"/>
      <c r="L1088" s="1"/>
      <c r="M1088" s="1"/>
      <c r="N1088" s="1"/>
      <c r="O1088" s="1"/>
      <c r="P1088" s="1"/>
      <c r="Q1088" s="1"/>
      <c r="R1088" s="1"/>
      <c r="S1088" s="1"/>
      <c r="T1088" s="1"/>
      <c r="U1088" s="1"/>
      <c r="V1088" s="1"/>
      <c r="W1088" s="1"/>
      <c r="X1088" s="1"/>
      <c r="Y1088" s="1"/>
      <c r="Z1088" s="1"/>
      <c r="AA1088" s="1"/>
      <c r="AB1088" s="1"/>
      <c r="AC1088" s="1"/>
      <c r="AD1088" s="1" t="s">
        <v>93</v>
      </c>
      <c r="AE1088" s="1" t="s">
        <v>93</v>
      </c>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t="s">
        <v>9609</v>
      </c>
      <c r="BQ1088" s="3"/>
      <c r="BR1088" s="3"/>
    </row>
    <row r="1089" spans="1:70">
      <c r="A1089" s="1" t="s">
        <v>70</v>
      </c>
      <c r="B1089" s="1" t="s">
        <v>13846</v>
      </c>
      <c r="C1089" s="1" t="s">
        <v>15789</v>
      </c>
      <c r="D1089" s="1"/>
      <c r="E1089" s="1"/>
      <c r="F1089" s="1"/>
      <c r="G1089" s="1"/>
      <c r="H1089" s="1" t="s">
        <v>15790</v>
      </c>
      <c r="I1089" s="1" t="s">
        <v>15790</v>
      </c>
      <c r="J1089" s="1"/>
      <c r="K1089" s="1"/>
      <c r="L1089" s="1"/>
      <c r="M1089" s="1"/>
      <c r="N1089" s="1"/>
      <c r="O1089" s="1"/>
      <c r="P1089" s="1"/>
      <c r="Q1089" s="1"/>
      <c r="R1089" s="1"/>
      <c r="S1089" s="1"/>
      <c r="T1089" s="1"/>
      <c r="U1089" s="1"/>
      <c r="V1089" s="1"/>
      <c r="W1089" s="1"/>
      <c r="X1089" s="1"/>
      <c r="Y1089" s="1"/>
      <c r="Z1089" s="1"/>
      <c r="AA1089" s="1"/>
      <c r="AB1089" s="1"/>
      <c r="AC1089" s="1"/>
      <c r="AD1089" s="1" t="s">
        <v>93</v>
      </c>
      <c r="AE1089" s="1" t="s">
        <v>93</v>
      </c>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t="s">
        <v>9609</v>
      </c>
      <c r="BQ1089" s="3"/>
      <c r="BR1089" s="3"/>
    </row>
    <row r="1090" spans="1:70">
      <c r="A1090" s="1" t="s">
        <v>70</v>
      </c>
      <c r="B1090" s="1" t="s">
        <v>13846</v>
      </c>
      <c r="C1090" s="1" t="s">
        <v>15791</v>
      </c>
      <c r="D1090" s="1"/>
      <c r="E1090" s="1"/>
      <c r="F1090" s="1"/>
      <c r="G1090" s="1"/>
      <c r="H1090" s="1" t="s">
        <v>15792</v>
      </c>
      <c r="I1090" s="1" t="s">
        <v>15792</v>
      </c>
      <c r="J1090" s="1"/>
      <c r="K1090" s="1"/>
      <c r="L1090" s="1"/>
      <c r="M1090" s="1"/>
      <c r="N1090" s="1"/>
      <c r="O1090" s="1"/>
      <c r="P1090" s="1"/>
      <c r="Q1090" s="1"/>
      <c r="R1090" s="1"/>
      <c r="S1090" s="1"/>
      <c r="T1090" s="1"/>
      <c r="U1090" s="1"/>
      <c r="V1090" s="1"/>
      <c r="W1090" s="1"/>
      <c r="X1090" s="1"/>
      <c r="Y1090" s="1"/>
      <c r="Z1090" s="1"/>
      <c r="AA1090" s="1"/>
      <c r="AB1090" s="1"/>
      <c r="AC1090" s="1"/>
      <c r="AD1090" s="1" t="s">
        <v>93</v>
      </c>
      <c r="AE1090" s="1" t="s">
        <v>93</v>
      </c>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t="s">
        <v>9609</v>
      </c>
      <c r="BQ1090" s="3"/>
      <c r="BR1090" s="3"/>
    </row>
    <row r="1091" spans="1:70">
      <c r="A1091" s="1" t="s">
        <v>70</v>
      </c>
      <c r="B1091" s="1" t="s">
        <v>13846</v>
      </c>
      <c r="C1091" s="1" t="s">
        <v>15793</v>
      </c>
      <c r="D1091" s="1"/>
      <c r="E1091" s="1"/>
      <c r="F1091" s="1"/>
      <c r="G1091" s="1"/>
      <c r="H1091" s="1" t="s">
        <v>15794</v>
      </c>
      <c r="I1091" s="1" t="s">
        <v>15794</v>
      </c>
      <c r="J1091" s="1"/>
      <c r="K1091" s="1"/>
      <c r="L1091" s="1"/>
      <c r="M1091" s="1"/>
      <c r="N1091" s="1"/>
      <c r="O1091" s="1"/>
      <c r="P1091" s="1"/>
      <c r="Q1091" s="1"/>
      <c r="R1091" s="1"/>
      <c r="S1091" s="1"/>
      <c r="T1091" s="1"/>
      <c r="U1091" s="1"/>
      <c r="V1091" s="1"/>
      <c r="W1091" s="1"/>
      <c r="X1091" s="1"/>
      <c r="Y1091" s="1"/>
      <c r="Z1091" s="1"/>
      <c r="AA1091" s="1"/>
      <c r="AB1091" s="1"/>
      <c r="AC1091" s="1"/>
      <c r="AD1091" s="1" t="s">
        <v>93</v>
      </c>
      <c r="AE1091" s="1" t="s">
        <v>93</v>
      </c>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t="s">
        <v>9609</v>
      </c>
      <c r="BQ1091" s="3"/>
      <c r="BR1091" s="3"/>
    </row>
    <row r="1092" spans="1:70">
      <c r="A1092" s="1" t="s">
        <v>70</v>
      </c>
      <c r="B1092" s="1" t="s">
        <v>13846</v>
      </c>
      <c r="C1092" s="1" t="s">
        <v>15795</v>
      </c>
      <c r="D1092" s="1" t="s">
        <v>15796</v>
      </c>
      <c r="E1092" s="1"/>
      <c r="F1092" s="1" t="s">
        <v>15797</v>
      </c>
      <c r="G1092" s="1" t="s">
        <v>15798</v>
      </c>
      <c r="H1092" s="1" t="s">
        <v>15799</v>
      </c>
      <c r="I1092" s="1" t="s">
        <v>15799</v>
      </c>
      <c r="J1092" s="1">
        <v>9398068311</v>
      </c>
      <c r="K1092" s="1" t="s">
        <v>148</v>
      </c>
      <c r="L1092" s="1" t="s">
        <v>15800</v>
      </c>
      <c r="M1092" s="1" t="s">
        <v>81</v>
      </c>
      <c r="N1092" s="1" t="s">
        <v>15801</v>
      </c>
      <c r="O1092" s="1" t="s">
        <v>15802</v>
      </c>
      <c r="P1092" s="1" t="s">
        <v>214</v>
      </c>
      <c r="Q1092" s="1">
        <v>233412561119</v>
      </c>
      <c r="R1092" s="1" t="s">
        <v>15803</v>
      </c>
      <c r="S1092" s="1">
        <v>9441796366</v>
      </c>
      <c r="T1092" s="1" t="s">
        <v>3457</v>
      </c>
      <c r="U1092" s="1" t="s">
        <v>15804</v>
      </c>
      <c r="V1092" s="1">
        <v>9676907259</v>
      </c>
      <c r="W1092" s="1" t="s">
        <v>15805</v>
      </c>
      <c r="X1092" s="1" t="s">
        <v>15806</v>
      </c>
      <c r="Y1092" s="1" t="s">
        <v>15807</v>
      </c>
      <c r="Z1092" s="1" t="s">
        <v>456</v>
      </c>
      <c r="AA1092" s="1"/>
      <c r="AB1092" s="1" t="s">
        <v>15807</v>
      </c>
      <c r="AC1092" s="1" t="s">
        <v>456</v>
      </c>
      <c r="AD1092" s="1" t="s">
        <v>93</v>
      </c>
      <c r="AE1092" s="1" t="s">
        <v>93</v>
      </c>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t="s">
        <v>9609</v>
      </c>
      <c r="BQ1092" s="3"/>
      <c r="BR1092" s="3"/>
    </row>
    <row r="1093" spans="1:70">
      <c r="A1093" s="1" t="s">
        <v>70</v>
      </c>
      <c r="B1093" s="1" t="s">
        <v>13846</v>
      </c>
      <c r="C1093" s="1" t="s">
        <v>15808</v>
      </c>
      <c r="D1093" s="1"/>
      <c r="E1093" s="1"/>
      <c r="F1093" s="1"/>
      <c r="G1093" s="1"/>
      <c r="H1093" s="1" t="s">
        <v>15809</v>
      </c>
      <c r="I1093" s="1" t="s">
        <v>15809</v>
      </c>
      <c r="J1093" s="1"/>
      <c r="K1093" s="1"/>
      <c r="L1093" s="1"/>
      <c r="M1093" s="1"/>
      <c r="N1093" s="1"/>
      <c r="O1093" s="1"/>
      <c r="P1093" s="1"/>
      <c r="Q1093" s="1"/>
      <c r="R1093" s="1"/>
      <c r="S1093" s="1"/>
      <c r="T1093" s="1"/>
      <c r="U1093" s="1"/>
      <c r="V1093" s="1"/>
      <c r="W1093" s="1"/>
      <c r="X1093" s="1"/>
      <c r="Y1093" s="1"/>
      <c r="Z1093" s="1"/>
      <c r="AA1093" s="1"/>
      <c r="AB1093" s="1"/>
      <c r="AC1093" s="1"/>
      <c r="AD1093" s="1" t="s">
        <v>93</v>
      </c>
      <c r="AE1093" s="1" t="s">
        <v>93</v>
      </c>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t="s">
        <v>9609</v>
      </c>
      <c r="BQ1093" s="3"/>
      <c r="BR1093" s="3"/>
    </row>
    <row r="1094" spans="1:70">
      <c r="A1094" s="1" t="s">
        <v>70</v>
      </c>
      <c r="B1094" s="1" t="s">
        <v>13846</v>
      </c>
      <c r="C1094" s="1" t="s">
        <v>15810</v>
      </c>
      <c r="D1094" s="1"/>
      <c r="E1094" s="1"/>
      <c r="F1094" s="1"/>
      <c r="G1094" s="1"/>
      <c r="H1094" s="1" t="s">
        <v>15811</v>
      </c>
      <c r="I1094" s="1" t="s">
        <v>15811</v>
      </c>
      <c r="J1094" s="1"/>
      <c r="K1094" s="1"/>
      <c r="L1094" s="1"/>
      <c r="M1094" s="1"/>
      <c r="N1094" s="1"/>
      <c r="O1094" s="1"/>
      <c r="P1094" s="1"/>
      <c r="Q1094" s="1"/>
      <c r="R1094" s="1"/>
      <c r="S1094" s="1"/>
      <c r="T1094" s="1"/>
      <c r="U1094" s="1"/>
      <c r="V1094" s="1"/>
      <c r="W1094" s="1"/>
      <c r="X1094" s="1"/>
      <c r="Y1094" s="1"/>
      <c r="Z1094" s="1"/>
      <c r="AA1094" s="1"/>
      <c r="AB1094" s="1"/>
      <c r="AC1094" s="1"/>
      <c r="AD1094" s="1" t="s">
        <v>93</v>
      </c>
      <c r="AE1094" s="1" t="s">
        <v>93</v>
      </c>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t="s">
        <v>9609</v>
      </c>
      <c r="BQ1094" s="3"/>
      <c r="BR1094" s="3"/>
    </row>
    <row r="1095" spans="1:70">
      <c r="A1095" s="1" t="s">
        <v>70</v>
      </c>
      <c r="B1095" s="1" t="s">
        <v>13846</v>
      </c>
      <c r="C1095" s="1" t="s">
        <v>15812</v>
      </c>
      <c r="D1095" s="1"/>
      <c r="E1095" s="1"/>
      <c r="F1095" s="1"/>
      <c r="G1095" s="1"/>
      <c r="H1095" s="1" t="s">
        <v>15813</v>
      </c>
      <c r="I1095" s="1" t="s">
        <v>15813</v>
      </c>
      <c r="J1095" s="1"/>
      <c r="K1095" s="1"/>
      <c r="L1095" s="1"/>
      <c r="M1095" s="1"/>
      <c r="N1095" s="1"/>
      <c r="O1095" s="1"/>
      <c r="P1095" s="1"/>
      <c r="Q1095" s="1"/>
      <c r="R1095" s="1"/>
      <c r="S1095" s="1"/>
      <c r="T1095" s="1"/>
      <c r="U1095" s="1"/>
      <c r="V1095" s="1"/>
      <c r="W1095" s="1"/>
      <c r="X1095" s="1"/>
      <c r="Y1095" s="1"/>
      <c r="Z1095" s="1"/>
      <c r="AA1095" s="1"/>
      <c r="AB1095" s="1"/>
      <c r="AC1095" s="1"/>
      <c r="AD1095" s="1" t="s">
        <v>93</v>
      </c>
      <c r="AE1095" s="1" t="s">
        <v>93</v>
      </c>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t="s">
        <v>9609</v>
      </c>
      <c r="BQ1095" s="3"/>
      <c r="BR1095" s="3"/>
    </row>
    <row r="1096" spans="1:70">
      <c r="A1096" s="1" t="s">
        <v>70</v>
      </c>
      <c r="B1096" s="1" t="s">
        <v>13846</v>
      </c>
      <c r="C1096" s="1" t="s">
        <v>15814</v>
      </c>
      <c r="D1096" s="1"/>
      <c r="E1096" s="1"/>
      <c r="F1096" s="1"/>
      <c r="G1096" s="1"/>
      <c r="H1096" s="1" t="s">
        <v>15815</v>
      </c>
      <c r="I1096" s="1" t="s">
        <v>15815</v>
      </c>
      <c r="J1096" s="1"/>
      <c r="K1096" s="1"/>
      <c r="L1096" s="1"/>
      <c r="M1096" s="1"/>
      <c r="N1096" s="1"/>
      <c r="O1096" s="1"/>
      <c r="P1096" s="1"/>
      <c r="Q1096" s="1"/>
      <c r="R1096" s="1"/>
      <c r="S1096" s="1"/>
      <c r="T1096" s="1"/>
      <c r="U1096" s="1"/>
      <c r="V1096" s="1"/>
      <c r="W1096" s="1"/>
      <c r="X1096" s="1"/>
      <c r="Y1096" s="1"/>
      <c r="Z1096" s="1"/>
      <c r="AA1096" s="1"/>
      <c r="AB1096" s="1"/>
      <c r="AC1096" s="1"/>
      <c r="AD1096" s="1" t="s">
        <v>93</v>
      </c>
      <c r="AE1096" s="1" t="s">
        <v>93</v>
      </c>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t="s">
        <v>9609</v>
      </c>
      <c r="BQ1096" s="3"/>
      <c r="BR1096" s="3"/>
    </row>
    <row r="1097" spans="1:70">
      <c r="A1097" s="1" t="s">
        <v>70</v>
      </c>
      <c r="B1097" s="1" t="s">
        <v>13846</v>
      </c>
      <c r="C1097" s="1" t="s">
        <v>15816</v>
      </c>
      <c r="D1097" s="1"/>
      <c r="E1097" s="1"/>
      <c r="F1097" s="1"/>
      <c r="G1097" s="1"/>
      <c r="H1097" s="1" t="s">
        <v>15817</v>
      </c>
      <c r="I1097" s="1" t="s">
        <v>15817</v>
      </c>
      <c r="J1097" s="1"/>
      <c r="K1097" s="1"/>
      <c r="L1097" s="1"/>
      <c r="M1097" s="1"/>
      <c r="N1097" s="1"/>
      <c r="O1097" s="1"/>
      <c r="P1097" s="1"/>
      <c r="Q1097" s="1"/>
      <c r="R1097" s="1"/>
      <c r="S1097" s="1"/>
      <c r="T1097" s="1"/>
      <c r="U1097" s="1"/>
      <c r="V1097" s="1"/>
      <c r="W1097" s="1"/>
      <c r="X1097" s="1"/>
      <c r="Y1097" s="1"/>
      <c r="Z1097" s="1"/>
      <c r="AA1097" s="1"/>
      <c r="AB1097" s="1"/>
      <c r="AC1097" s="1"/>
      <c r="AD1097" s="1" t="s">
        <v>93</v>
      </c>
      <c r="AE1097" s="1" t="s">
        <v>93</v>
      </c>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t="s">
        <v>9609</v>
      </c>
      <c r="BQ1097" s="3"/>
      <c r="BR1097" s="3"/>
    </row>
    <row r="1098" spans="1:70">
      <c r="A1098" s="1" t="s">
        <v>70</v>
      </c>
      <c r="B1098" s="1" t="s">
        <v>13846</v>
      </c>
      <c r="C1098" s="1" t="s">
        <v>15818</v>
      </c>
      <c r="D1098" s="1"/>
      <c r="E1098" s="1"/>
      <c r="F1098" s="1"/>
      <c r="G1098" s="1"/>
      <c r="H1098" s="1" t="s">
        <v>15819</v>
      </c>
      <c r="I1098" s="1" t="s">
        <v>15819</v>
      </c>
      <c r="J1098" s="1"/>
      <c r="K1098" s="1"/>
      <c r="L1098" s="1"/>
      <c r="M1098" s="1"/>
      <c r="N1098" s="1"/>
      <c r="O1098" s="1"/>
      <c r="P1098" s="1"/>
      <c r="Q1098" s="1"/>
      <c r="R1098" s="1"/>
      <c r="S1098" s="1"/>
      <c r="T1098" s="1"/>
      <c r="U1098" s="1"/>
      <c r="V1098" s="1"/>
      <c r="W1098" s="1"/>
      <c r="X1098" s="1"/>
      <c r="Y1098" s="1"/>
      <c r="Z1098" s="1"/>
      <c r="AA1098" s="1"/>
      <c r="AB1098" s="1"/>
      <c r="AC1098" s="1"/>
      <c r="AD1098" s="1" t="s">
        <v>93</v>
      </c>
      <c r="AE1098" s="1" t="s">
        <v>93</v>
      </c>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t="s">
        <v>9609</v>
      </c>
      <c r="BQ1098" s="3"/>
      <c r="BR1098" s="3"/>
    </row>
    <row r="1099" spans="1:70">
      <c r="A1099" s="1" t="s">
        <v>70</v>
      </c>
      <c r="B1099" s="1" t="s">
        <v>13846</v>
      </c>
      <c r="C1099" s="1" t="s">
        <v>15820</v>
      </c>
      <c r="D1099" s="1"/>
      <c r="E1099" s="1"/>
      <c r="F1099" s="1"/>
      <c r="G1099" s="1"/>
      <c r="H1099" s="1" t="s">
        <v>15821</v>
      </c>
      <c r="I1099" s="1" t="s">
        <v>15821</v>
      </c>
      <c r="J1099" s="1"/>
      <c r="K1099" s="1"/>
      <c r="L1099" s="1"/>
      <c r="M1099" s="1"/>
      <c r="N1099" s="1"/>
      <c r="O1099" s="1"/>
      <c r="P1099" s="1"/>
      <c r="Q1099" s="1"/>
      <c r="R1099" s="1"/>
      <c r="S1099" s="1"/>
      <c r="T1099" s="1"/>
      <c r="U1099" s="1"/>
      <c r="V1099" s="1"/>
      <c r="W1099" s="1"/>
      <c r="X1099" s="1"/>
      <c r="Y1099" s="1"/>
      <c r="Z1099" s="1"/>
      <c r="AA1099" s="1"/>
      <c r="AB1099" s="1"/>
      <c r="AC1099" s="1"/>
      <c r="AD1099" s="1" t="s">
        <v>93</v>
      </c>
      <c r="AE1099" s="1" t="s">
        <v>93</v>
      </c>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t="s">
        <v>9609</v>
      </c>
      <c r="BQ1099" s="3"/>
      <c r="BR1099" s="3"/>
    </row>
    <row r="1100" spans="1:70">
      <c r="A1100" s="1" t="s">
        <v>70</v>
      </c>
      <c r="B1100" s="1" t="s">
        <v>13846</v>
      </c>
      <c r="C1100" s="1" t="s">
        <v>15822</v>
      </c>
      <c r="D1100" s="1"/>
      <c r="E1100" s="1"/>
      <c r="F1100" s="1"/>
      <c r="G1100" s="1"/>
      <c r="H1100" s="1" t="s">
        <v>15823</v>
      </c>
      <c r="I1100" s="1" t="s">
        <v>15823</v>
      </c>
      <c r="J1100" s="1"/>
      <c r="K1100" s="1"/>
      <c r="L1100" s="1"/>
      <c r="M1100" s="1"/>
      <c r="N1100" s="1"/>
      <c r="O1100" s="1"/>
      <c r="P1100" s="1"/>
      <c r="Q1100" s="1"/>
      <c r="R1100" s="1"/>
      <c r="S1100" s="1"/>
      <c r="T1100" s="1"/>
      <c r="U1100" s="1"/>
      <c r="V1100" s="1"/>
      <c r="W1100" s="1"/>
      <c r="X1100" s="1"/>
      <c r="Y1100" s="1"/>
      <c r="Z1100" s="1"/>
      <c r="AA1100" s="1"/>
      <c r="AB1100" s="1"/>
      <c r="AC1100" s="1"/>
      <c r="AD1100" s="1" t="s">
        <v>93</v>
      </c>
      <c r="AE1100" s="1" t="s">
        <v>93</v>
      </c>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t="s">
        <v>9609</v>
      </c>
      <c r="BQ1100" s="3"/>
      <c r="BR1100" s="3"/>
    </row>
    <row r="1101" spans="1:70">
      <c r="A1101" s="1" t="s">
        <v>70</v>
      </c>
      <c r="B1101" s="1" t="s">
        <v>13846</v>
      </c>
      <c r="C1101" s="1" t="s">
        <v>15824</v>
      </c>
      <c r="D1101" s="1"/>
      <c r="E1101" s="1"/>
      <c r="F1101" s="1"/>
      <c r="G1101" s="1"/>
      <c r="H1101" s="1" t="s">
        <v>15825</v>
      </c>
      <c r="I1101" s="1" t="s">
        <v>15825</v>
      </c>
      <c r="J1101" s="1"/>
      <c r="K1101" s="1"/>
      <c r="L1101" s="1"/>
      <c r="M1101" s="1"/>
      <c r="N1101" s="1"/>
      <c r="O1101" s="1"/>
      <c r="P1101" s="1"/>
      <c r="Q1101" s="1"/>
      <c r="R1101" s="1"/>
      <c r="S1101" s="1"/>
      <c r="T1101" s="1"/>
      <c r="U1101" s="1"/>
      <c r="V1101" s="1"/>
      <c r="W1101" s="1"/>
      <c r="X1101" s="1"/>
      <c r="Y1101" s="1"/>
      <c r="Z1101" s="1"/>
      <c r="AA1101" s="1"/>
      <c r="AB1101" s="1"/>
      <c r="AC1101" s="1"/>
      <c r="AD1101" s="1" t="s">
        <v>93</v>
      </c>
      <c r="AE1101" s="1" t="s">
        <v>93</v>
      </c>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t="s">
        <v>9609</v>
      </c>
      <c r="BQ1101" s="3"/>
      <c r="BR1101" s="3"/>
    </row>
    <row r="1102" spans="1:70">
      <c r="A1102" s="1" t="s">
        <v>70</v>
      </c>
      <c r="B1102" s="1" t="s">
        <v>13846</v>
      </c>
      <c r="C1102" s="1" t="s">
        <v>15826</v>
      </c>
      <c r="D1102" s="1"/>
      <c r="E1102" s="1"/>
      <c r="F1102" s="1"/>
      <c r="G1102" s="1"/>
      <c r="H1102" s="1" t="s">
        <v>15827</v>
      </c>
      <c r="I1102" s="1" t="s">
        <v>15827</v>
      </c>
      <c r="J1102" s="1"/>
      <c r="K1102" s="1"/>
      <c r="L1102" s="1"/>
      <c r="M1102" s="1"/>
      <c r="N1102" s="1"/>
      <c r="O1102" s="1"/>
      <c r="P1102" s="1"/>
      <c r="Q1102" s="1"/>
      <c r="R1102" s="1"/>
      <c r="S1102" s="1"/>
      <c r="T1102" s="1"/>
      <c r="U1102" s="1"/>
      <c r="V1102" s="1"/>
      <c r="W1102" s="1"/>
      <c r="X1102" s="1"/>
      <c r="Y1102" s="1"/>
      <c r="Z1102" s="1"/>
      <c r="AA1102" s="1"/>
      <c r="AB1102" s="1"/>
      <c r="AC1102" s="1"/>
      <c r="AD1102" s="1" t="s">
        <v>93</v>
      </c>
      <c r="AE1102" s="1" t="s">
        <v>93</v>
      </c>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t="s">
        <v>9609</v>
      </c>
      <c r="BQ1102" s="3"/>
      <c r="BR1102" s="3"/>
    </row>
    <row r="1103" spans="1:70">
      <c r="A1103" s="1" t="s">
        <v>70</v>
      </c>
      <c r="B1103" s="1" t="s">
        <v>13846</v>
      </c>
      <c r="C1103" s="1" t="s">
        <v>15828</v>
      </c>
      <c r="D1103" s="1"/>
      <c r="E1103" s="1"/>
      <c r="F1103" s="1"/>
      <c r="G1103" s="1"/>
      <c r="H1103" s="1" t="s">
        <v>15829</v>
      </c>
      <c r="I1103" s="1" t="s">
        <v>15829</v>
      </c>
      <c r="J1103" s="1"/>
      <c r="K1103" s="1"/>
      <c r="L1103" s="1"/>
      <c r="M1103" s="1"/>
      <c r="N1103" s="1"/>
      <c r="O1103" s="1"/>
      <c r="P1103" s="1"/>
      <c r="Q1103" s="1"/>
      <c r="R1103" s="1"/>
      <c r="S1103" s="1"/>
      <c r="T1103" s="1"/>
      <c r="U1103" s="1"/>
      <c r="V1103" s="1"/>
      <c r="W1103" s="1"/>
      <c r="X1103" s="1"/>
      <c r="Y1103" s="1"/>
      <c r="Z1103" s="1"/>
      <c r="AA1103" s="1"/>
      <c r="AB1103" s="1"/>
      <c r="AC1103" s="1"/>
      <c r="AD1103" s="1" t="s">
        <v>93</v>
      </c>
      <c r="AE1103" s="1" t="s">
        <v>93</v>
      </c>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t="s">
        <v>9609</v>
      </c>
      <c r="BQ1103" s="3"/>
      <c r="BR1103" s="3"/>
    </row>
    <row r="1104" spans="1:70">
      <c r="A1104" s="1" t="s">
        <v>70</v>
      </c>
      <c r="B1104" s="1" t="s">
        <v>13846</v>
      </c>
      <c r="C1104" s="1" t="s">
        <v>15830</v>
      </c>
      <c r="D1104" s="1"/>
      <c r="E1104" s="1"/>
      <c r="F1104" s="1"/>
      <c r="G1104" s="1"/>
      <c r="H1104" s="1" t="s">
        <v>15831</v>
      </c>
      <c r="I1104" s="1" t="s">
        <v>15831</v>
      </c>
      <c r="J1104" s="1"/>
      <c r="K1104" s="1"/>
      <c r="L1104" s="1"/>
      <c r="M1104" s="1"/>
      <c r="N1104" s="1"/>
      <c r="O1104" s="1"/>
      <c r="P1104" s="1"/>
      <c r="Q1104" s="1"/>
      <c r="R1104" s="1"/>
      <c r="S1104" s="1"/>
      <c r="T1104" s="1"/>
      <c r="U1104" s="1"/>
      <c r="V1104" s="1"/>
      <c r="W1104" s="1"/>
      <c r="X1104" s="1"/>
      <c r="Y1104" s="1"/>
      <c r="Z1104" s="1"/>
      <c r="AA1104" s="1"/>
      <c r="AB1104" s="1"/>
      <c r="AC1104" s="1"/>
      <c r="AD1104" s="1" t="s">
        <v>93</v>
      </c>
      <c r="AE1104" s="1" t="s">
        <v>93</v>
      </c>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t="s">
        <v>9609</v>
      </c>
      <c r="BQ1104" s="3"/>
      <c r="BR1104" s="3"/>
    </row>
    <row r="1105" spans="1:70">
      <c r="A1105" s="1" t="s">
        <v>70</v>
      </c>
      <c r="B1105" s="1" t="s">
        <v>13846</v>
      </c>
      <c r="C1105" s="1" t="s">
        <v>15832</v>
      </c>
      <c r="D1105" s="1"/>
      <c r="E1105" s="1"/>
      <c r="F1105" s="1"/>
      <c r="G1105" s="1"/>
      <c r="H1105" s="1" t="s">
        <v>15833</v>
      </c>
      <c r="I1105" s="1" t="s">
        <v>15833</v>
      </c>
      <c r="J1105" s="1"/>
      <c r="K1105" s="1"/>
      <c r="L1105" s="1"/>
      <c r="M1105" s="1"/>
      <c r="N1105" s="1"/>
      <c r="O1105" s="1"/>
      <c r="P1105" s="1"/>
      <c r="Q1105" s="1"/>
      <c r="R1105" s="1"/>
      <c r="S1105" s="1"/>
      <c r="T1105" s="1"/>
      <c r="U1105" s="1"/>
      <c r="V1105" s="1"/>
      <c r="W1105" s="1"/>
      <c r="X1105" s="1"/>
      <c r="Y1105" s="1"/>
      <c r="Z1105" s="1"/>
      <c r="AA1105" s="1"/>
      <c r="AB1105" s="1"/>
      <c r="AC1105" s="1"/>
      <c r="AD1105" s="1" t="s">
        <v>93</v>
      </c>
      <c r="AE1105" s="1" t="s">
        <v>93</v>
      </c>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t="s">
        <v>9609</v>
      </c>
      <c r="BQ1105" s="3"/>
      <c r="BR1105" s="3"/>
    </row>
    <row r="1106" spans="1:70">
      <c r="A1106" s="1" t="s">
        <v>70</v>
      </c>
      <c r="B1106" s="1" t="s">
        <v>13846</v>
      </c>
      <c r="C1106" s="1" t="s">
        <v>15834</v>
      </c>
      <c r="D1106" s="1"/>
      <c r="E1106" s="1"/>
      <c r="F1106" s="1"/>
      <c r="G1106" s="1"/>
      <c r="H1106" s="1" t="s">
        <v>15835</v>
      </c>
      <c r="I1106" s="1" t="s">
        <v>15835</v>
      </c>
      <c r="J1106" s="1"/>
      <c r="K1106" s="1"/>
      <c r="L1106" s="1"/>
      <c r="M1106" s="1"/>
      <c r="N1106" s="1"/>
      <c r="O1106" s="1"/>
      <c r="P1106" s="1"/>
      <c r="Q1106" s="1"/>
      <c r="R1106" s="1"/>
      <c r="S1106" s="1"/>
      <c r="T1106" s="1"/>
      <c r="U1106" s="1"/>
      <c r="V1106" s="1"/>
      <c r="W1106" s="1"/>
      <c r="X1106" s="1"/>
      <c r="Y1106" s="1"/>
      <c r="Z1106" s="1"/>
      <c r="AA1106" s="1"/>
      <c r="AB1106" s="1"/>
      <c r="AC1106" s="1"/>
      <c r="AD1106" s="1" t="s">
        <v>93</v>
      </c>
      <c r="AE1106" s="1" t="s">
        <v>93</v>
      </c>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t="s">
        <v>9609</v>
      </c>
      <c r="BQ1106" s="3"/>
      <c r="BR1106" s="3"/>
    </row>
    <row r="1107" spans="1:70">
      <c r="A1107" s="1" t="s">
        <v>70</v>
      </c>
      <c r="B1107" s="1" t="s">
        <v>13846</v>
      </c>
      <c r="C1107" s="1" t="s">
        <v>15836</v>
      </c>
      <c r="D1107" s="1"/>
      <c r="E1107" s="1"/>
      <c r="F1107" s="1"/>
      <c r="G1107" s="1"/>
      <c r="H1107" s="1" t="s">
        <v>15837</v>
      </c>
      <c r="I1107" s="1" t="s">
        <v>15837</v>
      </c>
      <c r="J1107" s="1"/>
      <c r="K1107" s="1"/>
      <c r="L1107" s="1"/>
      <c r="M1107" s="1"/>
      <c r="N1107" s="1"/>
      <c r="O1107" s="1"/>
      <c r="P1107" s="1"/>
      <c r="Q1107" s="1"/>
      <c r="R1107" s="1"/>
      <c r="S1107" s="1"/>
      <c r="T1107" s="1"/>
      <c r="U1107" s="1"/>
      <c r="V1107" s="1"/>
      <c r="W1107" s="1"/>
      <c r="X1107" s="1"/>
      <c r="Y1107" s="1"/>
      <c r="Z1107" s="1"/>
      <c r="AA1107" s="1"/>
      <c r="AB1107" s="1"/>
      <c r="AC1107" s="1"/>
      <c r="AD1107" s="1" t="s">
        <v>93</v>
      </c>
      <c r="AE1107" s="1" t="s">
        <v>93</v>
      </c>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t="s">
        <v>9609</v>
      </c>
      <c r="BQ1107" s="3"/>
      <c r="BR1107" s="3"/>
    </row>
    <row r="1108" spans="1:70">
      <c r="A1108" s="1" t="s">
        <v>70</v>
      </c>
      <c r="B1108" s="1" t="s">
        <v>13846</v>
      </c>
      <c r="C1108" s="1" t="s">
        <v>15838</v>
      </c>
      <c r="D1108" s="1"/>
      <c r="E1108" s="1"/>
      <c r="F1108" s="1"/>
      <c r="G1108" s="1"/>
      <c r="H1108" s="1" t="s">
        <v>15839</v>
      </c>
      <c r="I1108" s="1" t="s">
        <v>15839</v>
      </c>
      <c r="J1108" s="1"/>
      <c r="K1108" s="1"/>
      <c r="L1108" s="1"/>
      <c r="M1108" s="1"/>
      <c r="N1108" s="1"/>
      <c r="O1108" s="1"/>
      <c r="P1108" s="1"/>
      <c r="Q1108" s="1"/>
      <c r="R1108" s="1"/>
      <c r="S1108" s="1"/>
      <c r="T1108" s="1"/>
      <c r="U1108" s="1"/>
      <c r="V1108" s="1"/>
      <c r="W1108" s="1"/>
      <c r="X1108" s="1"/>
      <c r="Y1108" s="1"/>
      <c r="Z1108" s="1"/>
      <c r="AA1108" s="1"/>
      <c r="AB1108" s="1"/>
      <c r="AC1108" s="1"/>
      <c r="AD1108" s="1" t="s">
        <v>93</v>
      </c>
      <c r="AE1108" s="1" t="s">
        <v>93</v>
      </c>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t="s">
        <v>9609</v>
      </c>
      <c r="BQ1108" s="3"/>
      <c r="BR1108" s="3"/>
    </row>
    <row r="1109" spans="1:70">
      <c r="A1109" s="1" t="s">
        <v>70</v>
      </c>
      <c r="B1109" s="1" t="s">
        <v>13846</v>
      </c>
      <c r="C1109" s="1" t="s">
        <v>15840</v>
      </c>
      <c r="D1109" s="1"/>
      <c r="E1109" s="1"/>
      <c r="F1109" s="1"/>
      <c r="G1109" s="1"/>
      <c r="H1109" s="1" t="s">
        <v>15841</v>
      </c>
      <c r="I1109" s="1" t="s">
        <v>15841</v>
      </c>
      <c r="J1109" s="1"/>
      <c r="K1109" s="1"/>
      <c r="L1109" s="1"/>
      <c r="M1109" s="1"/>
      <c r="N1109" s="1"/>
      <c r="O1109" s="1"/>
      <c r="P1109" s="1"/>
      <c r="Q1109" s="1"/>
      <c r="R1109" s="1"/>
      <c r="S1109" s="1"/>
      <c r="T1109" s="1"/>
      <c r="U1109" s="1"/>
      <c r="V1109" s="1"/>
      <c r="W1109" s="1"/>
      <c r="X1109" s="1"/>
      <c r="Y1109" s="1"/>
      <c r="Z1109" s="1"/>
      <c r="AA1109" s="1"/>
      <c r="AB1109" s="1"/>
      <c r="AC1109" s="1"/>
      <c r="AD1109" s="1" t="s">
        <v>93</v>
      </c>
      <c r="AE1109" s="1" t="s">
        <v>93</v>
      </c>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t="s">
        <v>9609</v>
      </c>
      <c r="BQ1109" s="3"/>
      <c r="BR1109" s="3"/>
    </row>
    <row r="1110" spans="1:70">
      <c r="A1110" s="1" t="s">
        <v>70</v>
      </c>
      <c r="B1110" s="1" t="s">
        <v>13846</v>
      </c>
      <c r="C1110" s="1" t="s">
        <v>15842</v>
      </c>
      <c r="D1110" s="1"/>
      <c r="E1110" s="1"/>
      <c r="F1110" s="1"/>
      <c r="G1110" s="1"/>
      <c r="H1110" s="1" t="s">
        <v>15843</v>
      </c>
      <c r="I1110" s="1" t="s">
        <v>15843</v>
      </c>
      <c r="J1110" s="1"/>
      <c r="K1110" s="1"/>
      <c r="L1110" s="1"/>
      <c r="M1110" s="1"/>
      <c r="N1110" s="1"/>
      <c r="O1110" s="1"/>
      <c r="P1110" s="1"/>
      <c r="Q1110" s="1"/>
      <c r="R1110" s="1"/>
      <c r="S1110" s="1"/>
      <c r="T1110" s="1"/>
      <c r="U1110" s="1"/>
      <c r="V1110" s="1"/>
      <c r="W1110" s="1"/>
      <c r="X1110" s="1"/>
      <c r="Y1110" s="1"/>
      <c r="Z1110" s="1"/>
      <c r="AA1110" s="1"/>
      <c r="AB1110" s="1"/>
      <c r="AC1110" s="1"/>
      <c r="AD1110" s="1" t="s">
        <v>93</v>
      </c>
      <c r="AE1110" s="1" t="s">
        <v>93</v>
      </c>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t="s">
        <v>9609</v>
      </c>
      <c r="BQ1110" s="3"/>
      <c r="BR1110" s="3"/>
    </row>
    <row r="1111" spans="1:70">
      <c r="A1111" s="1" t="s">
        <v>70</v>
      </c>
      <c r="B1111" s="1" t="s">
        <v>13846</v>
      </c>
      <c r="C1111" s="1" t="s">
        <v>15844</v>
      </c>
      <c r="D1111" s="1"/>
      <c r="E1111" s="1"/>
      <c r="F1111" s="1"/>
      <c r="G1111" s="1"/>
      <c r="H1111" s="1" t="s">
        <v>15845</v>
      </c>
      <c r="I1111" s="1" t="s">
        <v>15845</v>
      </c>
      <c r="J1111" s="1"/>
      <c r="K1111" s="1"/>
      <c r="L1111" s="1"/>
      <c r="M1111" s="1"/>
      <c r="N1111" s="1"/>
      <c r="O1111" s="1"/>
      <c r="P1111" s="1"/>
      <c r="Q1111" s="1"/>
      <c r="R1111" s="1"/>
      <c r="S1111" s="1"/>
      <c r="T1111" s="1"/>
      <c r="U1111" s="1"/>
      <c r="V1111" s="1"/>
      <c r="W1111" s="1"/>
      <c r="X1111" s="1"/>
      <c r="Y1111" s="1"/>
      <c r="Z1111" s="1"/>
      <c r="AA1111" s="1"/>
      <c r="AB1111" s="1"/>
      <c r="AC1111" s="1"/>
      <c r="AD1111" s="1" t="s">
        <v>93</v>
      </c>
      <c r="AE1111" s="1" t="s">
        <v>93</v>
      </c>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t="s">
        <v>9609</v>
      </c>
      <c r="BQ1111" s="3"/>
      <c r="BR1111" s="3"/>
    </row>
    <row r="1112" spans="1:70">
      <c r="A1112" s="1" t="s">
        <v>70</v>
      </c>
      <c r="B1112" s="1" t="s">
        <v>13846</v>
      </c>
      <c r="C1112" s="1" t="s">
        <v>15846</v>
      </c>
      <c r="D1112" s="1"/>
      <c r="E1112" s="1"/>
      <c r="F1112" s="1"/>
      <c r="G1112" s="1"/>
      <c r="H1112" s="1" t="s">
        <v>15847</v>
      </c>
      <c r="I1112" s="1" t="s">
        <v>15847</v>
      </c>
      <c r="J1112" s="1"/>
      <c r="K1112" s="1"/>
      <c r="L1112" s="1"/>
      <c r="M1112" s="1"/>
      <c r="N1112" s="1"/>
      <c r="O1112" s="1"/>
      <c r="P1112" s="1"/>
      <c r="Q1112" s="1"/>
      <c r="R1112" s="1"/>
      <c r="S1112" s="1"/>
      <c r="T1112" s="1"/>
      <c r="U1112" s="1"/>
      <c r="V1112" s="1"/>
      <c r="W1112" s="1"/>
      <c r="X1112" s="1"/>
      <c r="Y1112" s="1"/>
      <c r="Z1112" s="1"/>
      <c r="AA1112" s="1"/>
      <c r="AB1112" s="1"/>
      <c r="AC1112" s="1"/>
      <c r="AD1112" s="1" t="s">
        <v>93</v>
      </c>
      <c r="AE1112" s="1" t="s">
        <v>93</v>
      </c>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t="s">
        <v>9609</v>
      </c>
      <c r="BQ1112" s="3"/>
      <c r="BR1112" s="3"/>
    </row>
    <row r="1113" spans="1:70">
      <c r="A1113" s="1" t="s">
        <v>70</v>
      </c>
      <c r="B1113" s="1" t="s">
        <v>13846</v>
      </c>
      <c r="C1113" s="1" t="s">
        <v>15848</v>
      </c>
      <c r="D1113" s="1"/>
      <c r="E1113" s="1"/>
      <c r="F1113" s="1"/>
      <c r="G1113" s="1"/>
      <c r="H1113" s="1" t="s">
        <v>15849</v>
      </c>
      <c r="I1113" s="1" t="s">
        <v>15849</v>
      </c>
      <c r="J1113" s="1"/>
      <c r="K1113" s="1"/>
      <c r="L1113" s="1"/>
      <c r="M1113" s="1"/>
      <c r="N1113" s="1"/>
      <c r="O1113" s="1"/>
      <c r="P1113" s="1"/>
      <c r="Q1113" s="1"/>
      <c r="R1113" s="1"/>
      <c r="S1113" s="1"/>
      <c r="T1113" s="1"/>
      <c r="U1113" s="1"/>
      <c r="V1113" s="1"/>
      <c r="W1113" s="1"/>
      <c r="X1113" s="1"/>
      <c r="Y1113" s="1"/>
      <c r="Z1113" s="1"/>
      <c r="AA1113" s="1"/>
      <c r="AB1113" s="1"/>
      <c r="AC1113" s="1"/>
      <c r="AD1113" s="1" t="s">
        <v>93</v>
      </c>
      <c r="AE1113" s="1" t="s">
        <v>93</v>
      </c>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t="s">
        <v>9609</v>
      </c>
      <c r="BQ1113" s="3"/>
      <c r="BR1113" s="3"/>
    </row>
    <row r="1114" spans="1:70">
      <c r="A1114" s="1" t="s">
        <v>70</v>
      </c>
      <c r="B1114" s="1" t="s">
        <v>13846</v>
      </c>
      <c r="C1114" s="1" t="s">
        <v>15850</v>
      </c>
      <c r="D1114" s="1"/>
      <c r="E1114" s="1"/>
      <c r="F1114" s="1"/>
      <c r="G1114" s="1"/>
      <c r="H1114" s="1" t="s">
        <v>15851</v>
      </c>
      <c r="I1114" s="1" t="s">
        <v>15851</v>
      </c>
      <c r="J1114" s="1"/>
      <c r="K1114" s="1"/>
      <c r="L1114" s="1"/>
      <c r="M1114" s="1"/>
      <c r="N1114" s="1"/>
      <c r="O1114" s="1"/>
      <c r="P1114" s="1"/>
      <c r="Q1114" s="1"/>
      <c r="R1114" s="1"/>
      <c r="S1114" s="1"/>
      <c r="T1114" s="1"/>
      <c r="U1114" s="1"/>
      <c r="V1114" s="1"/>
      <c r="W1114" s="1"/>
      <c r="X1114" s="1"/>
      <c r="Y1114" s="1"/>
      <c r="Z1114" s="1"/>
      <c r="AA1114" s="1"/>
      <c r="AB1114" s="1"/>
      <c r="AC1114" s="1"/>
      <c r="AD1114" s="1" t="s">
        <v>93</v>
      </c>
      <c r="AE1114" s="1" t="s">
        <v>93</v>
      </c>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t="s">
        <v>9609</v>
      </c>
      <c r="BQ1114" s="3"/>
      <c r="BR1114" s="3"/>
    </row>
    <row r="1115" spans="1:70">
      <c r="A1115" s="1" t="s">
        <v>70</v>
      </c>
      <c r="B1115" s="1" t="s">
        <v>13846</v>
      </c>
      <c r="C1115" s="1" t="s">
        <v>15852</v>
      </c>
      <c r="D1115" s="1"/>
      <c r="E1115" s="1"/>
      <c r="F1115" s="1"/>
      <c r="G1115" s="1"/>
      <c r="H1115" s="1" t="s">
        <v>15853</v>
      </c>
      <c r="I1115" s="1" t="s">
        <v>15853</v>
      </c>
      <c r="J1115" s="1"/>
      <c r="K1115" s="1"/>
      <c r="L1115" s="1"/>
      <c r="M1115" s="1"/>
      <c r="N1115" s="1"/>
      <c r="O1115" s="1"/>
      <c r="P1115" s="1"/>
      <c r="Q1115" s="1"/>
      <c r="R1115" s="1"/>
      <c r="S1115" s="1"/>
      <c r="T1115" s="1"/>
      <c r="U1115" s="1"/>
      <c r="V1115" s="1"/>
      <c r="W1115" s="1"/>
      <c r="X1115" s="1"/>
      <c r="Y1115" s="1"/>
      <c r="Z1115" s="1"/>
      <c r="AA1115" s="1"/>
      <c r="AB1115" s="1"/>
      <c r="AC1115" s="1"/>
      <c r="AD1115" s="1" t="s">
        <v>93</v>
      </c>
      <c r="AE1115" s="1" t="s">
        <v>93</v>
      </c>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t="s">
        <v>9609</v>
      </c>
      <c r="BQ1115" s="3"/>
      <c r="BR1115" s="3"/>
    </row>
    <row r="1116" spans="1:70">
      <c r="A1116" s="1" t="s">
        <v>70</v>
      </c>
      <c r="B1116" s="1" t="s">
        <v>13846</v>
      </c>
      <c r="C1116" s="1" t="s">
        <v>15854</v>
      </c>
      <c r="D1116" s="1"/>
      <c r="E1116" s="1"/>
      <c r="F1116" s="1"/>
      <c r="G1116" s="1"/>
      <c r="H1116" s="1" t="s">
        <v>15855</v>
      </c>
      <c r="I1116" s="1" t="s">
        <v>15855</v>
      </c>
      <c r="J1116" s="1"/>
      <c r="K1116" s="1"/>
      <c r="L1116" s="1"/>
      <c r="M1116" s="1"/>
      <c r="N1116" s="1"/>
      <c r="O1116" s="1"/>
      <c r="P1116" s="1"/>
      <c r="Q1116" s="1"/>
      <c r="R1116" s="1"/>
      <c r="S1116" s="1"/>
      <c r="T1116" s="1"/>
      <c r="U1116" s="1"/>
      <c r="V1116" s="1"/>
      <c r="W1116" s="1"/>
      <c r="X1116" s="1"/>
      <c r="Y1116" s="1"/>
      <c r="Z1116" s="1"/>
      <c r="AA1116" s="1"/>
      <c r="AB1116" s="1"/>
      <c r="AC1116" s="1"/>
      <c r="AD1116" s="1" t="s">
        <v>93</v>
      </c>
      <c r="AE1116" s="1" t="s">
        <v>93</v>
      </c>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t="s">
        <v>9609</v>
      </c>
      <c r="BQ1116" s="3"/>
      <c r="BR1116" s="3"/>
    </row>
    <row r="1117" spans="1:70">
      <c r="A1117" s="1" t="s">
        <v>70</v>
      </c>
      <c r="B1117" s="1" t="s">
        <v>13846</v>
      </c>
      <c r="C1117" s="1" t="s">
        <v>15856</v>
      </c>
      <c r="D1117" s="1"/>
      <c r="E1117" s="1"/>
      <c r="F1117" s="1"/>
      <c r="G1117" s="1"/>
      <c r="H1117" s="1" t="s">
        <v>15857</v>
      </c>
      <c r="I1117" s="1" t="s">
        <v>15857</v>
      </c>
      <c r="J1117" s="1"/>
      <c r="K1117" s="1"/>
      <c r="L1117" s="1"/>
      <c r="M1117" s="1"/>
      <c r="N1117" s="1"/>
      <c r="O1117" s="1"/>
      <c r="P1117" s="1"/>
      <c r="Q1117" s="1"/>
      <c r="R1117" s="1"/>
      <c r="S1117" s="1"/>
      <c r="T1117" s="1"/>
      <c r="U1117" s="1"/>
      <c r="V1117" s="1"/>
      <c r="W1117" s="1"/>
      <c r="X1117" s="1"/>
      <c r="Y1117" s="1"/>
      <c r="Z1117" s="1"/>
      <c r="AA1117" s="1"/>
      <c r="AB1117" s="1"/>
      <c r="AC1117" s="1"/>
      <c r="AD1117" s="1" t="s">
        <v>93</v>
      </c>
      <c r="AE1117" s="1" t="s">
        <v>93</v>
      </c>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t="s">
        <v>9609</v>
      </c>
      <c r="BQ1117" s="3"/>
      <c r="BR1117" s="3"/>
    </row>
    <row r="1118" spans="1:70">
      <c r="A1118" s="1" t="s">
        <v>70</v>
      </c>
      <c r="B1118" s="1" t="s">
        <v>13846</v>
      </c>
      <c r="C1118" s="1" t="s">
        <v>15858</v>
      </c>
      <c r="D1118" s="1"/>
      <c r="E1118" s="1"/>
      <c r="F1118" s="1"/>
      <c r="G1118" s="1"/>
      <c r="H1118" s="1" t="s">
        <v>15859</v>
      </c>
      <c r="I1118" s="1" t="s">
        <v>15859</v>
      </c>
      <c r="J1118" s="1"/>
      <c r="K1118" s="1"/>
      <c r="L1118" s="1"/>
      <c r="M1118" s="1"/>
      <c r="N1118" s="1"/>
      <c r="O1118" s="1"/>
      <c r="P1118" s="1"/>
      <c r="Q1118" s="1"/>
      <c r="R1118" s="1"/>
      <c r="S1118" s="1"/>
      <c r="T1118" s="1"/>
      <c r="U1118" s="1"/>
      <c r="V1118" s="1"/>
      <c r="W1118" s="1"/>
      <c r="X1118" s="1"/>
      <c r="Y1118" s="1"/>
      <c r="Z1118" s="1"/>
      <c r="AA1118" s="1"/>
      <c r="AB1118" s="1"/>
      <c r="AC1118" s="1"/>
      <c r="AD1118" s="1" t="s">
        <v>93</v>
      </c>
      <c r="AE1118" s="1" t="s">
        <v>93</v>
      </c>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t="s">
        <v>9609</v>
      </c>
      <c r="BQ1118" s="3"/>
      <c r="BR1118" s="3"/>
    </row>
    <row r="1119" spans="1:70">
      <c r="A1119" s="1" t="s">
        <v>70</v>
      </c>
      <c r="B1119" s="1" t="s">
        <v>13846</v>
      </c>
      <c r="C1119" s="1" t="s">
        <v>15860</v>
      </c>
      <c r="D1119" s="1"/>
      <c r="E1119" s="1"/>
      <c r="F1119" s="1"/>
      <c r="G1119" s="1"/>
      <c r="H1119" s="1" t="s">
        <v>15861</v>
      </c>
      <c r="I1119" s="1" t="s">
        <v>15861</v>
      </c>
      <c r="J1119" s="1"/>
      <c r="K1119" s="1"/>
      <c r="L1119" s="1"/>
      <c r="M1119" s="1"/>
      <c r="N1119" s="1"/>
      <c r="O1119" s="1"/>
      <c r="P1119" s="1"/>
      <c r="Q1119" s="1"/>
      <c r="R1119" s="1"/>
      <c r="S1119" s="1"/>
      <c r="T1119" s="1"/>
      <c r="U1119" s="1"/>
      <c r="V1119" s="1"/>
      <c r="W1119" s="1"/>
      <c r="X1119" s="1"/>
      <c r="Y1119" s="1"/>
      <c r="Z1119" s="1"/>
      <c r="AA1119" s="1"/>
      <c r="AB1119" s="1"/>
      <c r="AC1119" s="1"/>
      <c r="AD1119" s="1" t="s">
        <v>93</v>
      </c>
      <c r="AE1119" s="1" t="s">
        <v>93</v>
      </c>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t="s">
        <v>9609</v>
      </c>
      <c r="BQ1119" s="3"/>
      <c r="BR1119" s="3"/>
    </row>
    <row r="1120" spans="1:70">
      <c r="A1120" s="1" t="s">
        <v>70</v>
      </c>
      <c r="B1120" s="1" t="s">
        <v>13846</v>
      </c>
      <c r="C1120" s="1" t="s">
        <v>15862</v>
      </c>
      <c r="D1120" s="1"/>
      <c r="E1120" s="1"/>
      <c r="F1120" s="1"/>
      <c r="G1120" s="1"/>
      <c r="H1120" s="1" t="s">
        <v>15863</v>
      </c>
      <c r="I1120" s="1" t="s">
        <v>15863</v>
      </c>
      <c r="J1120" s="1"/>
      <c r="K1120" s="1"/>
      <c r="L1120" s="1"/>
      <c r="M1120" s="1"/>
      <c r="N1120" s="1"/>
      <c r="O1120" s="1"/>
      <c r="P1120" s="1"/>
      <c r="Q1120" s="1"/>
      <c r="R1120" s="1"/>
      <c r="S1120" s="1"/>
      <c r="T1120" s="1"/>
      <c r="U1120" s="1"/>
      <c r="V1120" s="1"/>
      <c r="W1120" s="1"/>
      <c r="X1120" s="1"/>
      <c r="Y1120" s="1"/>
      <c r="Z1120" s="1"/>
      <c r="AA1120" s="1"/>
      <c r="AB1120" s="1"/>
      <c r="AC1120" s="1"/>
      <c r="AD1120" s="1" t="s">
        <v>93</v>
      </c>
      <c r="AE1120" s="1" t="s">
        <v>93</v>
      </c>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t="s">
        <v>9609</v>
      </c>
      <c r="BQ1120" s="3"/>
      <c r="BR1120" s="3"/>
    </row>
    <row r="1121" spans="1:70">
      <c r="A1121" s="1" t="s">
        <v>70</v>
      </c>
      <c r="B1121" s="1" t="s">
        <v>13846</v>
      </c>
      <c r="C1121" s="1" t="s">
        <v>15864</v>
      </c>
      <c r="D1121" s="1"/>
      <c r="E1121" s="1"/>
      <c r="F1121" s="1"/>
      <c r="G1121" s="1"/>
      <c r="H1121" s="1" t="s">
        <v>15865</v>
      </c>
      <c r="I1121" s="1" t="s">
        <v>15865</v>
      </c>
      <c r="J1121" s="1"/>
      <c r="K1121" s="1"/>
      <c r="L1121" s="1"/>
      <c r="M1121" s="1"/>
      <c r="N1121" s="1"/>
      <c r="O1121" s="1"/>
      <c r="P1121" s="1"/>
      <c r="Q1121" s="1"/>
      <c r="R1121" s="1"/>
      <c r="S1121" s="1"/>
      <c r="T1121" s="1"/>
      <c r="U1121" s="1"/>
      <c r="V1121" s="1"/>
      <c r="W1121" s="1"/>
      <c r="X1121" s="1"/>
      <c r="Y1121" s="1"/>
      <c r="Z1121" s="1"/>
      <c r="AA1121" s="1"/>
      <c r="AB1121" s="1"/>
      <c r="AC1121" s="1"/>
      <c r="AD1121" s="1" t="s">
        <v>93</v>
      </c>
      <c r="AE1121" s="1" t="s">
        <v>93</v>
      </c>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t="s">
        <v>9609</v>
      </c>
      <c r="BQ1121" s="3"/>
      <c r="BR1121" s="3"/>
    </row>
    <row r="1122" spans="1:70">
      <c r="A1122" s="1" t="s">
        <v>70</v>
      </c>
      <c r="B1122" s="1" t="s">
        <v>13846</v>
      </c>
      <c r="C1122" s="1" t="s">
        <v>15866</v>
      </c>
      <c r="D1122" s="1"/>
      <c r="E1122" s="1"/>
      <c r="F1122" s="1"/>
      <c r="G1122" s="1"/>
      <c r="H1122" s="1" t="s">
        <v>15867</v>
      </c>
      <c r="I1122" s="1" t="s">
        <v>15867</v>
      </c>
      <c r="J1122" s="1"/>
      <c r="K1122" s="1"/>
      <c r="L1122" s="1"/>
      <c r="M1122" s="1"/>
      <c r="N1122" s="1"/>
      <c r="O1122" s="1"/>
      <c r="P1122" s="1"/>
      <c r="Q1122" s="1"/>
      <c r="R1122" s="1"/>
      <c r="S1122" s="1"/>
      <c r="T1122" s="1"/>
      <c r="U1122" s="1"/>
      <c r="V1122" s="1"/>
      <c r="W1122" s="1"/>
      <c r="X1122" s="1"/>
      <c r="Y1122" s="1"/>
      <c r="Z1122" s="1"/>
      <c r="AA1122" s="1"/>
      <c r="AB1122" s="1"/>
      <c r="AC1122" s="1"/>
      <c r="AD1122" s="1" t="s">
        <v>93</v>
      </c>
      <c r="AE1122" s="1" t="s">
        <v>93</v>
      </c>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t="s">
        <v>9609</v>
      </c>
      <c r="BQ1122" s="3"/>
      <c r="BR1122" s="3"/>
    </row>
    <row r="1123" spans="1:70">
      <c r="A1123" s="1" t="s">
        <v>70</v>
      </c>
      <c r="B1123" s="1" t="s">
        <v>13846</v>
      </c>
      <c r="C1123" s="1" t="s">
        <v>15868</v>
      </c>
      <c r="D1123" s="1"/>
      <c r="E1123" s="1"/>
      <c r="F1123" s="1"/>
      <c r="G1123" s="1"/>
      <c r="H1123" s="1" t="s">
        <v>15869</v>
      </c>
      <c r="I1123" s="1" t="s">
        <v>15869</v>
      </c>
      <c r="J1123" s="1"/>
      <c r="K1123" s="1"/>
      <c r="L1123" s="1"/>
      <c r="M1123" s="1"/>
      <c r="N1123" s="1"/>
      <c r="O1123" s="1"/>
      <c r="P1123" s="1"/>
      <c r="Q1123" s="1"/>
      <c r="R1123" s="1"/>
      <c r="S1123" s="1"/>
      <c r="T1123" s="1"/>
      <c r="U1123" s="1"/>
      <c r="V1123" s="1"/>
      <c r="W1123" s="1"/>
      <c r="X1123" s="1"/>
      <c r="Y1123" s="1"/>
      <c r="Z1123" s="1"/>
      <c r="AA1123" s="1"/>
      <c r="AB1123" s="1"/>
      <c r="AC1123" s="1"/>
      <c r="AD1123" s="1" t="s">
        <v>93</v>
      </c>
      <c r="AE1123" s="1" t="s">
        <v>93</v>
      </c>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t="s">
        <v>9609</v>
      </c>
      <c r="BQ1123" s="3"/>
      <c r="BR1123" s="3"/>
    </row>
    <row r="1124" spans="1:70">
      <c r="A1124" s="1" t="s">
        <v>70</v>
      </c>
      <c r="B1124" s="1" t="s">
        <v>13846</v>
      </c>
      <c r="C1124" s="1" t="s">
        <v>15870</v>
      </c>
      <c r="D1124" s="1"/>
      <c r="E1124" s="1"/>
      <c r="F1124" s="1"/>
      <c r="G1124" s="1"/>
      <c r="H1124" s="1" t="s">
        <v>15871</v>
      </c>
      <c r="I1124" s="1" t="s">
        <v>15871</v>
      </c>
      <c r="J1124" s="1"/>
      <c r="K1124" s="1"/>
      <c r="L1124" s="1"/>
      <c r="M1124" s="1"/>
      <c r="N1124" s="1"/>
      <c r="O1124" s="1"/>
      <c r="P1124" s="1"/>
      <c r="Q1124" s="1"/>
      <c r="R1124" s="1"/>
      <c r="S1124" s="1"/>
      <c r="T1124" s="1"/>
      <c r="U1124" s="1"/>
      <c r="V1124" s="1"/>
      <c r="W1124" s="1"/>
      <c r="X1124" s="1"/>
      <c r="Y1124" s="1"/>
      <c r="Z1124" s="1"/>
      <c r="AA1124" s="1"/>
      <c r="AB1124" s="1"/>
      <c r="AC1124" s="1"/>
      <c r="AD1124" s="1" t="s">
        <v>93</v>
      </c>
      <c r="AE1124" s="1" t="s">
        <v>93</v>
      </c>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t="s">
        <v>9609</v>
      </c>
      <c r="BQ1124" s="3"/>
      <c r="BR1124" s="3"/>
    </row>
    <row r="1125" spans="1:70">
      <c r="A1125" s="1" t="s">
        <v>70</v>
      </c>
      <c r="B1125" s="1" t="s">
        <v>13846</v>
      </c>
      <c r="C1125" s="1" t="s">
        <v>15872</v>
      </c>
      <c r="D1125" s="1"/>
      <c r="E1125" s="1"/>
      <c r="F1125" s="1"/>
      <c r="G1125" s="1"/>
      <c r="H1125" s="1" t="s">
        <v>15873</v>
      </c>
      <c r="I1125" s="1" t="s">
        <v>15873</v>
      </c>
      <c r="J1125" s="1"/>
      <c r="K1125" s="1"/>
      <c r="L1125" s="1"/>
      <c r="M1125" s="1"/>
      <c r="N1125" s="1"/>
      <c r="O1125" s="1"/>
      <c r="P1125" s="1"/>
      <c r="Q1125" s="1"/>
      <c r="R1125" s="1"/>
      <c r="S1125" s="1"/>
      <c r="T1125" s="1"/>
      <c r="U1125" s="1"/>
      <c r="V1125" s="1"/>
      <c r="W1125" s="1"/>
      <c r="X1125" s="1"/>
      <c r="Y1125" s="1"/>
      <c r="Z1125" s="1"/>
      <c r="AA1125" s="1"/>
      <c r="AB1125" s="1"/>
      <c r="AC1125" s="1"/>
      <c r="AD1125" s="1" t="s">
        <v>93</v>
      </c>
      <c r="AE1125" s="1" t="s">
        <v>93</v>
      </c>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t="s">
        <v>9609</v>
      </c>
      <c r="BQ1125" s="3"/>
      <c r="BR1125" s="3"/>
    </row>
    <row r="1126" spans="1:70">
      <c r="A1126" s="1" t="s">
        <v>70</v>
      </c>
      <c r="B1126" s="1" t="s">
        <v>13846</v>
      </c>
      <c r="C1126" s="1" t="s">
        <v>15874</v>
      </c>
      <c r="D1126" s="1"/>
      <c r="E1126" s="1"/>
      <c r="F1126" s="1"/>
      <c r="G1126" s="1"/>
      <c r="H1126" s="1" t="s">
        <v>15875</v>
      </c>
      <c r="I1126" s="1" t="s">
        <v>15875</v>
      </c>
      <c r="J1126" s="1"/>
      <c r="K1126" s="1"/>
      <c r="L1126" s="1"/>
      <c r="M1126" s="1"/>
      <c r="N1126" s="1"/>
      <c r="O1126" s="1"/>
      <c r="P1126" s="1"/>
      <c r="Q1126" s="1"/>
      <c r="R1126" s="1"/>
      <c r="S1126" s="1"/>
      <c r="T1126" s="1"/>
      <c r="U1126" s="1"/>
      <c r="V1126" s="1"/>
      <c r="W1126" s="1"/>
      <c r="X1126" s="1"/>
      <c r="Y1126" s="1"/>
      <c r="Z1126" s="1"/>
      <c r="AA1126" s="1"/>
      <c r="AB1126" s="1"/>
      <c r="AC1126" s="1"/>
      <c r="AD1126" s="1" t="s">
        <v>93</v>
      </c>
      <c r="AE1126" s="1" t="s">
        <v>93</v>
      </c>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t="s">
        <v>9609</v>
      </c>
      <c r="BQ1126" s="3"/>
      <c r="BR1126" s="3"/>
    </row>
    <row r="1127" spans="1:70">
      <c r="A1127" s="1" t="s">
        <v>70</v>
      </c>
      <c r="B1127" s="1" t="s">
        <v>13846</v>
      </c>
      <c r="C1127" s="1" t="s">
        <v>15876</v>
      </c>
      <c r="D1127" s="1"/>
      <c r="E1127" s="1"/>
      <c r="F1127" s="1"/>
      <c r="G1127" s="1"/>
      <c r="H1127" s="1" t="s">
        <v>15877</v>
      </c>
      <c r="I1127" s="1" t="s">
        <v>15877</v>
      </c>
      <c r="J1127" s="1"/>
      <c r="K1127" s="1"/>
      <c r="L1127" s="1"/>
      <c r="M1127" s="1"/>
      <c r="N1127" s="1"/>
      <c r="O1127" s="1"/>
      <c r="P1127" s="1"/>
      <c r="Q1127" s="1"/>
      <c r="R1127" s="1"/>
      <c r="S1127" s="1"/>
      <c r="T1127" s="1"/>
      <c r="U1127" s="1"/>
      <c r="V1127" s="1"/>
      <c r="W1127" s="1"/>
      <c r="X1127" s="1"/>
      <c r="Y1127" s="1"/>
      <c r="Z1127" s="1"/>
      <c r="AA1127" s="1"/>
      <c r="AB1127" s="1"/>
      <c r="AC1127" s="1"/>
      <c r="AD1127" s="1" t="s">
        <v>93</v>
      </c>
      <c r="AE1127" s="1" t="s">
        <v>93</v>
      </c>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t="s">
        <v>9609</v>
      </c>
      <c r="BQ1127" s="3"/>
      <c r="BR1127" s="3"/>
    </row>
    <row r="1128" spans="1:70">
      <c r="A1128" s="1" t="s">
        <v>70</v>
      </c>
      <c r="B1128" s="1" t="s">
        <v>13846</v>
      </c>
      <c r="C1128" s="1" t="s">
        <v>15878</v>
      </c>
      <c r="D1128" s="1"/>
      <c r="E1128" s="1"/>
      <c r="F1128" s="1"/>
      <c r="G1128" s="1"/>
      <c r="H1128" s="1" t="s">
        <v>15879</v>
      </c>
      <c r="I1128" s="1" t="s">
        <v>15879</v>
      </c>
      <c r="J1128" s="1"/>
      <c r="K1128" s="1"/>
      <c r="L1128" s="1"/>
      <c r="M1128" s="1"/>
      <c r="N1128" s="1"/>
      <c r="O1128" s="1"/>
      <c r="P1128" s="1"/>
      <c r="Q1128" s="1"/>
      <c r="R1128" s="1"/>
      <c r="S1128" s="1"/>
      <c r="T1128" s="1"/>
      <c r="U1128" s="1"/>
      <c r="V1128" s="1"/>
      <c r="W1128" s="1"/>
      <c r="X1128" s="1"/>
      <c r="Y1128" s="1"/>
      <c r="Z1128" s="1"/>
      <c r="AA1128" s="1"/>
      <c r="AB1128" s="1"/>
      <c r="AC1128" s="1"/>
      <c r="AD1128" s="1" t="s">
        <v>93</v>
      </c>
      <c r="AE1128" s="1" t="s">
        <v>93</v>
      </c>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t="s">
        <v>9609</v>
      </c>
      <c r="BQ1128" s="3"/>
      <c r="BR1128" s="3"/>
    </row>
    <row r="1129" spans="1:70">
      <c r="A1129" s="1" t="s">
        <v>70</v>
      </c>
      <c r="B1129" s="1" t="s">
        <v>13846</v>
      </c>
      <c r="C1129" s="1" t="s">
        <v>15880</v>
      </c>
      <c r="D1129" s="1"/>
      <c r="E1129" s="1"/>
      <c r="F1129" s="1"/>
      <c r="G1129" s="1"/>
      <c r="H1129" s="1" t="s">
        <v>15881</v>
      </c>
      <c r="I1129" s="1" t="s">
        <v>15881</v>
      </c>
      <c r="J1129" s="1"/>
      <c r="K1129" s="1"/>
      <c r="L1129" s="1"/>
      <c r="M1129" s="1"/>
      <c r="N1129" s="1"/>
      <c r="O1129" s="1"/>
      <c r="P1129" s="1"/>
      <c r="Q1129" s="1"/>
      <c r="R1129" s="1"/>
      <c r="S1129" s="1"/>
      <c r="T1129" s="1"/>
      <c r="U1129" s="1"/>
      <c r="V1129" s="1"/>
      <c r="W1129" s="1"/>
      <c r="X1129" s="1"/>
      <c r="Y1129" s="1"/>
      <c r="Z1129" s="1"/>
      <c r="AA1129" s="1"/>
      <c r="AB1129" s="1"/>
      <c r="AC1129" s="1"/>
      <c r="AD1129" s="1" t="s">
        <v>93</v>
      </c>
      <c r="AE1129" s="1" t="s">
        <v>93</v>
      </c>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t="s">
        <v>9609</v>
      </c>
      <c r="BQ1129" s="3"/>
      <c r="BR1129" s="3"/>
    </row>
    <row r="1130" spans="1:70">
      <c r="A1130" s="1" t="s">
        <v>70</v>
      </c>
      <c r="B1130" s="1" t="s">
        <v>13846</v>
      </c>
      <c r="C1130" s="1" t="s">
        <v>15882</v>
      </c>
      <c r="D1130" s="1"/>
      <c r="E1130" s="1"/>
      <c r="F1130" s="1"/>
      <c r="G1130" s="1"/>
      <c r="H1130" s="1" t="s">
        <v>15883</v>
      </c>
      <c r="I1130" s="1" t="s">
        <v>15883</v>
      </c>
      <c r="J1130" s="1"/>
      <c r="K1130" s="1"/>
      <c r="L1130" s="1"/>
      <c r="M1130" s="1"/>
      <c r="N1130" s="1"/>
      <c r="O1130" s="1"/>
      <c r="P1130" s="1"/>
      <c r="Q1130" s="1"/>
      <c r="R1130" s="1"/>
      <c r="S1130" s="1"/>
      <c r="T1130" s="1"/>
      <c r="U1130" s="1"/>
      <c r="V1130" s="1"/>
      <c r="W1130" s="1"/>
      <c r="X1130" s="1"/>
      <c r="Y1130" s="1"/>
      <c r="Z1130" s="1"/>
      <c r="AA1130" s="1"/>
      <c r="AB1130" s="1"/>
      <c r="AC1130" s="1"/>
      <c r="AD1130" s="1" t="s">
        <v>93</v>
      </c>
      <c r="AE1130" s="1" t="s">
        <v>93</v>
      </c>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t="s">
        <v>9609</v>
      </c>
      <c r="BQ1130" s="3"/>
      <c r="BR1130" s="3"/>
    </row>
    <row r="1131" spans="1:70">
      <c r="A1131" s="1" t="s">
        <v>70</v>
      </c>
      <c r="B1131" s="1" t="s">
        <v>13846</v>
      </c>
      <c r="C1131" s="1" t="s">
        <v>15884</v>
      </c>
      <c r="D1131" s="1"/>
      <c r="E1131" s="1"/>
      <c r="F1131" s="1"/>
      <c r="G1131" s="1"/>
      <c r="H1131" s="1" t="s">
        <v>15885</v>
      </c>
      <c r="I1131" s="1" t="s">
        <v>15885</v>
      </c>
      <c r="J1131" s="1"/>
      <c r="K1131" s="1"/>
      <c r="L1131" s="1"/>
      <c r="M1131" s="1"/>
      <c r="N1131" s="1"/>
      <c r="O1131" s="1"/>
      <c r="P1131" s="1"/>
      <c r="Q1131" s="1"/>
      <c r="R1131" s="1"/>
      <c r="S1131" s="1"/>
      <c r="T1131" s="1"/>
      <c r="U1131" s="1"/>
      <c r="V1131" s="1"/>
      <c r="W1131" s="1"/>
      <c r="X1131" s="1"/>
      <c r="Y1131" s="1"/>
      <c r="Z1131" s="1"/>
      <c r="AA1131" s="1"/>
      <c r="AB1131" s="1"/>
      <c r="AC1131" s="1"/>
      <c r="AD1131" s="1" t="s">
        <v>93</v>
      </c>
      <c r="AE1131" s="1" t="s">
        <v>93</v>
      </c>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t="s">
        <v>9609</v>
      </c>
      <c r="BQ1131" s="3"/>
      <c r="BR1131" s="3"/>
    </row>
    <row r="1132" spans="1:70">
      <c r="A1132" s="1" t="s">
        <v>70</v>
      </c>
      <c r="B1132" s="1" t="s">
        <v>13846</v>
      </c>
      <c r="C1132" s="1" t="s">
        <v>15886</v>
      </c>
      <c r="D1132" s="1"/>
      <c r="E1132" s="1"/>
      <c r="F1132" s="1"/>
      <c r="G1132" s="1"/>
      <c r="H1132" s="1" t="s">
        <v>15887</v>
      </c>
      <c r="I1132" s="1" t="s">
        <v>15887</v>
      </c>
      <c r="J1132" s="1"/>
      <c r="K1132" s="1"/>
      <c r="L1132" s="1"/>
      <c r="M1132" s="1"/>
      <c r="N1132" s="1"/>
      <c r="O1132" s="1"/>
      <c r="P1132" s="1"/>
      <c r="Q1132" s="1"/>
      <c r="R1132" s="1"/>
      <c r="S1132" s="1"/>
      <c r="T1132" s="1"/>
      <c r="U1132" s="1"/>
      <c r="V1132" s="1"/>
      <c r="W1132" s="1"/>
      <c r="X1132" s="1"/>
      <c r="Y1132" s="1"/>
      <c r="Z1132" s="1"/>
      <c r="AA1132" s="1"/>
      <c r="AB1132" s="1"/>
      <c r="AC1132" s="1"/>
      <c r="AD1132" s="1" t="s">
        <v>93</v>
      </c>
      <c r="AE1132" s="1" t="s">
        <v>93</v>
      </c>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t="s">
        <v>9609</v>
      </c>
      <c r="BQ1132" s="3"/>
      <c r="BR1132" s="3"/>
    </row>
    <row r="1133" spans="1:70">
      <c r="A1133" s="1" t="s">
        <v>70</v>
      </c>
      <c r="B1133" s="1" t="s">
        <v>13846</v>
      </c>
      <c r="C1133" s="1" t="s">
        <v>15888</v>
      </c>
      <c r="D1133" s="1"/>
      <c r="E1133" s="1"/>
      <c r="F1133" s="1"/>
      <c r="G1133" s="1"/>
      <c r="H1133" s="1" t="s">
        <v>15889</v>
      </c>
      <c r="I1133" s="1" t="s">
        <v>15889</v>
      </c>
      <c r="J1133" s="1"/>
      <c r="K1133" s="1"/>
      <c r="L1133" s="1"/>
      <c r="M1133" s="1"/>
      <c r="N1133" s="1"/>
      <c r="O1133" s="1"/>
      <c r="P1133" s="1"/>
      <c r="Q1133" s="1"/>
      <c r="R1133" s="1"/>
      <c r="S1133" s="1"/>
      <c r="T1133" s="1"/>
      <c r="U1133" s="1"/>
      <c r="V1133" s="1"/>
      <c r="W1133" s="1"/>
      <c r="X1133" s="1"/>
      <c r="Y1133" s="1"/>
      <c r="Z1133" s="1"/>
      <c r="AA1133" s="1"/>
      <c r="AB1133" s="1"/>
      <c r="AC1133" s="1"/>
      <c r="AD1133" s="1" t="s">
        <v>93</v>
      </c>
      <c r="AE1133" s="1" t="s">
        <v>93</v>
      </c>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t="s">
        <v>9609</v>
      </c>
      <c r="BQ1133" s="3"/>
      <c r="BR1133" s="3"/>
    </row>
    <row r="1134" spans="1:70">
      <c r="A1134" s="1" t="s">
        <v>70</v>
      </c>
      <c r="B1134" s="1" t="s">
        <v>13846</v>
      </c>
      <c r="C1134" s="1" t="s">
        <v>15890</v>
      </c>
      <c r="D1134" s="1"/>
      <c r="E1134" s="1"/>
      <c r="F1134" s="1"/>
      <c r="G1134" s="1"/>
      <c r="H1134" s="1" t="s">
        <v>15891</v>
      </c>
      <c r="I1134" s="1" t="s">
        <v>15891</v>
      </c>
      <c r="J1134" s="1"/>
      <c r="K1134" s="1"/>
      <c r="L1134" s="1"/>
      <c r="M1134" s="1"/>
      <c r="N1134" s="1"/>
      <c r="O1134" s="1"/>
      <c r="P1134" s="1"/>
      <c r="Q1134" s="1"/>
      <c r="R1134" s="1"/>
      <c r="S1134" s="1"/>
      <c r="T1134" s="1"/>
      <c r="U1134" s="1"/>
      <c r="V1134" s="1"/>
      <c r="W1134" s="1"/>
      <c r="X1134" s="1"/>
      <c r="Y1134" s="1"/>
      <c r="Z1134" s="1"/>
      <c r="AA1134" s="1"/>
      <c r="AB1134" s="1"/>
      <c r="AC1134" s="1"/>
      <c r="AD1134" s="1" t="s">
        <v>93</v>
      </c>
      <c r="AE1134" s="1" t="s">
        <v>93</v>
      </c>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t="s">
        <v>9609</v>
      </c>
      <c r="BQ1134" s="3"/>
      <c r="BR1134" s="3"/>
    </row>
    <row r="1135" spans="1:70">
      <c r="A1135" s="1" t="s">
        <v>70</v>
      </c>
      <c r="B1135" s="1" t="s">
        <v>13846</v>
      </c>
      <c r="C1135" s="1" t="s">
        <v>15892</v>
      </c>
      <c r="D1135" s="1"/>
      <c r="E1135" s="1"/>
      <c r="F1135" s="1"/>
      <c r="G1135" s="1"/>
      <c r="H1135" s="1" t="s">
        <v>15893</v>
      </c>
      <c r="I1135" s="1" t="s">
        <v>15893</v>
      </c>
      <c r="J1135" s="1"/>
      <c r="K1135" s="1"/>
      <c r="L1135" s="1"/>
      <c r="M1135" s="1"/>
      <c r="N1135" s="1"/>
      <c r="O1135" s="1"/>
      <c r="P1135" s="1"/>
      <c r="Q1135" s="1"/>
      <c r="R1135" s="1"/>
      <c r="S1135" s="1"/>
      <c r="T1135" s="1"/>
      <c r="U1135" s="1"/>
      <c r="V1135" s="1"/>
      <c r="W1135" s="1"/>
      <c r="X1135" s="1"/>
      <c r="Y1135" s="1"/>
      <c r="Z1135" s="1"/>
      <c r="AA1135" s="1"/>
      <c r="AB1135" s="1"/>
      <c r="AC1135" s="1"/>
      <c r="AD1135" s="1" t="s">
        <v>93</v>
      </c>
      <c r="AE1135" s="1" t="s">
        <v>93</v>
      </c>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t="s">
        <v>9609</v>
      </c>
      <c r="BQ1135" s="3"/>
      <c r="BR1135" s="3"/>
    </row>
    <row r="1136" spans="1:70">
      <c r="A1136" s="1" t="s">
        <v>70</v>
      </c>
      <c r="B1136" s="1" t="s">
        <v>13846</v>
      </c>
      <c r="C1136" s="1" t="s">
        <v>15894</v>
      </c>
      <c r="D1136" s="1"/>
      <c r="E1136" s="1"/>
      <c r="F1136" s="1"/>
      <c r="G1136" s="1"/>
      <c r="H1136" s="1" t="s">
        <v>15895</v>
      </c>
      <c r="I1136" s="1" t="s">
        <v>15895</v>
      </c>
      <c r="J1136" s="1"/>
      <c r="K1136" s="1"/>
      <c r="L1136" s="1"/>
      <c r="M1136" s="1"/>
      <c r="N1136" s="1"/>
      <c r="O1136" s="1"/>
      <c r="P1136" s="1"/>
      <c r="Q1136" s="1"/>
      <c r="R1136" s="1"/>
      <c r="S1136" s="1"/>
      <c r="T1136" s="1"/>
      <c r="U1136" s="1"/>
      <c r="V1136" s="1"/>
      <c r="W1136" s="1"/>
      <c r="X1136" s="1"/>
      <c r="Y1136" s="1"/>
      <c r="Z1136" s="1"/>
      <c r="AA1136" s="1"/>
      <c r="AB1136" s="1"/>
      <c r="AC1136" s="1"/>
      <c r="AD1136" s="1" t="s">
        <v>93</v>
      </c>
      <c r="AE1136" s="1" t="s">
        <v>93</v>
      </c>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t="s">
        <v>9609</v>
      </c>
      <c r="BQ1136" s="3"/>
      <c r="BR1136" s="3"/>
    </row>
    <row r="1137" spans="1:70">
      <c r="A1137" s="1" t="s">
        <v>70</v>
      </c>
      <c r="B1137" s="1" t="s">
        <v>13846</v>
      </c>
      <c r="C1137" s="1" t="s">
        <v>15896</v>
      </c>
      <c r="D1137" s="1"/>
      <c r="E1137" s="1"/>
      <c r="F1137" s="1"/>
      <c r="G1137" s="1"/>
      <c r="H1137" s="1" t="s">
        <v>15897</v>
      </c>
      <c r="I1137" s="1" t="s">
        <v>15897</v>
      </c>
      <c r="J1137" s="1"/>
      <c r="K1137" s="1"/>
      <c r="L1137" s="1"/>
      <c r="M1137" s="1"/>
      <c r="N1137" s="1"/>
      <c r="O1137" s="1"/>
      <c r="P1137" s="1"/>
      <c r="Q1137" s="1"/>
      <c r="R1137" s="1"/>
      <c r="S1137" s="1"/>
      <c r="T1137" s="1"/>
      <c r="U1137" s="1"/>
      <c r="V1137" s="1"/>
      <c r="W1137" s="1"/>
      <c r="X1137" s="1"/>
      <c r="Y1137" s="1"/>
      <c r="Z1137" s="1"/>
      <c r="AA1137" s="1"/>
      <c r="AB1137" s="1"/>
      <c r="AC1137" s="1"/>
      <c r="AD1137" s="1" t="s">
        <v>93</v>
      </c>
      <c r="AE1137" s="1" t="s">
        <v>93</v>
      </c>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t="s">
        <v>9609</v>
      </c>
      <c r="BQ1137" s="3"/>
      <c r="BR1137" s="3"/>
    </row>
    <row r="1138" spans="1:70">
      <c r="A1138" s="1" t="s">
        <v>70</v>
      </c>
      <c r="B1138" s="1" t="s">
        <v>13846</v>
      </c>
      <c r="C1138" s="1" t="s">
        <v>15898</v>
      </c>
      <c r="D1138" s="1"/>
      <c r="E1138" s="1"/>
      <c r="F1138" s="1"/>
      <c r="G1138" s="1"/>
      <c r="H1138" s="1" t="s">
        <v>15899</v>
      </c>
      <c r="I1138" s="1" t="s">
        <v>15899</v>
      </c>
      <c r="J1138" s="1"/>
      <c r="K1138" s="1"/>
      <c r="L1138" s="1"/>
      <c r="M1138" s="1"/>
      <c r="N1138" s="1"/>
      <c r="O1138" s="1"/>
      <c r="P1138" s="1"/>
      <c r="Q1138" s="1"/>
      <c r="R1138" s="1"/>
      <c r="S1138" s="1"/>
      <c r="T1138" s="1"/>
      <c r="U1138" s="1"/>
      <c r="V1138" s="1"/>
      <c r="W1138" s="1"/>
      <c r="X1138" s="1"/>
      <c r="Y1138" s="1"/>
      <c r="Z1138" s="1"/>
      <c r="AA1138" s="1"/>
      <c r="AB1138" s="1"/>
      <c r="AC1138" s="1"/>
      <c r="AD1138" s="1" t="s">
        <v>93</v>
      </c>
      <c r="AE1138" s="1" t="s">
        <v>93</v>
      </c>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t="s">
        <v>9609</v>
      </c>
      <c r="BQ1138" s="3"/>
      <c r="BR1138" s="3"/>
    </row>
    <row r="1139" spans="1:70">
      <c r="A1139" s="1" t="s">
        <v>70</v>
      </c>
      <c r="B1139" s="1" t="s">
        <v>13846</v>
      </c>
      <c r="C1139" s="1" t="s">
        <v>15900</v>
      </c>
      <c r="D1139" s="1" t="s">
        <v>15901</v>
      </c>
      <c r="E1139" s="1"/>
      <c r="F1139" s="1" t="s">
        <v>1298</v>
      </c>
      <c r="G1139" s="1" t="s">
        <v>15902</v>
      </c>
      <c r="H1139" s="1" t="s">
        <v>15903</v>
      </c>
      <c r="I1139" s="1" t="s">
        <v>15903</v>
      </c>
      <c r="J1139" s="1">
        <v>8935874567</v>
      </c>
      <c r="K1139" s="1" t="s">
        <v>79</v>
      </c>
      <c r="L1139" s="1" t="s">
        <v>15904</v>
      </c>
      <c r="M1139" s="1" t="s">
        <v>81</v>
      </c>
      <c r="N1139" s="1" t="s">
        <v>15905</v>
      </c>
      <c r="O1139" s="1" t="s">
        <v>15906</v>
      </c>
      <c r="P1139" s="1" t="s">
        <v>117</v>
      </c>
      <c r="Q1139" s="1">
        <v>248664359226</v>
      </c>
      <c r="R1139" s="1" t="s">
        <v>15907</v>
      </c>
      <c r="S1139" s="1">
        <v>9234003572</v>
      </c>
      <c r="T1139" s="1" t="s">
        <v>15908</v>
      </c>
      <c r="U1139" s="1" t="s">
        <v>15909</v>
      </c>
      <c r="V1139" s="1">
        <v>9508797183</v>
      </c>
      <c r="W1139" s="1" t="s">
        <v>156</v>
      </c>
      <c r="X1139" s="1" t="s">
        <v>15910</v>
      </c>
      <c r="Y1139" s="1" t="s">
        <v>15911</v>
      </c>
      <c r="Z1139" s="1" t="s">
        <v>636</v>
      </c>
      <c r="AA1139" s="1" t="s">
        <v>15910</v>
      </c>
      <c r="AB1139" s="1" t="s">
        <v>15911</v>
      </c>
      <c r="AC1139" s="1" t="s">
        <v>636</v>
      </c>
      <c r="AD1139" s="1" t="s">
        <v>93</v>
      </c>
      <c r="AE1139" s="1" t="s">
        <v>93</v>
      </c>
      <c r="AF1139" s="1" t="s">
        <v>15912</v>
      </c>
      <c r="AG1139" s="1" t="s">
        <v>15913</v>
      </c>
      <c r="AH1139" s="1" t="s">
        <v>481</v>
      </c>
      <c r="AI1139" s="1" t="s">
        <v>537</v>
      </c>
      <c r="AJ1139" s="1">
        <v>69.02</v>
      </c>
      <c r="AK1139" s="1"/>
      <c r="AL1139" s="1" t="s">
        <v>15914</v>
      </c>
      <c r="AM1139" s="1" t="s">
        <v>15913</v>
      </c>
      <c r="AN1139" s="1" t="s">
        <v>409</v>
      </c>
      <c r="AO1139" s="1" t="s">
        <v>1169</v>
      </c>
      <c r="AP1139" s="1">
        <v>70.8</v>
      </c>
      <c r="AQ1139" s="1"/>
      <c r="AR1139" s="1"/>
      <c r="AS1139" s="1"/>
      <c r="AT1139" s="1"/>
      <c r="AU1139" s="1"/>
      <c r="AV1139" s="1"/>
      <c r="AW1139" s="1"/>
      <c r="AX1139" s="1" t="s">
        <v>15915</v>
      </c>
      <c r="AY1139" s="1" t="s">
        <v>15916</v>
      </c>
      <c r="AZ1139" s="1" t="s">
        <v>826</v>
      </c>
      <c r="BA1139" s="1" t="s">
        <v>543</v>
      </c>
      <c r="BB1139" s="1">
        <v>65.13</v>
      </c>
      <c r="BC1139" s="1"/>
      <c r="BD1139" s="1"/>
      <c r="BE1139" s="1"/>
      <c r="BF1139" s="1"/>
      <c r="BG1139" s="1"/>
      <c r="BH1139" s="1"/>
      <c r="BI1139" s="1"/>
      <c r="BJ1139" s="1" t="s">
        <v>15917</v>
      </c>
      <c r="BK1139" s="1"/>
      <c r="BL1139" s="1"/>
      <c r="BM1139" s="1"/>
      <c r="BN1139" s="1"/>
      <c r="BO1139" s="1"/>
      <c r="BP1139" s="1" t="s">
        <v>9609</v>
      </c>
      <c r="BQ1139" s="3"/>
      <c r="BR1139" s="3"/>
    </row>
    <row r="1140" spans="1:70">
      <c r="A1140" s="1" t="s">
        <v>70</v>
      </c>
      <c r="B1140" s="1" t="s">
        <v>13846</v>
      </c>
      <c r="C1140" s="1" t="s">
        <v>15918</v>
      </c>
      <c r="D1140" s="1"/>
      <c r="E1140" s="1"/>
      <c r="F1140" s="1"/>
      <c r="G1140" s="1"/>
      <c r="H1140" s="1" t="s">
        <v>15919</v>
      </c>
      <c r="I1140" s="1" t="s">
        <v>15919</v>
      </c>
      <c r="J1140" s="1"/>
      <c r="K1140" s="1"/>
      <c r="L1140" s="1"/>
      <c r="M1140" s="1"/>
      <c r="N1140" s="1"/>
      <c r="O1140" s="1"/>
      <c r="P1140" s="1"/>
      <c r="Q1140" s="1"/>
      <c r="R1140" s="1"/>
      <c r="S1140" s="1"/>
      <c r="T1140" s="1"/>
      <c r="U1140" s="1"/>
      <c r="V1140" s="1"/>
      <c r="W1140" s="1"/>
      <c r="X1140" s="1"/>
      <c r="Y1140" s="1"/>
      <c r="Z1140" s="1"/>
      <c r="AA1140" s="1"/>
      <c r="AB1140" s="1"/>
      <c r="AC1140" s="1"/>
      <c r="AD1140" s="1" t="s">
        <v>93</v>
      </c>
      <c r="AE1140" s="1" t="s">
        <v>93</v>
      </c>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t="s">
        <v>9609</v>
      </c>
      <c r="BQ1140" s="3"/>
      <c r="BR1140" s="3"/>
    </row>
    <row r="1141" spans="1:70">
      <c r="A1141" s="1" t="s">
        <v>70</v>
      </c>
      <c r="B1141" s="1" t="s">
        <v>13846</v>
      </c>
      <c r="C1141" s="1" t="s">
        <v>15920</v>
      </c>
      <c r="D1141" s="1"/>
      <c r="E1141" s="1"/>
      <c r="F1141" s="1"/>
      <c r="G1141" s="1"/>
      <c r="H1141" s="1" t="s">
        <v>15921</v>
      </c>
      <c r="I1141" s="1" t="s">
        <v>15921</v>
      </c>
      <c r="J1141" s="1"/>
      <c r="K1141" s="1"/>
      <c r="L1141" s="1"/>
      <c r="M1141" s="1"/>
      <c r="N1141" s="1"/>
      <c r="O1141" s="1"/>
      <c r="P1141" s="1"/>
      <c r="Q1141" s="1"/>
      <c r="R1141" s="1"/>
      <c r="S1141" s="1"/>
      <c r="T1141" s="1"/>
      <c r="U1141" s="1"/>
      <c r="V1141" s="1"/>
      <c r="W1141" s="1"/>
      <c r="X1141" s="1"/>
      <c r="Y1141" s="1"/>
      <c r="Z1141" s="1"/>
      <c r="AA1141" s="1"/>
      <c r="AB1141" s="1"/>
      <c r="AC1141" s="1"/>
      <c r="AD1141" s="1" t="s">
        <v>93</v>
      </c>
      <c r="AE1141" s="1" t="s">
        <v>93</v>
      </c>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t="s">
        <v>9609</v>
      </c>
      <c r="BQ1141" s="3"/>
      <c r="BR1141" s="3"/>
    </row>
    <row r="1142" spans="1:70">
      <c r="A1142" s="1" t="s">
        <v>70</v>
      </c>
      <c r="B1142" s="1" t="s">
        <v>13846</v>
      </c>
      <c r="C1142" s="1" t="s">
        <v>15922</v>
      </c>
      <c r="D1142" s="1"/>
      <c r="E1142" s="1"/>
      <c r="F1142" s="1"/>
      <c r="G1142" s="1"/>
      <c r="H1142" s="1" t="s">
        <v>15923</v>
      </c>
      <c r="I1142" s="1" t="s">
        <v>15923</v>
      </c>
      <c r="J1142" s="1"/>
      <c r="K1142" s="1"/>
      <c r="L1142" s="1"/>
      <c r="M1142" s="1"/>
      <c r="N1142" s="1"/>
      <c r="O1142" s="1"/>
      <c r="P1142" s="1"/>
      <c r="Q1142" s="1"/>
      <c r="R1142" s="1"/>
      <c r="S1142" s="1"/>
      <c r="T1142" s="1"/>
      <c r="U1142" s="1"/>
      <c r="V1142" s="1"/>
      <c r="W1142" s="1"/>
      <c r="X1142" s="1"/>
      <c r="Y1142" s="1"/>
      <c r="Z1142" s="1"/>
      <c r="AA1142" s="1"/>
      <c r="AB1142" s="1"/>
      <c r="AC1142" s="1"/>
      <c r="AD1142" s="1" t="s">
        <v>93</v>
      </c>
      <c r="AE1142" s="1" t="s">
        <v>93</v>
      </c>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t="s">
        <v>9609</v>
      </c>
      <c r="BQ1142" s="3"/>
      <c r="BR1142" s="3"/>
    </row>
    <row r="1143" spans="1:70">
      <c r="A1143" s="1" t="s">
        <v>70</v>
      </c>
      <c r="B1143" s="1" t="s">
        <v>13846</v>
      </c>
      <c r="C1143" s="1" t="s">
        <v>15924</v>
      </c>
      <c r="D1143" s="1"/>
      <c r="E1143" s="1"/>
      <c r="F1143" s="1"/>
      <c r="G1143" s="1"/>
      <c r="H1143" s="1" t="s">
        <v>15925</v>
      </c>
      <c r="I1143" s="1" t="s">
        <v>15925</v>
      </c>
      <c r="J1143" s="1"/>
      <c r="K1143" s="1"/>
      <c r="L1143" s="1"/>
      <c r="M1143" s="1"/>
      <c r="N1143" s="1"/>
      <c r="O1143" s="1"/>
      <c r="P1143" s="1"/>
      <c r="Q1143" s="1"/>
      <c r="R1143" s="1"/>
      <c r="S1143" s="1"/>
      <c r="T1143" s="1"/>
      <c r="U1143" s="1"/>
      <c r="V1143" s="1"/>
      <c r="W1143" s="1"/>
      <c r="X1143" s="1"/>
      <c r="Y1143" s="1"/>
      <c r="Z1143" s="1"/>
      <c r="AA1143" s="1"/>
      <c r="AB1143" s="1"/>
      <c r="AC1143" s="1"/>
      <c r="AD1143" s="1" t="s">
        <v>93</v>
      </c>
      <c r="AE1143" s="1" t="s">
        <v>93</v>
      </c>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t="s">
        <v>9609</v>
      </c>
      <c r="BQ1143" s="3"/>
      <c r="BR1143" s="3"/>
    </row>
    <row r="1144" spans="1:70">
      <c r="A1144" s="1" t="s">
        <v>70</v>
      </c>
      <c r="B1144" s="1" t="s">
        <v>13846</v>
      </c>
      <c r="C1144" s="1" t="s">
        <v>15926</v>
      </c>
      <c r="D1144" s="1"/>
      <c r="E1144" s="1"/>
      <c r="F1144" s="1"/>
      <c r="G1144" s="1"/>
      <c r="H1144" s="1" t="s">
        <v>15927</v>
      </c>
      <c r="I1144" s="1" t="s">
        <v>15927</v>
      </c>
      <c r="J1144" s="1"/>
      <c r="K1144" s="1"/>
      <c r="L1144" s="1"/>
      <c r="M1144" s="1"/>
      <c r="N1144" s="1"/>
      <c r="O1144" s="1"/>
      <c r="P1144" s="1"/>
      <c r="Q1144" s="1"/>
      <c r="R1144" s="1"/>
      <c r="S1144" s="1"/>
      <c r="T1144" s="1"/>
      <c r="U1144" s="1"/>
      <c r="V1144" s="1"/>
      <c r="W1144" s="1"/>
      <c r="X1144" s="1"/>
      <c r="Y1144" s="1"/>
      <c r="Z1144" s="1"/>
      <c r="AA1144" s="1"/>
      <c r="AB1144" s="1"/>
      <c r="AC1144" s="1"/>
      <c r="AD1144" s="1" t="s">
        <v>93</v>
      </c>
      <c r="AE1144" s="1" t="s">
        <v>93</v>
      </c>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t="s">
        <v>9609</v>
      </c>
      <c r="BQ1144" s="3"/>
      <c r="BR1144" s="3"/>
    </row>
    <row r="1145" spans="1:70">
      <c r="A1145" s="1" t="s">
        <v>70</v>
      </c>
      <c r="B1145" s="1" t="s">
        <v>13846</v>
      </c>
      <c r="C1145" s="1" t="s">
        <v>15928</v>
      </c>
      <c r="D1145" s="1"/>
      <c r="E1145" s="1"/>
      <c r="F1145" s="1"/>
      <c r="G1145" s="1"/>
      <c r="H1145" s="1" t="s">
        <v>15929</v>
      </c>
      <c r="I1145" s="1" t="s">
        <v>15929</v>
      </c>
      <c r="J1145" s="1"/>
      <c r="K1145" s="1"/>
      <c r="L1145" s="1"/>
      <c r="M1145" s="1"/>
      <c r="N1145" s="1"/>
      <c r="O1145" s="1"/>
      <c r="P1145" s="1"/>
      <c r="Q1145" s="1"/>
      <c r="R1145" s="1"/>
      <c r="S1145" s="1"/>
      <c r="T1145" s="1"/>
      <c r="U1145" s="1"/>
      <c r="V1145" s="1"/>
      <c r="W1145" s="1"/>
      <c r="X1145" s="1"/>
      <c r="Y1145" s="1"/>
      <c r="Z1145" s="1"/>
      <c r="AA1145" s="1"/>
      <c r="AB1145" s="1"/>
      <c r="AC1145" s="1"/>
      <c r="AD1145" s="1" t="s">
        <v>93</v>
      </c>
      <c r="AE1145" s="1" t="s">
        <v>93</v>
      </c>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t="s">
        <v>9609</v>
      </c>
      <c r="BQ1145" s="3"/>
      <c r="BR1145" s="3"/>
    </row>
    <row r="1146" spans="1:70">
      <c r="A1146" s="1" t="s">
        <v>70</v>
      </c>
      <c r="B1146" s="1" t="s">
        <v>13846</v>
      </c>
      <c r="C1146" s="1" t="s">
        <v>15930</v>
      </c>
      <c r="D1146" s="1"/>
      <c r="E1146" s="1"/>
      <c r="F1146" s="1"/>
      <c r="G1146" s="1"/>
      <c r="H1146" s="1" t="s">
        <v>15931</v>
      </c>
      <c r="I1146" s="1" t="s">
        <v>15931</v>
      </c>
      <c r="J1146" s="1"/>
      <c r="K1146" s="1"/>
      <c r="L1146" s="1"/>
      <c r="M1146" s="1"/>
      <c r="N1146" s="1"/>
      <c r="O1146" s="1"/>
      <c r="P1146" s="1"/>
      <c r="Q1146" s="1"/>
      <c r="R1146" s="1"/>
      <c r="S1146" s="1"/>
      <c r="T1146" s="1"/>
      <c r="U1146" s="1"/>
      <c r="V1146" s="1"/>
      <c r="W1146" s="1"/>
      <c r="X1146" s="1"/>
      <c r="Y1146" s="1"/>
      <c r="Z1146" s="1"/>
      <c r="AA1146" s="1"/>
      <c r="AB1146" s="1"/>
      <c r="AC1146" s="1"/>
      <c r="AD1146" s="1" t="s">
        <v>93</v>
      </c>
      <c r="AE1146" s="1" t="s">
        <v>93</v>
      </c>
      <c r="AF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c r="BK1146" s="1"/>
      <c r="BL1146" s="1"/>
      <c r="BM1146" s="1"/>
      <c r="BN1146" s="1"/>
      <c r="BO1146" s="1"/>
      <c r="BP1146" s="1" t="s">
        <v>9609</v>
      </c>
      <c r="BQ1146" s="3"/>
      <c r="BR1146" s="3"/>
    </row>
    <row r="1147" spans="1:70">
      <c r="A1147" s="1" t="s">
        <v>70</v>
      </c>
      <c r="B1147" s="1" t="s">
        <v>13846</v>
      </c>
      <c r="C1147" s="1" t="s">
        <v>15932</v>
      </c>
      <c r="D1147" s="1"/>
      <c r="E1147" s="1"/>
      <c r="F1147" s="1"/>
      <c r="G1147" s="1"/>
      <c r="H1147" s="1" t="s">
        <v>15933</v>
      </c>
      <c r="I1147" s="1" t="s">
        <v>15933</v>
      </c>
      <c r="J1147" s="1"/>
      <c r="K1147" s="1"/>
      <c r="L1147" s="1"/>
      <c r="M1147" s="1"/>
      <c r="N1147" s="1"/>
      <c r="O1147" s="1"/>
      <c r="P1147" s="1"/>
      <c r="Q1147" s="1"/>
      <c r="R1147" s="1"/>
      <c r="S1147" s="1"/>
      <c r="T1147" s="1"/>
      <c r="U1147" s="1"/>
      <c r="V1147" s="1"/>
      <c r="W1147" s="1"/>
      <c r="X1147" s="1"/>
      <c r="Y1147" s="1"/>
      <c r="Z1147" s="1"/>
      <c r="AA1147" s="1"/>
      <c r="AB1147" s="1"/>
      <c r="AC1147" s="1"/>
      <c r="AD1147" s="1" t="s">
        <v>93</v>
      </c>
      <c r="AE1147" s="1" t="s">
        <v>93</v>
      </c>
      <c r="AF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c r="BK1147" s="1"/>
      <c r="BL1147" s="1"/>
      <c r="BM1147" s="1"/>
      <c r="BN1147" s="1"/>
      <c r="BO1147" s="1"/>
      <c r="BP1147" s="1" t="s">
        <v>9609</v>
      </c>
      <c r="BQ1147" s="3"/>
      <c r="BR1147" s="3"/>
    </row>
    <row r="1148" spans="1:70">
      <c r="A1148" s="1" t="s">
        <v>70</v>
      </c>
      <c r="B1148" s="1" t="s">
        <v>13846</v>
      </c>
      <c r="C1148" s="1" t="s">
        <v>15934</v>
      </c>
      <c r="D1148" s="1"/>
      <c r="E1148" s="1"/>
      <c r="F1148" s="1"/>
      <c r="G1148" s="1"/>
      <c r="H1148" s="1" t="s">
        <v>15935</v>
      </c>
      <c r="I1148" s="1" t="s">
        <v>15935</v>
      </c>
      <c r="J1148" s="1"/>
      <c r="K1148" s="1"/>
      <c r="L1148" s="1"/>
      <c r="M1148" s="1"/>
      <c r="N1148" s="1"/>
      <c r="O1148" s="1"/>
      <c r="P1148" s="1"/>
      <c r="Q1148" s="1"/>
      <c r="R1148" s="1"/>
      <c r="S1148" s="1"/>
      <c r="T1148" s="1"/>
      <c r="U1148" s="1"/>
      <c r="V1148" s="1"/>
      <c r="W1148" s="1"/>
      <c r="X1148" s="1"/>
      <c r="Y1148" s="1"/>
      <c r="Z1148" s="1"/>
      <c r="AA1148" s="1"/>
      <c r="AB1148" s="1"/>
      <c r="AC1148" s="1"/>
      <c r="AD1148" s="1" t="s">
        <v>93</v>
      </c>
      <c r="AE1148" s="1" t="s">
        <v>93</v>
      </c>
      <c r="AF1148" s="1"/>
      <c r="AG1148" s="1"/>
      <c r="AH1148" s="1"/>
      <c r="AI1148" s="1"/>
      <c r="AJ1148" s="1"/>
      <c r="AK1148" s="1"/>
      <c r="AL1148" s="1"/>
      <c r="AM1148" s="1"/>
      <c r="AN1148" s="1"/>
      <c r="AO1148" s="1"/>
      <c r="AP1148" s="1"/>
      <c r="AQ1148" s="1"/>
      <c r="AR1148" s="1"/>
      <c r="AS1148" s="1"/>
      <c r="AT1148" s="1"/>
      <c r="AU1148" s="1"/>
      <c r="AV1148" s="1"/>
      <c r="AW1148" s="1"/>
      <c r="AX1148" s="1"/>
      <c r="AY1148" s="1"/>
      <c r="AZ1148" s="1"/>
      <c r="BA1148" s="1"/>
      <c r="BB1148" s="1"/>
      <c r="BC1148" s="1"/>
      <c r="BD1148" s="1"/>
      <c r="BE1148" s="1"/>
      <c r="BF1148" s="1"/>
      <c r="BG1148" s="1"/>
      <c r="BH1148" s="1"/>
      <c r="BI1148" s="1"/>
      <c r="BJ1148" s="1"/>
      <c r="BK1148" s="1"/>
      <c r="BL1148" s="1"/>
      <c r="BM1148" s="1"/>
      <c r="BN1148" s="1"/>
      <c r="BO1148" s="1"/>
      <c r="BP1148" s="1" t="s">
        <v>9609</v>
      </c>
      <c r="BQ1148" s="3"/>
      <c r="BR1148" s="3"/>
    </row>
    <row r="1149" spans="1:70">
      <c r="A1149" s="1" t="s">
        <v>70</v>
      </c>
      <c r="B1149" s="1" t="s">
        <v>13846</v>
      </c>
      <c r="C1149" s="1" t="s">
        <v>15936</v>
      </c>
      <c r="D1149" s="1"/>
      <c r="E1149" s="1"/>
      <c r="F1149" s="1"/>
      <c r="G1149" s="1"/>
      <c r="H1149" s="1" t="s">
        <v>15937</v>
      </c>
      <c r="I1149" s="1" t="s">
        <v>15937</v>
      </c>
      <c r="J1149" s="1"/>
      <c r="K1149" s="1"/>
      <c r="L1149" s="1"/>
      <c r="M1149" s="1"/>
      <c r="N1149" s="1"/>
      <c r="O1149" s="1"/>
      <c r="P1149" s="1"/>
      <c r="Q1149" s="1"/>
      <c r="R1149" s="1"/>
      <c r="S1149" s="1"/>
      <c r="T1149" s="1"/>
      <c r="U1149" s="1"/>
      <c r="V1149" s="1"/>
      <c r="W1149" s="1"/>
      <c r="X1149" s="1"/>
      <c r="Y1149" s="1"/>
      <c r="Z1149" s="1"/>
      <c r="AA1149" s="1"/>
      <c r="AB1149" s="1"/>
      <c r="AC1149" s="1"/>
      <c r="AD1149" s="1" t="s">
        <v>93</v>
      </c>
      <c r="AE1149" s="1" t="s">
        <v>93</v>
      </c>
      <c r="AF1149" s="1"/>
      <c r="AG1149" s="1"/>
      <c r="AH1149" s="1"/>
      <c r="AI1149" s="1"/>
      <c r="AJ1149" s="1"/>
      <c r="AK1149" s="1"/>
      <c r="AL1149" s="1"/>
      <c r="AM1149" s="1"/>
      <c r="AN1149" s="1"/>
      <c r="AO1149" s="1"/>
      <c r="AP1149" s="1"/>
      <c r="AQ1149" s="1"/>
      <c r="AR1149" s="1"/>
      <c r="AS1149" s="1"/>
      <c r="AT1149" s="1"/>
      <c r="AU1149" s="1"/>
      <c r="AV1149" s="1"/>
      <c r="AW1149" s="1"/>
      <c r="AX1149" s="1"/>
      <c r="AY1149" s="1"/>
      <c r="AZ1149" s="1"/>
      <c r="BA1149" s="1"/>
      <c r="BB1149" s="1"/>
      <c r="BC1149" s="1"/>
      <c r="BD1149" s="1"/>
      <c r="BE1149" s="1"/>
      <c r="BF1149" s="1"/>
      <c r="BG1149" s="1"/>
      <c r="BH1149" s="1"/>
      <c r="BI1149" s="1"/>
      <c r="BJ1149" s="1"/>
      <c r="BK1149" s="1"/>
      <c r="BL1149" s="1"/>
      <c r="BM1149" s="1"/>
      <c r="BN1149" s="1"/>
      <c r="BO1149" s="1"/>
      <c r="BP1149" s="1" t="s">
        <v>9609</v>
      </c>
      <c r="BQ1149" s="3"/>
      <c r="BR1149" s="3"/>
    </row>
    <row r="1150" spans="1:70">
      <c r="A1150" s="1" t="s">
        <v>70</v>
      </c>
      <c r="B1150" s="1" t="s">
        <v>13846</v>
      </c>
      <c r="C1150" s="1" t="s">
        <v>15938</v>
      </c>
      <c r="D1150" s="1"/>
      <c r="E1150" s="1"/>
      <c r="F1150" s="1"/>
      <c r="G1150" s="1"/>
      <c r="H1150" s="1" t="s">
        <v>15939</v>
      </c>
      <c r="I1150" s="1" t="s">
        <v>15939</v>
      </c>
      <c r="J1150" s="1"/>
      <c r="K1150" s="1"/>
      <c r="L1150" s="1"/>
      <c r="M1150" s="1"/>
      <c r="N1150" s="1"/>
      <c r="O1150" s="1"/>
      <c r="P1150" s="1"/>
      <c r="Q1150" s="1"/>
      <c r="R1150" s="1"/>
      <c r="S1150" s="1"/>
      <c r="T1150" s="1"/>
      <c r="U1150" s="1"/>
      <c r="V1150" s="1"/>
      <c r="W1150" s="1"/>
      <c r="X1150" s="1"/>
      <c r="Y1150" s="1"/>
      <c r="Z1150" s="1"/>
      <c r="AA1150" s="1"/>
      <c r="AB1150" s="1"/>
      <c r="AC1150" s="1"/>
      <c r="AD1150" s="1" t="s">
        <v>93</v>
      </c>
      <c r="AE1150" s="1" t="s">
        <v>93</v>
      </c>
      <c r="AF1150" s="1"/>
      <c r="AG1150" s="1"/>
      <c r="AH1150" s="1"/>
      <c r="AI1150" s="1"/>
      <c r="AJ1150" s="1"/>
      <c r="AK1150" s="1"/>
      <c r="AL1150" s="1"/>
      <c r="AM1150" s="1"/>
      <c r="AN1150" s="1"/>
      <c r="AO1150" s="1"/>
      <c r="AP1150" s="1"/>
      <c r="AQ1150" s="1"/>
      <c r="AR1150" s="1"/>
      <c r="AS1150" s="1"/>
      <c r="AT1150" s="1"/>
      <c r="AU1150" s="1"/>
      <c r="AV1150" s="1"/>
      <c r="AW1150" s="1"/>
      <c r="AX1150" s="1"/>
      <c r="AY1150" s="1"/>
      <c r="AZ1150" s="1"/>
      <c r="BA1150" s="1"/>
      <c r="BB1150" s="1"/>
      <c r="BC1150" s="1"/>
      <c r="BD1150" s="1"/>
      <c r="BE1150" s="1"/>
      <c r="BF1150" s="1"/>
      <c r="BG1150" s="1"/>
      <c r="BH1150" s="1"/>
      <c r="BI1150" s="1"/>
      <c r="BJ1150" s="1"/>
      <c r="BK1150" s="1"/>
      <c r="BL1150" s="1"/>
      <c r="BM1150" s="1"/>
      <c r="BN1150" s="1"/>
      <c r="BO1150" s="1"/>
      <c r="BP1150" s="1" t="s">
        <v>9609</v>
      </c>
      <c r="BQ1150" s="3"/>
      <c r="BR1150" s="3"/>
    </row>
    <row r="1151" spans="1:70">
      <c r="A1151" s="1" t="s">
        <v>70</v>
      </c>
      <c r="B1151" s="1" t="s">
        <v>13846</v>
      </c>
      <c r="C1151" s="1" t="s">
        <v>15940</v>
      </c>
      <c r="D1151" s="1"/>
      <c r="E1151" s="1"/>
      <c r="F1151" s="1"/>
      <c r="G1151" s="1"/>
      <c r="H1151" s="1" t="s">
        <v>15941</v>
      </c>
      <c r="I1151" s="1" t="s">
        <v>15941</v>
      </c>
      <c r="J1151" s="1"/>
      <c r="K1151" s="1"/>
      <c r="L1151" s="1"/>
      <c r="M1151" s="1"/>
      <c r="N1151" s="1"/>
      <c r="O1151" s="1"/>
      <c r="P1151" s="1"/>
      <c r="Q1151" s="1"/>
      <c r="R1151" s="1"/>
      <c r="S1151" s="1"/>
      <c r="T1151" s="1"/>
      <c r="U1151" s="1"/>
      <c r="V1151" s="1"/>
      <c r="W1151" s="1"/>
      <c r="X1151" s="1"/>
      <c r="Y1151" s="1"/>
      <c r="Z1151" s="1"/>
      <c r="AA1151" s="1"/>
      <c r="AB1151" s="1"/>
      <c r="AC1151" s="1"/>
      <c r="AD1151" s="1" t="s">
        <v>93</v>
      </c>
      <c r="AE1151" s="1" t="s">
        <v>93</v>
      </c>
      <c r="AF1151" s="1"/>
      <c r="AG1151" s="1"/>
      <c r="AH1151" s="1"/>
      <c r="AI1151" s="1"/>
      <c r="AJ1151" s="1"/>
      <c r="AK1151" s="1"/>
      <c r="AL1151" s="1"/>
      <c r="AM1151" s="1"/>
      <c r="AN1151" s="1"/>
      <c r="AO1151" s="1"/>
      <c r="AP1151" s="1"/>
      <c r="AQ1151" s="1"/>
      <c r="AR1151" s="1"/>
      <c r="AS1151" s="1"/>
      <c r="AT1151" s="1"/>
      <c r="AU1151" s="1"/>
      <c r="AV1151" s="1"/>
      <c r="AW1151" s="1"/>
      <c r="AX1151" s="1"/>
      <c r="AY1151" s="1"/>
      <c r="AZ1151" s="1"/>
      <c r="BA1151" s="1"/>
      <c r="BB1151" s="1"/>
      <c r="BC1151" s="1"/>
      <c r="BD1151" s="1"/>
      <c r="BE1151" s="1"/>
      <c r="BF1151" s="1"/>
      <c r="BG1151" s="1"/>
      <c r="BH1151" s="1"/>
      <c r="BI1151" s="1"/>
      <c r="BJ1151" s="1"/>
      <c r="BK1151" s="1"/>
      <c r="BL1151" s="1"/>
      <c r="BM1151" s="1"/>
      <c r="BN1151" s="1"/>
      <c r="BO1151" s="1"/>
      <c r="BP1151" s="1" t="s">
        <v>9609</v>
      </c>
      <c r="BQ1151" s="3"/>
      <c r="BR1151" s="3"/>
    </row>
    <row r="1152" spans="1:70">
      <c r="A1152" s="1" t="s">
        <v>70</v>
      </c>
      <c r="B1152" s="1" t="s">
        <v>13846</v>
      </c>
      <c r="C1152" s="1" t="s">
        <v>15942</v>
      </c>
      <c r="D1152" s="1"/>
      <c r="E1152" s="1"/>
      <c r="F1152" s="1"/>
      <c r="G1152" s="1"/>
      <c r="H1152" s="1" t="s">
        <v>15943</v>
      </c>
      <c r="I1152" s="1" t="s">
        <v>15943</v>
      </c>
      <c r="J1152" s="1"/>
      <c r="K1152" s="1"/>
      <c r="L1152" s="1"/>
      <c r="M1152" s="1"/>
      <c r="N1152" s="1"/>
      <c r="O1152" s="1"/>
      <c r="P1152" s="1"/>
      <c r="Q1152" s="1"/>
      <c r="R1152" s="1"/>
      <c r="S1152" s="1"/>
      <c r="T1152" s="1"/>
      <c r="U1152" s="1"/>
      <c r="V1152" s="1"/>
      <c r="W1152" s="1"/>
      <c r="X1152" s="1"/>
      <c r="Y1152" s="1"/>
      <c r="Z1152" s="1"/>
      <c r="AA1152" s="1"/>
      <c r="AB1152" s="1"/>
      <c r="AC1152" s="1"/>
      <c r="AD1152" s="1" t="s">
        <v>93</v>
      </c>
      <c r="AE1152" s="1" t="s">
        <v>93</v>
      </c>
      <c r="AF1152" s="1"/>
      <c r="AG1152" s="1"/>
      <c r="AH1152" s="1"/>
      <c r="AI1152" s="1"/>
      <c r="AJ1152" s="1"/>
      <c r="AK1152" s="1"/>
      <c r="AL1152" s="1"/>
      <c r="AM1152" s="1"/>
      <c r="AN1152" s="1"/>
      <c r="AO1152" s="1"/>
      <c r="AP1152" s="1"/>
      <c r="AQ1152" s="1"/>
      <c r="AR1152" s="1"/>
      <c r="AS1152" s="1"/>
      <c r="AT1152" s="1"/>
      <c r="AU1152" s="1"/>
      <c r="AV1152" s="1"/>
      <c r="AW1152" s="1"/>
      <c r="AX1152" s="1"/>
      <c r="AY1152" s="1"/>
      <c r="AZ1152" s="1"/>
      <c r="BA1152" s="1"/>
      <c r="BB1152" s="1"/>
      <c r="BC1152" s="1"/>
      <c r="BD1152" s="1"/>
      <c r="BE1152" s="1"/>
      <c r="BF1152" s="1"/>
      <c r="BG1152" s="1"/>
      <c r="BH1152" s="1"/>
      <c r="BI1152" s="1"/>
      <c r="BJ1152" s="1"/>
      <c r="BK1152" s="1"/>
      <c r="BL1152" s="1"/>
      <c r="BM1152" s="1"/>
      <c r="BN1152" s="1"/>
      <c r="BO1152" s="1"/>
      <c r="BP1152" s="1" t="s">
        <v>9609</v>
      </c>
      <c r="BQ1152" s="3"/>
      <c r="BR1152" s="3"/>
    </row>
    <row r="1153" spans="1:70">
      <c r="A1153" s="1" t="s">
        <v>70</v>
      </c>
      <c r="B1153" s="1" t="s">
        <v>13846</v>
      </c>
      <c r="C1153" s="1" t="s">
        <v>15944</v>
      </c>
      <c r="D1153" s="1"/>
      <c r="E1153" s="1"/>
      <c r="F1153" s="1"/>
      <c r="G1153" s="1"/>
      <c r="H1153" s="1" t="s">
        <v>15945</v>
      </c>
      <c r="I1153" s="1" t="s">
        <v>15945</v>
      </c>
      <c r="J1153" s="1"/>
      <c r="K1153" s="1"/>
      <c r="L1153" s="1"/>
      <c r="M1153" s="1"/>
      <c r="N1153" s="1"/>
      <c r="O1153" s="1"/>
      <c r="P1153" s="1"/>
      <c r="Q1153" s="1"/>
      <c r="R1153" s="1"/>
      <c r="S1153" s="1"/>
      <c r="T1153" s="1"/>
      <c r="U1153" s="1"/>
      <c r="V1153" s="1"/>
      <c r="W1153" s="1"/>
      <c r="X1153" s="1"/>
      <c r="Y1153" s="1"/>
      <c r="Z1153" s="1"/>
      <c r="AA1153" s="1"/>
      <c r="AB1153" s="1"/>
      <c r="AC1153" s="1"/>
      <c r="AD1153" s="1" t="s">
        <v>93</v>
      </c>
      <c r="AE1153" s="1" t="s">
        <v>93</v>
      </c>
      <c r="AF1153" s="1"/>
      <c r="AG1153" s="1"/>
      <c r="AH1153" s="1"/>
      <c r="AI1153" s="1"/>
      <c r="AJ1153" s="1"/>
      <c r="AK1153" s="1"/>
      <c r="AL1153" s="1"/>
      <c r="AM1153" s="1"/>
      <c r="AN1153" s="1"/>
      <c r="AO1153" s="1"/>
      <c r="AP1153" s="1"/>
      <c r="AQ1153" s="1"/>
      <c r="AR1153" s="1"/>
      <c r="AS1153" s="1"/>
      <c r="AT1153" s="1"/>
      <c r="AU1153" s="1"/>
      <c r="AV1153" s="1"/>
      <c r="AW1153" s="1"/>
      <c r="AX1153" s="1"/>
      <c r="AY1153" s="1"/>
      <c r="AZ1153" s="1"/>
      <c r="BA1153" s="1"/>
      <c r="BB1153" s="1"/>
      <c r="BC1153" s="1"/>
      <c r="BD1153" s="1"/>
      <c r="BE1153" s="1"/>
      <c r="BF1153" s="1"/>
      <c r="BG1153" s="1"/>
      <c r="BH1153" s="1"/>
      <c r="BI1153" s="1"/>
      <c r="BJ1153" s="1"/>
      <c r="BK1153" s="1"/>
      <c r="BL1153" s="1"/>
      <c r="BM1153" s="1"/>
      <c r="BN1153" s="1"/>
      <c r="BO1153" s="1"/>
      <c r="BP1153" s="1" t="s">
        <v>9609</v>
      </c>
      <c r="BQ1153" s="3"/>
      <c r="BR1153" s="3"/>
    </row>
    <row r="1154" spans="1:70">
      <c r="A1154" s="1" t="s">
        <v>70</v>
      </c>
      <c r="B1154" s="1" t="s">
        <v>13846</v>
      </c>
      <c r="C1154" s="1" t="s">
        <v>15946</v>
      </c>
      <c r="D1154" s="1"/>
      <c r="E1154" s="1"/>
      <c r="F1154" s="1"/>
      <c r="G1154" s="1"/>
      <c r="H1154" s="1" t="s">
        <v>15947</v>
      </c>
      <c r="I1154" s="1" t="s">
        <v>15947</v>
      </c>
      <c r="J1154" s="1"/>
      <c r="K1154" s="1"/>
      <c r="L1154" s="1"/>
      <c r="M1154" s="1"/>
      <c r="N1154" s="1"/>
      <c r="O1154" s="1"/>
      <c r="P1154" s="1"/>
      <c r="Q1154" s="1"/>
      <c r="R1154" s="1"/>
      <c r="S1154" s="1"/>
      <c r="T1154" s="1"/>
      <c r="U1154" s="1"/>
      <c r="V1154" s="1"/>
      <c r="W1154" s="1"/>
      <c r="X1154" s="1"/>
      <c r="Y1154" s="1"/>
      <c r="Z1154" s="1"/>
      <c r="AA1154" s="1"/>
      <c r="AB1154" s="1"/>
      <c r="AC1154" s="1"/>
      <c r="AD1154" s="1" t="s">
        <v>93</v>
      </c>
      <c r="AE1154" s="1" t="s">
        <v>93</v>
      </c>
      <c r="AF1154" s="1"/>
      <c r="AG1154" s="1"/>
      <c r="AH1154" s="1"/>
      <c r="AI1154" s="1"/>
      <c r="AJ1154" s="1"/>
      <c r="AK1154" s="1"/>
      <c r="AL1154" s="1"/>
      <c r="AM1154" s="1"/>
      <c r="AN1154" s="1"/>
      <c r="AO1154" s="1"/>
      <c r="AP1154" s="1"/>
      <c r="AQ1154" s="1"/>
      <c r="AR1154" s="1"/>
      <c r="AS1154" s="1"/>
      <c r="AT1154" s="1"/>
      <c r="AU1154" s="1"/>
      <c r="AV1154" s="1"/>
      <c r="AW1154" s="1"/>
      <c r="AX1154" s="1"/>
      <c r="AY1154" s="1"/>
      <c r="AZ1154" s="1"/>
      <c r="BA1154" s="1"/>
      <c r="BB1154" s="1"/>
      <c r="BC1154" s="1"/>
      <c r="BD1154" s="1"/>
      <c r="BE1154" s="1"/>
      <c r="BF1154" s="1"/>
      <c r="BG1154" s="1"/>
      <c r="BH1154" s="1"/>
      <c r="BI1154" s="1"/>
      <c r="BJ1154" s="1"/>
      <c r="BK1154" s="1"/>
      <c r="BL1154" s="1"/>
      <c r="BM1154" s="1"/>
      <c r="BN1154" s="1"/>
      <c r="BO1154" s="1"/>
      <c r="BP1154" s="1" t="s">
        <v>9609</v>
      </c>
      <c r="BQ1154" s="3"/>
      <c r="BR1154" s="3"/>
    </row>
    <row r="1155" spans="1:70">
      <c r="A1155" s="1" t="s">
        <v>70</v>
      </c>
      <c r="B1155" s="1" t="s">
        <v>13846</v>
      </c>
      <c r="C1155" s="1" t="s">
        <v>15948</v>
      </c>
      <c r="D1155" s="1"/>
      <c r="E1155" s="1"/>
      <c r="F1155" s="1"/>
      <c r="G1155" s="1"/>
      <c r="H1155" s="1" t="s">
        <v>15949</v>
      </c>
      <c r="I1155" s="1" t="s">
        <v>15949</v>
      </c>
      <c r="J1155" s="1"/>
      <c r="K1155" s="1"/>
      <c r="L1155" s="1"/>
      <c r="M1155" s="1"/>
      <c r="N1155" s="1"/>
      <c r="O1155" s="1"/>
      <c r="P1155" s="1"/>
      <c r="Q1155" s="1"/>
      <c r="R1155" s="1"/>
      <c r="S1155" s="1"/>
      <c r="T1155" s="1"/>
      <c r="U1155" s="1"/>
      <c r="V1155" s="1"/>
      <c r="W1155" s="1"/>
      <c r="X1155" s="1"/>
      <c r="Y1155" s="1"/>
      <c r="Z1155" s="1"/>
      <c r="AA1155" s="1"/>
      <c r="AB1155" s="1"/>
      <c r="AC1155" s="1"/>
      <c r="AD1155" s="1" t="s">
        <v>93</v>
      </c>
      <c r="AE1155" s="1" t="s">
        <v>93</v>
      </c>
      <c r="AF1155" s="1"/>
      <c r="AG1155" s="1"/>
      <c r="AH1155" s="1"/>
      <c r="AI1155" s="1"/>
      <c r="AJ1155" s="1"/>
      <c r="AK1155" s="1"/>
      <c r="AL1155" s="1"/>
      <c r="AM1155" s="1"/>
      <c r="AN1155" s="1"/>
      <c r="AO1155" s="1"/>
      <c r="AP1155" s="1"/>
      <c r="AQ1155" s="1"/>
      <c r="AR1155" s="1"/>
      <c r="AS1155" s="1"/>
      <c r="AT1155" s="1"/>
      <c r="AU1155" s="1"/>
      <c r="AV1155" s="1"/>
      <c r="AW1155" s="1"/>
      <c r="AX1155" s="1"/>
      <c r="AY1155" s="1"/>
      <c r="AZ1155" s="1"/>
      <c r="BA1155" s="1"/>
      <c r="BB1155" s="1"/>
      <c r="BC1155" s="1"/>
      <c r="BD1155" s="1"/>
      <c r="BE1155" s="1"/>
      <c r="BF1155" s="1"/>
      <c r="BG1155" s="1"/>
      <c r="BH1155" s="1"/>
      <c r="BI1155" s="1"/>
      <c r="BJ1155" s="1"/>
      <c r="BK1155" s="1"/>
      <c r="BL1155" s="1"/>
      <c r="BM1155" s="1"/>
      <c r="BN1155" s="1"/>
      <c r="BO1155" s="1"/>
      <c r="BP1155" s="1" t="s">
        <v>9609</v>
      </c>
      <c r="BQ1155" s="3"/>
      <c r="BR1155" s="3"/>
    </row>
    <row r="1156" spans="1:70">
      <c r="A1156" s="1" t="s">
        <v>70</v>
      </c>
      <c r="B1156" s="1" t="s">
        <v>13846</v>
      </c>
      <c r="C1156" s="1" t="s">
        <v>15950</v>
      </c>
      <c r="D1156" s="1"/>
      <c r="E1156" s="1"/>
      <c r="F1156" s="1"/>
      <c r="G1156" s="1"/>
      <c r="H1156" s="1" t="s">
        <v>15951</v>
      </c>
      <c r="I1156" s="1" t="s">
        <v>15951</v>
      </c>
      <c r="J1156" s="1"/>
      <c r="K1156" s="1"/>
      <c r="L1156" s="1"/>
      <c r="M1156" s="1"/>
      <c r="N1156" s="1"/>
      <c r="O1156" s="1"/>
      <c r="P1156" s="1"/>
      <c r="Q1156" s="1"/>
      <c r="R1156" s="1"/>
      <c r="S1156" s="1"/>
      <c r="T1156" s="1"/>
      <c r="U1156" s="1"/>
      <c r="V1156" s="1"/>
      <c r="W1156" s="1"/>
      <c r="X1156" s="1"/>
      <c r="Y1156" s="1"/>
      <c r="Z1156" s="1"/>
      <c r="AA1156" s="1"/>
      <c r="AB1156" s="1"/>
      <c r="AC1156" s="1"/>
      <c r="AD1156" s="1" t="s">
        <v>93</v>
      </c>
      <c r="AE1156" s="1" t="s">
        <v>93</v>
      </c>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c r="BL1156" s="1"/>
      <c r="BM1156" s="1"/>
      <c r="BN1156" s="1"/>
      <c r="BO1156" s="1"/>
      <c r="BP1156" s="1" t="s">
        <v>9609</v>
      </c>
      <c r="BQ1156" s="3"/>
      <c r="BR1156" s="3"/>
    </row>
    <row r="1157" spans="1:70">
      <c r="A1157" s="1" t="s">
        <v>70</v>
      </c>
      <c r="B1157" s="1" t="s">
        <v>13846</v>
      </c>
      <c r="C1157" s="1" t="s">
        <v>15952</v>
      </c>
      <c r="D1157" s="1"/>
      <c r="E1157" s="1"/>
      <c r="F1157" s="1"/>
      <c r="G1157" s="1"/>
      <c r="H1157" s="1" t="s">
        <v>15953</v>
      </c>
      <c r="I1157" s="1" t="s">
        <v>15953</v>
      </c>
      <c r="J1157" s="1"/>
      <c r="K1157" s="1"/>
      <c r="L1157" s="1"/>
      <c r="M1157" s="1"/>
      <c r="N1157" s="1"/>
      <c r="O1157" s="1"/>
      <c r="P1157" s="1"/>
      <c r="Q1157" s="1"/>
      <c r="R1157" s="1"/>
      <c r="S1157" s="1"/>
      <c r="T1157" s="1"/>
      <c r="U1157" s="1"/>
      <c r="V1157" s="1"/>
      <c r="W1157" s="1"/>
      <c r="X1157" s="1"/>
      <c r="Y1157" s="1"/>
      <c r="Z1157" s="1"/>
      <c r="AA1157" s="1"/>
      <c r="AB1157" s="1"/>
      <c r="AC1157" s="1"/>
      <c r="AD1157" s="1" t="s">
        <v>93</v>
      </c>
      <c r="AE1157" s="1" t="s">
        <v>93</v>
      </c>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c r="BL1157" s="1"/>
      <c r="BM1157" s="1"/>
      <c r="BN1157" s="1"/>
      <c r="BO1157" s="1"/>
      <c r="BP1157" s="1" t="s">
        <v>9609</v>
      </c>
      <c r="BQ1157" s="3"/>
      <c r="BR1157" s="3"/>
    </row>
    <row r="1158" spans="1:70">
      <c r="A1158" s="1" t="s">
        <v>70</v>
      </c>
      <c r="B1158" s="1" t="s">
        <v>13846</v>
      </c>
      <c r="C1158" s="1" t="s">
        <v>15954</v>
      </c>
      <c r="D1158" s="1"/>
      <c r="E1158" s="1"/>
      <c r="F1158" s="1"/>
      <c r="G1158" s="1"/>
      <c r="H1158" s="1" t="s">
        <v>15955</v>
      </c>
      <c r="I1158" s="1" t="s">
        <v>15955</v>
      </c>
      <c r="J1158" s="1"/>
      <c r="K1158" s="1"/>
      <c r="L1158" s="1"/>
      <c r="M1158" s="1"/>
      <c r="N1158" s="1"/>
      <c r="O1158" s="1"/>
      <c r="P1158" s="1"/>
      <c r="Q1158" s="1"/>
      <c r="R1158" s="1"/>
      <c r="S1158" s="1"/>
      <c r="T1158" s="1"/>
      <c r="U1158" s="1"/>
      <c r="V1158" s="1"/>
      <c r="W1158" s="1"/>
      <c r="X1158" s="1"/>
      <c r="Y1158" s="1"/>
      <c r="Z1158" s="1"/>
      <c r="AA1158" s="1"/>
      <c r="AB1158" s="1"/>
      <c r="AC1158" s="1"/>
      <c r="AD1158" s="1" t="s">
        <v>93</v>
      </c>
      <c r="AE1158" s="1" t="s">
        <v>93</v>
      </c>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t="s">
        <v>9609</v>
      </c>
      <c r="BQ1158" s="3"/>
      <c r="BR1158" s="3"/>
    </row>
    <row r="1159" spans="1:70">
      <c r="A1159" s="1" t="s">
        <v>70</v>
      </c>
      <c r="B1159" s="1" t="s">
        <v>13846</v>
      </c>
      <c r="C1159" s="1" t="s">
        <v>15956</v>
      </c>
      <c r="D1159" s="1"/>
      <c r="E1159" s="1"/>
      <c r="F1159" s="1"/>
      <c r="G1159" s="1"/>
      <c r="H1159" s="1" t="s">
        <v>15957</v>
      </c>
      <c r="I1159" s="1" t="s">
        <v>15957</v>
      </c>
      <c r="J1159" s="1"/>
      <c r="K1159" s="1"/>
      <c r="L1159" s="1"/>
      <c r="M1159" s="1"/>
      <c r="N1159" s="1"/>
      <c r="O1159" s="1"/>
      <c r="P1159" s="1"/>
      <c r="Q1159" s="1"/>
      <c r="R1159" s="1"/>
      <c r="S1159" s="1"/>
      <c r="T1159" s="1"/>
      <c r="U1159" s="1"/>
      <c r="V1159" s="1"/>
      <c r="W1159" s="1"/>
      <c r="X1159" s="1"/>
      <c r="Y1159" s="1"/>
      <c r="Z1159" s="1"/>
      <c r="AA1159" s="1"/>
      <c r="AB1159" s="1"/>
      <c r="AC1159" s="1"/>
      <c r="AD1159" s="1" t="s">
        <v>93</v>
      </c>
      <c r="AE1159" s="1" t="s">
        <v>93</v>
      </c>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t="s">
        <v>9609</v>
      </c>
      <c r="BQ1159" s="3"/>
      <c r="BR1159" s="3"/>
    </row>
    <row r="1160" spans="1:70">
      <c r="A1160" s="1" t="s">
        <v>70</v>
      </c>
      <c r="B1160" s="1" t="s">
        <v>13846</v>
      </c>
      <c r="C1160" s="1" t="s">
        <v>15958</v>
      </c>
      <c r="D1160" s="1"/>
      <c r="E1160" s="1"/>
      <c r="F1160" s="1"/>
      <c r="G1160" s="1"/>
      <c r="H1160" s="1" t="s">
        <v>15959</v>
      </c>
      <c r="I1160" s="1" t="s">
        <v>15959</v>
      </c>
      <c r="J1160" s="1"/>
      <c r="K1160" s="1"/>
      <c r="L1160" s="1"/>
      <c r="M1160" s="1"/>
      <c r="N1160" s="1"/>
      <c r="O1160" s="1"/>
      <c r="P1160" s="1"/>
      <c r="Q1160" s="1"/>
      <c r="R1160" s="1"/>
      <c r="S1160" s="1"/>
      <c r="T1160" s="1"/>
      <c r="U1160" s="1"/>
      <c r="V1160" s="1"/>
      <c r="W1160" s="1"/>
      <c r="X1160" s="1"/>
      <c r="Y1160" s="1"/>
      <c r="Z1160" s="1"/>
      <c r="AA1160" s="1"/>
      <c r="AB1160" s="1"/>
      <c r="AC1160" s="1"/>
      <c r="AD1160" s="1" t="s">
        <v>93</v>
      </c>
      <c r="AE1160" s="1" t="s">
        <v>93</v>
      </c>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t="s">
        <v>9609</v>
      </c>
      <c r="BQ1160" s="3"/>
      <c r="BR1160" s="3"/>
    </row>
    <row r="1161" spans="1:70">
      <c r="A1161" s="1" t="s">
        <v>70</v>
      </c>
      <c r="B1161" s="1" t="s">
        <v>13846</v>
      </c>
      <c r="C1161" s="1" t="s">
        <v>15960</v>
      </c>
      <c r="D1161" s="1"/>
      <c r="E1161" s="1"/>
      <c r="F1161" s="1"/>
      <c r="G1161" s="1"/>
      <c r="H1161" s="1" t="s">
        <v>15961</v>
      </c>
      <c r="I1161" s="1" t="s">
        <v>15961</v>
      </c>
      <c r="J1161" s="1"/>
      <c r="K1161" s="1"/>
      <c r="L1161" s="1"/>
      <c r="M1161" s="1"/>
      <c r="N1161" s="1"/>
      <c r="O1161" s="1"/>
      <c r="P1161" s="1"/>
      <c r="Q1161" s="1"/>
      <c r="R1161" s="1"/>
      <c r="S1161" s="1"/>
      <c r="T1161" s="1"/>
      <c r="U1161" s="1"/>
      <c r="V1161" s="1"/>
      <c r="W1161" s="1"/>
      <c r="X1161" s="1"/>
      <c r="Y1161" s="1"/>
      <c r="Z1161" s="1"/>
      <c r="AA1161" s="1"/>
      <c r="AB1161" s="1"/>
      <c r="AC1161" s="1"/>
      <c r="AD1161" s="1" t="s">
        <v>93</v>
      </c>
      <c r="AE1161" s="1" t="s">
        <v>93</v>
      </c>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t="s">
        <v>9609</v>
      </c>
      <c r="BQ1161" s="3"/>
      <c r="BR1161" s="3"/>
    </row>
    <row r="1162" spans="1:70">
      <c r="A1162" s="1" t="s">
        <v>70</v>
      </c>
      <c r="B1162" s="1" t="s">
        <v>13846</v>
      </c>
      <c r="C1162" s="1" t="s">
        <v>15962</v>
      </c>
      <c r="D1162" s="1"/>
      <c r="E1162" s="1"/>
      <c r="F1162" s="1"/>
      <c r="G1162" s="1"/>
      <c r="H1162" s="1" t="s">
        <v>15963</v>
      </c>
      <c r="I1162" s="1" t="s">
        <v>15963</v>
      </c>
      <c r="J1162" s="1"/>
      <c r="K1162" s="1"/>
      <c r="L1162" s="1"/>
      <c r="M1162" s="1"/>
      <c r="N1162" s="1"/>
      <c r="O1162" s="1"/>
      <c r="P1162" s="1"/>
      <c r="Q1162" s="1"/>
      <c r="R1162" s="1"/>
      <c r="S1162" s="1"/>
      <c r="T1162" s="1"/>
      <c r="U1162" s="1"/>
      <c r="V1162" s="1"/>
      <c r="W1162" s="1"/>
      <c r="X1162" s="1"/>
      <c r="Y1162" s="1"/>
      <c r="Z1162" s="1"/>
      <c r="AA1162" s="1"/>
      <c r="AB1162" s="1"/>
      <c r="AC1162" s="1"/>
      <c r="AD1162" s="1" t="s">
        <v>93</v>
      </c>
      <c r="AE1162" s="1" t="s">
        <v>93</v>
      </c>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t="s">
        <v>9609</v>
      </c>
      <c r="BQ1162" s="3"/>
      <c r="BR1162" s="3"/>
    </row>
    <row r="1163" spans="1:70">
      <c r="A1163" s="1" t="s">
        <v>70</v>
      </c>
      <c r="B1163" s="1" t="s">
        <v>13846</v>
      </c>
      <c r="C1163" s="1" t="s">
        <v>15964</v>
      </c>
      <c r="D1163" s="1"/>
      <c r="E1163" s="1"/>
      <c r="F1163" s="1"/>
      <c r="G1163" s="1"/>
      <c r="H1163" s="1" t="s">
        <v>15965</v>
      </c>
      <c r="I1163" s="1" t="s">
        <v>15965</v>
      </c>
      <c r="J1163" s="1"/>
      <c r="K1163" s="1"/>
      <c r="L1163" s="1"/>
      <c r="M1163" s="1"/>
      <c r="N1163" s="1"/>
      <c r="O1163" s="1"/>
      <c r="P1163" s="1"/>
      <c r="Q1163" s="1"/>
      <c r="R1163" s="1"/>
      <c r="S1163" s="1"/>
      <c r="T1163" s="1"/>
      <c r="U1163" s="1"/>
      <c r="V1163" s="1"/>
      <c r="W1163" s="1"/>
      <c r="X1163" s="1"/>
      <c r="Y1163" s="1"/>
      <c r="Z1163" s="1"/>
      <c r="AA1163" s="1"/>
      <c r="AB1163" s="1"/>
      <c r="AC1163" s="1"/>
      <c r="AD1163" s="1" t="s">
        <v>93</v>
      </c>
      <c r="AE1163" s="1" t="s">
        <v>93</v>
      </c>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t="s">
        <v>9609</v>
      </c>
      <c r="BQ1163" s="3"/>
      <c r="BR1163" s="3"/>
    </row>
    <row r="1164" spans="1:70">
      <c r="A1164" s="1" t="s">
        <v>70</v>
      </c>
      <c r="B1164" s="1" t="s">
        <v>13846</v>
      </c>
      <c r="C1164" s="1" t="s">
        <v>15966</v>
      </c>
      <c r="D1164" s="1"/>
      <c r="E1164" s="1"/>
      <c r="F1164" s="1"/>
      <c r="G1164" s="1"/>
      <c r="H1164" s="1" t="s">
        <v>15967</v>
      </c>
      <c r="I1164" s="1" t="s">
        <v>15967</v>
      </c>
      <c r="J1164" s="1"/>
      <c r="K1164" s="1"/>
      <c r="L1164" s="1"/>
      <c r="M1164" s="1"/>
      <c r="N1164" s="1"/>
      <c r="O1164" s="1"/>
      <c r="P1164" s="1"/>
      <c r="Q1164" s="1"/>
      <c r="R1164" s="1"/>
      <c r="S1164" s="1"/>
      <c r="T1164" s="1"/>
      <c r="U1164" s="1"/>
      <c r="V1164" s="1"/>
      <c r="W1164" s="1"/>
      <c r="X1164" s="1"/>
      <c r="Y1164" s="1"/>
      <c r="Z1164" s="1"/>
      <c r="AA1164" s="1"/>
      <c r="AB1164" s="1"/>
      <c r="AC1164" s="1"/>
      <c r="AD1164" s="1" t="s">
        <v>93</v>
      </c>
      <c r="AE1164" s="1" t="s">
        <v>93</v>
      </c>
      <c r="AF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c r="BK1164" s="1"/>
      <c r="BL1164" s="1"/>
      <c r="BM1164" s="1"/>
      <c r="BN1164" s="1"/>
      <c r="BO1164" s="1"/>
      <c r="BP1164" s="1" t="s">
        <v>9609</v>
      </c>
      <c r="BQ1164" s="3"/>
      <c r="BR1164" s="3"/>
    </row>
    <row r="1165" spans="1:70">
      <c r="A1165" s="1" t="s">
        <v>70</v>
      </c>
      <c r="B1165" s="1" t="s">
        <v>13846</v>
      </c>
      <c r="C1165" s="1" t="s">
        <v>15968</v>
      </c>
      <c r="D1165" s="1"/>
      <c r="E1165" s="1"/>
      <c r="F1165" s="1"/>
      <c r="G1165" s="1"/>
      <c r="H1165" s="1" t="s">
        <v>15969</v>
      </c>
      <c r="I1165" s="1" t="s">
        <v>15969</v>
      </c>
      <c r="J1165" s="1"/>
      <c r="K1165" s="1"/>
      <c r="L1165" s="1"/>
      <c r="M1165" s="1"/>
      <c r="N1165" s="1"/>
      <c r="O1165" s="1"/>
      <c r="P1165" s="1"/>
      <c r="Q1165" s="1"/>
      <c r="R1165" s="1"/>
      <c r="S1165" s="1"/>
      <c r="T1165" s="1"/>
      <c r="U1165" s="1"/>
      <c r="V1165" s="1"/>
      <c r="W1165" s="1"/>
      <c r="X1165" s="1"/>
      <c r="Y1165" s="1"/>
      <c r="Z1165" s="1"/>
      <c r="AA1165" s="1"/>
      <c r="AB1165" s="1"/>
      <c r="AC1165" s="1"/>
      <c r="AD1165" s="1" t="s">
        <v>93</v>
      </c>
      <c r="AE1165" s="1" t="s">
        <v>93</v>
      </c>
      <c r="AF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c r="BK1165" s="1"/>
      <c r="BL1165" s="1"/>
      <c r="BM1165" s="1"/>
      <c r="BN1165" s="1"/>
      <c r="BO1165" s="1"/>
      <c r="BP1165" s="1" t="s">
        <v>9609</v>
      </c>
      <c r="BQ1165" s="3"/>
      <c r="BR1165" s="3"/>
    </row>
    <row r="1166" spans="1:70">
      <c r="A1166" s="1" t="s">
        <v>70</v>
      </c>
      <c r="B1166" s="1" t="s">
        <v>13846</v>
      </c>
      <c r="C1166" s="1" t="s">
        <v>15970</v>
      </c>
      <c r="D1166" s="1"/>
      <c r="E1166" s="1"/>
      <c r="F1166" s="1"/>
      <c r="G1166" s="1"/>
      <c r="H1166" s="1" t="s">
        <v>15971</v>
      </c>
      <c r="I1166" s="1" t="s">
        <v>15971</v>
      </c>
      <c r="J1166" s="1"/>
      <c r="K1166" s="1"/>
      <c r="L1166" s="1"/>
      <c r="M1166" s="1"/>
      <c r="N1166" s="1"/>
      <c r="O1166" s="1"/>
      <c r="P1166" s="1"/>
      <c r="Q1166" s="1"/>
      <c r="R1166" s="1"/>
      <c r="S1166" s="1"/>
      <c r="T1166" s="1"/>
      <c r="U1166" s="1"/>
      <c r="V1166" s="1"/>
      <c r="W1166" s="1"/>
      <c r="X1166" s="1"/>
      <c r="Y1166" s="1"/>
      <c r="Z1166" s="1"/>
      <c r="AA1166" s="1"/>
      <c r="AB1166" s="1"/>
      <c r="AC1166" s="1"/>
      <c r="AD1166" s="1" t="s">
        <v>93</v>
      </c>
      <c r="AE1166" s="1" t="s">
        <v>93</v>
      </c>
      <c r="AF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c r="BK1166" s="1"/>
      <c r="BL1166" s="1"/>
      <c r="BM1166" s="1"/>
      <c r="BN1166" s="1"/>
      <c r="BO1166" s="1"/>
      <c r="BP1166" s="1" t="s">
        <v>9609</v>
      </c>
      <c r="BQ1166" s="3"/>
      <c r="BR1166" s="3"/>
    </row>
    <row r="1167" spans="1:70">
      <c r="A1167" s="1" t="s">
        <v>70</v>
      </c>
      <c r="B1167" s="1" t="s">
        <v>13846</v>
      </c>
      <c r="C1167" s="1" t="s">
        <v>15972</v>
      </c>
      <c r="D1167" s="1"/>
      <c r="E1167" s="1"/>
      <c r="F1167" s="1"/>
      <c r="G1167" s="1"/>
      <c r="H1167" s="1" t="s">
        <v>15973</v>
      </c>
      <c r="I1167" s="1" t="s">
        <v>15973</v>
      </c>
      <c r="J1167" s="1"/>
      <c r="K1167" s="1"/>
      <c r="L1167" s="1"/>
      <c r="M1167" s="1"/>
      <c r="N1167" s="1"/>
      <c r="O1167" s="1"/>
      <c r="P1167" s="1"/>
      <c r="Q1167" s="1"/>
      <c r="R1167" s="1"/>
      <c r="S1167" s="1"/>
      <c r="T1167" s="1"/>
      <c r="U1167" s="1"/>
      <c r="V1167" s="1"/>
      <c r="W1167" s="1"/>
      <c r="X1167" s="1"/>
      <c r="Y1167" s="1"/>
      <c r="Z1167" s="1"/>
      <c r="AA1167" s="1"/>
      <c r="AB1167" s="1"/>
      <c r="AC1167" s="1"/>
      <c r="AD1167" s="1" t="s">
        <v>93</v>
      </c>
      <c r="AE1167" s="1" t="s">
        <v>93</v>
      </c>
      <c r="AF1167" s="1"/>
      <c r="AG1167" s="1"/>
      <c r="AH1167" s="1"/>
      <c r="AI1167" s="1"/>
      <c r="AJ1167" s="1"/>
      <c r="AK1167" s="1"/>
      <c r="AL1167" s="1"/>
      <c r="AM1167" s="1"/>
      <c r="AN1167" s="1"/>
      <c r="AO1167" s="1"/>
      <c r="AP1167" s="1"/>
      <c r="AQ1167" s="1"/>
      <c r="AR1167" s="1"/>
      <c r="AS1167" s="1"/>
      <c r="AT1167" s="1"/>
      <c r="AU1167" s="1"/>
      <c r="AV1167" s="1"/>
      <c r="AW1167" s="1"/>
      <c r="AX1167" s="1"/>
      <c r="AY1167" s="1"/>
      <c r="AZ1167" s="1"/>
      <c r="BA1167" s="1"/>
      <c r="BB1167" s="1"/>
      <c r="BC1167" s="1"/>
      <c r="BD1167" s="1"/>
      <c r="BE1167" s="1"/>
      <c r="BF1167" s="1"/>
      <c r="BG1167" s="1"/>
      <c r="BH1167" s="1"/>
      <c r="BI1167" s="1"/>
      <c r="BJ1167" s="1"/>
      <c r="BK1167" s="1"/>
      <c r="BL1167" s="1"/>
      <c r="BM1167" s="1"/>
      <c r="BN1167" s="1"/>
      <c r="BO1167" s="1"/>
      <c r="BP1167" s="1" t="s">
        <v>9609</v>
      </c>
      <c r="BQ1167" s="3"/>
      <c r="BR1167" s="3"/>
    </row>
    <row r="1168" spans="1:70">
      <c r="A1168" s="1" t="s">
        <v>70</v>
      </c>
      <c r="B1168" s="1" t="s">
        <v>13846</v>
      </c>
      <c r="C1168" s="1" t="s">
        <v>15974</v>
      </c>
      <c r="D1168" s="1"/>
      <c r="E1168" s="1"/>
      <c r="F1168" s="1"/>
      <c r="G1168" s="1"/>
      <c r="H1168" s="1" t="s">
        <v>15975</v>
      </c>
      <c r="I1168" s="1" t="s">
        <v>15975</v>
      </c>
      <c r="J1168" s="1"/>
      <c r="K1168" s="1"/>
      <c r="L1168" s="1"/>
      <c r="M1168" s="1"/>
      <c r="N1168" s="1"/>
      <c r="O1168" s="1"/>
      <c r="P1168" s="1"/>
      <c r="Q1168" s="1"/>
      <c r="R1168" s="1"/>
      <c r="S1168" s="1"/>
      <c r="T1168" s="1"/>
      <c r="U1168" s="1"/>
      <c r="V1168" s="1"/>
      <c r="W1168" s="1"/>
      <c r="X1168" s="1"/>
      <c r="Y1168" s="1"/>
      <c r="Z1168" s="1"/>
      <c r="AA1168" s="1"/>
      <c r="AB1168" s="1"/>
      <c r="AC1168" s="1"/>
      <c r="AD1168" s="1" t="s">
        <v>93</v>
      </c>
      <c r="AE1168" s="1" t="s">
        <v>93</v>
      </c>
      <c r="AF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c r="BK1168" s="1"/>
      <c r="BL1168" s="1"/>
      <c r="BM1168" s="1"/>
      <c r="BN1168" s="1"/>
      <c r="BO1168" s="1"/>
      <c r="BP1168" s="1" t="s">
        <v>9609</v>
      </c>
      <c r="BQ1168" s="3"/>
      <c r="BR1168" s="3"/>
    </row>
    <row r="1169" spans="1:70">
      <c r="A1169" s="1" t="s">
        <v>70</v>
      </c>
      <c r="B1169" s="1" t="s">
        <v>13846</v>
      </c>
      <c r="C1169" s="1" t="s">
        <v>15976</v>
      </c>
      <c r="D1169" s="1"/>
      <c r="E1169" s="1"/>
      <c r="F1169" s="1"/>
      <c r="G1169" s="1"/>
      <c r="H1169" s="1" t="s">
        <v>15977</v>
      </c>
      <c r="I1169" s="1" t="s">
        <v>15977</v>
      </c>
      <c r="J1169" s="1"/>
      <c r="K1169" s="1"/>
      <c r="L1169" s="1"/>
      <c r="M1169" s="1"/>
      <c r="N1169" s="1"/>
      <c r="O1169" s="1"/>
      <c r="P1169" s="1"/>
      <c r="Q1169" s="1"/>
      <c r="R1169" s="1"/>
      <c r="S1169" s="1"/>
      <c r="T1169" s="1"/>
      <c r="U1169" s="1"/>
      <c r="V1169" s="1"/>
      <c r="W1169" s="1"/>
      <c r="X1169" s="1"/>
      <c r="Y1169" s="1"/>
      <c r="Z1169" s="1"/>
      <c r="AA1169" s="1"/>
      <c r="AB1169" s="1"/>
      <c r="AC1169" s="1"/>
      <c r="AD1169" s="1" t="s">
        <v>93</v>
      </c>
      <c r="AE1169" s="1" t="s">
        <v>93</v>
      </c>
      <c r="AF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t="s">
        <v>9609</v>
      </c>
      <c r="BQ1169" s="3"/>
      <c r="BR1169" s="3"/>
    </row>
    <row r="1170" spans="1:70">
      <c r="A1170" s="1" t="s">
        <v>70</v>
      </c>
      <c r="B1170" s="1" t="s">
        <v>13846</v>
      </c>
      <c r="C1170" s="1" t="s">
        <v>15978</v>
      </c>
      <c r="D1170" s="1"/>
      <c r="E1170" s="1"/>
      <c r="F1170" s="1"/>
      <c r="G1170" s="1"/>
      <c r="H1170" s="1" t="s">
        <v>15979</v>
      </c>
      <c r="I1170" s="1" t="s">
        <v>15979</v>
      </c>
      <c r="J1170" s="1"/>
      <c r="K1170" s="1"/>
      <c r="L1170" s="1"/>
      <c r="M1170" s="1"/>
      <c r="N1170" s="1"/>
      <c r="O1170" s="1"/>
      <c r="P1170" s="1"/>
      <c r="Q1170" s="1"/>
      <c r="R1170" s="1"/>
      <c r="S1170" s="1"/>
      <c r="T1170" s="1"/>
      <c r="U1170" s="1"/>
      <c r="V1170" s="1"/>
      <c r="W1170" s="1"/>
      <c r="X1170" s="1"/>
      <c r="Y1170" s="1"/>
      <c r="Z1170" s="1"/>
      <c r="AA1170" s="1"/>
      <c r="AB1170" s="1"/>
      <c r="AC1170" s="1"/>
      <c r="AD1170" s="1" t="s">
        <v>93</v>
      </c>
      <c r="AE1170" s="1" t="s">
        <v>93</v>
      </c>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t="s">
        <v>9609</v>
      </c>
      <c r="BQ1170" s="3"/>
      <c r="BR1170" s="3"/>
    </row>
    <row r="1171" spans="1:70">
      <c r="A1171" s="1" t="s">
        <v>70</v>
      </c>
      <c r="B1171" s="1" t="s">
        <v>13846</v>
      </c>
      <c r="C1171" s="1" t="s">
        <v>15980</v>
      </c>
      <c r="D1171" s="1"/>
      <c r="E1171" s="1"/>
      <c r="F1171" s="1"/>
      <c r="G1171" s="1"/>
      <c r="H1171" s="1" t="s">
        <v>15981</v>
      </c>
      <c r="I1171" s="1" t="s">
        <v>15981</v>
      </c>
      <c r="J1171" s="1"/>
      <c r="K1171" s="1"/>
      <c r="L1171" s="1"/>
      <c r="M1171" s="1"/>
      <c r="N1171" s="1"/>
      <c r="O1171" s="1"/>
      <c r="P1171" s="1"/>
      <c r="Q1171" s="1"/>
      <c r="R1171" s="1"/>
      <c r="S1171" s="1"/>
      <c r="T1171" s="1"/>
      <c r="U1171" s="1"/>
      <c r="V1171" s="1"/>
      <c r="W1171" s="1"/>
      <c r="X1171" s="1"/>
      <c r="Y1171" s="1"/>
      <c r="Z1171" s="1"/>
      <c r="AA1171" s="1"/>
      <c r="AB1171" s="1"/>
      <c r="AC1171" s="1"/>
      <c r="AD1171" s="1" t="s">
        <v>93</v>
      </c>
      <c r="AE1171" s="1" t="s">
        <v>93</v>
      </c>
      <c r="AF1171" s="1"/>
      <c r="AG1171" s="1"/>
      <c r="AH1171" s="1"/>
      <c r="AI1171" s="1"/>
      <c r="AJ1171" s="1"/>
      <c r="AK1171" s="1"/>
      <c r="AL1171" s="1"/>
      <c r="AM1171" s="1"/>
      <c r="AN1171" s="1"/>
      <c r="AO1171" s="1"/>
      <c r="AP1171" s="1"/>
      <c r="AQ1171" s="1"/>
      <c r="AR1171" s="1"/>
      <c r="AS1171" s="1"/>
      <c r="AT1171" s="1"/>
      <c r="AU1171" s="1"/>
      <c r="AV1171" s="1"/>
      <c r="AW1171" s="1"/>
      <c r="AX1171" s="1"/>
      <c r="AY1171" s="1"/>
      <c r="AZ1171" s="1"/>
      <c r="BA1171" s="1"/>
      <c r="BB1171" s="1"/>
      <c r="BC1171" s="1"/>
      <c r="BD1171" s="1"/>
      <c r="BE1171" s="1"/>
      <c r="BF1171" s="1"/>
      <c r="BG1171" s="1"/>
      <c r="BH1171" s="1"/>
      <c r="BI1171" s="1"/>
      <c r="BJ1171" s="1"/>
      <c r="BK1171" s="1"/>
      <c r="BL1171" s="1"/>
      <c r="BM1171" s="1"/>
      <c r="BN1171" s="1"/>
      <c r="BO1171" s="1"/>
      <c r="BP1171" s="1" t="s">
        <v>9609</v>
      </c>
      <c r="BQ1171" s="3"/>
      <c r="BR1171" s="3"/>
    </row>
    <row r="1172" spans="1:70">
      <c r="A1172" s="1" t="s">
        <v>70</v>
      </c>
      <c r="B1172" s="1" t="s">
        <v>13846</v>
      </c>
      <c r="C1172" s="1" t="s">
        <v>15982</v>
      </c>
      <c r="D1172" s="1"/>
      <c r="E1172" s="1"/>
      <c r="F1172" s="1"/>
      <c r="G1172" s="1"/>
      <c r="H1172" s="1" t="s">
        <v>15983</v>
      </c>
      <c r="I1172" s="1" t="s">
        <v>15983</v>
      </c>
      <c r="J1172" s="1"/>
      <c r="K1172" s="1"/>
      <c r="L1172" s="1"/>
      <c r="M1172" s="1"/>
      <c r="N1172" s="1"/>
      <c r="O1172" s="1"/>
      <c r="P1172" s="1"/>
      <c r="Q1172" s="1"/>
      <c r="R1172" s="1"/>
      <c r="S1172" s="1"/>
      <c r="T1172" s="1"/>
      <c r="U1172" s="1"/>
      <c r="V1172" s="1"/>
      <c r="W1172" s="1"/>
      <c r="X1172" s="1"/>
      <c r="Y1172" s="1"/>
      <c r="Z1172" s="1"/>
      <c r="AA1172" s="1"/>
      <c r="AB1172" s="1"/>
      <c r="AC1172" s="1"/>
      <c r="AD1172" s="1" t="s">
        <v>93</v>
      </c>
      <c r="AE1172" s="1" t="s">
        <v>93</v>
      </c>
      <c r="AF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c r="BK1172" s="1"/>
      <c r="BL1172" s="1"/>
      <c r="BM1172" s="1"/>
      <c r="BN1172" s="1"/>
      <c r="BO1172" s="1"/>
      <c r="BP1172" s="1" t="s">
        <v>9609</v>
      </c>
      <c r="BQ1172" s="3"/>
      <c r="BR1172" s="3"/>
    </row>
    <row r="1173" spans="1:70">
      <c r="A1173" s="1" t="s">
        <v>70</v>
      </c>
      <c r="B1173" s="1" t="s">
        <v>13846</v>
      </c>
      <c r="C1173" s="1" t="s">
        <v>15984</v>
      </c>
      <c r="D1173" s="1"/>
      <c r="E1173" s="1"/>
      <c r="F1173" s="1"/>
      <c r="G1173" s="1"/>
      <c r="H1173" s="1" t="s">
        <v>15985</v>
      </c>
      <c r="I1173" s="1" t="s">
        <v>15985</v>
      </c>
      <c r="J1173" s="1"/>
      <c r="K1173" s="1"/>
      <c r="L1173" s="1"/>
      <c r="M1173" s="1"/>
      <c r="N1173" s="1"/>
      <c r="O1173" s="1"/>
      <c r="P1173" s="1"/>
      <c r="Q1173" s="1"/>
      <c r="R1173" s="1"/>
      <c r="S1173" s="1"/>
      <c r="T1173" s="1"/>
      <c r="U1173" s="1"/>
      <c r="V1173" s="1"/>
      <c r="W1173" s="1"/>
      <c r="X1173" s="1"/>
      <c r="Y1173" s="1"/>
      <c r="Z1173" s="1"/>
      <c r="AA1173" s="1"/>
      <c r="AB1173" s="1"/>
      <c r="AC1173" s="1"/>
      <c r="AD1173" s="1" t="s">
        <v>93</v>
      </c>
      <c r="AE1173" s="1" t="s">
        <v>93</v>
      </c>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t="s">
        <v>9609</v>
      </c>
      <c r="BQ1173" s="3"/>
      <c r="BR1173" s="3"/>
    </row>
    <row r="1174" spans="1:70">
      <c r="A1174" s="1" t="s">
        <v>70</v>
      </c>
      <c r="B1174" s="1" t="s">
        <v>13846</v>
      </c>
      <c r="C1174" s="1" t="s">
        <v>15986</v>
      </c>
      <c r="D1174" s="1"/>
      <c r="E1174" s="1"/>
      <c r="F1174" s="1"/>
      <c r="G1174" s="1"/>
      <c r="H1174" s="1" t="s">
        <v>15987</v>
      </c>
      <c r="I1174" s="1" t="s">
        <v>15987</v>
      </c>
      <c r="J1174" s="1"/>
      <c r="K1174" s="1"/>
      <c r="L1174" s="1"/>
      <c r="M1174" s="1"/>
      <c r="N1174" s="1"/>
      <c r="O1174" s="1"/>
      <c r="P1174" s="1"/>
      <c r="Q1174" s="1"/>
      <c r="R1174" s="1"/>
      <c r="S1174" s="1"/>
      <c r="T1174" s="1"/>
      <c r="U1174" s="1"/>
      <c r="V1174" s="1"/>
      <c r="W1174" s="1"/>
      <c r="X1174" s="1"/>
      <c r="Y1174" s="1"/>
      <c r="Z1174" s="1"/>
      <c r="AA1174" s="1"/>
      <c r="AB1174" s="1"/>
      <c r="AC1174" s="1"/>
      <c r="AD1174" s="1" t="s">
        <v>93</v>
      </c>
      <c r="AE1174" s="1" t="s">
        <v>93</v>
      </c>
      <c r="AF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c r="BK1174" s="1"/>
      <c r="BL1174" s="1"/>
      <c r="BM1174" s="1"/>
      <c r="BN1174" s="1"/>
      <c r="BO1174" s="1"/>
      <c r="BP1174" s="1" t="s">
        <v>9609</v>
      </c>
      <c r="BQ1174" s="3"/>
      <c r="BR1174" s="3"/>
    </row>
    <row r="1175" spans="1:70">
      <c r="A1175" s="1" t="s">
        <v>70</v>
      </c>
      <c r="B1175" s="1" t="s">
        <v>13846</v>
      </c>
      <c r="C1175" s="1" t="s">
        <v>15988</v>
      </c>
      <c r="D1175" s="1"/>
      <c r="E1175" s="1"/>
      <c r="F1175" s="1"/>
      <c r="G1175" s="1"/>
      <c r="H1175" s="1" t="s">
        <v>15989</v>
      </c>
      <c r="I1175" s="1" t="s">
        <v>15989</v>
      </c>
      <c r="J1175" s="1"/>
      <c r="K1175" s="1"/>
      <c r="L1175" s="1"/>
      <c r="M1175" s="1"/>
      <c r="N1175" s="1"/>
      <c r="O1175" s="1"/>
      <c r="P1175" s="1"/>
      <c r="Q1175" s="1"/>
      <c r="R1175" s="1"/>
      <c r="S1175" s="1"/>
      <c r="T1175" s="1"/>
      <c r="U1175" s="1"/>
      <c r="V1175" s="1"/>
      <c r="W1175" s="1"/>
      <c r="X1175" s="1"/>
      <c r="Y1175" s="1"/>
      <c r="Z1175" s="1"/>
      <c r="AA1175" s="1"/>
      <c r="AB1175" s="1"/>
      <c r="AC1175" s="1"/>
      <c r="AD1175" s="1" t="s">
        <v>93</v>
      </c>
      <c r="AE1175" s="1" t="s">
        <v>93</v>
      </c>
      <c r="AF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c r="BK1175" s="1"/>
      <c r="BL1175" s="1"/>
      <c r="BM1175" s="1"/>
      <c r="BN1175" s="1"/>
      <c r="BO1175" s="1"/>
      <c r="BP1175" s="1" t="s">
        <v>9609</v>
      </c>
      <c r="BQ1175" s="3"/>
      <c r="BR1175" s="3"/>
    </row>
    <row r="1176" spans="1:70">
      <c r="A1176" s="1" t="s">
        <v>70</v>
      </c>
      <c r="B1176" s="1" t="s">
        <v>13846</v>
      </c>
      <c r="C1176" s="1" t="s">
        <v>15990</v>
      </c>
      <c r="D1176" s="1"/>
      <c r="E1176" s="1"/>
      <c r="F1176" s="1"/>
      <c r="G1176" s="1"/>
      <c r="H1176" s="1" t="s">
        <v>15991</v>
      </c>
      <c r="I1176" s="1" t="s">
        <v>15991</v>
      </c>
      <c r="J1176" s="1"/>
      <c r="K1176" s="1"/>
      <c r="L1176" s="1"/>
      <c r="M1176" s="1"/>
      <c r="N1176" s="1"/>
      <c r="O1176" s="1"/>
      <c r="P1176" s="1"/>
      <c r="Q1176" s="1"/>
      <c r="R1176" s="1"/>
      <c r="S1176" s="1"/>
      <c r="T1176" s="1"/>
      <c r="U1176" s="1"/>
      <c r="V1176" s="1"/>
      <c r="W1176" s="1"/>
      <c r="X1176" s="1"/>
      <c r="Y1176" s="1"/>
      <c r="Z1176" s="1"/>
      <c r="AA1176" s="1"/>
      <c r="AB1176" s="1"/>
      <c r="AC1176" s="1"/>
      <c r="AD1176" s="1" t="s">
        <v>93</v>
      </c>
      <c r="AE1176" s="1" t="s">
        <v>93</v>
      </c>
      <c r="AF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c r="BK1176" s="1"/>
      <c r="BL1176" s="1"/>
      <c r="BM1176" s="1"/>
      <c r="BN1176" s="1"/>
      <c r="BO1176" s="1"/>
      <c r="BP1176" s="1" t="s">
        <v>9609</v>
      </c>
      <c r="BQ1176" s="3"/>
      <c r="BR1176" s="3"/>
    </row>
    <row r="1177" spans="1:70">
      <c r="A1177" s="1" t="s">
        <v>70</v>
      </c>
      <c r="B1177" s="1" t="s">
        <v>13846</v>
      </c>
      <c r="C1177" s="1" t="s">
        <v>15992</v>
      </c>
      <c r="D1177" s="1" t="s">
        <v>15993</v>
      </c>
      <c r="E1177" s="1"/>
      <c r="F1177" s="1" t="s">
        <v>15994</v>
      </c>
      <c r="G1177" s="1" t="s">
        <v>15995</v>
      </c>
      <c r="H1177" s="1" t="s">
        <v>15996</v>
      </c>
      <c r="I1177" s="1" t="s">
        <v>15996</v>
      </c>
      <c r="J1177" s="1">
        <v>8660227683</v>
      </c>
      <c r="K1177" s="1" t="s">
        <v>79</v>
      </c>
      <c r="L1177" s="1" t="s">
        <v>4514</v>
      </c>
      <c r="M1177" s="1" t="s">
        <v>81</v>
      </c>
      <c r="N1177" s="1" t="s">
        <v>15997</v>
      </c>
      <c r="O1177" s="1" t="s">
        <v>15998</v>
      </c>
      <c r="P1177" s="1" t="s">
        <v>117</v>
      </c>
      <c r="Q1177" s="1">
        <v>362052785697</v>
      </c>
      <c r="R1177" s="1" t="s">
        <v>15999</v>
      </c>
      <c r="S1177" s="1">
        <v>9945863497</v>
      </c>
      <c r="T1177" s="1" t="s">
        <v>3457</v>
      </c>
      <c r="U1177" s="1" t="s">
        <v>16000</v>
      </c>
      <c r="V1177" s="1">
        <v>9480189083</v>
      </c>
      <c r="W1177" s="1" t="s">
        <v>13981</v>
      </c>
      <c r="X1177" s="1" t="s">
        <v>16001</v>
      </c>
      <c r="Y1177" s="1" t="s">
        <v>6863</v>
      </c>
      <c r="Z1177" s="1" t="s">
        <v>1187</v>
      </c>
      <c r="AA1177" s="1" t="s">
        <v>16002</v>
      </c>
      <c r="AB1177" s="1" t="s">
        <v>191</v>
      </c>
      <c r="AC1177" s="1" t="s">
        <v>92</v>
      </c>
      <c r="AD1177" s="1" t="s">
        <v>93</v>
      </c>
      <c r="AE1177" s="1" t="s">
        <v>93</v>
      </c>
      <c r="AF1177" s="1"/>
      <c r="AG1177" s="1"/>
      <c r="AH1177" s="1"/>
      <c r="AI1177" s="1"/>
      <c r="AJ1177" s="1"/>
      <c r="AK1177" s="1"/>
      <c r="AL1177" s="1"/>
      <c r="AM1177" s="1"/>
      <c r="AN1177" s="1"/>
      <c r="AO1177" s="1"/>
      <c r="AP1177" s="1"/>
      <c r="AQ1177" s="1"/>
      <c r="AR1177" s="1"/>
      <c r="AS1177" s="1"/>
      <c r="AT1177" s="1"/>
      <c r="AU1177" s="1"/>
      <c r="AV1177" s="1"/>
      <c r="AW1177" s="1"/>
      <c r="AX1177" s="1"/>
      <c r="AY1177" s="1"/>
      <c r="AZ1177" s="1"/>
      <c r="BA1177" s="1"/>
      <c r="BB1177" s="1"/>
      <c r="BC1177" s="1"/>
      <c r="BD1177" s="1"/>
      <c r="BE1177" s="1"/>
      <c r="BF1177" s="1"/>
      <c r="BG1177" s="1"/>
      <c r="BH1177" s="1"/>
      <c r="BI1177" s="1"/>
      <c r="BJ1177" s="1"/>
      <c r="BK1177" s="1"/>
      <c r="BL1177" s="1"/>
      <c r="BM1177" s="1"/>
      <c r="BN1177" s="1"/>
      <c r="BO1177" s="1"/>
      <c r="BP1177" s="1" t="s">
        <v>9609</v>
      </c>
      <c r="BQ1177" s="3"/>
      <c r="BR1177" s="3"/>
    </row>
    <row r="1178" spans="1:70">
      <c r="A1178" s="1" t="s">
        <v>70</v>
      </c>
      <c r="B1178" s="1" t="s">
        <v>13846</v>
      </c>
      <c r="C1178" s="1" t="s">
        <v>16003</v>
      </c>
      <c r="D1178" s="1"/>
      <c r="E1178" s="1"/>
      <c r="F1178" s="1"/>
      <c r="G1178" s="1"/>
      <c r="H1178" s="1" t="s">
        <v>16004</v>
      </c>
      <c r="I1178" s="1" t="s">
        <v>16004</v>
      </c>
      <c r="J1178" s="1"/>
      <c r="K1178" s="1"/>
      <c r="L1178" s="1"/>
      <c r="M1178" s="1"/>
      <c r="N1178" s="1"/>
      <c r="O1178" s="1"/>
      <c r="P1178" s="1"/>
      <c r="Q1178" s="1"/>
      <c r="R1178" s="1"/>
      <c r="S1178" s="1"/>
      <c r="T1178" s="1"/>
      <c r="U1178" s="1"/>
      <c r="V1178" s="1"/>
      <c r="W1178" s="1"/>
      <c r="X1178" s="1"/>
      <c r="Y1178" s="1"/>
      <c r="Z1178" s="1"/>
      <c r="AA1178" s="1"/>
      <c r="AB1178" s="1"/>
      <c r="AC1178" s="1"/>
      <c r="AD1178" s="1" t="s">
        <v>93</v>
      </c>
      <c r="AE1178" s="1" t="s">
        <v>93</v>
      </c>
      <c r="AF1178" s="1"/>
      <c r="AG1178" s="1"/>
      <c r="AH1178" s="1"/>
      <c r="AI1178" s="1"/>
      <c r="AJ1178" s="1"/>
      <c r="AK1178" s="1"/>
      <c r="AL1178" s="1"/>
      <c r="AM1178" s="1"/>
      <c r="AN1178" s="1"/>
      <c r="AO1178" s="1"/>
      <c r="AP1178" s="1"/>
      <c r="AQ1178" s="1"/>
      <c r="AR1178" s="1"/>
      <c r="AS1178" s="1"/>
      <c r="AT1178" s="1"/>
      <c r="AU1178" s="1"/>
      <c r="AV1178" s="1"/>
      <c r="AW1178" s="1"/>
      <c r="AX1178" s="1"/>
      <c r="AY1178" s="1"/>
      <c r="AZ1178" s="1"/>
      <c r="BA1178" s="1"/>
      <c r="BB1178" s="1"/>
      <c r="BC1178" s="1"/>
      <c r="BD1178" s="1"/>
      <c r="BE1178" s="1"/>
      <c r="BF1178" s="1"/>
      <c r="BG1178" s="1"/>
      <c r="BH1178" s="1"/>
      <c r="BI1178" s="1"/>
      <c r="BJ1178" s="1"/>
      <c r="BK1178" s="1"/>
      <c r="BL1178" s="1"/>
      <c r="BM1178" s="1"/>
      <c r="BN1178" s="1"/>
      <c r="BO1178" s="1"/>
      <c r="BP1178" s="1" t="s">
        <v>9609</v>
      </c>
      <c r="BQ1178" s="3"/>
      <c r="BR1178" s="3"/>
    </row>
    <row r="1179" spans="1:70">
      <c r="A1179" s="1" t="s">
        <v>70</v>
      </c>
      <c r="B1179" s="1" t="s">
        <v>13846</v>
      </c>
      <c r="C1179" s="1" t="s">
        <v>16005</v>
      </c>
      <c r="D1179" s="1"/>
      <c r="E1179" s="1"/>
      <c r="F1179" s="1"/>
      <c r="G1179" s="1"/>
      <c r="H1179" s="1" t="s">
        <v>16006</v>
      </c>
      <c r="I1179" s="1" t="s">
        <v>16006</v>
      </c>
      <c r="J1179" s="1"/>
      <c r="K1179" s="1"/>
      <c r="L1179" s="1"/>
      <c r="M1179" s="1"/>
      <c r="N1179" s="1"/>
      <c r="O1179" s="1"/>
      <c r="P1179" s="1"/>
      <c r="Q1179" s="1"/>
      <c r="R1179" s="1"/>
      <c r="S1179" s="1"/>
      <c r="T1179" s="1"/>
      <c r="U1179" s="1"/>
      <c r="V1179" s="1"/>
      <c r="W1179" s="1"/>
      <c r="X1179" s="1"/>
      <c r="Y1179" s="1"/>
      <c r="Z1179" s="1"/>
      <c r="AA1179" s="1"/>
      <c r="AB1179" s="1"/>
      <c r="AC1179" s="1"/>
      <c r="AD1179" s="1" t="s">
        <v>93</v>
      </c>
      <c r="AE1179" s="1" t="s">
        <v>93</v>
      </c>
      <c r="AF1179" s="1"/>
      <c r="AG1179" s="1"/>
      <c r="AH1179" s="1"/>
      <c r="AI1179" s="1"/>
      <c r="AJ1179" s="1"/>
      <c r="AK1179" s="1"/>
      <c r="AL1179" s="1"/>
      <c r="AM1179" s="1"/>
      <c r="AN1179" s="1"/>
      <c r="AO1179" s="1"/>
      <c r="AP1179" s="1"/>
      <c r="AQ1179" s="1"/>
      <c r="AR1179" s="1"/>
      <c r="AS1179" s="1"/>
      <c r="AT1179" s="1"/>
      <c r="AU1179" s="1"/>
      <c r="AV1179" s="1"/>
      <c r="AW1179" s="1"/>
      <c r="AX1179" s="1"/>
      <c r="AY1179" s="1"/>
      <c r="AZ1179" s="1"/>
      <c r="BA1179" s="1"/>
      <c r="BB1179" s="1"/>
      <c r="BC1179" s="1"/>
      <c r="BD1179" s="1"/>
      <c r="BE1179" s="1"/>
      <c r="BF1179" s="1"/>
      <c r="BG1179" s="1"/>
      <c r="BH1179" s="1"/>
      <c r="BI1179" s="1"/>
      <c r="BJ1179" s="1"/>
      <c r="BK1179" s="1"/>
      <c r="BL1179" s="1"/>
      <c r="BM1179" s="1"/>
      <c r="BN1179" s="1"/>
      <c r="BO1179" s="1"/>
      <c r="BP1179" s="1" t="s">
        <v>9609</v>
      </c>
      <c r="BQ1179" s="3"/>
      <c r="BR1179" s="3"/>
    </row>
    <row r="1180" spans="1:70">
      <c r="A1180" s="1" t="s">
        <v>70</v>
      </c>
      <c r="B1180" s="1" t="s">
        <v>13846</v>
      </c>
      <c r="C1180" s="1" t="s">
        <v>16007</v>
      </c>
      <c r="D1180" s="1"/>
      <c r="E1180" s="1"/>
      <c r="F1180" s="1"/>
      <c r="G1180" s="1"/>
      <c r="H1180" s="1" t="s">
        <v>16008</v>
      </c>
      <c r="I1180" s="1" t="s">
        <v>16008</v>
      </c>
      <c r="J1180" s="1"/>
      <c r="K1180" s="1"/>
      <c r="L1180" s="1"/>
      <c r="M1180" s="1"/>
      <c r="N1180" s="1"/>
      <c r="O1180" s="1"/>
      <c r="P1180" s="1"/>
      <c r="Q1180" s="1"/>
      <c r="R1180" s="1"/>
      <c r="S1180" s="1"/>
      <c r="T1180" s="1"/>
      <c r="U1180" s="1"/>
      <c r="V1180" s="1"/>
      <c r="W1180" s="1"/>
      <c r="X1180" s="1"/>
      <c r="Y1180" s="1"/>
      <c r="Z1180" s="1"/>
      <c r="AA1180" s="1"/>
      <c r="AB1180" s="1"/>
      <c r="AC1180" s="1"/>
      <c r="AD1180" s="1" t="s">
        <v>93</v>
      </c>
      <c r="AE1180" s="1" t="s">
        <v>93</v>
      </c>
      <c r="AF1180" s="1"/>
      <c r="AG1180" s="1"/>
      <c r="AH1180" s="1"/>
      <c r="AI1180" s="1"/>
      <c r="AJ1180" s="1"/>
      <c r="AK1180" s="1"/>
      <c r="AL1180" s="1"/>
      <c r="AM1180" s="1"/>
      <c r="AN1180" s="1"/>
      <c r="AO1180" s="1"/>
      <c r="AP1180" s="1"/>
      <c r="AQ1180" s="1"/>
      <c r="AR1180" s="1"/>
      <c r="AS1180" s="1"/>
      <c r="AT1180" s="1"/>
      <c r="AU1180" s="1"/>
      <c r="AV1180" s="1"/>
      <c r="AW1180" s="1"/>
      <c r="AX1180" s="1"/>
      <c r="AY1180" s="1"/>
      <c r="AZ1180" s="1"/>
      <c r="BA1180" s="1"/>
      <c r="BB1180" s="1"/>
      <c r="BC1180" s="1"/>
      <c r="BD1180" s="1"/>
      <c r="BE1180" s="1"/>
      <c r="BF1180" s="1"/>
      <c r="BG1180" s="1"/>
      <c r="BH1180" s="1"/>
      <c r="BI1180" s="1"/>
      <c r="BJ1180" s="1"/>
      <c r="BK1180" s="1"/>
      <c r="BL1180" s="1"/>
      <c r="BM1180" s="1"/>
      <c r="BN1180" s="1"/>
      <c r="BO1180" s="1"/>
      <c r="BP1180" s="1" t="s">
        <v>9609</v>
      </c>
      <c r="BQ1180" s="3"/>
      <c r="BR1180" s="3"/>
    </row>
    <row r="1181" spans="1:70">
      <c r="A1181" s="1" t="s">
        <v>70</v>
      </c>
      <c r="B1181" s="1" t="s">
        <v>13846</v>
      </c>
      <c r="C1181" s="1" t="s">
        <v>16009</v>
      </c>
      <c r="D1181" s="1"/>
      <c r="E1181" s="1"/>
      <c r="F1181" s="1"/>
      <c r="G1181" s="1"/>
      <c r="H1181" s="1" t="s">
        <v>16010</v>
      </c>
      <c r="I1181" s="1" t="s">
        <v>16010</v>
      </c>
      <c r="J1181" s="1"/>
      <c r="K1181" s="1"/>
      <c r="L1181" s="1"/>
      <c r="M1181" s="1"/>
      <c r="N1181" s="1"/>
      <c r="O1181" s="1"/>
      <c r="P1181" s="1"/>
      <c r="Q1181" s="1"/>
      <c r="R1181" s="1"/>
      <c r="S1181" s="1"/>
      <c r="T1181" s="1"/>
      <c r="U1181" s="1"/>
      <c r="V1181" s="1"/>
      <c r="W1181" s="1"/>
      <c r="X1181" s="1"/>
      <c r="Y1181" s="1"/>
      <c r="Z1181" s="1"/>
      <c r="AA1181" s="1"/>
      <c r="AB1181" s="1"/>
      <c r="AC1181" s="1"/>
      <c r="AD1181" s="1" t="s">
        <v>93</v>
      </c>
      <c r="AE1181" s="1" t="s">
        <v>93</v>
      </c>
      <c r="AF1181" s="1"/>
      <c r="AG1181" s="1"/>
      <c r="AH1181" s="1"/>
      <c r="AI1181" s="1"/>
      <c r="AJ1181" s="1"/>
      <c r="AK1181" s="1"/>
      <c r="AL1181" s="1"/>
      <c r="AM1181" s="1"/>
      <c r="AN1181" s="1"/>
      <c r="AO1181" s="1"/>
      <c r="AP1181" s="1"/>
      <c r="AQ1181" s="1"/>
      <c r="AR1181" s="1"/>
      <c r="AS1181" s="1"/>
      <c r="AT1181" s="1"/>
      <c r="AU1181" s="1"/>
      <c r="AV1181" s="1"/>
      <c r="AW1181" s="1"/>
      <c r="AX1181" s="1"/>
      <c r="AY1181" s="1"/>
      <c r="AZ1181" s="1"/>
      <c r="BA1181" s="1"/>
      <c r="BB1181" s="1"/>
      <c r="BC1181" s="1"/>
      <c r="BD1181" s="1"/>
      <c r="BE1181" s="1"/>
      <c r="BF1181" s="1"/>
      <c r="BG1181" s="1"/>
      <c r="BH1181" s="1"/>
      <c r="BI1181" s="1"/>
      <c r="BJ1181" s="1"/>
      <c r="BK1181" s="1"/>
      <c r="BL1181" s="1"/>
      <c r="BM1181" s="1"/>
      <c r="BN1181" s="1"/>
      <c r="BO1181" s="1"/>
      <c r="BP1181" s="1" t="s">
        <v>9609</v>
      </c>
      <c r="BQ1181" s="3"/>
      <c r="BR1181" s="3"/>
    </row>
    <row r="1182" spans="1:70">
      <c r="A1182" s="1" t="s">
        <v>70</v>
      </c>
      <c r="B1182" s="1" t="s">
        <v>13846</v>
      </c>
      <c r="C1182" s="1" t="s">
        <v>16011</v>
      </c>
      <c r="D1182" s="1"/>
      <c r="E1182" s="1"/>
      <c r="F1182" s="1"/>
      <c r="G1182" s="1"/>
      <c r="H1182" s="1" t="s">
        <v>16012</v>
      </c>
      <c r="I1182" s="1" t="s">
        <v>16012</v>
      </c>
      <c r="J1182" s="1"/>
      <c r="K1182" s="1"/>
      <c r="L1182" s="1"/>
      <c r="M1182" s="1"/>
      <c r="N1182" s="1"/>
      <c r="O1182" s="1"/>
      <c r="P1182" s="1"/>
      <c r="Q1182" s="1"/>
      <c r="R1182" s="1"/>
      <c r="S1182" s="1"/>
      <c r="T1182" s="1"/>
      <c r="U1182" s="1"/>
      <c r="V1182" s="1"/>
      <c r="W1182" s="1"/>
      <c r="X1182" s="1"/>
      <c r="Y1182" s="1"/>
      <c r="Z1182" s="1"/>
      <c r="AA1182" s="1"/>
      <c r="AB1182" s="1"/>
      <c r="AC1182" s="1"/>
      <c r="AD1182" s="1" t="s">
        <v>93</v>
      </c>
      <c r="AE1182" s="1" t="s">
        <v>93</v>
      </c>
      <c r="AF1182" s="1"/>
      <c r="AG1182" s="1"/>
      <c r="AH1182" s="1"/>
      <c r="AI1182" s="1"/>
      <c r="AJ1182" s="1"/>
      <c r="AK1182" s="1"/>
      <c r="AL1182" s="1"/>
      <c r="AM1182" s="1"/>
      <c r="AN1182" s="1"/>
      <c r="AO1182" s="1"/>
      <c r="AP1182" s="1"/>
      <c r="AQ1182" s="1"/>
      <c r="AR1182" s="1"/>
      <c r="AS1182" s="1"/>
      <c r="AT1182" s="1"/>
      <c r="AU1182" s="1"/>
      <c r="AV1182" s="1"/>
      <c r="AW1182" s="1"/>
      <c r="AX1182" s="1"/>
      <c r="AY1182" s="1"/>
      <c r="AZ1182" s="1"/>
      <c r="BA1182" s="1"/>
      <c r="BB1182" s="1"/>
      <c r="BC1182" s="1"/>
      <c r="BD1182" s="1"/>
      <c r="BE1182" s="1"/>
      <c r="BF1182" s="1"/>
      <c r="BG1182" s="1"/>
      <c r="BH1182" s="1"/>
      <c r="BI1182" s="1"/>
      <c r="BJ1182" s="1"/>
      <c r="BK1182" s="1"/>
      <c r="BL1182" s="1"/>
      <c r="BM1182" s="1"/>
      <c r="BN1182" s="1"/>
      <c r="BO1182" s="1"/>
      <c r="BP1182" s="1" t="s">
        <v>9609</v>
      </c>
      <c r="BQ1182" s="3"/>
      <c r="BR1182" s="3"/>
    </row>
    <row r="1183" spans="1:70">
      <c r="A1183" s="1" t="s">
        <v>70</v>
      </c>
      <c r="B1183" s="1" t="s">
        <v>13846</v>
      </c>
      <c r="C1183" s="1" t="s">
        <v>16013</v>
      </c>
      <c r="D1183" s="1"/>
      <c r="E1183" s="1"/>
      <c r="F1183" s="1"/>
      <c r="G1183" s="1"/>
      <c r="H1183" s="1" t="s">
        <v>16014</v>
      </c>
      <c r="I1183" s="1" t="s">
        <v>16014</v>
      </c>
      <c r="J1183" s="1"/>
      <c r="K1183" s="1"/>
      <c r="L1183" s="1"/>
      <c r="M1183" s="1"/>
      <c r="N1183" s="1"/>
      <c r="O1183" s="1"/>
      <c r="P1183" s="1"/>
      <c r="Q1183" s="1"/>
      <c r="R1183" s="1"/>
      <c r="S1183" s="1"/>
      <c r="T1183" s="1"/>
      <c r="U1183" s="1"/>
      <c r="V1183" s="1"/>
      <c r="W1183" s="1"/>
      <c r="X1183" s="1"/>
      <c r="Y1183" s="1"/>
      <c r="Z1183" s="1"/>
      <c r="AA1183" s="1"/>
      <c r="AB1183" s="1"/>
      <c r="AC1183" s="1"/>
      <c r="AD1183" s="1" t="s">
        <v>93</v>
      </c>
      <c r="AE1183" s="1" t="s">
        <v>93</v>
      </c>
      <c r="AF1183" s="1"/>
      <c r="AG1183" s="1"/>
      <c r="AH1183" s="1"/>
      <c r="AI1183" s="1"/>
      <c r="AJ1183" s="1"/>
      <c r="AK1183" s="1"/>
      <c r="AL1183" s="1"/>
      <c r="AM1183" s="1"/>
      <c r="AN1183" s="1"/>
      <c r="AO1183" s="1"/>
      <c r="AP1183" s="1"/>
      <c r="AQ1183" s="1"/>
      <c r="AR1183" s="1"/>
      <c r="AS1183" s="1"/>
      <c r="AT1183" s="1"/>
      <c r="AU1183" s="1"/>
      <c r="AV1183" s="1"/>
      <c r="AW1183" s="1"/>
      <c r="AX1183" s="1"/>
      <c r="AY1183" s="1"/>
      <c r="AZ1183" s="1"/>
      <c r="BA1183" s="1"/>
      <c r="BB1183" s="1"/>
      <c r="BC1183" s="1"/>
      <c r="BD1183" s="1"/>
      <c r="BE1183" s="1"/>
      <c r="BF1183" s="1"/>
      <c r="BG1183" s="1"/>
      <c r="BH1183" s="1"/>
      <c r="BI1183" s="1"/>
      <c r="BJ1183" s="1"/>
      <c r="BK1183" s="1"/>
      <c r="BL1183" s="1"/>
      <c r="BM1183" s="1"/>
      <c r="BN1183" s="1"/>
      <c r="BO1183" s="1"/>
      <c r="BP1183" s="1" t="s">
        <v>9609</v>
      </c>
      <c r="BQ1183" s="3"/>
      <c r="BR1183" s="3"/>
    </row>
    <row r="1184" spans="1:70">
      <c r="A1184" s="1" t="s">
        <v>70</v>
      </c>
      <c r="B1184" s="1" t="s">
        <v>13846</v>
      </c>
      <c r="C1184" s="1" t="s">
        <v>16015</v>
      </c>
      <c r="D1184" s="1"/>
      <c r="E1184" s="1"/>
      <c r="F1184" s="1"/>
      <c r="G1184" s="1"/>
      <c r="H1184" s="1" t="s">
        <v>16016</v>
      </c>
      <c r="I1184" s="1" t="s">
        <v>16016</v>
      </c>
      <c r="J1184" s="1"/>
      <c r="K1184" s="1"/>
      <c r="L1184" s="1"/>
      <c r="M1184" s="1"/>
      <c r="N1184" s="1"/>
      <c r="O1184" s="1"/>
      <c r="P1184" s="1"/>
      <c r="Q1184" s="1"/>
      <c r="R1184" s="1"/>
      <c r="S1184" s="1"/>
      <c r="T1184" s="1"/>
      <c r="U1184" s="1"/>
      <c r="V1184" s="1"/>
      <c r="W1184" s="1"/>
      <c r="X1184" s="1"/>
      <c r="Y1184" s="1"/>
      <c r="Z1184" s="1"/>
      <c r="AA1184" s="1"/>
      <c r="AB1184" s="1"/>
      <c r="AC1184" s="1"/>
      <c r="AD1184" s="1" t="s">
        <v>93</v>
      </c>
      <c r="AE1184" s="1" t="s">
        <v>93</v>
      </c>
      <c r="AF1184" s="1"/>
      <c r="AG1184" s="1"/>
      <c r="AH1184" s="1"/>
      <c r="AI1184" s="1"/>
      <c r="AJ1184" s="1"/>
      <c r="AK1184" s="1"/>
      <c r="AL1184" s="1"/>
      <c r="AM1184" s="1"/>
      <c r="AN1184" s="1"/>
      <c r="AO1184" s="1"/>
      <c r="AP1184" s="1"/>
      <c r="AQ1184" s="1"/>
      <c r="AR1184" s="1"/>
      <c r="AS1184" s="1"/>
      <c r="AT1184" s="1"/>
      <c r="AU1184" s="1"/>
      <c r="AV1184" s="1"/>
      <c r="AW1184" s="1"/>
      <c r="AX1184" s="1"/>
      <c r="AY1184" s="1"/>
      <c r="AZ1184" s="1"/>
      <c r="BA1184" s="1"/>
      <c r="BB1184" s="1"/>
      <c r="BC1184" s="1"/>
      <c r="BD1184" s="1"/>
      <c r="BE1184" s="1"/>
      <c r="BF1184" s="1"/>
      <c r="BG1184" s="1"/>
      <c r="BH1184" s="1"/>
      <c r="BI1184" s="1"/>
      <c r="BJ1184" s="1"/>
      <c r="BK1184" s="1"/>
      <c r="BL1184" s="1"/>
      <c r="BM1184" s="1"/>
      <c r="BN1184" s="1"/>
      <c r="BO1184" s="1"/>
      <c r="BP1184" s="1" t="s">
        <v>9609</v>
      </c>
      <c r="BQ1184" s="3"/>
      <c r="BR1184" s="3"/>
    </row>
    <row r="1185" spans="1:70">
      <c r="A1185" s="1" t="s">
        <v>70</v>
      </c>
      <c r="B1185" s="1" t="s">
        <v>13846</v>
      </c>
      <c r="C1185" s="1" t="s">
        <v>16017</v>
      </c>
      <c r="D1185" s="1" t="s">
        <v>16018</v>
      </c>
      <c r="E1185" s="1"/>
      <c r="F1185" s="1" t="s">
        <v>16019</v>
      </c>
      <c r="G1185" s="1" t="s">
        <v>16020</v>
      </c>
      <c r="H1185" s="1" t="s">
        <v>16021</v>
      </c>
      <c r="I1185" s="1" t="s">
        <v>16021</v>
      </c>
      <c r="J1185" s="1">
        <v>9398169160</v>
      </c>
      <c r="K1185" s="1" t="s">
        <v>79</v>
      </c>
      <c r="L1185" s="1" t="s">
        <v>16022</v>
      </c>
      <c r="M1185" s="1" t="s">
        <v>81</v>
      </c>
      <c r="N1185" s="1" t="s">
        <v>16023</v>
      </c>
      <c r="O1185" s="1" t="s">
        <v>16024</v>
      </c>
      <c r="P1185" s="1" t="s">
        <v>351</v>
      </c>
      <c r="Q1185" s="1">
        <v>417208179065</v>
      </c>
      <c r="R1185" s="1" t="s">
        <v>16025</v>
      </c>
      <c r="S1185" s="1">
        <v>7893321909</v>
      </c>
      <c r="T1185" s="1" t="s">
        <v>16026</v>
      </c>
      <c r="U1185" s="1" t="s">
        <v>16027</v>
      </c>
      <c r="V1185" s="1">
        <v>9391520377</v>
      </c>
      <c r="W1185" s="1" t="s">
        <v>15805</v>
      </c>
      <c r="X1185" s="1" t="s">
        <v>16028</v>
      </c>
      <c r="Y1185" s="1" t="s">
        <v>16029</v>
      </c>
      <c r="Z1185" s="1" t="s">
        <v>276</v>
      </c>
      <c r="AA1185" s="1" t="s">
        <v>16028</v>
      </c>
      <c r="AB1185" s="1" t="s">
        <v>16029</v>
      </c>
      <c r="AC1185" s="1" t="s">
        <v>276</v>
      </c>
      <c r="AD1185" s="1" t="s">
        <v>93</v>
      </c>
      <c r="AE1185" s="1" t="s">
        <v>93</v>
      </c>
      <c r="AF1185" s="1" t="s">
        <v>16030</v>
      </c>
      <c r="AG1185" s="1" t="s">
        <v>16031</v>
      </c>
      <c r="AH1185" s="1" t="s">
        <v>433</v>
      </c>
      <c r="AI1185" s="1" t="s">
        <v>590</v>
      </c>
      <c r="AJ1185" s="1">
        <v>75.83</v>
      </c>
      <c r="AK1185" s="1"/>
      <c r="AL1185" s="1" t="s">
        <v>16032</v>
      </c>
      <c r="AM1185" s="1" t="s">
        <v>16033</v>
      </c>
      <c r="AN1185" s="1" t="s">
        <v>174</v>
      </c>
      <c r="AO1185" s="1" t="s">
        <v>4109</v>
      </c>
      <c r="AP1185" s="1">
        <v>67.4</v>
      </c>
      <c r="AQ1185" s="1"/>
      <c r="AR1185" s="1" t="s">
        <v>16034</v>
      </c>
      <c r="AS1185" s="1" t="s">
        <v>16035</v>
      </c>
      <c r="AT1185" s="1" t="s">
        <v>170</v>
      </c>
      <c r="AU1185" s="1" t="s">
        <v>229</v>
      </c>
      <c r="AV1185" s="1">
        <v>67.44</v>
      </c>
      <c r="AW1185" s="1"/>
      <c r="AX1185" s="1" t="s">
        <v>16036</v>
      </c>
      <c r="AY1185" s="1" t="s">
        <v>16037</v>
      </c>
      <c r="AZ1185" s="1" t="s">
        <v>386</v>
      </c>
      <c r="BA1185" s="1" t="s">
        <v>16038</v>
      </c>
      <c r="BB1185" s="1">
        <v>72.2</v>
      </c>
      <c r="BC1185" s="1">
        <v>7.97</v>
      </c>
      <c r="BD1185" s="1"/>
      <c r="BE1185" s="1"/>
      <c r="BF1185" s="1"/>
      <c r="BG1185" s="1"/>
      <c r="BH1185" s="1"/>
      <c r="BI1185" s="1"/>
      <c r="BJ1185" s="1" t="s">
        <v>16039</v>
      </c>
      <c r="BK1185" s="1"/>
      <c r="BL1185" s="1"/>
      <c r="BM1185" s="1"/>
      <c r="BN1185" s="1"/>
      <c r="BO1185" s="1"/>
      <c r="BP1185" s="1" t="s">
        <v>9609</v>
      </c>
      <c r="BQ1185" s="3"/>
      <c r="BR1185" s="3"/>
    </row>
    <row r="1186" spans="1:70">
      <c r="A1186" s="1" t="s">
        <v>70</v>
      </c>
      <c r="B1186" s="1" t="s">
        <v>13846</v>
      </c>
      <c r="C1186" s="1" t="s">
        <v>16040</v>
      </c>
      <c r="D1186" s="1"/>
      <c r="E1186" s="1"/>
      <c r="F1186" s="1"/>
      <c r="G1186" s="1"/>
      <c r="H1186" s="1" t="s">
        <v>16041</v>
      </c>
      <c r="I1186" s="1" t="s">
        <v>16041</v>
      </c>
      <c r="J1186" s="1"/>
      <c r="K1186" s="1"/>
      <c r="L1186" s="1"/>
      <c r="M1186" s="1"/>
      <c r="N1186" s="1"/>
      <c r="O1186" s="1"/>
      <c r="P1186" s="1"/>
      <c r="Q1186" s="1"/>
      <c r="R1186" s="1"/>
      <c r="S1186" s="1"/>
      <c r="T1186" s="1"/>
      <c r="U1186" s="1"/>
      <c r="V1186" s="1"/>
      <c r="W1186" s="1"/>
      <c r="X1186" s="1"/>
      <c r="Y1186" s="1"/>
      <c r="Z1186" s="1"/>
      <c r="AA1186" s="1"/>
      <c r="AB1186" s="1"/>
      <c r="AC1186" s="1"/>
      <c r="AD1186" s="1" t="s">
        <v>93</v>
      </c>
      <c r="AE1186" s="1" t="s">
        <v>93</v>
      </c>
      <c r="AF1186" s="1"/>
      <c r="AG1186" s="1"/>
      <c r="AH1186" s="1"/>
      <c r="AI1186" s="1"/>
      <c r="AJ1186" s="1"/>
      <c r="AK1186" s="1"/>
      <c r="AL1186" s="1"/>
      <c r="AM1186" s="1"/>
      <c r="AN1186" s="1"/>
      <c r="AO1186" s="1"/>
      <c r="AP1186" s="1"/>
      <c r="AQ1186" s="1"/>
      <c r="AR1186" s="1"/>
      <c r="AS1186" s="1"/>
      <c r="AT1186" s="1"/>
      <c r="AU1186" s="1"/>
      <c r="AV1186" s="1"/>
      <c r="AW1186" s="1"/>
      <c r="AX1186" s="1"/>
      <c r="AY1186" s="1"/>
      <c r="AZ1186" s="1"/>
      <c r="BA1186" s="1"/>
      <c r="BB1186" s="1"/>
      <c r="BC1186" s="1"/>
      <c r="BD1186" s="1"/>
      <c r="BE1186" s="1"/>
      <c r="BF1186" s="1"/>
      <c r="BG1186" s="1"/>
      <c r="BH1186" s="1"/>
      <c r="BI1186" s="1"/>
      <c r="BJ1186" s="1"/>
      <c r="BK1186" s="1"/>
      <c r="BL1186" s="1"/>
      <c r="BM1186" s="1"/>
      <c r="BN1186" s="1"/>
      <c r="BO1186" s="1"/>
      <c r="BP1186" s="1" t="s">
        <v>9609</v>
      </c>
      <c r="BQ1186" s="3"/>
      <c r="BR1186" s="3"/>
    </row>
    <row r="1187" spans="1:70">
      <c r="A1187" s="1" t="s">
        <v>70</v>
      </c>
      <c r="B1187" s="1" t="s">
        <v>13846</v>
      </c>
      <c r="C1187" s="1" t="s">
        <v>16042</v>
      </c>
      <c r="D1187" s="1"/>
      <c r="E1187" s="1"/>
      <c r="F1187" s="1"/>
      <c r="G1187" s="1"/>
      <c r="H1187" s="1" t="s">
        <v>16043</v>
      </c>
      <c r="I1187" s="1" t="s">
        <v>16043</v>
      </c>
      <c r="J1187" s="1"/>
      <c r="K1187" s="1"/>
      <c r="L1187" s="1"/>
      <c r="M1187" s="1"/>
      <c r="N1187" s="1"/>
      <c r="O1187" s="1"/>
      <c r="P1187" s="1"/>
      <c r="Q1187" s="1"/>
      <c r="R1187" s="1"/>
      <c r="S1187" s="1"/>
      <c r="T1187" s="1"/>
      <c r="U1187" s="1"/>
      <c r="V1187" s="1"/>
      <c r="W1187" s="1"/>
      <c r="X1187" s="1"/>
      <c r="Y1187" s="1"/>
      <c r="Z1187" s="1"/>
      <c r="AA1187" s="1"/>
      <c r="AB1187" s="1"/>
      <c r="AC1187" s="1"/>
      <c r="AD1187" s="1" t="s">
        <v>93</v>
      </c>
      <c r="AE1187" s="1" t="s">
        <v>93</v>
      </c>
      <c r="AF1187" s="1"/>
      <c r="AG1187" s="1"/>
      <c r="AH1187" s="1"/>
      <c r="AI1187" s="1"/>
      <c r="AJ1187" s="1"/>
      <c r="AK1187" s="1"/>
      <c r="AL1187" s="1"/>
      <c r="AM1187" s="1"/>
      <c r="AN1187" s="1"/>
      <c r="AO1187" s="1"/>
      <c r="AP1187" s="1"/>
      <c r="AQ1187" s="1"/>
      <c r="AR1187" s="1"/>
      <c r="AS1187" s="1"/>
      <c r="AT1187" s="1"/>
      <c r="AU1187" s="1"/>
      <c r="AV1187" s="1"/>
      <c r="AW1187" s="1"/>
      <c r="AX1187" s="1"/>
      <c r="AY1187" s="1"/>
      <c r="AZ1187" s="1"/>
      <c r="BA1187" s="1"/>
      <c r="BB1187" s="1"/>
      <c r="BC1187" s="1"/>
      <c r="BD1187" s="1"/>
      <c r="BE1187" s="1"/>
      <c r="BF1187" s="1"/>
      <c r="BG1187" s="1"/>
      <c r="BH1187" s="1"/>
      <c r="BI1187" s="1"/>
      <c r="BJ1187" s="1"/>
      <c r="BK1187" s="1"/>
      <c r="BL1187" s="1"/>
      <c r="BM1187" s="1"/>
      <c r="BN1187" s="1"/>
      <c r="BO1187" s="1"/>
      <c r="BP1187" s="1" t="s">
        <v>9609</v>
      </c>
      <c r="BQ1187" s="3"/>
      <c r="BR1187" s="3"/>
    </row>
    <row r="1188" spans="1:70">
      <c r="A1188" s="1" t="s">
        <v>70</v>
      </c>
      <c r="B1188" s="1" t="s">
        <v>13846</v>
      </c>
      <c r="C1188" s="1" t="s">
        <v>16044</v>
      </c>
      <c r="D1188" s="1"/>
      <c r="E1188" s="1"/>
      <c r="F1188" s="1"/>
      <c r="G1188" s="1"/>
      <c r="H1188" s="1" t="s">
        <v>16045</v>
      </c>
      <c r="I1188" s="1" t="s">
        <v>16045</v>
      </c>
      <c r="J1188" s="1"/>
      <c r="K1188" s="1"/>
      <c r="L1188" s="1"/>
      <c r="M1188" s="1"/>
      <c r="N1188" s="1"/>
      <c r="O1188" s="1"/>
      <c r="P1188" s="1"/>
      <c r="Q1188" s="1"/>
      <c r="R1188" s="1"/>
      <c r="S1188" s="1"/>
      <c r="T1188" s="1"/>
      <c r="U1188" s="1"/>
      <c r="V1188" s="1"/>
      <c r="W1188" s="1"/>
      <c r="X1188" s="1"/>
      <c r="Y1188" s="1"/>
      <c r="Z1188" s="1"/>
      <c r="AA1188" s="1"/>
      <c r="AB1188" s="1"/>
      <c r="AC1188" s="1"/>
      <c r="AD1188" s="1" t="s">
        <v>93</v>
      </c>
      <c r="AE1188" s="1" t="s">
        <v>93</v>
      </c>
      <c r="AF1188" s="1"/>
      <c r="AG1188" s="1"/>
      <c r="AH1188" s="1"/>
      <c r="AI1188" s="1"/>
      <c r="AJ1188" s="1"/>
      <c r="AK1188" s="1"/>
      <c r="AL1188" s="1"/>
      <c r="AM1188" s="1"/>
      <c r="AN1188" s="1"/>
      <c r="AO1188" s="1"/>
      <c r="AP1188" s="1"/>
      <c r="AQ1188" s="1"/>
      <c r="AR1188" s="1"/>
      <c r="AS1188" s="1"/>
      <c r="AT1188" s="1"/>
      <c r="AU1188" s="1"/>
      <c r="AV1188" s="1"/>
      <c r="AW1188" s="1"/>
      <c r="AX1188" s="1"/>
      <c r="AY1188" s="1"/>
      <c r="AZ1188" s="1"/>
      <c r="BA1188" s="1"/>
      <c r="BB1188" s="1"/>
      <c r="BC1188" s="1"/>
      <c r="BD1188" s="1"/>
      <c r="BE1188" s="1"/>
      <c r="BF1188" s="1"/>
      <c r="BG1188" s="1"/>
      <c r="BH1188" s="1"/>
      <c r="BI1188" s="1"/>
      <c r="BJ1188" s="1"/>
      <c r="BK1188" s="1"/>
      <c r="BL1188" s="1"/>
      <c r="BM1188" s="1"/>
      <c r="BN1188" s="1"/>
      <c r="BO1188" s="1"/>
      <c r="BP1188" s="1" t="s">
        <v>9609</v>
      </c>
      <c r="BQ1188" s="3"/>
      <c r="BR1188" s="3"/>
    </row>
    <row r="1189" spans="1:70">
      <c r="A1189" s="1" t="s">
        <v>70</v>
      </c>
      <c r="B1189" s="1" t="s">
        <v>13846</v>
      </c>
      <c r="C1189" s="1" t="s">
        <v>16046</v>
      </c>
      <c r="D1189" s="1"/>
      <c r="E1189" s="1"/>
      <c r="F1189" s="1"/>
      <c r="G1189" s="1"/>
      <c r="H1189" s="1" t="s">
        <v>16047</v>
      </c>
      <c r="I1189" s="1" t="s">
        <v>16047</v>
      </c>
      <c r="J1189" s="1"/>
      <c r="K1189" s="1"/>
      <c r="L1189" s="1"/>
      <c r="M1189" s="1"/>
      <c r="N1189" s="1"/>
      <c r="O1189" s="1"/>
      <c r="P1189" s="1"/>
      <c r="Q1189" s="1"/>
      <c r="R1189" s="1"/>
      <c r="S1189" s="1"/>
      <c r="T1189" s="1"/>
      <c r="U1189" s="1"/>
      <c r="V1189" s="1"/>
      <c r="W1189" s="1"/>
      <c r="X1189" s="1"/>
      <c r="Y1189" s="1"/>
      <c r="Z1189" s="1"/>
      <c r="AA1189" s="1"/>
      <c r="AB1189" s="1"/>
      <c r="AC1189" s="1"/>
      <c r="AD1189" s="1" t="s">
        <v>93</v>
      </c>
      <c r="AE1189" s="1" t="s">
        <v>93</v>
      </c>
      <c r="AF1189" s="1"/>
      <c r="AG1189" s="1"/>
      <c r="AH1189" s="1"/>
      <c r="AI1189" s="1"/>
      <c r="AJ1189" s="1"/>
      <c r="AK1189" s="1"/>
      <c r="AL1189" s="1"/>
      <c r="AM1189" s="1"/>
      <c r="AN1189" s="1"/>
      <c r="AO1189" s="1"/>
      <c r="AP1189" s="1"/>
      <c r="AQ1189" s="1"/>
      <c r="AR1189" s="1"/>
      <c r="AS1189" s="1"/>
      <c r="AT1189" s="1"/>
      <c r="AU1189" s="1"/>
      <c r="AV1189" s="1"/>
      <c r="AW1189" s="1"/>
      <c r="AX1189" s="1"/>
      <c r="AY1189" s="1"/>
      <c r="AZ1189" s="1"/>
      <c r="BA1189" s="1"/>
      <c r="BB1189" s="1"/>
      <c r="BC1189" s="1"/>
      <c r="BD1189" s="1"/>
      <c r="BE1189" s="1"/>
      <c r="BF1189" s="1"/>
      <c r="BG1189" s="1"/>
      <c r="BH1189" s="1"/>
      <c r="BI1189" s="1"/>
      <c r="BJ1189" s="1"/>
      <c r="BK1189" s="1"/>
      <c r="BL1189" s="1"/>
      <c r="BM1189" s="1"/>
      <c r="BN1189" s="1"/>
      <c r="BO1189" s="1"/>
      <c r="BP1189" s="1" t="s">
        <v>9609</v>
      </c>
      <c r="BQ1189" s="3"/>
      <c r="BR1189" s="3"/>
    </row>
    <row r="1190" spans="1:70">
      <c r="A1190" s="1" t="s">
        <v>70</v>
      </c>
      <c r="B1190" s="1" t="s">
        <v>13846</v>
      </c>
      <c r="C1190" s="1" t="s">
        <v>16048</v>
      </c>
      <c r="D1190" s="1"/>
      <c r="E1190" s="1"/>
      <c r="F1190" s="1"/>
      <c r="G1190" s="1"/>
      <c r="H1190" s="1" t="s">
        <v>16049</v>
      </c>
      <c r="I1190" s="1" t="s">
        <v>16049</v>
      </c>
      <c r="J1190" s="1"/>
      <c r="K1190" s="1"/>
      <c r="L1190" s="1"/>
      <c r="M1190" s="1"/>
      <c r="N1190" s="1"/>
      <c r="O1190" s="1"/>
      <c r="P1190" s="1"/>
      <c r="Q1190" s="1"/>
      <c r="R1190" s="1"/>
      <c r="S1190" s="1"/>
      <c r="T1190" s="1"/>
      <c r="U1190" s="1"/>
      <c r="V1190" s="1"/>
      <c r="W1190" s="1"/>
      <c r="X1190" s="1"/>
      <c r="Y1190" s="1"/>
      <c r="Z1190" s="1"/>
      <c r="AA1190" s="1"/>
      <c r="AB1190" s="1"/>
      <c r="AC1190" s="1"/>
      <c r="AD1190" s="1" t="s">
        <v>93</v>
      </c>
      <c r="AE1190" s="1" t="s">
        <v>93</v>
      </c>
      <c r="AF1190" s="1"/>
      <c r="AG1190" s="1"/>
      <c r="AH1190" s="1"/>
      <c r="AI1190" s="1"/>
      <c r="AJ1190" s="1"/>
      <c r="AK1190" s="1"/>
      <c r="AL1190" s="1"/>
      <c r="AM1190" s="1"/>
      <c r="AN1190" s="1"/>
      <c r="AO1190" s="1"/>
      <c r="AP1190" s="1"/>
      <c r="AQ1190" s="1"/>
      <c r="AR1190" s="1"/>
      <c r="AS1190" s="1"/>
      <c r="AT1190" s="1"/>
      <c r="AU1190" s="1"/>
      <c r="AV1190" s="1"/>
      <c r="AW1190" s="1"/>
      <c r="AX1190" s="1"/>
      <c r="AY1190" s="1"/>
      <c r="AZ1190" s="1"/>
      <c r="BA1190" s="1"/>
      <c r="BB1190" s="1"/>
      <c r="BC1190" s="1"/>
      <c r="BD1190" s="1"/>
      <c r="BE1190" s="1"/>
      <c r="BF1190" s="1"/>
      <c r="BG1190" s="1"/>
      <c r="BH1190" s="1"/>
      <c r="BI1190" s="1"/>
      <c r="BJ1190" s="1"/>
      <c r="BK1190" s="1"/>
      <c r="BL1190" s="1"/>
      <c r="BM1190" s="1"/>
      <c r="BN1190" s="1"/>
      <c r="BO1190" s="1"/>
      <c r="BP1190" s="1" t="s">
        <v>9609</v>
      </c>
      <c r="BQ1190" s="3"/>
      <c r="BR1190" s="3"/>
    </row>
    <row r="1191" spans="1:70">
      <c r="A1191" s="1" t="s">
        <v>70</v>
      </c>
      <c r="B1191" s="1" t="s">
        <v>13846</v>
      </c>
      <c r="C1191" s="1" t="s">
        <v>16050</v>
      </c>
      <c r="D1191" s="1"/>
      <c r="E1191" s="1"/>
      <c r="F1191" s="1"/>
      <c r="G1191" s="1"/>
      <c r="H1191" s="1" t="s">
        <v>16051</v>
      </c>
      <c r="I1191" s="1" t="s">
        <v>16051</v>
      </c>
      <c r="J1191" s="1"/>
      <c r="K1191" s="1"/>
      <c r="L1191" s="1"/>
      <c r="M1191" s="1"/>
      <c r="N1191" s="1"/>
      <c r="O1191" s="1"/>
      <c r="P1191" s="1"/>
      <c r="Q1191" s="1"/>
      <c r="R1191" s="1"/>
      <c r="S1191" s="1"/>
      <c r="T1191" s="1"/>
      <c r="U1191" s="1"/>
      <c r="V1191" s="1"/>
      <c r="W1191" s="1"/>
      <c r="X1191" s="1"/>
      <c r="Y1191" s="1"/>
      <c r="Z1191" s="1"/>
      <c r="AA1191" s="1"/>
      <c r="AB1191" s="1"/>
      <c r="AC1191" s="1"/>
      <c r="AD1191" s="1" t="s">
        <v>93</v>
      </c>
      <c r="AE1191" s="1" t="s">
        <v>93</v>
      </c>
      <c r="AF1191" s="1"/>
      <c r="AG1191" s="1"/>
      <c r="AH1191" s="1"/>
      <c r="AI1191" s="1"/>
      <c r="AJ1191" s="1"/>
      <c r="AK1191" s="1"/>
      <c r="AL1191" s="1"/>
      <c r="AM1191" s="1"/>
      <c r="AN1191" s="1"/>
      <c r="AO1191" s="1"/>
      <c r="AP1191" s="1"/>
      <c r="AQ1191" s="1"/>
      <c r="AR1191" s="1"/>
      <c r="AS1191" s="1"/>
      <c r="AT1191" s="1"/>
      <c r="AU1191" s="1"/>
      <c r="AV1191" s="1"/>
      <c r="AW1191" s="1"/>
      <c r="AX1191" s="1"/>
      <c r="AY1191" s="1"/>
      <c r="AZ1191" s="1"/>
      <c r="BA1191" s="1"/>
      <c r="BB1191" s="1"/>
      <c r="BC1191" s="1"/>
      <c r="BD1191" s="1"/>
      <c r="BE1191" s="1"/>
      <c r="BF1191" s="1"/>
      <c r="BG1191" s="1"/>
      <c r="BH1191" s="1"/>
      <c r="BI1191" s="1"/>
      <c r="BJ1191" s="1"/>
      <c r="BK1191" s="1"/>
      <c r="BL1191" s="1"/>
      <c r="BM1191" s="1"/>
      <c r="BN1191" s="1"/>
      <c r="BO1191" s="1"/>
      <c r="BP1191" s="1" t="s">
        <v>9609</v>
      </c>
      <c r="BQ1191" s="3"/>
      <c r="BR1191" s="3"/>
    </row>
    <row r="1192" spans="1:70">
      <c r="A1192" s="1" t="s">
        <v>70</v>
      </c>
      <c r="B1192" s="1" t="s">
        <v>13846</v>
      </c>
      <c r="C1192" s="1" t="s">
        <v>16052</v>
      </c>
      <c r="D1192" s="1"/>
      <c r="E1192" s="1"/>
      <c r="F1192" s="1"/>
      <c r="G1192" s="1"/>
      <c r="H1192" s="1" t="s">
        <v>16053</v>
      </c>
      <c r="I1192" s="1" t="s">
        <v>16053</v>
      </c>
      <c r="J1192" s="1"/>
      <c r="K1192" s="1"/>
      <c r="L1192" s="1"/>
      <c r="M1192" s="1"/>
      <c r="N1192" s="1"/>
      <c r="O1192" s="1"/>
      <c r="P1192" s="1"/>
      <c r="Q1192" s="1"/>
      <c r="R1192" s="1"/>
      <c r="S1192" s="1"/>
      <c r="T1192" s="1"/>
      <c r="U1192" s="1"/>
      <c r="V1192" s="1"/>
      <c r="W1192" s="1"/>
      <c r="X1192" s="1"/>
      <c r="Y1192" s="1"/>
      <c r="Z1192" s="1"/>
      <c r="AA1192" s="1"/>
      <c r="AB1192" s="1"/>
      <c r="AC1192" s="1"/>
      <c r="AD1192" s="1" t="s">
        <v>93</v>
      </c>
      <c r="AE1192" s="1" t="s">
        <v>93</v>
      </c>
      <c r="AF1192" s="1"/>
      <c r="AG1192" s="1"/>
      <c r="AH1192" s="1"/>
      <c r="AI1192" s="1"/>
      <c r="AJ1192" s="1"/>
      <c r="AK1192" s="1"/>
      <c r="AL1192" s="1"/>
      <c r="AM1192" s="1"/>
      <c r="AN1192" s="1"/>
      <c r="AO1192" s="1"/>
      <c r="AP1192" s="1"/>
      <c r="AQ1192" s="1"/>
      <c r="AR1192" s="1"/>
      <c r="AS1192" s="1"/>
      <c r="AT1192" s="1"/>
      <c r="AU1192" s="1"/>
      <c r="AV1192" s="1"/>
      <c r="AW1192" s="1"/>
      <c r="AX1192" s="1"/>
      <c r="AY1192" s="1"/>
      <c r="AZ1192" s="1"/>
      <c r="BA1192" s="1"/>
      <c r="BB1192" s="1"/>
      <c r="BC1192" s="1"/>
      <c r="BD1192" s="1"/>
      <c r="BE1192" s="1"/>
      <c r="BF1192" s="1"/>
      <c r="BG1192" s="1"/>
      <c r="BH1192" s="1"/>
      <c r="BI1192" s="1"/>
      <c r="BJ1192" s="1"/>
      <c r="BK1192" s="1"/>
      <c r="BL1192" s="1"/>
      <c r="BM1192" s="1"/>
      <c r="BN1192" s="1"/>
      <c r="BO1192" s="1"/>
      <c r="BP1192" s="1" t="s">
        <v>9609</v>
      </c>
      <c r="BQ1192" s="3"/>
      <c r="BR1192" s="3"/>
    </row>
    <row r="1193" spans="1:70">
      <c r="A1193" s="1" t="s">
        <v>70</v>
      </c>
      <c r="B1193" s="1" t="s">
        <v>13846</v>
      </c>
      <c r="C1193" s="1" t="s">
        <v>16054</v>
      </c>
      <c r="D1193" s="1"/>
      <c r="E1193" s="1"/>
      <c r="F1193" s="1"/>
      <c r="G1193" s="1"/>
      <c r="H1193" s="1" t="s">
        <v>16055</v>
      </c>
      <c r="I1193" s="1" t="s">
        <v>16055</v>
      </c>
      <c r="J1193" s="1"/>
      <c r="K1193" s="1"/>
      <c r="L1193" s="1"/>
      <c r="M1193" s="1"/>
      <c r="N1193" s="1"/>
      <c r="O1193" s="1"/>
      <c r="P1193" s="1"/>
      <c r="Q1193" s="1"/>
      <c r="R1193" s="1"/>
      <c r="S1193" s="1"/>
      <c r="T1193" s="1"/>
      <c r="U1193" s="1"/>
      <c r="V1193" s="1"/>
      <c r="W1193" s="1"/>
      <c r="X1193" s="1"/>
      <c r="Y1193" s="1"/>
      <c r="Z1193" s="1"/>
      <c r="AA1193" s="1"/>
      <c r="AB1193" s="1"/>
      <c r="AC1193" s="1"/>
      <c r="AD1193" s="1" t="s">
        <v>93</v>
      </c>
      <c r="AE1193" s="1" t="s">
        <v>93</v>
      </c>
      <c r="AF1193" s="1"/>
      <c r="AG1193" s="1"/>
      <c r="AH1193" s="1"/>
      <c r="AI1193" s="1"/>
      <c r="AJ1193" s="1"/>
      <c r="AK1193" s="1"/>
      <c r="AL1193" s="1"/>
      <c r="AM1193" s="1"/>
      <c r="AN1193" s="1"/>
      <c r="AO1193" s="1"/>
      <c r="AP1193" s="1"/>
      <c r="AQ1193" s="1"/>
      <c r="AR1193" s="1"/>
      <c r="AS1193" s="1"/>
      <c r="AT1193" s="1"/>
      <c r="AU1193" s="1"/>
      <c r="AV1193" s="1"/>
      <c r="AW1193" s="1"/>
      <c r="AX1193" s="1"/>
      <c r="AY1193" s="1"/>
      <c r="AZ1193" s="1"/>
      <c r="BA1193" s="1"/>
      <c r="BB1193" s="1"/>
      <c r="BC1193" s="1"/>
      <c r="BD1193" s="1"/>
      <c r="BE1193" s="1"/>
      <c r="BF1193" s="1"/>
      <c r="BG1193" s="1"/>
      <c r="BH1193" s="1"/>
      <c r="BI1193" s="1"/>
      <c r="BJ1193" s="1"/>
      <c r="BK1193" s="1"/>
      <c r="BL1193" s="1"/>
      <c r="BM1193" s="1"/>
      <c r="BN1193" s="1"/>
      <c r="BO1193" s="1"/>
      <c r="BP1193" s="1" t="s">
        <v>9609</v>
      </c>
      <c r="BQ1193" s="3"/>
      <c r="BR1193" s="3"/>
    </row>
    <row r="1194" spans="1:70">
      <c r="A1194" s="1" t="s">
        <v>70</v>
      </c>
      <c r="B1194" s="1" t="s">
        <v>13846</v>
      </c>
      <c r="C1194" s="1" t="s">
        <v>16056</v>
      </c>
      <c r="D1194" s="1"/>
      <c r="E1194" s="1"/>
      <c r="F1194" s="1"/>
      <c r="G1194" s="1"/>
      <c r="H1194" s="1" t="s">
        <v>16057</v>
      </c>
      <c r="I1194" s="1" t="s">
        <v>16057</v>
      </c>
      <c r="J1194" s="1"/>
      <c r="K1194" s="1"/>
      <c r="L1194" s="1"/>
      <c r="M1194" s="1"/>
      <c r="N1194" s="1"/>
      <c r="O1194" s="1"/>
      <c r="P1194" s="1"/>
      <c r="Q1194" s="1"/>
      <c r="R1194" s="1"/>
      <c r="S1194" s="1"/>
      <c r="T1194" s="1"/>
      <c r="U1194" s="1"/>
      <c r="V1194" s="1"/>
      <c r="W1194" s="1"/>
      <c r="X1194" s="1"/>
      <c r="Y1194" s="1"/>
      <c r="Z1194" s="1"/>
      <c r="AA1194" s="1"/>
      <c r="AB1194" s="1"/>
      <c r="AC1194" s="1"/>
      <c r="AD1194" s="1" t="s">
        <v>93</v>
      </c>
      <c r="AE1194" s="1" t="s">
        <v>93</v>
      </c>
      <c r="AF1194" s="1"/>
      <c r="AG1194" s="1"/>
      <c r="AH1194" s="1"/>
      <c r="AI1194" s="1"/>
      <c r="AJ1194" s="1"/>
      <c r="AK1194" s="1"/>
      <c r="AL1194" s="1"/>
      <c r="AM1194" s="1"/>
      <c r="AN1194" s="1"/>
      <c r="AO1194" s="1"/>
      <c r="AP1194" s="1"/>
      <c r="AQ1194" s="1"/>
      <c r="AR1194" s="1"/>
      <c r="AS1194" s="1"/>
      <c r="AT1194" s="1"/>
      <c r="AU1194" s="1"/>
      <c r="AV1194" s="1"/>
      <c r="AW1194" s="1"/>
      <c r="AX1194" s="1"/>
      <c r="AY1194" s="1"/>
      <c r="AZ1194" s="1"/>
      <c r="BA1194" s="1"/>
      <c r="BB1194" s="1"/>
      <c r="BC1194" s="1"/>
      <c r="BD1194" s="1"/>
      <c r="BE1194" s="1"/>
      <c r="BF1194" s="1"/>
      <c r="BG1194" s="1"/>
      <c r="BH1194" s="1"/>
      <c r="BI1194" s="1"/>
      <c r="BJ1194" s="1"/>
      <c r="BK1194" s="1"/>
      <c r="BL1194" s="1"/>
      <c r="BM1194" s="1"/>
      <c r="BN1194" s="1"/>
      <c r="BO1194" s="1"/>
      <c r="BP1194" s="1" t="s">
        <v>9609</v>
      </c>
      <c r="BQ1194" s="3"/>
      <c r="BR1194" s="3"/>
    </row>
    <row r="1195" spans="1:70">
      <c r="A1195" s="1" t="s">
        <v>70</v>
      </c>
      <c r="B1195" s="1" t="s">
        <v>13846</v>
      </c>
      <c r="C1195" s="1" t="s">
        <v>16058</v>
      </c>
      <c r="D1195" s="1"/>
      <c r="E1195" s="1"/>
      <c r="F1195" s="1"/>
      <c r="G1195" s="1"/>
      <c r="H1195" s="1" t="s">
        <v>16059</v>
      </c>
      <c r="I1195" s="1" t="s">
        <v>16059</v>
      </c>
      <c r="J1195" s="1"/>
      <c r="K1195" s="1"/>
      <c r="L1195" s="1"/>
      <c r="M1195" s="1"/>
      <c r="N1195" s="1"/>
      <c r="O1195" s="1"/>
      <c r="P1195" s="1"/>
      <c r="Q1195" s="1"/>
      <c r="R1195" s="1"/>
      <c r="S1195" s="1"/>
      <c r="T1195" s="1"/>
      <c r="U1195" s="1"/>
      <c r="V1195" s="1"/>
      <c r="W1195" s="1"/>
      <c r="X1195" s="1"/>
      <c r="Y1195" s="1"/>
      <c r="Z1195" s="1"/>
      <c r="AA1195" s="1"/>
      <c r="AB1195" s="1"/>
      <c r="AC1195" s="1"/>
      <c r="AD1195" s="1" t="s">
        <v>93</v>
      </c>
      <c r="AE1195" s="1" t="s">
        <v>93</v>
      </c>
      <c r="AF1195" s="1"/>
      <c r="AG1195" s="1"/>
      <c r="AH1195" s="1"/>
      <c r="AI1195" s="1"/>
      <c r="AJ1195" s="1"/>
      <c r="AK1195" s="1"/>
      <c r="AL1195" s="1"/>
      <c r="AM1195" s="1"/>
      <c r="AN1195" s="1"/>
      <c r="AO1195" s="1"/>
      <c r="AP1195" s="1"/>
      <c r="AQ1195" s="1"/>
      <c r="AR1195" s="1"/>
      <c r="AS1195" s="1"/>
      <c r="AT1195" s="1"/>
      <c r="AU1195" s="1"/>
      <c r="AV1195" s="1"/>
      <c r="AW1195" s="1"/>
      <c r="AX1195" s="1"/>
      <c r="AY1195" s="1"/>
      <c r="AZ1195" s="1"/>
      <c r="BA1195" s="1"/>
      <c r="BB1195" s="1"/>
      <c r="BC1195" s="1"/>
      <c r="BD1195" s="1"/>
      <c r="BE1195" s="1"/>
      <c r="BF1195" s="1"/>
      <c r="BG1195" s="1"/>
      <c r="BH1195" s="1"/>
      <c r="BI1195" s="1"/>
      <c r="BJ1195" s="1"/>
      <c r="BK1195" s="1"/>
      <c r="BL1195" s="1"/>
      <c r="BM1195" s="1"/>
      <c r="BN1195" s="1"/>
      <c r="BO1195" s="1"/>
      <c r="BP1195" s="1" t="s">
        <v>9609</v>
      </c>
      <c r="BQ1195" s="3"/>
      <c r="BR1195" s="3"/>
    </row>
    <row r="1196" spans="1:70">
      <c r="A1196" s="1" t="s">
        <v>70</v>
      </c>
      <c r="B1196" s="1" t="s">
        <v>13846</v>
      </c>
      <c r="C1196" s="1" t="s">
        <v>16060</v>
      </c>
      <c r="D1196" s="1"/>
      <c r="E1196" s="1"/>
      <c r="F1196" s="1"/>
      <c r="G1196" s="1"/>
      <c r="H1196" s="1" t="s">
        <v>16061</v>
      </c>
      <c r="I1196" s="1" t="s">
        <v>16061</v>
      </c>
      <c r="J1196" s="1"/>
      <c r="K1196" s="1"/>
      <c r="L1196" s="1"/>
      <c r="M1196" s="1"/>
      <c r="N1196" s="1"/>
      <c r="O1196" s="1"/>
      <c r="P1196" s="1"/>
      <c r="Q1196" s="1"/>
      <c r="R1196" s="1"/>
      <c r="S1196" s="1"/>
      <c r="T1196" s="1"/>
      <c r="U1196" s="1"/>
      <c r="V1196" s="1"/>
      <c r="W1196" s="1"/>
      <c r="X1196" s="1"/>
      <c r="Y1196" s="1"/>
      <c r="Z1196" s="1"/>
      <c r="AA1196" s="1"/>
      <c r="AB1196" s="1"/>
      <c r="AC1196" s="1"/>
      <c r="AD1196" s="1" t="s">
        <v>93</v>
      </c>
      <c r="AE1196" s="1" t="s">
        <v>93</v>
      </c>
      <c r="AF1196" s="1"/>
      <c r="AG1196" s="1"/>
      <c r="AH1196" s="1"/>
      <c r="AI1196" s="1"/>
      <c r="AJ1196" s="1"/>
      <c r="AK1196" s="1"/>
      <c r="AL1196" s="1"/>
      <c r="AM1196" s="1"/>
      <c r="AN1196" s="1"/>
      <c r="AO1196" s="1"/>
      <c r="AP1196" s="1"/>
      <c r="AQ1196" s="1"/>
      <c r="AR1196" s="1"/>
      <c r="AS1196" s="1"/>
      <c r="AT1196" s="1"/>
      <c r="AU1196" s="1"/>
      <c r="AV1196" s="1"/>
      <c r="AW1196" s="1"/>
      <c r="AX1196" s="1"/>
      <c r="AY1196" s="1"/>
      <c r="AZ1196" s="1"/>
      <c r="BA1196" s="1"/>
      <c r="BB1196" s="1"/>
      <c r="BC1196" s="1"/>
      <c r="BD1196" s="1"/>
      <c r="BE1196" s="1"/>
      <c r="BF1196" s="1"/>
      <c r="BG1196" s="1"/>
      <c r="BH1196" s="1"/>
      <c r="BI1196" s="1"/>
      <c r="BJ1196" s="1"/>
      <c r="BK1196" s="1"/>
      <c r="BL1196" s="1"/>
      <c r="BM1196" s="1"/>
      <c r="BN1196" s="1"/>
      <c r="BO1196" s="1"/>
      <c r="BP1196" s="1" t="s">
        <v>9609</v>
      </c>
      <c r="BQ1196" s="3"/>
      <c r="BR1196" s="3"/>
    </row>
    <row r="1197" spans="1:70">
      <c r="A1197" s="1" t="s">
        <v>70</v>
      </c>
      <c r="B1197" s="1" t="s">
        <v>13846</v>
      </c>
      <c r="C1197" s="1" t="s">
        <v>16062</v>
      </c>
      <c r="D1197" s="1"/>
      <c r="E1197" s="1"/>
      <c r="F1197" s="1"/>
      <c r="G1197" s="1"/>
      <c r="H1197" s="1" t="s">
        <v>16063</v>
      </c>
      <c r="I1197" s="1" t="s">
        <v>16063</v>
      </c>
      <c r="J1197" s="1"/>
      <c r="K1197" s="1"/>
      <c r="L1197" s="1"/>
      <c r="M1197" s="1"/>
      <c r="N1197" s="1"/>
      <c r="O1197" s="1"/>
      <c r="P1197" s="1"/>
      <c r="Q1197" s="1"/>
      <c r="R1197" s="1"/>
      <c r="S1197" s="1"/>
      <c r="T1197" s="1"/>
      <c r="U1197" s="1"/>
      <c r="V1197" s="1"/>
      <c r="W1197" s="1"/>
      <c r="X1197" s="1"/>
      <c r="Y1197" s="1"/>
      <c r="Z1197" s="1"/>
      <c r="AA1197" s="1"/>
      <c r="AB1197" s="1"/>
      <c r="AC1197" s="1"/>
      <c r="AD1197" s="1" t="s">
        <v>93</v>
      </c>
      <c r="AE1197" s="1" t="s">
        <v>93</v>
      </c>
      <c r="AF1197" s="1"/>
      <c r="AG1197" s="1"/>
      <c r="AH1197" s="1"/>
      <c r="AI1197" s="1"/>
      <c r="AJ1197" s="1"/>
      <c r="AK1197" s="1"/>
      <c r="AL1197" s="1"/>
      <c r="AM1197" s="1"/>
      <c r="AN1197" s="1"/>
      <c r="AO1197" s="1"/>
      <c r="AP1197" s="1"/>
      <c r="AQ1197" s="1"/>
      <c r="AR1197" s="1"/>
      <c r="AS1197" s="1"/>
      <c r="AT1197" s="1"/>
      <c r="AU1197" s="1"/>
      <c r="AV1197" s="1"/>
      <c r="AW1197" s="1"/>
      <c r="AX1197" s="1"/>
      <c r="AY1197" s="1"/>
      <c r="AZ1197" s="1"/>
      <c r="BA1197" s="1"/>
      <c r="BB1197" s="1"/>
      <c r="BC1197" s="1"/>
      <c r="BD1197" s="1"/>
      <c r="BE1197" s="1"/>
      <c r="BF1197" s="1"/>
      <c r="BG1197" s="1"/>
      <c r="BH1197" s="1"/>
      <c r="BI1197" s="1"/>
      <c r="BJ1197" s="1"/>
      <c r="BK1197" s="1"/>
      <c r="BL1197" s="1"/>
      <c r="BM1197" s="1"/>
      <c r="BN1197" s="1"/>
      <c r="BO1197" s="1"/>
      <c r="BP1197" s="1" t="s">
        <v>9609</v>
      </c>
      <c r="BQ1197" s="3"/>
      <c r="BR1197" s="3"/>
    </row>
    <row r="1198" spans="1:70">
      <c r="A1198" s="1" t="s">
        <v>70</v>
      </c>
      <c r="B1198" s="1" t="s">
        <v>13846</v>
      </c>
      <c r="C1198" s="1" t="s">
        <v>16064</v>
      </c>
      <c r="D1198" s="1"/>
      <c r="E1198" s="1"/>
      <c r="F1198" s="1"/>
      <c r="G1198" s="1"/>
      <c r="H1198" s="1" t="s">
        <v>16065</v>
      </c>
      <c r="I1198" s="1" t="s">
        <v>16065</v>
      </c>
      <c r="J1198" s="1"/>
      <c r="K1198" s="1"/>
      <c r="L1198" s="1"/>
      <c r="M1198" s="1"/>
      <c r="N1198" s="1"/>
      <c r="O1198" s="1"/>
      <c r="P1198" s="1"/>
      <c r="Q1198" s="1"/>
      <c r="R1198" s="1"/>
      <c r="S1198" s="1"/>
      <c r="T1198" s="1"/>
      <c r="U1198" s="1"/>
      <c r="V1198" s="1"/>
      <c r="W1198" s="1"/>
      <c r="X1198" s="1"/>
      <c r="Y1198" s="1"/>
      <c r="Z1198" s="1"/>
      <c r="AA1198" s="1"/>
      <c r="AB1198" s="1"/>
      <c r="AC1198" s="1"/>
      <c r="AD1198" s="1" t="s">
        <v>93</v>
      </c>
      <c r="AE1198" s="1" t="s">
        <v>93</v>
      </c>
      <c r="AF1198" s="1"/>
      <c r="AG1198" s="1"/>
      <c r="AH1198" s="1"/>
      <c r="AI1198" s="1"/>
      <c r="AJ1198" s="1"/>
      <c r="AK1198" s="1"/>
      <c r="AL1198" s="1"/>
      <c r="AM1198" s="1"/>
      <c r="AN1198" s="1"/>
      <c r="AO1198" s="1"/>
      <c r="AP1198" s="1"/>
      <c r="AQ1198" s="1"/>
      <c r="AR1198" s="1"/>
      <c r="AS1198" s="1"/>
      <c r="AT1198" s="1"/>
      <c r="AU1198" s="1"/>
      <c r="AV1198" s="1"/>
      <c r="AW1198" s="1"/>
      <c r="AX1198" s="1"/>
      <c r="AY1198" s="1"/>
      <c r="AZ1198" s="1"/>
      <c r="BA1198" s="1"/>
      <c r="BB1198" s="1"/>
      <c r="BC1198" s="1"/>
      <c r="BD1198" s="1"/>
      <c r="BE1198" s="1"/>
      <c r="BF1198" s="1"/>
      <c r="BG1198" s="1"/>
      <c r="BH1198" s="1"/>
      <c r="BI1198" s="1"/>
      <c r="BJ1198" s="1"/>
      <c r="BK1198" s="1"/>
      <c r="BL1198" s="1"/>
      <c r="BM1198" s="1"/>
      <c r="BN1198" s="1"/>
      <c r="BO1198" s="1"/>
      <c r="BP1198" s="1" t="s">
        <v>9609</v>
      </c>
      <c r="BQ1198" s="3"/>
      <c r="BR1198" s="3"/>
    </row>
    <row r="1199" spans="1:70">
      <c r="A1199" s="1" t="s">
        <v>70</v>
      </c>
      <c r="B1199" s="1" t="s">
        <v>13846</v>
      </c>
      <c r="C1199" s="1" t="s">
        <v>16066</v>
      </c>
      <c r="D1199" s="1"/>
      <c r="E1199" s="1"/>
      <c r="F1199" s="1"/>
      <c r="G1199" s="1"/>
      <c r="H1199" s="1" t="s">
        <v>16067</v>
      </c>
      <c r="I1199" s="1" t="s">
        <v>16067</v>
      </c>
      <c r="J1199" s="1"/>
      <c r="K1199" s="1"/>
      <c r="L1199" s="1"/>
      <c r="M1199" s="1"/>
      <c r="N1199" s="1"/>
      <c r="O1199" s="1"/>
      <c r="P1199" s="1"/>
      <c r="Q1199" s="1"/>
      <c r="R1199" s="1"/>
      <c r="S1199" s="1"/>
      <c r="T1199" s="1"/>
      <c r="U1199" s="1"/>
      <c r="V1199" s="1"/>
      <c r="W1199" s="1"/>
      <c r="X1199" s="1"/>
      <c r="Y1199" s="1"/>
      <c r="Z1199" s="1"/>
      <c r="AA1199" s="1"/>
      <c r="AB1199" s="1"/>
      <c r="AC1199" s="1"/>
      <c r="AD1199" s="1" t="s">
        <v>93</v>
      </c>
      <c r="AE1199" s="1" t="s">
        <v>93</v>
      </c>
      <c r="AF1199" s="1"/>
      <c r="AG1199" s="1"/>
      <c r="AH1199" s="1"/>
      <c r="AI1199" s="1"/>
      <c r="AJ1199" s="1"/>
      <c r="AK1199" s="1"/>
      <c r="AL1199" s="1"/>
      <c r="AM1199" s="1"/>
      <c r="AN1199" s="1"/>
      <c r="AO1199" s="1"/>
      <c r="AP1199" s="1"/>
      <c r="AQ1199" s="1"/>
      <c r="AR1199" s="1"/>
      <c r="AS1199" s="1"/>
      <c r="AT1199" s="1"/>
      <c r="AU1199" s="1"/>
      <c r="AV1199" s="1"/>
      <c r="AW1199" s="1"/>
      <c r="AX1199" s="1"/>
      <c r="AY1199" s="1"/>
      <c r="AZ1199" s="1"/>
      <c r="BA1199" s="1"/>
      <c r="BB1199" s="1"/>
      <c r="BC1199" s="1"/>
      <c r="BD1199" s="1"/>
      <c r="BE1199" s="1"/>
      <c r="BF1199" s="1"/>
      <c r="BG1199" s="1"/>
      <c r="BH1199" s="1"/>
      <c r="BI1199" s="1"/>
      <c r="BJ1199" s="1"/>
      <c r="BK1199" s="1"/>
      <c r="BL1199" s="1"/>
      <c r="BM1199" s="1"/>
      <c r="BN1199" s="1"/>
      <c r="BO1199" s="1"/>
      <c r="BP1199" s="1" t="s">
        <v>9609</v>
      </c>
      <c r="BQ1199" s="3"/>
      <c r="BR1199" s="3"/>
    </row>
    <row r="1200" spans="1:70">
      <c r="A1200" s="1" t="s">
        <v>70</v>
      </c>
      <c r="B1200" s="1" t="s">
        <v>13846</v>
      </c>
      <c r="C1200" s="1" t="s">
        <v>16068</v>
      </c>
      <c r="D1200" s="1"/>
      <c r="E1200" s="1"/>
      <c r="F1200" s="1"/>
      <c r="G1200" s="1"/>
      <c r="H1200" s="1" t="s">
        <v>16069</v>
      </c>
      <c r="I1200" s="1" t="s">
        <v>16069</v>
      </c>
      <c r="J1200" s="1"/>
      <c r="K1200" s="1"/>
      <c r="L1200" s="1"/>
      <c r="M1200" s="1"/>
      <c r="N1200" s="1"/>
      <c r="O1200" s="1"/>
      <c r="P1200" s="1"/>
      <c r="Q1200" s="1"/>
      <c r="R1200" s="1"/>
      <c r="S1200" s="1"/>
      <c r="T1200" s="1"/>
      <c r="U1200" s="1"/>
      <c r="V1200" s="1"/>
      <c r="W1200" s="1"/>
      <c r="X1200" s="1"/>
      <c r="Y1200" s="1"/>
      <c r="Z1200" s="1"/>
      <c r="AA1200" s="1"/>
      <c r="AB1200" s="1"/>
      <c r="AC1200" s="1"/>
      <c r="AD1200" s="1" t="s">
        <v>93</v>
      </c>
      <c r="AE1200" s="1" t="s">
        <v>93</v>
      </c>
      <c r="AF1200" s="1"/>
      <c r="AG1200" s="1"/>
      <c r="AH1200" s="1"/>
      <c r="AI1200" s="1"/>
      <c r="AJ1200" s="1"/>
      <c r="AK1200" s="1"/>
      <c r="AL1200" s="1"/>
      <c r="AM1200" s="1"/>
      <c r="AN1200" s="1"/>
      <c r="AO1200" s="1"/>
      <c r="AP1200" s="1"/>
      <c r="AQ1200" s="1"/>
      <c r="AR1200" s="1"/>
      <c r="AS1200" s="1"/>
      <c r="AT1200" s="1"/>
      <c r="AU1200" s="1"/>
      <c r="AV1200" s="1"/>
      <c r="AW1200" s="1"/>
      <c r="AX1200" s="1"/>
      <c r="AY1200" s="1"/>
      <c r="AZ1200" s="1"/>
      <c r="BA1200" s="1"/>
      <c r="BB1200" s="1"/>
      <c r="BC1200" s="1"/>
      <c r="BD1200" s="1"/>
      <c r="BE1200" s="1"/>
      <c r="BF1200" s="1"/>
      <c r="BG1200" s="1"/>
      <c r="BH1200" s="1"/>
      <c r="BI1200" s="1"/>
      <c r="BJ1200" s="1"/>
      <c r="BK1200" s="1"/>
      <c r="BL1200" s="1"/>
      <c r="BM1200" s="1"/>
      <c r="BN1200" s="1"/>
      <c r="BO1200" s="1"/>
      <c r="BP1200" s="1" t="s">
        <v>9609</v>
      </c>
      <c r="BQ1200" s="3"/>
      <c r="BR1200" s="3"/>
    </row>
    <row r="1201" spans="1:70">
      <c r="A1201" s="1" t="s">
        <v>70</v>
      </c>
      <c r="B1201" s="1" t="s">
        <v>13846</v>
      </c>
      <c r="C1201" s="1" t="s">
        <v>16070</v>
      </c>
      <c r="D1201" s="1"/>
      <c r="E1201" s="1"/>
      <c r="F1201" s="1"/>
      <c r="G1201" s="1"/>
      <c r="H1201" s="1" t="s">
        <v>16071</v>
      </c>
      <c r="I1201" s="1" t="s">
        <v>16071</v>
      </c>
      <c r="J1201" s="1"/>
      <c r="K1201" s="1"/>
      <c r="L1201" s="1"/>
      <c r="M1201" s="1"/>
      <c r="N1201" s="1"/>
      <c r="O1201" s="1"/>
      <c r="P1201" s="1"/>
      <c r="Q1201" s="1"/>
      <c r="R1201" s="1"/>
      <c r="S1201" s="1"/>
      <c r="T1201" s="1"/>
      <c r="U1201" s="1"/>
      <c r="V1201" s="1"/>
      <c r="W1201" s="1"/>
      <c r="X1201" s="1"/>
      <c r="Y1201" s="1"/>
      <c r="Z1201" s="1"/>
      <c r="AA1201" s="1"/>
      <c r="AB1201" s="1"/>
      <c r="AC1201" s="1"/>
      <c r="AD1201" s="1" t="s">
        <v>93</v>
      </c>
      <c r="AE1201" s="1" t="s">
        <v>93</v>
      </c>
      <c r="AF1201" s="1"/>
      <c r="AG1201" s="1"/>
      <c r="AH1201" s="1"/>
      <c r="AI1201" s="1"/>
      <c r="AJ1201" s="1"/>
      <c r="AK1201" s="1"/>
      <c r="AL1201" s="1"/>
      <c r="AM1201" s="1"/>
      <c r="AN1201" s="1"/>
      <c r="AO1201" s="1"/>
      <c r="AP1201" s="1"/>
      <c r="AQ1201" s="1"/>
      <c r="AR1201" s="1"/>
      <c r="AS1201" s="1"/>
      <c r="AT1201" s="1"/>
      <c r="AU1201" s="1"/>
      <c r="AV1201" s="1"/>
      <c r="AW1201" s="1"/>
      <c r="AX1201" s="1"/>
      <c r="AY1201" s="1"/>
      <c r="AZ1201" s="1"/>
      <c r="BA1201" s="1"/>
      <c r="BB1201" s="1"/>
      <c r="BC1201" s="1"/>
      <c r="BD1201" s="1"/>
      <c r="BE1201" s="1"/>
      <c r="BF1201" s="1"/>
      <c r="BG1201" s="1"/>
      <c r="BH1201" s="1"/>
      <c r="BI1201" s="1"/>
      <c r="BJ1201" s="1"/>
      <c r="BK1201" s="1"/>
      <c r="BL1201" s="1"/>
      <c r="BM1201" s="1"/>
      <c r="BN1201" s="1"/>
      <c r="BO1201" s="1"/>
      <c r="BP1201" s="1" t="s">
        <v>9609</v>
      </c>
      <c r="BQ1201" s="3"/>
      <c r="BR1201" s="3"/>
    </row>
    <row r="1202" spans="1:70">
      <c r="A1202" s="1" t="s">
        <v>70</v>
      </c>
      <c r="B1202" s="1" t="s">
        <v>13846</v>
      </c>
      <c r="C1202" s="1" t="s">
        <v>16072</v>
      </c>
      <c r="D1202" s="1"/>
      <c r="E1202" s="1"/>
      <c r="F1202" s="1"/>
      <c r="G1202" s="1"/>
      <c r="H1202" s="1" t="s">
        <v>16073</v>
      </c>
      <c r="I1202" s="1" t="s">
        <v>16073</v>
      </c>
      <c r="J1202" s="1"/>
      <c r="K1202" s="1"/>
      <c r="L1202" s="1"/>
      <c r="M1202" s="1"/>
      <c r="N1202" s="1"/>
      <c r="O1202" s="1"/>
      <c r="P1202" s="1"/>
      <c r="Q1202" s="1"/>
      <c r="R1202" s="1"/>
      <c r="S1202" s="1"/>
      <c r="T1202" s="1"/>
      <c r="U1202" s="1"/>
      <c r="V1202" s="1"/>
      <c r="W1202" s="1"/>
      <c r="X1202" s="1"/>
      <c r="Y1202" s="1"/>
      <c r="Z1202" s="1"/>
      <c r="AA1202" s="1"/>
      <c r="AB1202" s="1"/>
      <c r="AC1202" s="1"/>
      <c r="AD1202" s="1" t="s">
        <v>93</v>
      </c>
      <c r="AE1202" s="1" t="s">
        <v>93</v>
      </c>
      <c r="AF1202" s="1"/>
      <c r="AG1202" s="1"/>
      <c r="AH1202" s="1"/>
      <c r="AI1202" s="1"/>
      <c r="AJ1202" s="1"/>
      <c r="AK1202" s="1"/>
      <c r="AL1202" s="1"/>
      <c r="AM1202" s="1"/>
      <c r="AN1202" s="1"/>
      <c r="AO1202" s="1"/>
      <c r="AP1202" s="1"/>
      <c r="AQ1202" s="1"/>
      <c r="AR1202" s="1"/>
      <c r="AS1202" s="1"/>
      <c r="AT1202" s="1"/>
      <c r="AU1202" s="1"/>
      <c r="AV1202" s="1"/>
      <c r="AW1202" s="1"/>
      <c r="AX1202" s="1"/>
      <c r="AY1202" s="1"/>
      <c r="AZ1202" s="1"/>
      <c r="BA1202" s="1"/>
      <c r="BB1202" s="1"/>
      <c r="BC1202" s="1"/>
      <c r="BD1202" s="1"/>
      <c r="BE1202" s="1"/>
      <c r="BF1202" s="1"/>
      <c r="BG1202" s="1"/>
      <c r="BH1202" s="1"/>
      <c r="BI1202" s="1"/>
      <c r="BJ1202" s="1"/>
      <c r="BK1202" s="1"/>
      <c r="BL1202" s="1"/>
      <c r="BM1202" s="1"/>
      <c r="BN1202" s="1"/>
      <c r="BO1202" s="1"/>
      <c r="BP1202" s="1" t="s">
        <v>9609</v>
      </c>
      <c r="BQ1202" s="3"/>
      <c r="BR1202" s="3"/>
    </row>
    <row r="1203" spans="1:70">
      <c r="A1203" s="1" t="s">
        <v>70</v>
      </c>
      <c r="B1203" s="1" t="s">
        <v>13846</v>
      </c>
      <c r="C1203" s="1" t="s">
        <v>16074</v>
      </c>
      <c r="D1203" s="1"/>
      <c r="E1203" s="1"/>
      <c r="F1203" s="1"/>
      <c r="G1203" s="1"/>
      <c r="H1203" s="1" t="s">
        <v>16075</v>
      </c>
      <c r="I1203" s="1" t="s">
        <v>16075</v>
      </c>
      <c r="J1203" s="1"/>
      <c r="K1203" s="1"/>
      <c r="L1203" s="1"/>
      <c r="M1203" s="1"/>
      <c r="N1203" s="1"/>
      <c r="O1203" s="1"/>
      <c r="P1203" s="1"/>
      <c r="Q1203" s="1"/>
      <c r="R1203" s="1"/>
      <c r="S1203" s="1"/>
      <c r="T1203" s="1"/>
      <c r="U1203" s="1"/>
      <c r="V1203" s="1"/>
      <c r="W1203" s="1"/>
      <c r="X1203" s="1"/>
      <c r="Y1203" s="1"/>
      <c r="Z1203" s="1"/>
      <c r="AA1203" s="1"/>
      <c r="AB1203" s="1"/>
      <c r="AC1203" s="1"/>
      <c r="AD1203" s="1" t="s">
        <v>93</v>
      </c>
      <c r="AE1203" s="1" t="s">
        <v>93</v>
      </c>
      <c r="AF1203" s="1"/>
      <c r="AG1203" s="1"/>
      <c r="AH1203" s="1"/>
      <c r="AI1203" s="1"/>
      <c r="AJ1203" s="1"/>
      <c r="AK1203" s="1"/>
      <c r="AL1203" s="1"/>
      <c r="AM1203" s="1"/>
      <c r="AN1203" s="1"/>
      <c r="AO1203" s="1"/>
      <c r="AP1203" s="1"/>
      <c r="AQ1203" s="1"/>
      <c r="AR1203" s="1"/>
      <c r="AS1203" s="1"/>
      <c r="AT1203" s="1"/>
      <c r="AU1203" s="1"/>
      <c r="AV1203" s="1"/>
      <c r="AW1203" s="1"/>
      <c r="AX1203" s="1"/>
      <c r="AY1203" s="1"/>
      <c r="AZ1203" s="1"/>
      <c r="BA1203" s="1"/>
      <c r="BB1203" s="1"/>
      <c r="BC1203" s="1"/>
      <c r="BD1203" s="1"/>
      <c r="BE1203" s="1"/>
      <c r="BF1203" s="1"/>
      <c r="BG1203" s="1"/>
      <c r="BH1203" s="1"/>
      <c r="BI1203" s="1"/>
      <c r="BJ1203" s="1"/>
      <c r="BK1203" s="1"/>
      <c r="BL1203" s="1"/>
      <c r="BM1203" s="1"/>
      <c r="BN1203" s="1"/>
      <c r="BO1203" s="1"/>
      <c r="BP1203" s="1" t="s">
        <v>9609</v>
      </c>
      <c r="BQ1203" s="3"/>
      <c r="BR1203" s="3"/>
    </row>
    <row r="1204" spans="1:70">
      <c r="A1204" s="1" t="s">
        <v>70</v>
      </c>
      <c r="B1204" s="1" t="s">
        <v>13846</v>
      </c>
      <c r="C1204" s="1" t="s">
        <v>16076</v>
      </c>
      <c r="D1204" s="1"/>
      <c r="E1204" s="1"/>
      <c r="F1204" s="1"/>
      <c r="G1204" s="1"/>
      <c r="H1204" s="1" t="s">
        <v>16077</v>
      </c>
      <c r="I1204" s="1" t="s">
        <v>16077</v>
      </c>
      <c r="J1204" s="1"/>
      <c r="K1204" s="1"/>
      <c r="L1204" s="1"/>
      <c r="M1204" s="1"/>
      <c r="N1204" s="1"/>
      <c r="O1204" s="1"/>
      <c r="P1204" s="1"/>
      <c r="Q1204" s="1"/>
      <c r="R1204" s="1"/>
      <c r="S1204" s="1"/>
      <c r="T1204" s="1"/>
      <c r="U1204" s="1"/>
      <c r="V1204" s="1"/>
      <c r="W1204" s="1"/>
      <c r="X1204" s="1"/>
      <c r="Y1204" s="1"/>
      <c r="Z1204" s="1"/>
      <c r="AA1204" s="1"/>
      <c r="AB1204" s="1"/>
      <c r="AC1204" s="1"/>
      <c r="AD1204" s="1" t="s">
        <v>93</v>
      </c>
      <c r="AE1204" s="1" t="s">
        <v>93</v>
      </c>
      <c r="AF1204" s="1"/>
      <c r="AG1204" s="1"/>
      <c r="AH1204" s="1"/>
      <c r="AI1204" s="1"/>
      <c r="AJ1204" s="1"/>
      <c r="AK1204" s="1"/>
      <c r="AL1204" s="1"/>
      <c r="AM1204" s="1"/>
      <c r="AN1204" s="1"/>
      <c r="AO1204" s="1"/>
      <c r="AP1204" s="1"/>
      <c r="AQ1204" s="1"/>
      <c r="AR1204" s="1"/>
      <c r="AS1204" s="1"/>
      <c r="AT1204" s="1"/>
      <c r="AU1204" s="1"/>
      <c r="AV1204" s="1"/>
      <c r="AW1204" s="1"/>
      <c r="AX1204" s="1"/>
      <c r="AY1204" s="1"/>
      <c r="AZ1204" s="1"/>
      <c r="BA1204" s="1"/>
      <c r="BB1204" s="1"/>
      <c r="BC1204" s="1"/>
      <c r="BD1204" s="1"/>
      <c r="BE1204" s="1"/>
      <c r="BF1204" s="1"/>
      <c r="BG1204" s="1"/>
      <c r="BH1204" s="1"/>
      <c r="BI1204" s="1"/>
      <c r="BJ1204" s="1"/>
      <c r="BK1204" s="1"/>
      <c r="BL1204" s="1"/>
      <c r="BM1204" s="1"/>
      <c r="BN1204" s="1"/>
      <c r="BO1204" s="1"/>
      <c r="BP1204" s="1" t="s">
        <v>9609</v>
      </c>
      <c r="BQ1204" s="3"/>
      <c r="BR1204" s="3"/>
    </row>
    <row r="1205" spans="1:70">
      <c r="A1205" s="1" t="s">
        <v>70</v>
      </c>
      <c r="B1205" s="1" t="s">
        <v>13846</v>
      </c>
      <c r="C1205" s="1" t="s">
        <v>16078</v>
      </c>
      <c r="D1205" s="1"/>
      <c r="E1205" s="1"/>
      <c r="F1205" s="1"/>
      <c r="G1205" s="1"/>
      <c r="H1205" s="1" t="s">
        <v>16079</v>
      </c>
      <c r="I1205" s="1" t="s">
        <v>16079</v>
      </c>
      <c r="J1205" s="1"/>
      <c r="K1205" s="1"/>
      <c r="L1205" s="1"/>
      <c r="M1205" s="1"/>
      <c r="N1205" s="1"/>
      <c r="O1205" s="1"/>
      <c r="P1205" s="1"/>
      <c r="Q1205" s="1"/>
      <c r="R1205" s="1"/>
      <c r="S1205" s="1"/>
      <c r="T1205" s="1"/>
      <c r="U1205" s="1"/>
      <c r="V1205" s="1"/>
      <c r="W1205" s="1"/>
      <c r="X1205" s="1"/>
      <c r="Y1205" s="1"/>
      <c r="Z1205" s="1"/>
      <c r="AA1205" s="1"/>
      <c r="AB1205" s="1"/>
      <c r="AC1205" s="1"/>
      <c r="AD1205" s="1" t="s">
        <v>93</v>
      </c>
      <c r="AE1205" s="1" t="s">
        <v>93</v>
      </c>
      <c r="AF1205" s="1"/>
      <c r="AG1205" s="1"/>
      <c r="AH1205" s="1"/>
      <c r="AI1205" s="1"/>
      <c r="AJ1205" s="1"/>
      <c r="AK1205" s="1"/>
      <c r="AL1205" s="1"/>
      <c r="AM1205" s="1"/>
      <c r="AN1205" s="1"/>
      <c r="AO1205" s="1"/>
      <c r="AP1205" s="1"/>
      <c r="AQ1205" s="1"/>
      <c r="AR1205" s="1"/>
      <c r="AS1205" s="1"/>
      <c r="AT1205" s="1"/>
      <c r="AU1205" s="1"/>
      <c r="AV1205" s="1"/>
      <c r="AW1205" s="1"/>
      <c r="AX1205" s="1"/>
      <c r="AY1205" s="1"/>
      <c r="AZ1205" s="1"/>
      <c r="BA1205" s="1"/>
      <c r="BB1205" s="1"/>
      <c r="BC1205" s="1"/>
      <c r="BD1205" s="1"/>
      <c r="BE1205" s="1"/>
      <c r="BF1205" s="1"/>
      <c r="BG1205" s="1"/>
      <c r="BH1205" s="1"/>
      <c r="BI1205" s="1"/>
      <c r="BJ1205" s="1"/>
      <c r="BK1205" s="1"/>
      <c r="BL1205" s="1"/>
      <c r="BM1205" s="1"/>
      <c r="BN1205" s="1"/>
      <c r="BO1205" s="1"/>
      <c r="BP1205" s="1" t="s">
        <v>9609</v>
      </c>
      <c r="BQ1205" s="3"/>
      <c r="BR1205" s="3"/>
    </row>
    <row r="1206" spans="1:70">
      <c r="A1206" s="1" t="s">
        <v>70</v>
      </c>
      <c r="B1206" s="1" t="s">
        <v>13846</v>
      </c>
      <c r="C1206" s="1" t="s">
        <v>16080</v>
      </c>
      <c r="D1206" s="1"/>
      <c r="E1206" s="1"/>
      <c r="F1206" s="1"/>
      <c r="G1206" s="1"/>
      <c r="H1206" s="1" t="s">
        <v>16081</v>
      </c>
      <c r="I1206" s="1" t="s">
        <v>16081</v>
      </c>
      <c r="J1206" s="1"/>
      <c r="K1206" s="1"/>
      <c r="L1206" s="1"/>
      <c r="M1206" s="1"/>
      <c r="N1206" s="1"/>
      <c r="O1206" s="1"/>
      <c r="P1206" s="1"/>
      <c r="Q1206" s="1"/>
      <c r="R1206" s="1"/>
      <c r="S1206" s="1"/>
      <c r="T1206" s="1"/>
      <c r="U1206" s="1"/>
      <c r="V1206" s="1"/>
      <c r="W1206" s="1"/>
      <c r="X1206" s="1"/>
      <c r="Y1206" s="1"/>
      <c r="Z1206" s="1"/>
      <c r="AA1206" s="1"/>
      <c r="AB1206" s="1"/>
      <c r="AC1206" s="1"/>
      <c r="AD1206" s="1" t="s">
        <v>93</v>
      </c>
      <c r="AE1206" s="1" t="s">
        <v>93</v>
      </c>
      <c r="AF1206" s="1"/>
      <c r="AG1206" s="1"/>
      <c r="AH1206" s="1"/>
      <c r="AI1206" s="1"/>
      <c r="AJ1206" s="1"/>
      <c r="AK1206" s="1"/>
      <c r="AL1206" s="1"/>
      <c r="AM1206" s="1"/>
      <c r="AN1206" s="1"/>
      <c r="AO1206" s="1"/>
      <c r="AP1206" s="1"/>
      <c r="AQ1206" s="1"/>
      <c r="AR1206" s="1"/>
      <c r="AS1206" s="1"/>
      <c r="AT1206" s="1"/>
      <c r="AU1206" s="1"/>
      <c r="AV1206" s="1"/>
      <c r="AW1206" s="1"/>
      <c r="AX1206" s="1"/>
      <c r="AY1206" s="1"/>
      <c r="AZ1206" s="1"/>
      <c r="BA1206" s="1"/>
      <c r="BB1206" s="1"/>
      <c r="BC1206" s="1"/>
      <c r="BD1206" s="1"/>
      <c r="BE1206" s="1"/>
      <c r="BF1206" s="1"/>
      <c r="BG1206" s="1"/>
      <c r="BH1206" s="1"/>
      <c r="BI1206" s="1"/>
      <c r="BJ1206" s="1"/>
      <c r="BK1206" s="1"/>
      <c r="BL1206" s="1"/>
      <c r="BM1206" s="1"/>
      <c r="BN1206" s="1"/>
      <c r="BO1206" s="1"/>
      <c r="BP1206" s="1" t="s">
        <v>9609</v>
      </c>
      <c r="BQ1206" s="3"/>
      <c r="BR1206" s="3"/>
    </row>
    <row r="1207" spans="1:70">
      <c r="A1207" s="1" t="s">
        <v>70</v>
      </c>
      <c r="B1207" s="1" t="s">
        <v>13846</v>
      </c>
      <c r="C1207" s="1" t="s">
        <v>16082</v>
      </c>
      <c r="D1207" s="1"/>
      <c r="E1207" s="1"/>
      <c r="F1207" s="1"/>
      <c r="G1207" s="1"/>
      <c r="H1207" s="1" t="s">
        <v>16083</v>
      </c>
      <c r="I1207" s="1" t="s">
        <v>16083</v>
      </c>
      <c r="J1207" s="1"/>
      <c r="K1207" s="1"/>
      <c r="L1207" s="1"/>
      <c r="M1207" s="1"/>
      <c r="N1207" s="1"/>
      <c r="O1207" s="1"/>
      <c r="P1207" s="1"/>
      <c r="Q1207" s="1"/>
      <c r="R1207" s="1"/>
      <c r="S1207" s="1"/>
      <c r="T1207" s="1"/>
      <c r="U1207" s="1"/>
      <c r="V1207" s="1"/>
      <c r="W1207" s="1"/>
      <c r="X1207" s="1"/>
      <c r="Y1207" s="1"/>
      <c r="Z1207" s="1"/>
      <c r="AA1207" s="1"/>
      <c r="AB1207" s="1"/>
      <c r="AC1207" s="1"/>
      <c r="AD1207" s="1" t="s">
        <v>93</v>
      </c>
      <c r="AE1207" s="1" t="s">
        <v>93</v>
      </c>
      <c r="AF1207" s="1"/>
      <c r="AG1207" s="1"/>
      <c r="AH1207" s="1"/>
      <c r="AI1207" s="1"/>
      <c r="AJ1207" s="1"/>
      <c r="AK1207" s="1"/>
      <c r="AL1207" s="1"/>
      <c r="AM1207" s="1"/>
      <c r="AN1207" s="1"/>
      <c r="AO1207" s="1"/>
      <c r="AP1207" s="1"/>
      <c r="AQ1207" s="1"/>
      <c r="AR1207" s="1"/>
      <c r="AS1207" s="1"/>
      <c r="AT1207" s="1"/>
      <c r="AU1207" s="1"/>
      <c r="AV1207" s="1"/>
      <c r="AW1207" s="1"/>
      <c r="AX1207" s="1"/>
      <c r="AY1207" s="1"/>
      <c r="AZ1207" s="1"/>
      <c r="BA1207" s="1"/>
      <c r="BB1207" s="1"/>
      <c r="BC1207" s="1"/>
      <c r="BD1207" s="1"/>
      <c r="BE1207" s="1"/>
      <c r="BF1207" s="1"/>
      <c r="BG1207" s="1"/>
      <c r="BH1207" s="1"/>
      <c r="BI1207" s="1"/>
      <c r="BJ1207" s="1"/>
      <c r="BK1207" s="1"/>
      <c r="BL1207" s="1"/>
      <c r="BM1207" s="1"/>
      <c r="BN1207" s="1"/>
      <c r="BO1207" s="1"/>
      <c r="BP1207" s="1" t="s">
        <v>9609</v>
      </c>
      <c r="BQ1207" s="3"/>
      <c r="BR1207" s="3"/>
    </row>
    <row r="1208" spans="1:70">
      <c r="A1208" s="1" t="s">
        <v>70</v>
      </c>
      <c r="B1208" s="1" t="s">
        <v>13846</v>
      </c>
      <c r="C1208" s="1" t="s">
        <v>16084</v>
      </c>
      <c r="D1208" s="1"/>
      <c r="E1208" s="1"/>
      <c r="F1208" s="1"/>
      <c r="G1208" s="1"/>
      <c r="H1208" s="1" t="s">
        <v>16085</v>
      </c>
      <c r="I1208" s="1" t="s">
        <v>16085</v>
      </c>
      <c r="J1208" s="1"/>
      <c r="K1208" s="1"/>
      <c r="L1208" s="1"/>
      <c r="M1208" s="1"/>
      <c r="N1208" s="1"/>
      <c r="O1208" s="1"/>
      <c r="P1208" s="1"/>
      <c r="Q1208" s="1"/>
      <c r="R1208" s="1"/>
      <c r="S1208" s="1"/>
      <c r="T1208" s="1"/>
      <c r="U1208" s="1"/>
      <c r="V1208" s="1"/>
      <c r="W1208" s="1"/>
      <c r="X1208" s="1"/>
      <c r="Y1208" s="1"/>
      <c r="Z1208" s="1"/>
      <c r="AA1208" s="1"/>
      <c r="AB1208" s="1"/>
      <c r="AC1208" s="1"/>
      <c r="AD1208" s="1" t="s">
        <v>93</v>
      </c>
      <c r="AE1208" s="1" t="s">
        <v>93</v>
      </c>
      <c r="AF1208" s="1"/>
      <c r="AG1208" s="1"/>
      <c r="AH1208" s="1"/>
      <c r="AI1208" s="1"/>
      <c r="AJ1208" s="1"/>
      <c r="AK1208" s="1"/>
      <c r="AL1208" s="1"/>
      <c r="AM1208" s="1"/>
      <c r="AN1208" s="1"/>
      <c r="AO1208" s="1"/>
      <c r="AP1208" s="1"/>
      <c r="AQ1208" s="1"/>
      <c r="AR1208" s="1"/>
      <c r="AS1208" s="1"/>
      <c r="AT1208" s="1"/>
      <c r="AU1208" s="1"/>
      <c r="AV1208" s="1"/>
      <c r="AW1208" s="1"/>
      <c r="AX1208" s="1"/>
      <c r="AY1208" s="1"/>
      <c r="AZ1208" s="1"/>
      <c r="BA1208" s="1"/>
      <c r="BB1208" s="1"/>
      <c r="BC1208" s="1"/>
      <c r="BD1208" s="1"/>
      <c r="BE1208" s="1"/>
      <c r="BF1208" s="1"/>
      <c r="BG1208" s="1"/>
      <c r="BH1208" s="1"/>
      <c r="BI1208" s="1"/>
      <c r="BJ1208" s="1"/>
      <c r="BK1208" s="1"/>
      <c r="BL1208" s="1"/>
      <c r="BM1208" s="1"/>
      <c r="BN1208" s="1"/>
      <c r="BO1208" s="1"/>
      <c r="BP1208" s="1" t="s">
        <v>9609</v>
      </c>
      <c r="BQ1208" s="3"/>
      <c r="BR1208" s="3"/>
    </row>
    <row r="1209" spans="1:70">
      <c r="A1209" s="1" t="s">
        <v>70</v>
      </c>
      <c r="B1209" s="1" t="s">
        <v>13846</v>
      </c>
      <c r="C1209" s="1" t="s">
        <v>16086</v>
      </c>
      <c r="D1209" s="1"/>
      <c r="E1209" s="1"/>
      <c r="F1209" s="1"/>
      <c r="G1209" s="1"/>
      <c r="H1209" s="1" t="s">
        <v>16087</v>
      </c>
      <c r="I1209" s="1" t="s">
        <v>16087</v>
      </c>
      <c r="J1209" s="1"/>
      <c r="K1209" s="1"/>
      <c r="L1209" s="1"/>
      <c r="M1209" s="1"/>
      <c r="N1209" s="1"/>
      <c r="O1209" s="1"/>
      <c r="P1209" s="1"/>
      <c r="Q1209" s="1"/>
      <c r="R1209" s="1"/>
      <c r="S1209" s="1"/>
      <c r="T1209" s="1"/>
      <c r="U1209" s="1"/>
      <c r="V1209" s="1"/>
      <c r="W1209" s="1"/>
      <c r="X1209" s="1"/>
      <c r="Y1209" s="1"/>
      <c r="Z1209" s="1"/>
      <c r="AA1209" s="1"/>
      <c r="AB1209" s="1"/>
      <c r="AC1209" s="1"/>
      <c r="AD1209" s="1" t="s">
        <v>93</v>
      </c>
      <c r="AE1209" s="1" t="s">
        <v>93</v>
      </c>
      <c r="AF1209" s="1"/>
      <c r="AG1209" s="1"/>
      <c r="AH1209" s="1"/>
      <c r="AI1209" s="1"/>
      <c r="AJ1209" s="1"/>
      <c r="AK1209" s="1"/>
      <c r="AL1209" s="1"/>
      <c r="AM1209" s="1"/>
      <c r="AN1209" s="1"/>
      <c r="AO1209" s="1"/>
      <c r="AP1209" s="1"/>
      <c r="AQ1209" s="1"/>
      <c r="AR1209" s="1"/>
      <c r="AS1209" s="1"/>
      <c r="AT1209" s="1"/>
      <c r="AU1209" s="1"/>
      <c r="AV1209" s="1"/>
      <c r="AW1209" s="1"/>
      <c r="AX1209" s="1"/>
      <c r="AY1209" s="1"/>
      <c r="AZ1209" s="1"/>
      <c r="BA1209" s="1"/>
      <c r="BB1209" s="1"/>
      <c r="BC1209" s="1"/>
      <c r="BD1209" s="1"/>
      <c r="BE1209" s="1"/>
      <c r="BF1209" s="1"/>
      <c r="BG1209" s="1"/>
      <c r="BH1209" s="1"/>
      <c r="BI1209" s="1"/>
      <c r="BJ1209" s="1"/>
      <c r="BK1209" s="1"/>
      <c r="BL1209" s="1"/>
      <c r="BM1209" s="1"/>
      <c r="BN1209" s="1"/>
      <c r="BO1209" s="1"/>
      <c r="BP1209" s="1" t="s">
        <v>9609</v>
      </c>
      <c r="BQ1209" s="3"/>
      <c r="BR1209" s="3"/>
    </row>
    <row r="1210" spans="1:70">
      <c r="A1210" s="1" t="s">
        <v>70</v>
      </c>
      <c r="B1210" s="1" t="s">
        <v>13846</v>
      </c>
      <c r="C1210" s="1" t="s">
        <v>16088</v>
      </c>
      <c r="D1210" s="1"/>
      <c r="E1210" s="1"/>
      <c r="F1210" s="1"/>
      <c r="G1210" s="1"/>
      <c r="H1210" s="1" t="s">
        <v>16089</v>
      </c>
      <c r="I1210" s="1" t="s">
        <v>16089</v>
      </c>
      <c r="J1210" s="1"/>
      <c r="K1210" s="1"/>
      <c r="L1210" s="1"/>
      <c r="M1210" s="1"/>
      <c r="N1210" s="1"/>
      <c r="O1210" s="1"/>
      <c r="P1210" s="1"/>
      <c r="Q1210" s="1"/>
      <c r="R1210" s="1"/>
      <c r="S1210" s="1"/>
      <c r="T1210" s="1"/>
      <c r="U1210" s="1"/>
      <c r="V1210" s="1"/>
      <c r="W1210" s="1"/>
      <c r="X1210" s="1"/>
      <c r="Y1210" s="1"/>
      <c r="Z1210" s="1"/>
      <c r="AA1210" s="1"/>
      <c r="AB1210" s="1"/>
      <c r="AC1210" s="1"/>
      <c r="AD1210" s="1" t="s">
        <v>93</v>
      </c>
      <c r="AE1210" s="1" t="s">
        <v>93</v>
      </c>
      <c r="AF1210" s="1"/>
      <c r="AG1210" s="1"/>
      <c r="AH1210" s="1"/>
      <c r="AI1210" s="1"/>
      <c r="AJ1210" s="1"/>
      <c r="AK1210" s="1"/>
      <c r="AL1210" s="1"/>
      <c r="AM1210" s="1"/>
      <c r="AN1210" s="1"/>
      <c r="AO1210" s="1"/>
      <c r="AP1210" s="1"/>
      <c r="AQ1210" s="1"/>
      <c r="AR1210" s="1"/>
      <c r="AS1210" s="1"/>
      <c r="AT1210" s="1"/>
      <c r="AU1210" s="1"/>
      <c r="AV1210" s="1"/>
      <c r="AW1210" s="1"/>
      <c r="AX1210" s="1"/>
      <c r="AY1210" s="1"/>
      <c r="AZ1210" s="1"/>
      <c r="BA1210" s="1"/>
      <c r="BB1210" s="1"/>
      <c r="BC1210" s="1"/>
      <c r="BD1210" s="1"/>
      <c r="BE1210" s="1"/>
      <c r="BF1210" s="1"/>
      <c r="BG1210" s="1"/>
      <c r="BH1210" s="1"/>
      <c r="BI1210" s="1"/>
      <c r="BJ1210" s="1"/>
      <c r="BK1210" s="1"/>
      <c r="BL1210" s="1"/>
      <c r="BM1210" s="1"/>
      <c r="BN1210" s="1"/>
      <c r="BO1210" s="1"/>
      <c r="BP1210" s="1" t="s">
        <v>9609</v>
      </c>
      <c r="BQ1210" s="3"/>
      <c r="BR1210" s="3"/>
    </row>
    <row r="1211" spans="1:70">
      <c r="A1211" s="1" t="s">
        <v>70</v>
      </c>
      <c r="B1211" s="1" t="s">
        <v>13846</v>
      </c>
      <c r="C1211" s="1" t="s">
        <v>16090</v>
      </c>
      <c r="D1211" s="1"/>
      <c r="E1211" s="1"/>
      <c r="F1211" s="1"/>
      <c r="G1211" s="1"/>
      <c r="H1211" s="1" t="s">
        <v>16091</v>
      </c>
      <c r="I1211" s="1" t="s">
        <v>16091</v>
      </c>
      <c r="J1211" s="1"/>
      <c r="K1211" s="1"/>
      <c r="L1211" s="1"/>
      <c r="M1211" s="1"/>
      <c r="N1211" s="1"/>
      <c r="O1211" s="1"/>
      <c r="P1211" s="1"/>
      <c r="Q1211" s="1"/>
      <c r="R1211" s="1"/>
      <c r="S1211" s="1"/>
      <c r="T1211" s="1"/>
      <c r="U1211" s="1"/>
      <c r="V1211" s="1"/>
      <c r="W1211" s="1"/>
      <c r="X1211" s="1"/>
      <c r="Y1211" s="1"/>
      <c r="Z1211" s="1"/>
      <c r="AA1211" s="1"/>
      <c r="AB1211" s="1"/>
      <c r="AC1211" s="1"/>
      <c r="AD1211" s="1" t="s">
        <v>93</v>
      </c>
      <c r="AE1211" s="1" t="s">
        <v>93</v>
      </c>
      <c r="AF1211" s="1"/>
      <c r="AG1211" s="1"/>
      <c r="AH1211" s="1"/>
      <c r="AI1211" s="1"/>
      <c r="AJ1211" s="1"/>
      <c r="AK1211" s="1"/>
      <c r="AL1211" s="1"/>
      <c r="AM1211" s="1"/>
      <c r="AN1211" s="1"/>
      <c r="AO1211" s="1"/>
      <c r="AP1211" s="1"/>
      <c r="AQ1211" s="1"/>
      <c r="AR1211" s="1"/>
      <c r="AS1211" s="1"/>
      <c r="AT1211" s="1"/>
      <c r="AU1211" s="1"/>
      <c r="AV1211" s="1"/>
      <c r="AW1211" s="1"/>
      <c r="AX1211" s="1"/>
      <c r="AY1211" s="1"/>
      <c r="AZ1211" s="1"/>
      <c r="BA1211" s="1"/>
      <c r="BB1211" s="1"/>
      <c r="BC1211" s="1"/>
      <c r="BD1211" s="1"/>
      <c r="BE1211" s="1"/>
      <c r="BF1211" s="1"/>
      <c r="BG1211" s="1"/>
      <c r="BH1211" s="1"/>
      <c r="BI1211" s="1"/>
      <c r="BJ1211" s="1"/>
      <c r="BK1211" s="1"/>
      <c r="BL1211" s="1"/>
      <c r="BM1211" s="1"/>
      <c r="BN1211" s="1"/>
      <c r="BO1211" s="1"/>
      <c r="BP1211" s="1" t="s">
        <v>9609</v>
      </c>
      <c r="BQ1211" s="3"/>
      <c r="BR1211" s="3"/>
    </row>
    <row r="1212" spans="1:70">
      <c r="A1212" s="1" t="s">
        <v>70</v>
      </c>
      <c r="B1212" s="1" t="s">
        <v>13846</v>
      </c>
      <c r="C1212" s="1" t="s">
        <v>16092</v>
      </c>
      <c r="D1212" s="1"/>
      <c r="E1212" s="1"/>
      <c r="F1212" s="1"/>
      <c r="G1212" s="1"/>
      <c r="H1212" s="1" t="s">
        <v>16093</v>
      </c>
      <c r="I1212" s="1" t="s">
        <v>16093</v>
      </c>
      <c r="J1212" s="1"/>
      <c r="K1212" s="1"/>
      <c r="L1212" s="1"/>
      <c r="M1212" s="1"/>
      <c r="N1212" s="1"/>
      <c r="O1212" s="1"/>
      <c r="P1212" s="1"/>
      <c r="Q1212" s="1"/>
      <c r="R1212" s="1"/>
      <c r="S1212" s="1"/>
      <c r="T1212" s="1"/>
      <c r="U1212" s="1"/>
      <c r="V1212" s="1"/>
      <c r="W1212" s="1"/>
      <c r="X1212" s="1"/>
      <c r="Y1212" s="1"/>
      <c r="Z1212" s="1"/>
      <c r="AA1212" s="1"/>
      <c r="AB1212" s="1"/>
      <c r="AC1212" s="1"/>
      <c r="AD1212" s="1" t="s">
        <v>93</v>
      </c>
      <c r="AE1212" s="1" t="s">
        <v>93</v>
      </c>
      <c r="AF1212" s="1"/>
      <c r="AG1212" s="1"/>
      <c r="AH1212" s="1"/>
      <c r="AI1212" s="1"/>
      <c r="AJ1212" s="1"/>
      <c r="AK1212" s="1"/>
      <c r="AL1212" s="1"/>
      <c r="AM1212" s="1"/>
      <c r="AN1212" s="1"/>
      <c r="AO1212" s="1"/>
      <c r="AP1212" s="1"/>
      <c r="AQ1212" s="1"/>
      <c r="AR1212" s="1"/>
      <c r="AS1212" s="1"/>
      <c r="AT1212" s="1"/>
      <c r="AU1212" s="1"/>
      <c r="AV1212" s="1"/>
      <c r="AW1212" s="1"/>
      <c r="AX1212" s="1"/>
      <c r="AY1212" s="1"/>
      <c r="AZ1212" s="1"/>
      <c r="BA1212" s="1"/>
      <c r="BB1212" s="1"/>
      <c r="BC1212" s="1"/>
      <c r="BD1212" s="1"/>
      <c r="BE1212" s="1"/>
      <c r="BF1212" s="1"/>
      <c r="BG1212" s="1"/>
      <c r="BH1212" s="1"/>
      <c r="BI1212" s="1"/>
      <c r="BJ1212" s="1"/>
      <c r="BK1212" s="1"/>
      <c r="BL1212" s="1"/>
      <c r="BM1212" s="1"/>
      <c r="BN1212" s="1"/>
      <c r="BO1212" s="1"/>
      <c r="BP1212" s="1" t="s">
        <v>9609</v>
      </c>
      <c r="BQ1212" s="3"/>
      <c r="BR1212" s="3"/>
    </row>
    <row r="1213" spans="1:70">
      <c r="A1213" s="1" t="s">
        <v>70</v>
      </c>
      <c r="B1213" s="1" t="s">
        <v>13846</v>
      </c>
      <c r="C1213" s="1" t="s">
        <v>16094</v>
      </c>
      <c r="D1213" s="1"/>
      <c r="E1213" s="1"/>
      <c r="F1213" s="1"/>
      <c r="G1213" s="1"/>
      <c r="H1213" s="1" t="s">
        <v>16095</v>
      </c>
      <c r="I1213" s="1" t="s">
        <v>16095</v>
      </c>
      <c r="J1213" s="1"/>
      <c r="K1213" s="1"/>
      <c r="L1213" s="1"/>
      <c r="M1213" s="1"/>
      <c r="N1213" s="1"/>
      <c r="O1213" s="1"/>
      <c r="P1213" s="1"/>
      <c r="Q1213" s="1"/>
      <c r="R1213" s="1"/>
      <c r="S1213" s="1"/>
      <c r="T1213" s="1"/>
      <c r="U1213" s="1"/>
      <c r="V1213" s="1"/>
      <c r="W1213" s="1"/>
      <c r="X1213" s="1"/>
      <c r="Y1213" s="1"/>
      <c r="Z1213" s="1"/>
      <c r="AA1213" s="1"/>
      <c r="AB1213" s="1"/>
      <c r="AC1213" s="1"/>
      <c r="AD1213" s="1" t="s">
        <v>93</v>
      </c>
      <c r="AE1213" s="1" t="s">
        <v>93</v>
      </c>
      <c r="AF1213" s="1"/>
      <c r="AG1213" s="1"/>
      <c r="AH1213" s="1"/>
      <c r="AI1213" s="1"/>
      <c r="AJ1213" s="1"/>
      <c r="AK1213" s="1"/>
      <c r="AL1213" s="1"/>
      <c r="AM1213" s="1"/>
      <c r="AN1213" s="1"/>
      <c r="AO1213" s="1"/>
      <c r="AP1213" s="1"/>
      <c r="AQ1213" s="1"/>
      <c r="AR1213" s="1"/>
      <c r="AS1213" s="1"/>
      <c r="AT1213" s="1"/>
      <c r="AU1213" s="1"/>
      <c r="AV1213" s="1"/>
      <c r="AW1213" s="1"/>
      <c r="AX1213" s="1"/>
      <c r="AY1213" s="1"/>
      <c r="AZ1213" s="1"/>
      <c r="BA1213" s="1"/>
      <c r="BB1213" s="1"/>
      <c r="BC1213" s="1"/>
      <c r="BD1213" s="1"/>
      <c r="BE1213" s="1"/>
      <c r="BF1213" s="1"/>
      <c r="BG1213" s="1"/>
      <c r="BH1213" s="1"/>
      <c r="BI1213" s="1"/>
      <c r="BJ1213" s="1"/>
      <c r="BK1213" s="1"/>
      <c r="BL1213" s="1"/>
      <c r="BM1213" s="1"/>
      <c r="BN1213" s="1"/>
      <c r="BO1213" s="1"/>
      <c r="BP1213" s="1" t="s">
        <v>9609</v>
      </c>
      <c r="BQ1213" s="3"/>
      <c r="BR1213" s="3"/>
    </row>
    <row r="1214" spans="1:70">
      <c r="A1214" s="1" t="s">
        <v>70</v>
      </c>
      <c r="B1214" s="1" t="s">
        <v>13846</v>
      </c>
      <c r="C1214" s="1" t="s">
        <v>16096</v>
      </c>
      <c r="D1214" s="1"/>
      <c r="E1214" s="1"/>
      <c r="F1214" s="1"/>
      <c r="G1214" s="1"/>
      <c r="H1214" s="1" t="s">
        <v>16097</v>
      </c>
      <c r="I1214" s="1" t="s">
        <v>16097</v>
      </c>
      <c r="J1214" s="1"/>
      <c r="K1214" s="1"/>
      <c r="L1214" s="1"/>
      <c r="M1214" s="1"/>
      <c r="N1214" s="1"/>
      <c r="O1214" s="1"/>
      <c r="P1214" s="1"/>
      <c r="Q1214" s="1"/>
      <c r="R1214" s="1"/>
      <c r="S1214" s="1"/>
      <c r="T1214" s="1"/>
      <c r="U1214" s="1"/>
      <c r="V1214" s="1"/>
      <c r="W1214" s="1"/>
      <c r="X1214" s="1"/>
      <c r="Y1214" s="1"/>
      <c r="Z1214" s="1"/>
      <c r="AA1214" s="1"/>
      <c r="AB1214" s="1"/>
      <c r="AC1214" s="1"/>
      <c r="AD1214" s="1" t="s">
        <v>93</v>
      </c>
      <c r="AE1214" s="1" t="s">
        <v>93</v>
      </c>
      <c r="AF1214" s="1"/>
      <c r="AG1214" s="1"/>
      <c r="AH1214" s="1"/>
      <c r="AI1214" s="1"/>
      <c r="AJ1214" s="1"/>
      <c r="AK1214" s="1"/>
      <c r="AL1214" s="1"/>
      <c r="AM1214" s="1"/>
      <c r="AN1214" s="1"/>
      <c r="AO1214" s="1"/>
      <c r="AP1214" s="1"/>
      <c r="AQ1214" s="1"/>
      <c r="AR1214" s="1"/>
      <c r="AS1214" s="1"/>
      <c r="AT1214" s="1"/>
      <c r="AU1214" s="1"/>
      <c r="AV1214" s="1"/>
      <c r="AW1214" s="1"/>
      <c r="AX1214" s="1"/>
      <c r="AY1214" s="1"/>
      <c r="AZ1214" s="1"/>
      <c r="BA1214" s="1"/>
      <c r="BB1214" s="1"/>
      <c r="BC1214" s="1"/>
      <c r="BD1214" s="1"/>
      <c r="BE1214" s="1"/>
      <c r="BF1214" s="1"/>
      <c r="BG1214" s="1"/>
      <c r="BH1214" s="1"/>
      <c r="BI1214" s="1"/>
      <c r="BJ1214" s="1"/>
      <c r="BK1214" s="1"/>
      <c r="BL1214" s="1"/>
      <c r="BM1214" s="1"/>
      <c r="BN1214" s="1"/>
      <c r="BO1214" s="1"/>
      <c r="BP1214" s="1" t="s">
        <v>9609</v>
      </c>
      <c r="BQ1214" s="3"/>
      <c r="BR1214" s="3"/>
    </row>
    <row r="1215" spans="1:70">
      <c r="A1215" s="1" t="s">
        <v>70</v>
      </c>
      <c r="B1215" s="1" t="s">
        <v>13846</v>
      </c>
      <c r="C1215" s="1" t="s">
        <v>16098</v>
      </c>
      <c r="D1215" s="1"/>
      <c r="E1215" s="1"/>
      <c r="F1215" s="1"/>
      <c r="G1215" s="1"/>
      <c r="H1215" s="1" t="s">
        <v>16099</v>
      </c>
      <c r="I1215" s="1" t="s">
        <v>16099</v>
      </c>
      <c r="J1215" s="1"/>
      <c r="K1215" s="1"/>
      <c r="L1215" s="1"/>
      <c r="M1215" s="1"/>
      <c r="N1215" s="1"/>
      <c r="O1215" s="1"/>
      <c r="P1215" s="1"/>
      <c r="Q1215" s="1"/>
      <c r="R1215" s="1"/>
      <c r="S1215" s="1"/>
      <c r="T1215" s="1"/>
      <c r="U1215" s="1"/>
      <c r="V1215" s="1"/>
      <c r="W1215" s="1"/>
      <c r="X1215" s="1"/>
      <c r="Y1215" s="1"/>
      <c r="Z1215" s="1"/>
      <c r="AA1215" s="1"/>
      <c r="AB1215" s="1"/>
      <c r="AC1215" s="1"/>
      <c r="AD1215" s="1" t="s">
        <v>93</v>
      </c>
      <c r="AE1215" s="1" t="s">
        <v>93</v>
      </c>
      <c r="AF1215" s="1"/>
      <c r="AG1215" s="1"/>
      <c r="AH1215" s="1"/>
      <c r="AI1215" s="1"/>
      <c r="AJ1215" s="1"/>
      <c r="AK1215" s="1"/>
      <c r="AL1215" s="1"/>
      <c r="AM1215" s="1"/>
      <c r="AN1215" s="1"/>
      <c r="AO1215" s="1"/>
      <c r="AP1215" s="1"/>
      <c r="AQ1215" s="1"/>
      <c r="AR1215" s="1"/>
      <c r="AS1215" s="1"/>
      <c r="AT1215" s="1"/>
      <c r="AU1215" s="1"/>
      <c r="AV1215" s="1"/>
      <c r="AW1215" s="1"/>
      <c r="AX1215" s="1"/>
      <c r="AY1215" s="1"/>
      <c r="AZ1215" s="1"/>
      <c r="BA1215" s="1"/>
      <c r="BB1215" s="1"/>
      <c r="BC1215" s="1"/>
      <c r="BD1215" s="1"/>
      <c r="BE1215" s="1"/>
      <c r="BF1215" s="1"/>
      <c r="BG1215" s="1"/>
      <c r="BH1215" s="1"/>
      <c r="BI1215" s="1"/>
      <c r="BJ1215" s="1"/>
      <c r="BK1215" s="1"/>
      <c r="BL1215" s="1"/>
      <c r="BM1215" s="1"/>
      <c r="BN1215" s="1"/>
      <c r="BO1215" s="1"/>
      <c r="BP1215" s="1" t="s">
        <v>9609</v>
      </c>
      <c r="BQ1215" s="3"/>
      <c r="BR1215" s="3"/>
    </row>
    <row r="1216" spans="1:70">
      <c r="A1216" s="1" t="s">
        <v>70</v>
      </c>
      <c r="B1216" s="1" t="s">
        <v>13846</v>
      </c>
      <c r="C1216" s="1" t="s">
        <v>16100</v>
      </c>
      <c r="D1216" s="1"/>
      <c r="E1216" s="1"/>
      <c r="F1216" s="1"/>
      <c r="G1216" s="1"/>
      <c r="H1216" s="1" t="s">
        <v>16101</v>
      </c>
      <c r="I1216" s="1" t="s">
        <v>16101</v>
      </c>
      <c r="J1216" s="1"/>
      <c r="K1216" s="1"/>
      <c r="L1216" s="1"/>
      <c r="M1216" s="1"/>
      <c r="N1216" s="1"/>
      <c r="O1216" s="1"/>
      <c r="P1216" s="1"/>
      <c r="Q1216" s="1"/>
      <c r="R1216" s="1"/>
      <c r="S1216" s="1"/>
      <c r="T1216" s="1"/>
      <c r="U1216" s="1"/>
      <c r="V1216" s="1"/>
      <c r="W1216" s="1"/>
      <c r="X1216" s="1"/>
      <c r="Y1216" s="1"/>
      <c r="Z1216" s="1"/>
      <c r="AA1216" s="1"/>
      <c r="AB1216" s="1"/>
      <c r="AC1216" s="1"/>
      <c r="AD1216" s="1" t="s">
        <v>93</v>
      </c>
      <c r="AE1216" s="1" t="s">
        <v>93</v>
      </c>
      <c r="AF1216" s="1"/>
      <c r="AG1216" s="1"/>
      <c r="AH1216" s="1"/>
      <c r="AI1216" s="1"/>
      <c r="AJ1216" s="1"/>
      <c r="AK1216" s="1"/>
      <c r="AL1216" s="1"/>
      <c r="AM1216" s="1"/>
      <c r="AN1216" s="1"/>
      <c r="AO1216" s="1"/>
      <c r="AP1216" s="1"/>
      <c r="AQ1216" s="1"/>
      <c r="AR1216" s="1"/>
      <c r="AS1216" s="1"/>
      <c r="AT1216" s="1"/>
      <c r="AU1216" s="1"/>
      <c r="AV1216" s="1"/>
      <c r="AW1216" s="1"/>
      <c r="AX1216" s="1"/>
      <c r="AY1216" s="1"/>
      <c r="AZ1216" s="1"/>
      <c r="BA1216" s="1"/>
      <c r="BB1216" s="1"/>
      <c r="BC1216" s="1"/>
      <c r="BD1216" s="1"/>
      <c r="BE1216" s="1"/>
      <c r="BF1216" s="1"/>
      <c r="BG1216" s="1"/>
      <c r="BH1216" s="1"/>
      <c r="BI1216" s="1"/>
      <c r="BJ1216" s="1"/>
      <c r="BK1216" s="1"/>
      <c r="BL1216" s="1"/>
      <c r="BM1216" s="1"/>
      <c r="BN1216" s="1"/>
      <c r="BO1216" s="1"/>
      <c r="BP1216" s="1" t="s">
        <v>9609</v>
      </c>
      <c r="BQ1216" s="3"/>
      <c r="BR1216" s="3"/>
    </row>
    <row r="1217" spans="1:70">
      <c r="A1217" s="1" t="s">
        <v>70</v>
      </c>
      <c r="B1217" s="1" t="s">
        <v>13846</v>
      </c>
      <c r="C1217" s="1" t="s">
        <v>16102</v>
      </c>
      <c r="D1217" s="1"/>
      <c r="E1217" s="1"/>
      <c r="F1217" s="1"/>
      <c r="G1217" s="1"/>
      <c r="H1217" s="1" t="s">
        <v>16103</v>
      </c>
      <c r="I1217" s="1" t="s">
        <v>16103</v>
      </c>
      <c r="J1217" s="1"/>
      <c r="K1217" s="1"/>
      <c r="L1217" s="1"/>
      <c r="M1217" s="1"/>
      <c r="N1217" s="1"/>
      <c r="O1217" s="1"/>
      <c r="P1217" s="1"/>
      <c r="Q1217" s="1"/>
      <c r="R1217" s="1"/>
      <c r="S1217" s="1"/>
      <c r="T1217" s="1"/>
      <c r="U1217" s="1"/>
      <c r="V1217" s="1"/>
      <c r="W1217" s="1"/>
      <c r="X1217" s="1"/>
      <c r="Y1217" s="1"/>
      <c r="Z1217" s="1"/>
      <c r="AA1217" s="1"/>
      <c r="AB1217" s="1"/>
      <c r="AC1217" s="1"/>
      <c r="AD1217" s="1" t="s">
        <v>93</v>
      </c>
      <c r="AE1217" s="1" t="s">
        <v>93</v>
      </c>
      <c r="AF1217" s="1"/>
      <c r="AG1217" s="1"/>
      <c r="AH1217" s="1"/>
      <c r="AI1217" s="1"/>
      <c r="AJ1217" s="1"/>
      <c r="AK1217" s="1"/>
      <c r="AL1217" s="1"/>
      <c r="AM1217" s="1"/>
      <c r="AN1217" s="1"/>
      <c r="AO1217" s="1"/>
      <c r="AP1217" s="1"/>
      <c r="AQ1217" s="1"/>
      <c r="AR1217" s="1"/>
      <c r="AS1217" s="1"/>
      <c r="AT1217" s="1"/>
      <c r="AU1217" s="1"/>
      <c r="AV1217" s="1"/>
      <c r="AW1217" s="1"/>
      <c r="AX1217" s="1"/>
      <c r="AY1217" s="1"/>
      <c r="AZ1217" s="1"/>
      <c r="BA1217" s="1"/>
      <c r="BB1217" s="1"/>
      <c r="BC1217" s="1"/>
      <c r="BD1217" s="1"/>
      <c r="BE1217" s="1"/>
      <c r="BF1217" s="1"/>
      <c r="BG1217" s="1"/>
      <c r="BH1217" s="1"/>
      <c r="BI1217" s="1"/>
      <c r="BJ1217" s="1"/>
      <c r="BK1217" s="1"/>
      <c r="BL1217" s="1"/>
      <c r="BM1217" s="1"/>
      <c r="BN1217" s="1"/>
      <c r="BO1217" s="1"/>
      <c r="BP1217" s="1" t="s">
        <v>9609</v>
      </c>
      <c r="BQ1217" s="3"/>
      <c r="BR1217" s="3"/>
    </row>
    <row r="1218" spans="1:70">
      <c r="A1218" s="1" t="s">
        <v>70</v>
      </c>
      <c r="B1218" s="1" t="s">
        <v>13846</v>
      </c>
      <c r="C1218" s="1" t="s">
        <v>16104</v>
      </c>
      <c r="D1218" s="1"/>
      <c r="E1218" s="1"/>
      <c r="F1218" s="1"/>
      <c r="G1218" s="1"/>
      <c r="H1218" s="1" t="s">
        <v>16105</v>
      </c>
      <c r="I1218" s="1" t="s">
        <v>16105</v>
      </c>
      <c r="J1218" s="1"/>
      <c r="K1218" s="1"/>
      <c r="L1218" s="1"/>
      <c r="M1218" s="1"/>
      <c r="N1218" s="1"/>
      <c r="O1218" s="1"/>
      <c r="P1218" s="1"/>
      <c r="Q1218" s="1"/>
      <c r="R1218" s="1"/>
      <c r="S1218" s="1"/>
      <c r="T1218" s="1"/>
      <c r="U1218" s="1"/>
      <c r="V1218" s="1"/>
      <c r="W1218" s="1"/>
      <c r="X1218" s="1"/>
      <c r="Y1218" s="1"/>
      <c r="Z1218" s="1"/>
      <c r="AA1218" s="1"/>
      <c r="AB1218" s="1"/>
      <c r="AC1218" s="1"/>
      <c r="AD1218" s="1" t="s">
        <v>93</v>
      </c>
      <c r="AE1218" s="1" t="s">
        <v>93</v>
      </c>
      <c r="AF1218" s="1"/>
      <c r="AG1218" s="1"/>
      <c r="AH1218" s="1"/>
      <c r="AI1218" s="1"/>
      <c r="AJ1218" s="1"/>
      <c r="AK1218" s="1"/>
      <c r="AL1218" s="1"/>
      <c r="AM1218" s="1"/>
      <c r="AN1218" s="1"/>
      <c r="AO1218" s="1"/>
      <c r="AP1218" s="1"/>
      <c r="AQ1218" s="1"/>
      <c r="AR1218" s="1"/>
      <c r="AS1218" s="1"/>
      <c r="AT1218" s="1"/>
      <c r="AU1218" s="1"/>
      <c r="AV1218" s="1"/>
      <c r="AW1218" s="1"/>
      <c r="AX1218" s="1"/>
      <c r="AY1218" s="1"/>
      <c r="AZ1218" s="1"/>
      <c r="BA1218" s="1"/>
      <c r="BB1218" s="1"/>
      <c r="BC1218" s="1"/>
      <c r="BD1218" s="1"/>
      <c r="BE1218" s="1"/>
      <c r="BF1218" s="1"/>
      <c r="BG1218" s="1"/>
      <c r="BH1218" s="1"/>
      <c r="BI1218" s="1"/>
      <c r="BJ1218" s="1"/>
      <c r="BK1218" s="1"/>
      <c r="BL1218" s="1"/>
      <c r="BM1218" s="1"/>
      <c r="BN1218" s="1"/>
      <c r="BO1218" s="1"/>
      <c r="BP1218" s="1" t="s">
        <v>9609</v>
      </c>
      <c r="BQ1218" s="3"/>
      <c r="BR1218" s="3"/>
    </row>
    <row r="1219" spans="1:70">
      <c r="A1219" s="1" t="s">
        <v>70</v>
      </c>
      <c r="B1219" s="1" t="s">
        <v>13846</v>
      </c>
      <c r="C1219" s="1" t="s">
        <v>16106</v>
      </c>
      <c r="D1219" s="1"/>
      <c r="E1219" s="1"/>
      <c r="F1219" s="1"/>
      <c r="G1219" s="1"/>
      <c r="H1219" s="1" t="s">
        <v>16107</v>
      </c>
      <c r="I1219" s="1" t="s">
        <v>16107</v>
      </c>
      <c r="J1219" s="1"/>
      <c r="K1219" s="1"/>
      <c r="L1219" s="1"/>
      <c r="M1219" s="1"/>
      <c r="N1219" s="1"/>
      <c r="O1219" s="1"/>
      <c r="P1219" s="1"/>
      <c r="Q1219" s="1"/>
      <c r="R1219" s="1"/>
      <c r="S1219" s="1"/>
      <c r="T1219" s="1"/>
      <c r="U1219" s="1"/>
      <c r="V1219" s="1"/>
      <c r="W1219" s="1"/>
      <c r="X1219" s="1"/>
      <c r="Y1219" s="1"/>
      <c r="Z1219" s="1"/>
      <c r="AA1219" s="1"/>
      <c r="AB1219" s="1"/>
      <c r="AC1219" s="1"/>
      <c r="AD1219" s="1" t="s">
        <v>93</v>
      </c>
      <c r="AE1219" s="1" t="s">
        <v>93</v>
      </c>
      <c r="AF1219" s="1"/>
      <c r="AG1219" s="1"/>
      <c r="AH1219" s="1"/>
      <c r="AI1219" s="1"/>
      <c r="AJ1219" s="1"/>
      <c r="AK1219" s="1"/>
      <c r="AL1219" s="1"/>
      <c r="AM1219" s="1"/>
      <c r="AN1219" s="1"/>
      <c r="AO1219" s="1"/>
      <c r="AP1219" s="1"/>
      <c r="AQ1219" s="1"/>
      <c r="AR1219" s="1"/>
      <c r="AS1219" s="1"/>
      <c r="AT1219" s="1"/>
      <c r="AU1219" s="1"/>
      <c r="AV1219" s="1"/>
      <c r="AW1219" s="1"/>
      <c r="AX1219" s="1"/>
      <c r="AY1219" s="1"/>
      <c r="AZ1219" s="1"/>
      <c r="BA1219" s="1"/>
      <c r="BB1219" s="1"/>
      <c r="BC1219" s="1"/>
      <c r="BD1219" s="1"/>
      <c r="BE1219" s="1"/>
      <c r="BF1219" s="1"/>
      <c r="BG1219" s="1"/>
      <c r="BH1219" s="1"/>
      <c r="BI1219" s="1"/>
      <c r="BJ1219" s="1"/>
      <c r="BK1219" s="1"/>
      <c r="BL1219" s="1"/>
      <c r="BM1219" s="1"/>
      <c r="BN1219" s="1"/>
      <c r="BO1219" s="1"/>
      <c r="BP1219" s="1" t="s">
        <v>9609</v>
      </c>
      <c r="BQ1219" s="3"/>
      <c r="BR1219" s="3"/>
    </row>
    <row r="1220" spans="1:70">
      <c r="A1220" s="1" t="s">
        <v>70</v>
      </c>
      <c r="B1220" s="1" t="s">
        <v>13846</v>
      </c>
      <c r="C1220" s="1" t="s">
        <v>16108</v>
      </c>
      <c r="D1220" s="1"/>
      <c r="E1220" s="1"/>
      <c r="F1220" s="1"/>
      <c r="G1220" s="1"/>
      <c r="H1220" s="1" t="s">
        <v>16109</v>
      </c>
      <c r="I1220" s="1" t="s">
        <v>16109</v>
      </c>
      <c r="J1220" s="1"/>
      <c r="K1220" s="1"/>
      <c r="L1220" s="1"/>
      <c r="M1220" s="1"/>
      <c r="N1220" s="1"/>
      <c r="O1220" s="1"/>
      <c r="P1220" s="1"/>
      <c r="Q1220" s="1"/>
      <c r="R1220" s="1"/>
      <c r="S1220" s="1"/>
      <c r="T1220" s="1"/>
      <c r="U1220" s="1"/>
      <c r="V1220" s="1"/>
      <c r="W1220" s="1"/>
      <c r="X1220" s="1"/>
      <c r="Y1220" s="1"/>
      <c r="Z1220" s="1"/>
      <c r="AA1220" s="1"/>
      <c r="AB1220" s="1"/>
      <c r="AC1220" s="1"/>
      <c r="AD1220" s="1" t="s">
        <v>93</v>
      </c>
      <c r="AE1220" s="1" t="s">
        <v>93</v>
      </c>
      <c r="AF1220" s="1"/>
      <c r="AG1220" s="1"/>
      <c r="AH1220" s="1"/>
      <c r="AI1220" s="1"/>
      <c r="AJ1220" s="1"/>
      <c r="AK1220" s="1"/>
      <c r="AL1220" s="1"/>
      <c r="AM1220" s="1"/>
      <c r="AN1220" s="1"/>
      <c r="AO1220" s="1"/>
      <c r="AP1220" s="1"/>
      <c r="AQ1220" s="1"/>
      <c r="AR1220" s="1"/>
      <c r="AS1220" s="1"/>
      <c r="AT1220" s="1"/>
      <c r="AU1220" s="1"/>
      <c r="AV1220" s="1"/>
      <c r="AW1220" s="1"/>
      <c r="AX1220" s="1"/>
      <c r="AY1220" s="1"/>
      <c r="AZ1220" s="1"/>
      <c r="BA1220" s="1"/>
      <c r="BB1220" s="1"/>
      <c r="BC1220" s="1"/>
      <c r="BD1220" s="1"/>
      <c r="BE1220" s="1"/>
      <c r="BF1220" s="1"/>
      <c r="BG1220" s="1"/>
      <c r="BH1220" s="1"/>
      <c r="BI1220" s="1"/>
      <c r="BJ1220" s="1"/>
      <c r="BK1220" s="1"/>
      <c r="BL1220" s="1"/>
      <c r="BM1220" s="1"/>
      <c r="BN1220" s="1"/>
      <c r="BO1220" s="1"/>
      <c r="BP1220" s="1" t="s">
        <v>9609</v>
      </c>
      <c r="BQ1220" s="3"/>
      <c r="BR1220" s="3"/>
    </row>
    <row r="1221" spans="1:70">
      <c r="A1221" s="1" t="s">
        <v>70</v>
      </c>
      <c r="B1221" s="1" t="s">
        <v>13846</v>
      </c>
      <c r="C1221" s="1" t="s">
        <v>16110</v>
      </c>
      <c r="D1221" s="1"/>
      <c r="E1221" s="1"/>
      <c r="F1221" s="1"/>
      <c r="G1221" s="1"/>
      <c r="H1221" s="1" t="s">
        <v>16111</v>
      </c>
      <c r="I1221" s="1" t="s">
        <v>16111</v>
      </c>
      <c r="J1221" s="1"/>
      <c r="K1221" s="1"/>
      <c r="L1221" s="1"/>
      <c r="M1221" s="1"/>
      <c r="N1221" s="1"/>
      <c r="O1221" s="1"/>
      <c r="P1221" s="1"/>
      <c r="Q1221" s="1"/>
      <c r="R1221" s="1"/>
      <c r="S1221" s="1"/>
      <c r="T1221" s="1"/>
      <c r="U1221" s="1"/>
      <c r="V1221" s="1"/>
      <c r="W1221" s="1"/>
      <c r="X1221" s="1"/>
      <c r="Y1221" s="1"/>
      <c r="Z1221" s="1"/>
      <c r="AA1221" s="1"/>
      <c r="AB1221" s="1"/>
      <c r="AC1221" s="1"/>
      <c r="AD1221" s="1" t="s">
        <v>93</v>
      </c>
      <c r="AE1221" s="1" t="s">
        <v>93</v>
      </c>
      <c r="AF1221" s="1"/>
      <c r="AG1221" s="1"/>
      <c r="AH1221" s="1"/>
      <c r="AI1221" s="1"/>
      <c r="AJ1221" s="1"/>
      <c r="AK1221" s="1"/>
      <c r="AL1221" s="1"/>
      <c r="AM1221" s="1"/>
      <c r="AN1221" s="1"/>
      <c r="AO1221" s="1"/>
      <c r="AP1221" s="1"/>
      <c r="AQ1221" s="1"/>
      <c r="AR1221" s="1"/>
      <c r="AS1221" s="1"/>
      <c r="AT1221" s="1"/>
      <c r="AU1221" s="1"/>
      <c r="AV1221" s="1"/>
      <c r="AW1221" s="1"/>
      <c r="AX1221" s="1"/>
      <c r="AY1221" s="1"/>
      <c r="AZ1221" s="1"/>
      <c r="BA1221" s="1"/>
      <c r="BB1221" s="1"/>
      <c r="BC1221" s="1"/>
      <c r="BD1221" s="1"/>
      <c r="BE1221" s="1"/>
      <c r="BF1221" s="1"/>
      <c r="BG1221" s="1"/>
      <c r="BH1221" s="1"/>
      <c r="BI1221" s="1"/>
      <c r="BJ1221" s="1"/>
      <c r="BK1221" s="1"/>
      <c r="BL1221" s="1"/>
      <c r="BM1221" s="1"/>
      <c r="BN1221" s="1"/>
      <c r="BO1221" s="1"/>
      <c r="BP1221" s="1" t="s">
        <v>9609</v>
      </c>
      <c r="BQ1221" s="3"/>
      <c r="BR1221" s="3"/>
    </row>
    <row r="1222" spans="1:70">
      <c r="A1222" s="1" t="s">
        <v>70</v>
      </c>
      <c r="B1222" s="1" t="s">
        <v>13846</v>
      </c>
      <c r="C1222" s="1" t="s">
        <v>16112</v>
      </c>
      <c r="D1222" s="1"/>
      <c r="E1222" s="1"/>
      <c r="F1222" s="1"/>
      <c r="G1222" s="1"/>
      <c r="H1222" s="1" t="s">
        <v>16113</v>
      </c>
      <c r="I1222" s="1" t="s">
        <v>16113</v>
      </c>
      <c r="J1222" s="1"/>
      <c r="K1222" s="1"/>
      <c r="L1222" s="1"/>
      <c r="M1222" s="1"/>
      <c r="N1222" s="1"/>
      <c r="O1222" s="1"/>
      <c r="P1222" s="1"/>
      <c r="Q1222" s="1"/>
      <c r="R1222" s="1"/>
      <c r="S1222" s="1"/>
      <c r="T1222" s="1"/>
      <c r="U1222" s="1"/>
      <c r="V1222" s="1"/>
      <c r="W1222" s="1"/>
      <c r="X1222" s="1"/>
      <c r="Y1222" s="1"/>
      <c r="Z1222" s="1"/>
      <c r="AA1222" s="1"/>
      <c r="AB1222" s="1"/>
      <c r="AC1222" s="1"/>
      <c r="AD1222" s="1" t="s">
        <v>93</v>
      </c>
      <c r="AE1222" s="1" t="s">
        <v>93</v>
      </c>
      <c r="AF1222" s="1"/>
      <c r="AG1222" s="1"/>
      <c r="AH1222" s="1"/>
      <c r="AI1222" s="1"/>
      <c r="AJ1222" s="1"/>
      <c r="AK1222" s="1"/>
      <c r="AL1222" s="1"/>
      <c r="AM1222" s="1"/>
      <c r="AN1222" s="1"/>
      <c r="AO1222" s="1"/>
      <c r="AP1222" s="1"/>
      <c r="AQ1222" s="1"/>
      <c r="AR1222" s="1"/>
      <c r="AS1222" s="1"/>
      <c r="AT1222" s="1"/>
      <c r="AU1222" s="1"/>
      <c r="AV1222" s="1"/>
      <c r="AW1222" s="1"/>
      <c r="AX1222" s="1"/>
      <c r="AY1222" s="1"/>
      <c r="AZ1222" s="1"/>
      <c r="BA1222" s="1"/>
      <c r="BB1222" s="1"/>
      <c r="BC1222" s="1"/>
      <c r="BD1222" s="1"/>
      <c r="BE1222" s="1"/>
      <c r="BF1222" s="1"/>
      <c r="BG1222" s="1"/>
      <c r="BH1222" s="1"/>
      <c r="BI1222" s="1"/>
      <c r="BJ1222" s="1"/>
      <c r="BK1222" s="1"/>
      <c r="BL1222" s="1"/>
      <c r="BM1222" s="1"/>
      <c r="BN1222" s="1"/>
      <c r="BO1222" s="1"/>
      <c r="BP1222" s="1" t="s">
        <v>9609</v>
      </c>
      <c r="BQ1222" s="3"/>
      <c r="BR1222" s="3"/>
    </row>
    <row r="1223" spans="1:70">
      <c r="A1223" s="1" t="s">
        <v>70</v>
      </c>
      <c r="B1223" s="1" t="s">
        <v>13846</v>
      </c>
      <c r="C1223" s="1" t="s">
        <v>16114</v>
      </c>
      <c r="D1223" s="1"/>
      <c r="E1223" s="1"/>
      <c r="F1223" s="1"/>
      <c r="G1223" s="1"/>
      <c r="H1223" s="1" t="s">
        <v>16115</v>
      </c>
      <c r="I1223" s="1" t="s">
        <v>16115</v>
      </c>
      <c r="J1223" s="1"/>
      <c r="K1223" s="1"/>
      <c r="L1223" s="1"/>
      <c r="M1223" s="1"/>
      <c r="N1223" s="1"/>
      <c r="O1223" s="1"/>
      <c r="P1223" s="1"/>
      <c r="Q1223" s="1"/>
      <c r="R1223" s="1"/>
      <c r="S1223" s="1"/>
      <c r="T1223" s="1"/>
      <c r="U1223" s="1"/>
      <c r="V1223" s="1"/>
      <c r="W1223" s="1"/>
      <c r="X1223" s="1"/>
      <c r="Y1223" s="1"/>
      <c r="Z1223" s="1"/>
      <c r="AA1223" s="1"/>
      <c r="AB1223" s="1"/>
      <c r="AC1223" s="1"/>
      <c r="AD1223" s="1" t="s">
        <v>93</v>
      </c>
      <c r="AE1223" s="1" t="s">
        <v>93</v>
      </c>
      <c r="AF1223" s="1"/>
      <c r="AG1223" s="1"/>
      <c r="AH1223" s="1"/>
      <c r="AI1223" s="1"/>
      <c r="AJ1223" s="1"/>
      <c r="AK1223" s="1"/>
      <c r="AL1223" s="1"/>
      <c r="AM1223" s="1"/>
      <c r="AN1223" s="1"/>
      <c r="AO1223" s="1"/>
      <c r="AP1223" s="1"/>
      <c r="AQ1223" s="1"/>
      <c r="AR1223" s="1"/>
      <c r="AS1223" s="1"/>
      <c r="AT1223" s="1"/>
      <c r="AU1223" s="1"/>
      <c r="AV1223" s="1"/>
      <c r="AW1223" s="1"/>
      <c r="AX1223" s="1"/>
      <c r="AY1223" s="1"/>
      <c r="AZ1223" s="1"/>
      <c r="BA1223" s="1"/>
      <c r="BB1223" s="1"/>
      <c r="BC1223" s="1"/>
      <c r="BD1223" s="1"/>
      <c r="BE1223" s="1"/>
      <c r="BF1223" s="1"/>
      <c r="BG1223" s="1"/>
      <c r="BH1223" s="1"/>
      <c r="BI1223" s="1"/>
      <c r="BJ1223" s="1"/>
      <c r="BK1223" s="1"/>
      <c r="BL1223" s="1"/>
      <c r="BM1223" s="1"/>
      <c r="BN1223" s="1"/>
      <c r="BO1223" s="1"/>
      <c r="BP1223" s="1" t="s">
        <v>9609</v>
      </c>
      <c r="BQ1223" s="3"/>
      <c r="BR1223" s="3"/>
    </row>
    <row r="1224" spans="1:70">
      <c r="A1224" s="1" t="s">
        <v>70</v>
      </c>
      <c r="B1224" s="1" t="s">
        <v>13846</v>
      </c>
      <c r="C1224" s="1" t="s">
        <v>16116</v>
      </c>
      <c r="D1224" s="1"/>
      <c r="E1224" s="1"/>
      <c r="F1224" s="1"/>
      <c r="G1224" s="1"/>
      <c r="H1224" s="1" t="s">
        <v>16117</v>
      </c>
      <c r="I1224" s="1" t="s">
        <v>16117</v>
      </c>
      <c r="J1224" s="1"/>
      <c r="K1224" s="1"/>
      <c r="L1224" s="1"/>
      <c r="M1224" s="1"/>
      <c r="N1224" s="1"/>
      <c r="O1224" s="1"/>
      <c r="P1224" s="1"/>
      <c r="Q1224" s="1"/>
      <c r="R1224" s="1"/>
      <c r="S1224" s="1"/>
      <c r="T1224" s="1"/>
      <c r="U1224" s="1"/>
      <c r="V1224" s="1"/>
      <c r="W1224" s="1"/>
      <c r="X1224" s="1"/>
      <c r="Y1224" s="1"/>
      <c r="Z1224" s="1"/>
      <c r="AA1224" s="1"/>
      <c r="AB1224" s="1"/>
      <c r="AC1224" s="1"/>
      <c r="AD1224" s="1" t="s">
        <v>93</v>
      </c>
      <c r="AE1224" s="1" t="s">
        <v>93</v>
      </c>
      <c r="AF1224" s="1"/>
      <c r="AG1224" s="1"/>
      <c r="AH1224" s="1"/>
      <c r="AI1224" s="1"/>
      <c r="AJ1224" s="1"/>
      <c r="AK1224" s="1"/>
      <c r="AL1224" s="1"/>
      <c r="AM1224" s="1"/>
      <c r="AN1224" s="1"/>
      <c r="AO1224" s="1"/>
      <c r="AP1224" s="1"/>
      <c r="AQ1224" s="1"/>
      <c r="AR1224" s="1"/>
      <c r="AS1224" s="1"/>
      <c r="AT1224" s="1"/>
      <c r="AU1224" s="1"/>
      <c r="AV1224" s="1"/>
      <c r="AW1224" s="1"/>
      <c r="AX1224" s="1"/>
      <c r="AY1224" s="1"/>
      <c r="AZ1224" s="1"/>
      <c r="BA1224" s="1"/>
      <c r="BB1224" s="1"/>
      <c r="BC1224" s="1"/>
      <c r="BD1224" s="1"/>
      <c r="BE1224" s="1"/>
      <c r="BF1224" s="1"/>
      <c r="BG1224" s="1"/>
      <c r="BH1224" s="1"/>
      <c r="BI1224" s="1"/>
      <c r="BJ1224" s="1"/>
      <c r="BK1224" s="1"/>
      <c r="BL1224" s="1"/>
      <c r="BM1224" s="1"/>
      <c r="BN1224" s="1"/>
      <c r="BO1224" s="1"/>
      <c r="BP1224" s="1" t="s">
        <v>9609</v>
      </c>
      <c r="BQ1224" s="3"/>
      <c r="BR1224" s="3"/>
    </row>
    <row r="1225" spans="1:70">
      <c r="A1225" s="1" t="s">
        <v>70</v>
      </c>
      <c r="B1225" s="1" t="s">
        <v>13846</v>
      </c>
      <c r="C1225" s="1" t="s">
        <v>16118</v>
      </c>
      <c r="D1225" s="1"/>
      <c r="E1225" s="1"/>
      <c r="F1225" s="1"/>
      <c r="G1225" s="1"/>
      <c r="H1225" s="1" t="s">
        <v>16119</v>
      </c>
      <c r="I1225" s="1" t="s">
        <v>16119</v>
      </c>
      <c r="J1225" s="1"/>
      <c r="K1225" s="1"/>
      <c r="L1225" s="1"/>
      <c r="M1225" s="1"/>
      <c r="N1225" s="1"/>
      <c r="O1225" s="1"/>
      <c r="P1225" s="1"/>
      <c r="Q1225" s="1"/>
      <c r="R1225" s="1"/>
      <c r="S1225" s="1"/>
      <c r="T1225" s="1"/>
      <c r="U1225" s="1"/>
      <c r="V1225" s="1"/>
      <c r="W1225" s="1"/>
      <c r="X1225" s="1"/>
      <c r="Y1225" s="1"/>
      <c r="Z1225" s="1"/>
      <c r="AA1225" s="1"/>
      <c r="AB1225" s="1"/>
      <c r="AC1225" s="1"/>
      <c r="AD1225" s="1" t="s">
        <v>93</v>
      </c>
      <c r="AE1225" s="1" t="s">
        <v>93</v>
      </c>
      <c r="AF1225" s="1"/>
      <c r="AG1225" s="1"/>
      <c r="AH1225" s="1"/>
      <c r="AI1225" s="1"/>
      <c r="AJ1225" s="1"/>
      <c r="AK1225" s="1"/>
      <c r="AL1225" s="1"/>
      <c r="AM1225" s="1"/>
      <c r="AN1225" s="1"/>
      <c r="AO1225" s="1"/>
      <c r="AP1225" s="1"/>
      <c r="AQ1225" s="1"/>
      <c r="AR1225" s="1"/>
      <c r="AS1225" s="1"/>
      <c r="AT1225" s="1"/>
      <c r="AU1225" s="1"/>
      <c r="AV1225" s="1"/>
      <c r="AW1225" s="1"/>
      <c r="AX1225" s="1"/>
      <c r="AY1225" s="1"/>
      <c r="AZ1225" s="1"/>
      <c r="BA1225" s="1"/>
      <c r="BB1225" s="1"/>
      <c r="BC1225" s="1"/>
      <c r="BD1225" s="1"/>
      <c r="BE1225" s="1"/>
      <c r="BF1225" s="1"/>
      <c r="BG1225" s="1"/>
      <c r="BH1225" s="1"/>
      <c r="BI1225" s="1"/>
      <c r="BJ1225" s="1"/>
      <c r="BK1225" s="1"/>
      <c r="BL1225" s="1"/>
      <c r="BM1225" s="1"/>
      <c r="BN1225" s="1"/>
      <c r="BO1225" s="1"/>
      <c r="BP1225" s="1" t="s">
        <v>9609</v>
      </c>
      <c r="BQ1225" s="3"/>
      <c r="BR1225" s="3"/>
    </row>
    <row r="1226" spans="1:70">
      <c r="A1226" s="1" t="s">
        <v>70</v>
      </c>
      <c r="B1226" s="1" t="s">
        <v>13846</v>
      </c>
      <c r="C1226" s="1" t="s">
        <v>16120</v>
      </c>
      <c r="D1226" s="1"/>
      <c r="E1226" s="1"/>
      <c r="F1226" s="1"/>
      <c r="G1226" s="1"/>
      <c r="H1226" s="1" t="s">
        <v>16121</v>
      </c>
      <c r="I1226" s="1" t="s">
        <v>16121</v>
      </c>
      <c r="J1226" s="1"/>
      <c r="K1226" s="1"/>
      <c r="L1226" s="1"/>
      <c r="M1226" s="1"/>
      <c r="N1226" s="1"/>
      <c r="O1226" s="1"/>
      <c r="P1226" s="1"/>
      <c r="Q1226" s="1"/>
      <c r="R1226" s="1"/>
      <c r="S1226" s="1"/>
      <c r="T1226" s="1"/>
      <c r="U1226" s="1"/>
      <c r="V1226" s="1"/>
      <c r="W1226" s="1"/>
      <c r="X1226" s="1"/>
      <c r="Y1226" s="1"/>
      <c r="Z1226" s="1"/>
      <c r="AA1226" s="1"/>
      <c r="AB1226" s="1"/>
      <c r="AC1226" s="1"/>
      <c r="AD1226" s="1" t="s">
        <v>93</v>
      </c>
      <c r="AE1226" s="1" t="s">
        <v>93</v>
      </c>
      <c r="AF1226" s="1"/>
      <c r="AG1226" s="1"/>
      <c r="AH1226" s="1"/>
      <c r="AI1226" s="1"/>
      <c r="AJ1226" s="1"/>
      <c r="AK1226" s="1"/>
      <c r="AL1226" s="1"/>
      <c r="AM1226" s="1"/>
      <c r="AN1226" s="1"/>
      <c r="AO1226" s="1"/>
      <c r="AP1226" s="1"/>
      <c r="AQ1226" s="1"/>
      <c r="AR1226" s="1"/>
      <c r="AS1226" s="1"/>
      <c r="AT1226" s="1"/>
      <c r="AU1226" s="1"/>
      <c r="AV1226" s="1"/>
      <c r="AW1226" s="1"/>
      <c r="AX1226" s="1"/>
      <c r="AY1226" s="1"/>
      <c r="AZ1226" s="1"/>
      <c r="BA1226" s="1"/>
      <c r="BB1226" s="1"/>
      <c r="BC1226" s="1"/>
      <c r="BD1226" s="1"/>
      <c r="BE1226" s="1"/>
      <c r="BF1226" s="1"/>
      <c r="BG1226" s="1"/>
      <c r="BH1226" s="1"/>
      <c r="BI1226" s="1"/>
      <c r="BJ1226" s="1"/>
      <c r="BK1226" s="1"/>
      <c r="BL1226" s="1"/>
      <c r="BM1226" s="1"/>
      <c r="BN1226" s="1"/>
      <c r="BO1226" s="1"/>
      <c r="BP1226" s="1" t="s">
        <v>9609</v>
      </c>
      <c r="BQ1226" s="3"/>
      <c r="BR1226" s="3"/>
    </row>
    <row r="1227" spans="1:70">
      <c r="A1227" s="1" t="s">
        <v>70</v>
      </c>
      <c r="B1227" s="1" t="s">
        <v>13846</v>
      </c>
      <c r="C1227" s="1" t="s">
        <v>16122</v>
      </c>
      <c r="D1227" s="1"/>
      <c r="E1227" s="1"/>
      <c r="F1227" s="1"/>
      <c r="G1227" s="1"/>
      <c r="H1227" s="1" t="s">
        <v>16123</v>
      </c>
      <c r="I1227" s="1" t="s">
        <v>16123</v>
      </c>
      <c r="J1227" s="1"/>
      <c r="K1227" s="1"/>
      <c r="L1227" s="1"/>
      <c r="M1227" s="1"/>
      <c r="N1227" s="1"/>
      <c r="O1227" s="1"/>
      <c r="P1227" s="1"/>
      <c r="Q1227" s="1"/>
      <c r="R1227" s="1"/>
      <c r="S1227" s="1"/>
      <c r="T1227" s="1"/>
      <c r="U1227" s="1"/>
      <c r="V1227" s="1"/>
      <c r="W1227" s="1"/>
      <c r="X1227" s="1"/>
      <c r="Y1227" s="1"/>
      <c r="Z1227" s="1"/>
      <c r="AA1227" s="1"/>
      <c r="AB1227" s="1"/>
      <c r="AC1227" s="1"/>
      <c r="AD1227" s="1" t="s">
        <v>93</v>
      </c>
      <c r="AE1227" s="1" t="s">
        <v>93</v>
      </c>
      <c r="AF1227" s="1"/>
      <c r="AG1227" s="1"/>
      <c r="AH1227" s="1"/>
      <c r="AI1227" s="1"/>
      <c r="AJ1227" s="1"/>
      <c r="AK1227" s="1"/>
      <c r="AL1227" s="1"/>
      <c r="AM1227" s="1"/>
      <c r="AN1227" s="1"/>
      <c r="AO1227" s="1"/>
      <c r="AP1227" s="1"/>
      <c r="AQ1227" s="1"/>
      <c r="AR1227" s="1"/>
      <c r="AS1227" s="1"/>
      <c r="AT1227" s="1"/>
      <c r="AU1227" s="1"/>
      <c r="AV1227" s="1"/>
      <c r="AW1227" s="1"/>
      <c r="AX1227" s="1"/>
      <c r="AY1227" s="1"/>
      <c r="AZ1227" s="1"/>
      <c r="BA1227" s="1"/>
      <c r="BB1227" s="1"/>
      <c r="BC1227" s="1"/>
      <c r="BD1227" s="1"/>
      <c r="BE1227" s="1"/>
      <c r="BF1227" s="1"/>
      <c r="BG1227" s="1"/>
      <c r="BH1227" s="1"/>
      <c r="BI1227" s="1"/>
      <c r="BJ1227" s="1"/>
      <c r="BK1227" s="1"/>
      <c r="BL1227" s="1"/>
      <c r="BM1227" s="1"/>
      <c r="BN1227" s="1"/>
      <c r="BO1227" s="1"/>
      <c r="BP1227" s="1" t="s">
        <v>9609</v>
      </c>
      <c r="BQ1227" s="3"/>
      <c r="BR1227" s="3"/>
    </row>
    <row r="1228" spans="1:70">
      <c r="A1228" s="1" t="s">
        <v>70</v>
      </c>
      <c r="B1228" s="1" t="s">
        <v>13846</v>
      </c>
      <c r="C1228" s="1" t="s">
        <v>16124</v>
      </c>
      <c r="D1228" s="1"/>
      <c r="E1228" s="1"/>
      <c r="F1228" s="1"/>
      <c r="G1228" s="1"/>
      <c r="H1228" s="1" t="s">
        <v>16125</v>
      </c>
      <c r="I1228" s="1" t="s">
        <v>16125</v>
      </c>
      <c r="J1228" s="1"/>
      <c r="K1228" s="1"/>
      <c r="L1228" s="1"/>
      <c r="M1228" s="1"/>
      <c r="N1228" s="1"/>
      <c r="O1228" s="1"/>
      <c r="P1228" s="1"/>
      <c r="Q1228" s="1"/>
      <c r="R1228" s="1"/>
      <c r="S1228" s="1"/>
      <c r="T1228" s="1"/>
      <c r="U1228" s="1"/>
      <c r="V1228" s="1"/>
      <c r="W1228" s="1"/>
      <c r="X1228" s="1"/>
      <c r="Y1228" s="1"/>
      <c r="Z1228" s="1"/>
      <c r="AA1228" s="1"/>
      <c r="AB1228" s="1"/>
      <c r="AC1228" s="1"/>
      <c r="AD1228" s="1" t="s">
        <v>93</v>
      </c>
      <c r="AE1228" s="1" t="s">
        <v>93</v>
      </c>
      <c r="AF1228" s="1"/>
      <c r="AG1228" s="1"/>
      <c r="AH1228" s="1"/>
      <c r="AI1228" s="1"/>
      <c r="AJ1228" s="1"/>
      <c r="AK1228" s="1"/>
      <c r="AL1228" s="1"/>
      <c r="AM1228" s="1"/>
      <c r="AN1228" s="1"/>
      <c r="AO1228" s="1"/>
      <c r="AP1228" s="1"/>
      <c r="AQ1228" s="1"/>
      <c r="AR1228" s="1"/>
      <c r="AS1228" s="1"/>
      <c r="AT1228" s="1"/>
      <c r="AU1228" s="1"/>
      <c r="AV1228" s="1"/>
      <c r="AW1228" s="1"/>
      <c r="AX1228" s="1"/>
      <c r="AY1228" s="1"/>
      <c r="AZ1228" s="1"/>
      <c r="BA1228" s="1"/>
      <c r="BB1228" s="1"/>
      <c r="BC1228" s="1"/>
      <c r="BD1228" s="1"/>
      <c r="BE1228" s="1"/>
      <c r="BF1228" s="1"/>
      <c r="BG1228" s="1"/>
      <c r="BH1228" s="1"/>
      <c r="BI1228" s="1"/>
      <c r="BJ1228" s="1"/>
      <c r="BK1228" s="1"/>
      <c r="BL1228" s="1"/>
      <c r="BM1228" s="1"/>
      <c r="BN1228" s="1"/>
      <c r="BO1228" s="1"/>
      <c r="BP1228" s="1" t="s">
        <v>9609</v>
      </c>
      <c r="BQ1228" s="3"/>
      <c r="BR1228" s="3"/>
    </row>
    <row r="1229" spans="1:70">
      <c r="A1229" s="1" t="s">
        <v>70</v>
      </c>
      <c r="B1229" s="1" t="s">
        <v>13846</v>
      </c>
      <c r="C1229" s="1" t="s">
        <v>16126</v>
      </c>
      <c r="D1229" s="1"/>
      <c r="E1229" s="1"/>
      <c r="F1229" s="1"/>
      <c r="G1229" s="1"/>
      <c r="H1229" s="1" t="s">
        <v>16127</v>
      </c>
      <c r="I1229" s="1" t="s">
        <v>16127</v>
      </c>
      <c r="J1229" s="1"/>
      <c r="K1229" s="1"/>
      <c r="L1229" s="1"/>
      <c r="M1229" s="1"/>
      <c r="N1229" s="1"/>
      <c r="O1229" s="1"/>
      <c r="P1229" s="1"/>
      <c r="Q1229" s="1"/>
      <c r="R1229" s="1"/>
      <c r="S1229" s="1"/>
      <c r="T1229" s="1"/>
      <c r="U1229" s="1"/>
      <c r="V1229" s="1"/>
      <c r="W1229" s="1"/>
      <c r="X1229" s="1"/>
      <c r="Y1229" s="1"/>
      <c r="Z1229" s="1"/>
      <c r="AA1229" s="1"/>
      <c r="AB1229" s="1"/>
      <c r="AC1229" s="1"/>
      <c r="AD1229" s="1" t="s">
        <v>93</v>
      </c>
      <c r="AE1229" s="1" t="s">
        <v>93</v>
      </c>
      <c r="AF1229" s="1"/>
      <c r="AG1229" s="1"/>
      <c r="AH1229" s="1"/>
      <c r="AI1229" s="1"/>
      <c r="AJ1229" s="1"/>
      <c r="AK1229" s="1"/>
      <c r="AL1229" s="1"/>
      <c r="AM1229" s="1"/>
      <c r="AN1229" s="1"/>
      <c r="AO1229" s="1"/>
      <c r="AP1229" s="1"/>
      <c r="AQ1229" s="1"/>
      <c r="AR1229" s="1"/>
      <c r="AS1229" s="1"/>
      <c r="AT1229" s="1"/>
      <c r="AU1229" s="1"/>
      <c r="AV1229" s="1"/>
      <c r="AW1229" s="1"/>
      <c r="AX1229" s="1"/>
      <c r="AY1229" s="1"/>
      <c r="AZ1229" s="1"/>
      <c r="BA1229" s="1"/>
      <c r="BB1229" s="1"/>
      <c r="BC1229" s="1"/>
      <c r="BD1229" s="1"/>
      <c r="BE1229" s="1"/>
      <c r="BF1229" s="1"/>
      <c r="BG1229" s="1"/>
      <c r="BH1229" s="1"/>
      <c r="BI1229" s="1"/>
      <c r="BJ1229" s="1"/>
      <c r="BK1229" s="1"/>
      <c r="BL1229" s="1"/>
      <c r="BM1229" s="1"/>
      <c r="BN1229" s="1"/>
      <c r="BO1229" s="1"/>
      <c r="BP1229" s="1" t="s">
        <v>9609</v>
      </c>
      <c r="BQ1229" s="3"/>
      <c r="BR1229" s="3"/>
    </row>
    <row r="1230" spans="1:70">
      <c r="A1230" s="1" t="s">
        <v>70</v>
      </c>
      <c r="B1230" s="1" t="s">
        <v>13846</v>
      </c>
      <c r="C1230" s="1" t="s">
        <v>16128</v>
      </c>
      <c r="D1230" s="1"/>
      <c r="E1230" s="1"/>
      <c r="F1230" s="1"/>
      <c r="G1230" s="1"/>
      <c r="H1230" s="1" t="s">
        <v>16129</v>
      </c>
      <c r="I1230" s="1" t="s">
        <v>16129</v>
      </c>
      <c r="J1230" s="1"/>
      <c r="K1230" s="1"/>
      <c r="L1230" s="1"/>
      <c r="M1230" s="1"/>
      <c r="N1230" s="1"/>
      <c r="O1230" s="1"/>
      <c r="P1230" s="1"/>
      <c r="Q1230" s="1"/>
      <c r="R1230" s="1"/>
      <c r="S1230" s="1"/>
      <c r="T1230" s="1"/>
      <c r="U1230" s="1"/>
      <c r="V1230" s="1"/>
      <c r="W1230" s="1"/>
      <c r="X1230" s="1"/>
      <c r="Y1230" s="1"/>
      <c r="Z1230" s="1"/>
      <c r="AA1230" s="1"/>
      <c r="AB1230" s="1"/>
      <c r="AC1230" s="1"/>
      <c r="AD1230" s="1" t="s">
        <v>93</v>
      </c>
      <c r="AE1230" s="1" t="s">
        <v>93</v>
      </c>
      <c r="AF1230" s="1"/>
      <c r="AG1230" s="1"/>
      <c r="AH1230" s="1"/>
      <c r="AI1230" s="1"/>
      <c r="AJ1230" s="1"/>
      <c r="AK1230" s="1"/>
      <c r="AL1230" s="1"/>
      <c r="AM1230" s="1"/>
      <c r="AN1230" s="1"/>
      <c r="AO1230" s="1"/>
      <c r="AP1230" s="1"/>
      <c r="AQ1230" s="1"/>
      <c r="AR1230" s="1"/>
      <c r="AS1230" s="1"/>
      <c r="AT1230" s="1"/>
      <c r="AU1230" s="1"/>
      <c r="AV1230" s="1"/>
      <c r="AW1230" s="1"/>
      <c r="AX1230" s="1"/>
      <c r="AY1230" s="1"/>
      <c r="AZ1230" s="1"/>
      <c r="BA1230" s="1"/>
      <c r="BB1230" s="1"/>
      <c r="BC1230" s="1"/>
      <c r="BD1230" s="1"/>
      <c r="BE1230" s="1"/>
      <c r="BF1230" s="1"/>
      <c r="BG1230" s="1"/>
      <c r="BH1230" s="1"/>
      <c r="BI1230" s="1"/>
      <c r="BJ1230" s="1"/>
      <c r="BK1230" s="1"/>
      <c r="BL1230" s="1"/>
      <c r="BM1230" s="1"/>
      <c r="BN1230" s="1"/>
      <c r="BO1230" s="1"/>
      <c r="BP1230" s="1" t="s">
        <v>9609</v>
      </c>
      <c r="BQ1230" s="3"/>
      <c r="BR1230" s="3"/>
    </row>
    <row r="1231" spans="1:70">
      <c r="A1231" s="1" t="s">
        <v>70</v>
      </c>
      <c r="B1231" s="1" t="s">
        <v>13846</v>
      </c>
      <c r="C1231" s="1" t="s">
        <v>16130</v>
      </c>
      <c r="D1231" s="1"/>
      <c r="E1231" s="1"/>
      <c r="F1231" s="1"/>
      <c r="G1231" s="1"/>
      <c r="H1231" s="1" t="s">
        <v>16131</v>
      </c>
      <c r="I1231" s="1" t="s">
        <v>16131</v>
      </c>
      <c r="J1231" s="1"/>
      <c r="K1231" s="1"/>
      <c r="L1231" s="1"/>
      <c r="M1231" s="1"/>
      <c r="N1231" s="1"/>
      <c r="O1231" s="1"/>
      <c r="P1231" s="1"/>
      <c r="Q1231" s="1"/>
      <c r="R1231" s="1"/>
      <c r="S1231" s="1"/>
      <c r="T1231" s="1"/>
      <c r="U1231" s="1"/>
      <c r="V1231" s="1"/>
      <c r="W1231" s="1"/>
      <c r="X1231" s="1"/>
      <c r="Y1231" s="1"/>
      <c r="Z1231" s="1"/>
      <c r="AA1231" s="1"/>
      <c r="AB1231" s="1"/>
      <c r="AC1231" s="1"/>
      <c r="AD1231" s="1" t="s">
        <v>93</v>
      </c>
      <c r="AE1231" s="1" t="s">
        <v>93</v>
      </c>
      <c r="AF1231" s="1"/>
      <c r="AG1231" s="1"/>
      <c r="AH1231" s="1"/>
      <c r="AI1231" s="1"/>
      <c r="AJ1231" s="1"/>
      <c r="AK1231" s="1"/>
      <c r="AL1231" s="1"/>
      <c r="AM1231" s="1"/>
      <c r="AN1231" s="1"/>
      <c r="AO1231" s="1"/>
      <c r="AP1231" s="1"/>
      <c r="AQ1231" s="1"/>
      <c r="AR1231" s="1"/>
      <c r="AS1231" s="1"/>
      <c r="AT1231" s="1"/>
      <c r="AU1231" s="1"/>
      <c r="AV1231" s="1"/>
      <c r="AW1231" s="1"/>
      <c r="AX1231" s="1"/>
      <c r="AY1231" s="1"/>
      <c r="AZ1231" s="1"/>
      <c r="BA1231" s="1"/>
      <c r="BB1231" s="1"/>
      <c r="BC1231" s="1"/>
      <c r="BD1231" s="1"/>
      <c r="BE1231" s="1"/>
      <c r="BF1231" s="1"/>
      <c r="BG1231" s="1"/>
      <c r="BH1231" s="1"/>
      <c r="BI1231" s="1"/>
      <c r="BJ1231" s="1"/>
      <c r="BK1231" s="1"/>
      <c r="BL1231" s="1"/>
      <c r="BM1231" s="1"/>
      <c r="BN1231" s="1"/>
      <c r="BO1231" s="1"/>
      <c r="BP1231" s="1" t="s">
        <v>9609</v>
      </c>
      <c r="BQ1231" s="3"/>
      <c r="BR1231" s="3"/>
    </row>
    <row r="1232" spans="1:70">
      <c r="A1232" s="1" t="s">
        <v>70</v>
      </c>
      <c r="B1232" s="1" t="s">
        <v>13846</v>
      </c>
      <c r="C1232" s="1" t="s">
        <v>16132</v>
      </c>
      <c r="D1232" s="1"/>
      <c r="E1232" s="1"/>
      <c r="F1232" s="1"/>
      <c r="G1232" s="1"/>
      <c r="H1232" s="1" t="s">
        <v>16133</v>
      </c>
      <c r="I1232" s="1" t="s">
        <v>16133</v>
      </c>
      <c r="J1232" s="1"/>
      <c r="K1232" s="1"/>
      <c r="L1232" s="1"/>
      <c r="M1232" s="1"/>
      <c r="N1232" s="1"/>
      <c r="O1232" s="1"/>
      <c r="P1232" s="1"/>
      <c r="Q1232" s="1"/>
      <c r="R1232" s="1"/>
      <c r="S1232" s="1"/>
      <c r="T1232" s="1"/>
      <c r="U1232" s="1"/>
      <c r="V1232" s="1"/>
      <c r="W1232" s="1"/>
      <c r="X1232" s="1"/>
      <c r="Y1232" s="1"/>
      <c r="Z1232" s="1"/>
      <c r="AA1232" s="1"/>
      <c r="AB1232" s="1"/>
      <c r="AC1232" s="1"/>
      <c r="AD1232" s="1" t="s">
        <v>93</v>
      </c>
      <c r="AE1232" s="1" t="s">
        <v>93</v>
      </c>
      <c r="AF1232" s="1"/>
      <c r="AG1232" s="1"/>
      <c r="AH1232" s="1"/>
      <c r="AI1232" s="1"/>
      <c r="AJ1232" s="1"/>
      <c r="AK1232" s="1"/>
      <c r="AL1232" s="1"/>
      <c r="AM1232" s="1"/>
      <c r="AN1232" s="1"/>
      <c r="AO1232" s="1"/>
      <c r="AP1232" s="1"/>
      <c r="AQ1232" s="1"/>
      <c r="AR1232" s="1"/>
      <c r="AS1232" s="1"/>
      <c r="AT1232" s="1"/>
      <c r="AU1232" s="1"/>
      <c r="AV1232" s="1"/>
      <c r="AW1232" s="1"/>
      <c r="AX1232" s="1"/>
      <c r="AY1232" s="1"/>
      <c r="AZ1232" s="1"/>
      <c r="BA1232" s="1"/>
      <c r="BB1232" s="1"/>
      <c r="BC1232" s="1"/>
      <c r="BD1232" s="1"/>
      <c r="BE1232" s="1"/>
      <c r="BF1232" s="1"/>
      <c r="BG1232" s="1"/>
      <c r="BH1232" s="1"/>
      <c r="BI1232" s="1"/>
      <c r="BJ1232" s="1"/>
      <c r="BK1232" s="1"/>
      <c r="BL1232" s="1"/>
      <c r="BM1232" s="1"/>
      <c r="BN1232" s="1"/>
      <c r="BO1232" s="1"/>
      <c r="BP1232" s="1" t="s">
        <v>9609</v>
      </c>
      <c r="BQ1232" s="3"/>
      <c r="BR1232" s="3"/>
    </row>
    <row r="1233" spans="1:70">
      <c r="A1233" s="1" t="s">
        <v>70</v>
      </c>
      <c r="B1233" s="1" t="s">
        <v>13846</v>
      </c>
      <c r="C1233" s="1" t="s">
        <v>16134</v>
      </c>
      <c r="D1233" s="1"/>
      <c r="E1233" s="1"/>
      <c r="F1233" s="1"/>
      <c r="G1233" s="1"/>
      <c r="H1233" s="1" t="s">
        <v>16135</v>
      </c>
      <c r="I1233" s="1" t="s">
        <v>16135</v>
      </c>
      <c r="J1233" s="1"/>
      <c r="K1233" s="1"/>
      <c r="L1233" s="1"/>
      <c r="M1233" s="1"/>
      <c r="N1233" s="1"/>
      <c r="O1233" s="1"/>
      <c r="P1233" s="1"/>
      <c r="Q1233" s="1"/>
      <c r="R1233" s="1"/>
      <c r="S1233" s="1"/>
      <c r="T1233" s="1"/>
      <c r="U1233" s="1"/>
      <c r="V1233" s="1"/>
      <c r="W1233" s="1"/>
      <c r="X1233" s="1"/>
      <c r="Y1233" s="1"/>
      <c r="Z1233" s="1"/>
      <c r="AA1233" s="1"/>
      <c r="AB1233" s="1"/>
      <c r="AC1233" s="1"/>
      <c r="AD1233" s="1" t="s">
        <v>93</v>
      </c>
      <c r="AE1233" s="1" t="s">
        <v>93</v>
      </c>
      <c r="AF1233" s="1"/>
      <c r="AG1233" s="1"/>
      <c r="AH1233" s="1"/>
      <c r="AI1233" s="1"/>
      <c r="AJ1233" s="1"/>
      <c r="AK1233" s="1"/>
      <c r="AL1233" s="1"/>
      <c r="AM1233" s="1"/>
      <c r="AN1233" s="1"/>
      <c r="AO1233" s="1"/>
      <c r="AP1233" s="1"/>
      <c r="AQ1233" s="1"/>
      <c r="AR1233" s="1"/>
      <c r="AS1233" s="1"/>
      <c r="AT1233" s="1"/>
      <c r="AU1233" s="1"/>
      <c r="AV1233" s="1"/>
      <c r="AW1233" s="1"/>
      <c r="AX1233" s="1"/>
      <c r="AY1233" s="1"/>
      <c r="AZ1233" s="1"/>
      <c r="BA1233" s="1"/>
      <c r="BB1233" s="1"/>
      <c r="BC1233" s="1"/>
      <c r="BD1233" s="1"/>
      <c r="BE1233" s="1"/>
      <c r="BF1233" s="1"/>
      <c r="BG1233" s="1"/>
      <c r="BH1233" s="1"/>
      <c r="BI1233" s="1"/>
      <c r="BJ1233" s="1"/>
      <c r="BK1233" s="1"/>
      <c r="BL1233" s="1"/>
      <c r="BM1233" s="1"/>
      <c r="BN1233" s="1"/>
      <c r="BO1233" s="1"/>
      <c r="BP1233" s="1" t="s">
        <v>9609</v>
      </c>
      <c r="BQ1233" s="3"/>
      <c r="BR1233" s="3"/>
    </row>
    <row r="1234" spans="1:70">
      <c r="A1234" s="1" t="s">
        <v>70</v>
      </c>
      <c r="B1234" s="1" t="s">
        <v>13846</v>
      </c>
      <c r="C1234" s="1" t="s">
        <v>16136</v>
      </c>
      <c r="D1234" s="1"/>
      <c r="E1234" s="1"/>
      <c r="F1234" s="1"/>
      <c r="G1234" s="1"/>
      <c r="H1234" s="1" t="s">
        <v>16137</v>
      </c>
      <c r="I1234" s="1" t="s">
        <v>16137</v>
      </c>
      <c r="J1234" s="1"/>
      <c r="K1234" s="1"/>
      <c r="L1234" s="1"/>
      <c r="M1234" s="1"/>
      <c r="N1234" s="1"/>
      <c r="O1234" s="1"/>
      <c r="P1234" s="1"/>
      <c r="Q1234" s="1"/>
      <c r="R1234" s="1"/>
      <c r="S1234" s="1"/>
      <c r="T1234" s="1"/>
      <c r="U1234" s="1"/>
      <c r="V1234" s="1"/>
      <c r="W1234" s="1"/>
      <c r="X1234" s="1"/>
      <c r="Y1234" s="1"/>
      <c r="Z1234" s="1"/>
      <c r="AA1234" s="1"/>
      <c r="AB1234" s="1"/>
      <c r="AC1234" s="1"/>
      <c r="AD1234" s="1" t="s">
        <v>93</v>
      </c>
      <c r="AE1234" s="1" t="s">
        <v>93</v>
      </c>
      <c r="AF1234" s="1"/>
      <c r="AG1234" s="1"/>
      <c r="AH1234" s="1"/>
      <c r="AI1234" s="1"/>
      <c r="AJ1234" s="1"/>
      <c r="AK1234" s="1"/>
      <c r="AL1234" s="1"/>
      <c r="AM1234" s="1"/>
      <c r="AN1234" s="1"/>
      <c r="AO1234" s="1"/>
      <c r="AP1234" s="1"/>
      <c r="AQ1234" s="1"/>
      <c r="AR1234" s="1"/>
      <c r="AS1234" s="1"/>
      <c r="AT1234" s="1"/>
      <c r="AU1234" s="1"/>
      <c r="AV1234" s="1"/>
      <c r="AW1234" s="1"/>
      <c r="AX1234" s="1"/>
      <c r="AY1234" s="1"/>
      <c r="AZ1234" s="1"/>
      <c r="BA1234" s="1"/>
      <c r="BB1234" s="1"/>
      <c r="BC1234" s="1"/>
      <c r="BD1234" s="1"/>
      <c r="BE1234" s="1"/>
      <c r="BF1234" s="1"/>
      <c r="BG1234" s="1"/>
      <c r="BH1234" s="1"/>
      <c r="BI1234" s="1"/>
      <c r="BJ1234" s="1"/>
      <c r="BK1234" s="1"/>
      <c r="BL1234" s="1"/>
      <c r="BM1234" s="1"/>
      <c r="BN1234" s="1"/>
      <c r="BO1234" s="1"/>
      <c r="BP1234" s="1" t="s">
        <v>9609</v>
      </c>
      <c r="BQ1234" s="3"/>
      <c r="BR1234" s="3"/>
    </row>
    <row r="1235" spans="1:70">
      <c r="A1235" s="1" t="s">
        <v>70</v>
      </c>
      <c r="B1235" s="1" t="s">
        <v>13846</v>
      </c>
      <c r="C1235" s="1" t="s">
        <v>16138</v>
      </c>
      <c r="D1235" s="1"/>
      <c r="E1235" s="1"/>
      <c r="F1235" s="1"/>
      <c r="G1235" s="1"/>
      <c r="H1235" s="1" t="s">
        <v>16139</v>
      </c>
      <c r="I1235" s="1" t="s">
        <v>16139</v>
      </c>
      <c r="J1235" s="1"/>
      <c r="K1235" s="1"/>
      <c r="L1235" s="1"/>
      <c r="M1235" s="1"/>
      <c r="N1235" s="1"/>
      <c r="O1235" s="1"/>
      <c r="P1235" s="1"/>
      <c r="Q1235" s="1"/>
      <c r="R1235" s="1"/>
      <c r="S1235" s="1"/>
      <c r="T1235" s="1"/>
      <c r="U1235" s="1"/>
      <c r="V1235" s="1"/>
      <c r="W1235" s="1"/>
      <c r="X1235" s="1"/>
      <c r="Y1235" s="1"/>
      <c r="Z1235" s="1"/>
      <c r="AA1235" s="1"/>
      <c r="AB1235" s="1"/>
      <c r="AC1235" s="1"/>
      <c r="AD1235" s="1" t="s">
        <v>93</v>
      </c>
      <c r="AE1235" s="1" t="s">
        <v>93</v>
      </c>
      <c r="AF1235" s="1"/>
      <c r="AG1235" s="1"/>
      <c r="AH1235" s="1"/>
      <c r="AI1235" s="1"/>
      <c r="AJ1235" s="1"/>
      <c r="AK1235" s="1"/>
      <c r="AL1235" s="1"/>
      <c r="AM1235" s="1"/>
      <c r="AN1235" s="1"/>
      <c r="AO1235" s="1"/>
      <c r="AP1235" s="1"/>
      <c r="AQ1235" s="1"/>
      <c r="AR1235" s="1"/>
      <c r="AS1235" s="1"/>
      <c r="AT1235" s="1"/>
      <c r="AU1235" s="1"/>
      <c r="AV1235" s="1"/>
      <c r="AW1235" s="1"/>
      <c r="AX1235" s="1"/>
      <c r="AY1235" s="1"/>
      <c r="AZ1235" s="1"/>
      <c r="BA1235" s="1"/>
      <c r="BB1235" s="1"/>
      <c r="BC1235" s="1"/>
      <c r="BD1235" s="1"/>
      <c r="BE1235" s="1"/>
      <c r="BF1235" s="1"/>
      <c r="BG1235" s="1"/>
      <c r="BH1235" s="1"/>
      <c r="BI1235" s="1"/>
      <c r="BJ1235" s="1"/>
      <c r="BK1235" s="1"/>
      <c r="BL1235" s="1"/>
      <c r="BM1235" s="1"/>
      <c r="BN1235" s="1"/>
      <c r="BO1235" s="1"/>
      <c r="BP1235" s="1" t="s">
        <v>9609</v>
      </c>
      <c r="BQ1235" s="3"/>
      <c r="BR1235" s="3"/>
    </row>
    <row r="1236" spans="1:70">
      <c r="A1236" s="1" t="s">
        <v>70</v>
      </c>
      <c r="B1236" s="1" t="s">
        <v>13846</v>
      </c>
      <c r="C1236" s="1" t="s">
        <v>16140</v>
      </c>
      <c r="D1236" s="1"/>
      <c r="E1236" s="1"/>
      <c r="F1236" s="1"/>
      <c r="G1236" s="1"/>
      <c r="H1236" s="1" t="s">
        <v>16141</v>
      </c>
      <c r="I1236" s="1" t="s">
        <v>16141</v>
      </c>
      <c r="J1236" s="1"/>
      <c r="K1236" s="1"/>
      <c r="L1236" s="1"/>
      <c r="M1236" s="1"/>
      <c r="N1236" s="1"/>
      <c r="O1236" s="1"/>
      <c r="P1236" s="1"/>
      <c r="Q1236" s="1"/>
      <c r="R1236" s="1"/>
      <c r="S1236" s="1"/>
      <c r="T1236" s="1"/>
      <c r="U1236" s="1"/>
      <c r="V1236" s="1"/>
      <c r="W1236" s="1"/>
      <c r="X1236" s="1"/>
      <c r="Y1236" s="1"/>
      <c r="Z1236" s="1"/>
      <c r="AA1236" s="1"/>
      <c r="AB1236" s="1"/>
      <c r="AC1236" s="1"/>
      <c r="AD1236" s="1" t="s">
        <v>93</v>
      </c>
      <c r="AE1236" s="1" t="s">
        <v>93</v>
      </c>
      <c r="AF1236" s="1"/>
      <c r="AG1236" s="1"/>
      <c r="AH1236" s="1"/>
      <c r="AI1236" s="1"/>
      <c r="AJ1236" s="1"/>
      <c r="AK1236" s="1"/>
      <c r="AL1236" s="1"/>
      <c r="AM1236" s="1"/>
      <c r="AN1236" s="1"/>
      <c r="AO1236" s="1"/>
      <c r="AP1236" s="1"/>
      <c r="AQ1236" s="1"/>
      <c r="AR1236" s="1"/>
      <c r="AS1236" s="1"/>
      <c r="AT1236" s="1"/>
      <c r="AU1236" s="1"/>
      <c r="AV1236" s="1"/>
      <c r="AW1236" s="1"/>
      <c r="AX1236" s="1"/>
      <c r="AY1236" s="1"/>
      <c r="AZ1236" s="1"/>
      <c r="BA1236" s="1"/>
      <c r="BB1236" s="1"/>
      <c r="BC1236" s="1"/>
      <c r="BD1236" s="1"/>
      <c r="BE1236" s="1"/>
      <c r="BF1236" s="1"/>
      <c r="BG1236" s="1"/>
      <c r="BH1236" s="1"/>
      <c r="BI1236" s="1"/>
      <c r="BJ1236" s="1"/>
      <c r="BK1236" s="1"/>
      <c r="BL1236" s="1"/>
      <c r="BM1236" s="1"/>
      <c r="BN1236" s="1"/>
      <c r="BO1236" s="1"/>
      <c r="BP1236" s="1" t="s">
        <v>9609</v>
      </c>
      <c r="BQ1236" s="3"/>
      <c r="BR1236" s="3"/>
    </row>
    <row r="1237" spans="1:70">
      <c r="A1237" s="1" t="s">
        <v>70</v>
      </c>
      <c r="B1237" s="1" t="s">
        <v>13846</v>
      </c>
      <c r="C1237" s="1" t="s">
        <v>16142</v>
      </c>
      <c r="D1237" s="1"/>
      <c r="E1237" s="1"/>
      <c r="F1237" s="1"/>
      <c r="G1237" s="1"/>
      <c r="H1237" s="1" t="s">
        <v>16143</v>
      </c>
      <c r="I1237" s="1" t="s">
        <v>16143</v>
      </c>
      <c r="J1237" s="1"/>
      <c r="K1237" s="1"/>
      <c r="L1237" s="1"/>
      <c r="M1237" s="1"/>
      <c r="N1237" s="1"/>
      <c r="O1237" s="1"/>
      <c r="P1237" s="1"/>
      <c r="Q1237" s="1"/>
      <c r="R1237" s="1"/>
      <c r="S1237" s="1"/>
      <c r="T1237" s="1"/>
      <c r="U1237" s="1"/>
      <c r="V1237" s="1"/>
      <c r="W1237" s="1"/>
      <c r="X1237" s="1"/>
      <c r="Y1237" s="1"/>
      <c r="Z1237" s="1"/>
      <c r="AA1237" s="1"/>
      <c r="AB1237" s="1"/>
      <c r="AC1237" s="1"/>
      <c r="AD1237" s="1" t="s">
        <v>93</v>
      </c>
      <c r="AE1237" s="1" t="s">
        <v>93</v>
      </c>
      <c r="AF1237" s="1"/>
      <c r="AG1237" s="1"/>
      <c r="AH1237" s="1"/>
      <c r="AI1237" s="1"/>
      <c r="AJ1237" s="1"/>
      <c r="AK1237" s="1"/>
      <c r="AL1237" s="1"/>
      <c r="AM1237" s="1"/>
      <c r="AN1237" s="1"/>
      <c r="AO1237" s="1"/>
      <c r="AP1237" s="1"/>
      <c r="AQ1237" s="1"/>
      <c r="AR1237" s="1"/>
      <c r="AS1237" s="1"/>
      <c r="AT1237" s="1"/>
      <c r="AU1237" s="1"/>
      <c r="AV1237" s="1"/>
      <c r="AW1237" s="1"/>
      <c r="AX1237" s="1"/>
      <c r="AY1237" s="1"/>
      <c r="AZ1237" s="1"/>
      <c r="BA1237" s="1"/>
      <c r="BB1237" s="1"/>
      <c r="BC1237" s="1"/>
      <c r="BD1237" s="1"/>
      <c r="BE1237" s="1"/>
      <c r="BF1237" s="1"/>
      <c r="BG1237" s="1"/>
      <c r="BH1237" s="1"/>
      <c r="BI1237" s="1"/>
      <c r="BJ1237" s="1"/>
      <c r="BK1237" s="1"/>
      <c r="BL1237" s="1"/>
      <c r="BM1237" s="1"/>
      <c r="BN1237" s="1"/>
      <c r="BO1237" s="1"/>
      <c r="BP1237" s="1" t="s">
        <v>9609</v>
      </c>
      <c r="BQ1237" s="3"/>
      <c r="BR1237" s="3"/>
    </row>
    <row r="1238" spans="1:70">
      <c r="A1238" s="1" t="s">
        <v>70</v>
      </c>
      <c r="B1238" s="1" t="s">
        <v>13846</v>
      </c>
      <c r="C1238" s="1" t="s">
        <v>16144</v>
      </c>
      <c r="D1238" s="1"/>
      <c r="E1238" s="1"/>
      <c r="F1238" s="1"/>
      <c r="G1238" s="1"/>
      <c r="H1238" s="1" t="s">
        <v>16145</v>
      </c>
      <c r="I1238" s="1" t="s">
        <v>16145</v>
      </c>
      <c r="J1238" s="1"/>
      <c r="K1238" s="1"/>
      <c r="L1238" s="1"/>
      <c r="M1238" s="1"/>
      <c r="N1238" s="1"/>
      <c r="O1238" s="1"/>
      <c r="P1238" s="1"/>
      <c r="Q1238" s="1"/>
      <c r="R1238" s="1"/>
      <c r="S1238" s="1"/>
      <c r="T1238" s="1"/>
      <c r="U1238" s="1"/>
      <c r="V1238" s="1"/>
      <c r="W1238" s="1"/>
      <c r="X1238" s="1"/>
      <c r="Y1238" s="1"/>
      <c r="Z1238" s="1"/>
      <c r="AA1238" s="1"/>
      <c r="AB1238" s="1"/>
      <c r="AC1238" s="1"/>
      <c r="AD1238" s="1" t="s">
        <v>93</v>
      </c>
      <c r="AE1238" s="1" t="s">
        <v>93</v>
      </c>
      <c r="AF1238" s="1"/>
      <c r="AG1238" s="1"/>
      <c r="AH1238" s="1"/>
      <c r="AI1238" s="1"/>
      <c r="AJ1238" s="1"/>
      <c r="AK1238" s="1"/>
      <c r="AL1238" s="1"/>
      <c r="AM1238" s="1"/>
      <c r="AN1238" s="1"/>
      <c r="AO1238" s="1"/>
      <c r="AP1238" s="1"/>
      <c r="AQ1238" s="1"/>
      <c r="AR1238" s="1"/>
      <c r="AS1238" s="1"/>
      <c r="AT1238" s="1"/>
      <c r="AU1238" s="1"/>
      <c r="AV1238" s="1"/>
      <c r="AW1238" s="1"/>
      <c r="AX1238" s="1"/>
      <c r="AY1238" s="1"/>
      <c r="AZ1238" s="1"/>
      <c r="BA1238" s="1"/>
      <c r="BB1238" s="1"/>
      <c r="BC1238" s="1"/>
      <c r="BD1238" s="1"/>
      <c r="BE1238" s="1"/>
      <c r="BF1238" s="1"/>
      <c r="BG1238" s="1"/>
      <c r="BH1238" s="1"/>
      <c r="BI1238" s="1"/>
      <c r="BJ1238" s="1"/>
      <c r="BK1238" s="1"/>
      <c r="BL1238" s="1"/>
      <c r="BM1238" s="1"/>
      <c r="BN1238" s="1"/>
      <c r="BO1238" s="1"/>
      <c r="BP1238" s="1" t="s">
        <v>9609</v>
      </c>
      <c r="BQ1238" s="3"/>
      <c r="BR1238" s="3"/>
    </row>
    <row r="1239" spans="1:70">
      <c r="A1239" s="1" t="s">
        <v>70</v>
      </c>
      <c r="B1239" s="1" t="s">
        <v>13846</v>
      </c>
      <c r="C1239" s="1" t="s">
        <v>16146</v>
      </c>
      <c r="D1239" s="1"/>
      <c r="E1239" s="1"/>
      <c r="F1239" s="1"/>
      <c r="G1239" s="1"/>
      <c r="H1239" s="1" t="s">
        <v>16147</v>
      </c>
      <c r="I1239" s="1" t="s">
        <v>16147</v>
      </c>
      <c r="J1239" s="1"/>
      <c r="K1239" s="1"/>
      <c r="L1239" s="1"/>
      <c r="M1239" s="1"/>
      <c r="N1239" s="1"/>
      <c r="O1239" s="1"/>
      <c r="P1239" s="1"/>
      <c r="Q1239" s="1"/>
      <c r="R1239" s="1"/>
      <c r="S1239" s="1"/>
      <c r="T1239" s="1"/>
      <c r="U1239" s="1"/>
      <c r="V1239" s="1"/>
      <c r="W1239" s="1"/>
      <c r="X1239" s="1"/>
      <c r="Y1239" s="1"/>
      <c r="Z1239" s="1"/>
      <c r="AA1239" s="1"/>
      <c r="AB1239" s="1"/>
      <c r="AC1239" s="1"/>
      <c r="AD1239" s="1" t="s">
        <v>93</v>
      </c>
      <c r="AE1239" s="1" t="s">
        <v>93</v>
      </c>
      <c r="AF1239" s="1"/>
      <c r="AG1239" s="1"/>
      <c r="AH1239" s="1"/>
      <c r="AI1239" s="1"/>
      <c r="AJ1239" s="1"/>
      <c r="AK1239" s="1"/>
      <c r="AL1239" s="1"/>
      <c r="AM1239" s="1"/>
      <c r="AN1239" s="1"/>
      <c r="AO1239" s="1"/>
      <c r="AP1239" s="1"/>
      <c r="AQ1239" s="1"/>
      <c r="AR1239" s="1"/>
      <c r="AS1239" s="1"/>
      <c r="AT1239" s="1"/>
      <c r="AU1239" s="1"/>
      <c r="AV1239" s="1"/>
      <c r="AW1239" s="1"/>
      <c r="AX1239" s="1"/>
      <c r="AY1239" s="1"/>
      <c r="AZ1239" s="1"/>
      <c r="BA1239" s="1"/>
      <c r="BB1239" s="1"/>
      <c r="BC1239" s="1"/>
      <c r="BD1239" s="1"/>
      <c r="BE1239" s="1"/>
      <c r="BF1239" s="1"/>
      <c r="BG1239" s="1"/>
      <c r="BH1239" s="1"/>
      <c r="BI1239" s="1"/>
      <c r="BJ1239" s="1"/>
      <c r="BK1239" s="1"/>
      <c r="BL1239" s="1"/>
      <c r="BM1239" s="1"/>
      <c r="BN1239" s="1"/>
      <c r="BO1239" s="1"/>
      <c r="BP1239" s="1" t="s">
        <v>9609</v>
      </c>
      <c r="BQ1239" s="3"/>
      <c r="BR1239" s="3"/>
    </row>
    <row r="1240" spans="1:70">
      <c r="A1240" s="1" t="s">
        <v>70</v>
      </c>
      <c r="B1240" s="1" t="s">
        <v>13846</v>
      </c>
      <c r="C1240" s="1" t="s">
        <v>16148</v>
      </c>
      <c r="D1240" s="1"/>
      <c r="E1240" s="1"/>
      <c r="F1240" s="1"/>
      <c r="G1240" s="1"/>
      <c r="H1240" s="1" t="s">
        <v>16149</v>
      </c>
      <c r="I1240" s="1" t="s">
        <v>16149</v>
      </c>
      <c r="J1240" s="1"/>
      <c r="K1240" s="1"/>
      <c r="L1240" s="1"/>
      <c r="M1240" s="1"/>
      <c r="N1240" s="1"/>
      <c r="O1240" s="1"/>
      <c r="P1240" s="1"/>
      <c r="Q1240" s="1"/>
      <c r="R1240" s="1"/>
      <c r="S1240" s="1"/>
      <c r="T1240" s="1"/>
      <c r="U1240" s="1"/>
      <c r="V1240" s="1"/>
      <c r="W1240" s="1"/>
      <c r="X1240" s="1"/>
      <c r="Y1240" s="1"/>
      <c r="Z1240" s="1"/>
      <c r="AA1240" s="1"/>
      <c r="AB1240" s="1"/>
      <c r="AC1240" s="1"/>
      <c r="AD1240" s="1" t="s">
        <v>93</v>
      </c>
      <c r="AE1240" s="1" t="s">
        <v>93</v>
      </c>
      <c r="AF1240" s="1"/>
      <c r="AG1240" s="1"/>
      <c r="AH1240" s="1"/>
      <c r="AI1240" s="1"/>
      <c r="AJ1240" s="1"/>
      <c r="AK1240" s="1"/>
      <c r="AL1240" s="1"/>
      <c r="AM1240" s="1"/>
      <c r="AN1240" s="1"/>
      <c r="AO1240" s="1"/>
      <c r="AP1240" s="1"/>
      <c r="AQ1240" s="1"/>
      <c r="AR1240" s="1"/>
      <c r="AS1240" s="1"/>
      <c r="AT1240" s="1"/>
      <c r="AU1240" s="1"/>
      <c r="AV1240" s="1"/>
      <c r="AW1240" s="1"/>
      <c r="AX1240" s="1"/>
      <c r="AY1240" s="1"/>
      <c r="AZ1240" s="1"/>
      <c r="BA1240" s="1"/>
      <c r="BB1240" s="1"/>
      <c r="BC1240" s="1"/>
      <c r="BD1240" s="1"/>
      <c r="BE1240" s="1"/>
      <c r="BF1240" s="1"/>
      <c r="BG1240" s="1"/>
      <c r="BH1240" s="1"/>
      <c r="BI1240" s="1"/>
      <c r="BJ1240" s="1"/>
      <c r="BK1240" s="1"/>
      <c r="BL1240" s="1"/>
      <c r="BM1240" s="1"/>
      <c r="BN1240" s="1"/>
      <c r="BO1240" s="1"/>
      <c r="BP1240" s="1" t="s">
        <v>9609</v>
      </c>
      <c r="BQ1240" s="3"/>
      <c r="BR1240" s="3"/>
    </row>
    <row r="1241" spans="1:70">
      <c r="A1241" s="1" t="s">
        <v>70</v>
      </c>
      <c r="B1241" s="1" t="s">
        <v>13846</v>
      </c>
      <c r="C1241" s="1" t="s">
        <v>16150</v>
      </c>
      <c r="D1241" s="1"/>
      <c r="E1241" s="1"/>
      <c r="F1241" s="1"/>
      <c r="G1241" s="1"/>
      <c r="H1241" s="1" t="s">
        <v>16151</v>
      </c>
      <c r="I1241" s="1" t="s">
        <v>16151</v>
      </c>
      <c r="J1241" s="1"/>
      <c r="K1241" s="1"/>
      <c r="L1241" s="1"/>
      <c r="M1241" s="1"/>
      <c r="N1241" s="1"/>
      <c r="O1241" s="1"/>
      <c r="P1241" s="1"/>
      <c r="Q1241" s="1"/>
      <c r="R1241" s="1"/>
      <c r="S1241" s="1"/>
      <c r="T1241" s="1"/>
      <c r="U1241" s="1"/>
      <c r="V1241" s="1"/>
      <c r="W1241" s="1"/>
      <c r="X1241" s="1"/>
      <c r="Y1241" s="1"/>
      <c r="Z1241" s="1"/>
      <c r="AA1241" s="1"/>
      <c r="AB1241" s="1"/>
      <c r="AC1241" s="1"/>
      <c r="AD1241" s="1" t="s">
        <v>93</v>
      </c>
      <c r="AE1241" s="1" t="s">
        <v>93</v>
      </c>
      <c r="AF1241" s="1"/>
      <c r="AG1241" s="1"/>
      <c r="AH1241" s="1"/>
      <c r="AI1241" s="1"/>
      <c r="AJ1241" s="1"/>
      <c r="AK1241" s="1"/>
      <c r="AL1241" s="1"/>
      <c r="AM1241" s="1"/>
      <c r="AN1241" s="1"/>
      <c r="AO1241" s="1"/>
      <c r="AP1241" s="1"/>
      <c r="AQ1241" s="1"/>
      <c r="AR1241" s="1"/>
      <c r="AS1241" s="1"/>
      <c r="AT1241" s="1"/>
      <c r="AU1241" s="1"/>
      <c r="AV1241" s="1"/>
      <c r="AW1241" s="1"/>
      <c r="AX1241" s="1"/>
      <c r="AY1241" s="1"/>
      <c r="AZ1241" s="1"/>
      <c r="BA1241" s="1"/>
      <c r="BB1241" s="1"/>
      <c r="BC1241" s="1"/>
      <c r="BD1241" s="1"/>
      <c r="BE1241" s="1"/>
      <c r="BF1241" s="1"/>
      <c r="BG1241" s="1"/>
      <c r="BH1241" s="1"/>
      <c r="BI1241" s="1"/>
      <c r="BJ1241" s="1"/>
      <c r="BK1241" s="1"/>
      <c r="BL1241" s="1"/>
      <c r="BM1241" s="1"/>
      <c r="BN1241" s="1"/>
      <c r="BO1241" s="1"/>
      <c r="BP1241" s="1" t="s">
        <v>9609</v>
      </c>
      <c r="BQ1241" s="3"/>
      <c r="BR1241" s="3"/>
    </row>
    <row r="1242" spans="1:70">
      <c r="A1242" s="1" t="s">
        <v>70</v>
      </c>
      <c r="B1242" s="1" t="s">
        <v>13846</v>
      </c>
      <c r="C1242" s="1" t="s">
        <v>16152</v>
      </c>
      <c r="D1242" s="1"/>
      <c r="E1242" s="1"/>
      <c r="F1242" s="1"/>
      <c r="G1242" s="1"/>
      <c r="H1242" s="1" t="s">
        <v>16153</v>
      </c>
      <c r="I1242" s="1" t="s">
        <v>16153</v>
      </c>
      <c r="J1242" s="1"/>
      <c r="K1242" s="1"/>
      <c r="L1242" s="1"/>
      <c r="M1242" s="1"/>
      <c r="N1242" s="1"/>
      <c r="O1242" s="1"/>
      <c r="P1242" s="1"/>
      <c r="Q1242" s="1"/>
      <c r="R1242" s="1"/>
      <c r="S1242" s="1"/>
      <c r="T1242" s="1"/>
      <c r="U1242" s="1"/>
      <c r="V1242" s="1"/>
      <c r="W1242" s="1"/>
      <c r="X1242" s="1"/>
      <c r="Y1242" s="1"/>
      <c r="Z1242" s="1"/>
      <c r="AA1242" s="1"/>
      <c r="AB1242" s="1"/>
      <c r="AC1242" s="1"/>
      <c r="AD1242" s="1" t="s">
        <v>93</v>
      </c>
      <c r="AE1242" s="1" t="s">
        <v>93</v>
      </c>
      <c r="AF1242" s="1"/>
      <c r="AG1242" s="1"/>
      <c r="AH1242" s="1"/>
      <c r="AI1242" s="1"/>
      <c r="AJ1242" s="1"/>
      <c r="AK1242" s="1"/>
      <c r="AL1242" s="1"/>
      <c r="AM1242" s="1"/>
      <c r="AN1242" s="1"/>
      <c r="AO1242" s="1"/>
      <c r="AP1242" s="1"/>
      <c r="AQ1242" s="1"/>
      <c r="AR1242" s="1"/>
      <c r="AS1242" s="1"/>
      <c r="AT1242" s="1"/>
      <c r="AU1242" s="1"/>
      <c r="AV1242" s="1"/>
      <c r="AW1242" s="1"/>
      <c r="AX1242" s="1"/>
      <c r="AY1242" s="1"/>
      <c r="AZ1242" s="1"/>
      <c r="BA1242" s="1"/>
      <c r="BB1242" s="1"/>
      <c r="BC1242" s="1"/>
      <c r="BD1242" s="1"/>
      <c r="BE1242" s="1"/>
      <c r="BF1242" s="1"/>
      <c r="BG1242" s="1"/>
      <c r="BH1242" s="1"/>
      <c r="BI1242" s="1"/>
      <c r="BJ1242" s="1"/>
      <c r="BK1242" s="1"/>
      <c r="BL1242" s="1"/>
      <c r="BM1242" s="1"/>
      <c r="BN1242" s="1"/>
      <c r="BO1242" s="1"/>
      <c r="BP1242" s="1" t="s">
        <v>9609</v>
      </c>
      <c r="BQ1242" s="3"/>
      <c r="BR1242" s="3"/>
    </row>
    <row r="1243" spans="1:70">
      <c r="A1243" s="1" t="s">
        <v>70</v>
      </c>
      <c r="B1243" s="1" t="s">
        <v>13846</v>
      </c>
      <c r="C1243" s="1" t="s">
        <v>16154</v>
      </c>
      <c r="D1243" s="1"/>
      <c r="E1243" s="1"/>
      <c r="F1243" s="1"/>
      <c r="G1243" s="1"/>
      <c r="H1243" s="1" t="s">
        <v>16155</v>
      </c>
      <c r="I1243" s="1" t="s">
        <v>16155</v>
      </c>
      <c r="J1243" s="1"/>
      <c r="K1243" s="1"/>
      <c r="L1243" s="1"/>
      <c r="M1243" s="1"/>
      <c r="N1243" s="1"/>
      <c r="O1243" s="1"/>
      <c r="P1243" s="1"/>
      <c r="Q1243" s="1"/>
      <c r="R1243" s="1"/>
      <c r="S1243" s="1"/>
      <c r="T1243" s="1"/>
      <c r="U1243" s="1"/>
      <c r="V1243" s="1"/>
      <c r="W1243" s="1"/>
      <c r="X1243" s="1"/>
      <c r="Y1243" s="1"/>
      <c r="Z1243" s="1"/>
      <c r="AA1243" s="1"/>
      <c r="AB1243" s="1"/>
      <c r="AC1243" s="1"/>
      <c r="AD1243" s="1" t="s">
        <v>93</v>
      </c>
      <c r="AE1243" s="1" t="s">
        <v>93</v>
      </c>
      <c r="AF1243" s="1"/>
      <c r="AG1243" s="1"/>
      <c r="AH1243" s="1"/>
      <c r="AI1243" s="1"/>
      <c r="AJ1243" s="1"/>
      <c r="AK1243" s="1"/>
      <c r="AL1243" s="1"/>
      <c r="AM1243" s="1"/>
      <c r="AN1243" s="1"/>
      <c r="AO1243" s="1"/>
      <c r="AP1243" s="1"/>
      <c r="AQ1243" s="1"/>
      <c r="AR1243" s="1"/>
      <c r="AS1243" s="1"/>
      <c r="AT1243" s="1"/>
      <c r="AU1243" s="1"/>
      <c r="AV1243" s="1"/>
      <c r="AW1243" s="1"/>
      <c r="AX1243" s="1"/>
      <c r="AY1243" s="1"/>
      <c r="AZ1243" s="1"/>
      <c r="BA1243" s="1"/>
      <c r="BB1243" s="1"/>
      <c r="BC1243" s="1"/>
      <c r="BD1243" s="1"/>
      <c r="BE1243" s="1"/>
      <c r="BF1243" s="1"/>
      <c r="BG1243" s="1"/>
      <c r="BH1243" s="1"/>
      <c r="BI1243" s="1"/>
      <c r="BJ1243" s="1"/>
      <c r="BK1243" s="1"/>
      <c r="BL1243" s="1"/>
      <c r="BM1243" s="1"/>
      <c r="BN1243" s="1"/>
      <c r="BO1243" s="1"/>
      <c r="BP1243" s="1" t="s">
        <v>9609</v>
      </c>
      <c r="BQ1243" s="3"/>
      <c r="BR1243" s="3"/>
    </row>
    <row r="1244" spans="1:70">
      <c r="A1244" s="1" t="s">
        <v>70</v>
      </c>
      <c r="B1244" s="1" t="s">
        <v>13846</v>
      </c>
      <c r="C1244" s="1" t="s">
        <v>16156</v>
      </c>
      <c r="D1244" s="1"/>
      <c r="E1244" s="1"/>
      <c r="F1244" s="1"/>
      <c r="G1244" s="1"/>
      <c r="H1244" s="1" t="s">
        <v>16157</v>
      </c>
      <c r="I1244" s="1" t="s">
        <v>16157</v>
      </c>
      <c r="J1244" s="1"/>
      <c r="K1244" s="1"/>
      <c r="L1244" s="1"/>
      <c r="M1244" s="1"/>
      <c r="N1244" s="1"/>
      <c r="O1244" s="1"/>
      <c r="P1244" s="1"/>
      <c r="Q1244" s="1"/>
      <c r="R1244" s="1"/>
      <c r="S1244" s="1"/>
      <c r="T1244" s="1"/>
      <c r="U1244" s="1"/>
      <c r="V1244" s="1"/>
      <c r="W1244" s="1"/>
      <c r="X1244" s="1"/>
      <c r="Y1244" s="1"/>
      <c r="Z1244" s="1"/>
      <c r="AA1244" s="1"/>
      <c r="AB1244" s="1"/>
      <c r="AC1244" s="1"/>
      <c r="AD1244" s="1" t="s">
        <v>93</v>
      </c>
      <c r="AE1244" s="1" t="s">
        <v>93</v>
      </c>
      <c r="AF1244" s="1"/>
      <c r="AG1244" s="1"/>
      <c r="AH1244" s="1"/>
      <c r="AI1244" s="1"/>
      <c r="AJ1244" s="1"/>
      <c r="AK1244" s="1"/>
      <c r="AL1244" s="1"/>
      <c r="AM1244" s="1"/>
      <c r="AN1244" s="1"/>
      <c r="AO1244" s="1"/>
      <c r="AP1244" s="1"/>
      <c r="AQ1244" s="1"/>
      <c r="AR1244" s="1"/>
      <c r="AS1244" s="1"/>
      <c r="AT1244" s="1"/>
      <c r="AU1244" s="1"/>
      <c r="AV1244" s="1"/>
      <c r="AW1244" s="1"/>
      <c r="AX1244" s="1"/>
      <c r="AY1244" s="1"/>
      <c r="AZ1244" s="1"/>
      <c r="BA1244" s="1"/>
      <c r="BB1244" s="1"/>
      <c r="BC1244" s="1"/>
      <c r="BD1244" s="1"/>
      <c r="BE1244" s="1"/>
      <c r="BF1244" s="1"/>
      <c r="BG1244" s="1"/>
      <c r="BH1244" s="1"/>
      <c r="BI1244" s="1"/>
      <c r="BJ1244" s="1"/>
      <c r="BK1244" s="1"/>
      <c r="BL1244" s="1"/>
      <c r="BM1244" s="1"/>
      <c r="BN1244" s="1"/>
      <c r="BO1244" s="1"/>
      <c r="BP1244" s="1" t="s">
        <v>9609</v>
      </c>
      <c r="BQ1244" s="3"/>
      <c r="BR1244" s="3"/>
    </row>
    <row r="1245" spans="1:70">
      <c r="A1245" s="1" t="s">
        <v>70</v>
      </c>
      <c r="B1245" s="1" t="s">
        <v>13846</v>
      </c>
      <c r="C1245" s="1" t="s">
        <v>16158</v>
      </c>
      <c r="D1245" s="1"/>
      <c r="E1245" s="1"/>
      <c r="F1245" s="1"/>
      <c r="G1245" s="1"/>
      <c r="H1245" s="1" t="s">
        <v>16159</v>
      </c>
      <c r="I1245" s="1" t="s">
        <v>16159</v>
      </c>
      <c r="J1245" s="1"/>
      <c r="K1245" s="1"/>
      <c r="L1245" s="1"/>
      <c r="M1245" s="1"/>
      <c r="N1245" s="1"/>
      <c r="O1245" s="1"/>
      <c r="P1245" s="1"/>
      <c r="Q1245" s="1"/>
      <c r="R1245" s="1"/>
      <c r="S1245" s="1"/>
      <c r="T1245" s="1"/>
      <c r="U1245" s="1"/>
      <c r="V1245" s="1"/>
      <c r="W1245" s="1"/>
      <c r="X1245" s="1"/>
      <c r="Y1245" s="1"/>
      <c r="Z1245" s="1"/>
      <c r="AA1245" s="1"/>
      <c r="AB1245" s="1"/>
      <c r="AC1245" s="1"/>
      <c r="AD1245" s="1" t="s">
        <v>93</v>
      </c>
      <c r="AE1245" s="1" t="s">
        <v>93</v>
      </c>
      <c r="AF1245" s="1"/>
      <c r="AG1245" s="1"/>
      <c r="AH1245" s="1"/>
      <c r="AI1245" s="1"/>
      <c r="AJ1245" s="1"/>
      <c r="AK1245" s="1"/>
      <c r="AL1245" s="1"/>
      <c r="AM1245" s="1"/>
      <c r="AN1245" s="1"/>
      <c r="AO1245" s="1"/>
      <c r="AP1245" s="1"/>
      <c r="AQ1245" s="1"/>
      <c r="AR1245" s="1"/>
      <c r="AS1245" s="1"/>
      <c r="AT1245" s="1"/>
      <c r="AU1245" s="1"/>
      <c r="AV1245" s="1"/>
      <c r="AW1245" s="1"/>
      <c r="AX1245" s="1"/>
      <c r="AY1245" s="1"/>
      <c r="AZ1245" s="1"/>
      <c r="BA1245" s="1"/>
      <c r="BB1245" s="1"/>
      <c r="BC1245" s="1"/>
      <c r="BD1245" s="1"/>
      <c r="BE1245" s="1"/>
      <c r="BF1245" s="1"/>
      <c r="BG1245" s="1"/>
      <c r="BH1245" s="1"/>
      <c r="BI1245" s="1"/>
      <c r="BJ1245" s="1"/>
      <c r="BK1245" s="1"/>
      <c r="BL1245" s="1"/>
      <c r="BM1245" s="1"/>
      <c r="BN1245" s="1"/>
      <c r="BO1245" s="1"/>
      <c r="BP1245" s="1" t="s">
        <v>9609</v>
      </c>
      <c r="BQ1245" s="3"/>
      <c r="BR1245" s="3"/>
    </row>
    <row r="1246" spans="1:70">
      <c r="A1246" s="1" t="s">
        <v>70</v>
      </c>
      <c r="B1246" s="1" t="s">
        <v>13846</v>
      </c>
      <c r="C1246" s="1" t="s">
        <v>16160</v>
      </c>
      <c r="D1246" s="1"/>
      <c r="E1246" s="1"/>
      <c r="F1246" s="1"/>
      <c r="G1246" s="1"/>
      <c r="H1246" s="1" t="s">
        <v>16161</v>
      </c>
      <c r="I1246" s="1" t="s">
        <v>16161</v>
      </c>
      <c r="J1246" s="1"/>
      <c r="K1246" s="1"/>
      <c r="L1246" s="1"/>
      <c r="M1246" s="1"/>
      <c r="N1246" s="1"/>
      <c r="O1246" s="1"/>
      <c r="P1246" s="1"/>
      <c r="Q1246" s="1"/>
      <c r="R1246" s="1"/>
      <c r="S1246" s="1"/>
      <c r="T1246" s="1"/>
      <c r="U1246" s="1"/>
      <c r="V1246" s="1"/>
      <c r="W1246" s="1"/>
      <c r="X1246" s="1"/>
      <c r="Y1246" s="1"/>
      <c r="Z1246" s="1"/>
      <c r="AA1246" s="1"/>
      <c r="AB1246" s="1"/>
      <c r="AC1246" s="1"/>
      <c r="AD1246" s="1" t="s">
        <v>93</v>
      </c>
      <c r="AE1246" s="1" t="s">
        <v>93</v>
      </c>
      <c r="AF1246" s="1"/>
      <c r="AG1246" s="1"/>
      <c r="AH1246" s="1"/>
      <c r="AI1246" s="1"/>
      <c r="AJ1246" s="1"/>
      <c r="AK1246" s="1"/>
      <c r="AL1246" s="1"/>
      <c r="AM1246" s="1"/>
      <c r="AN1246" s="1"/>
      <c r="AO1246" s="1"/>
      <c r="AP1246" s="1"/>
      <c r="AQ1246" s="1"/>
      <c r="AR1246" s="1"/>
      <c r="AS1246" s="1"/>
      <c r="AT1246" s="1"/>
      <c r="AU1246" s="1"/>
      <c r="AV1246" s="1"/>
      <c r="AW1246" s="1"/>
      <c r="AX1246" s="1"/>
      <c r="AY1246" s="1"/>
      <c r="AZ1246" s="1"/>
      <c r="BA1246" s="1"/>
      <c r="BB1246" s="1"/>
      <c r="BC1246" s="1"/>
      <c r="BD1246" s="1"/>
      <c r="BE1246" s="1"/>
      <c r="BF1246" s="1"/>
      <c r="BG1246" s="1"/>
      <c r="BH1246" s="1"/>
      <c r="BI1246" s="1"/>
      <c r="BJ1246" s="1"/>
      <c r="BK1246" s="1"/>
      <c r="BL1246" s="1"/>
      <c r="BM1246" s="1"/>
      <c r="BN1246" s="1"/>
      <c r="BO1246" s="1"/>
      <c r="BP1246" s="1" t="s">
        <v>9609</v>
      </c>
      <c r="BQ1246" s="3"/>
      <c r="BR1246" s="3"/>
    </row>
    <row r="1247" spans="1:70">
      <c r="A1247" s="1" t="s">
        <v>70</v>
      </c>
      <c r="B1247" s="1" t="s">
        <v>13846</v>
      </c>
      <c r="C1247" s="1" t="s">
        <v>16162</v>
      </c>
      <c r="D1247" s="1"/>
      <c r="E1247" s="1"/>
      <c r="F1247" s="1"/>
      <c r="G1247" s="1"/>
      <c r="H1247" s="1" t="s">
        <v>16163</v>
      </c>
      <c r="I1247" s="1" t="s">
        <v>16163</v>
      </c>
      <c r="J1247" s="1"/>
      <c r="K1247" s="1"/>
      <c r="L1247" s="1"/>
      <c r="M1247" s="1"/>
      <c r="N1247" s="1"/>
      <c r="O1247" s="1"/>
      <c r="P1247" s="1"/>
      <c r="Q1247" s="1"/>
      <c r="R1247" s="1"/>
      <c r="S1247" s="1"/>
      <c r="T1247" s="1"/>
      <c r="U1247" s="1"/>
      <c r="V1247" s="1"/>
      <c r="W1247" s="1"/>
      <c r="X1247" s="1"/>
      <c r="Y1247" s="1"/>
      <c r="Z1247" s="1"/>
      <c r="AA1247" s="1"/>
      <c r="AB1247" s="1"/>
      <c r="AC1247" s="1"/>
      <c r="AD1247" s="1" t="s">
        <v>93</v>
      </c>
      <c r="AE1247" s="1" t="s">
        <v>93</v>
      </c>
      <c r="AF1247" s="1"/>
      <c r="AG1247" s="1"/>
      <c r="AH1247" s="1"/>
      <c r="AI1247" s="1"/>
      <c r="AJ1247" s="1"/>
      <c r="AK1247" s="1"/>
      <c r="AL1247" s="1"/>
      <c r="AM1247" s="1"/>
      <c r="AN1247" s="1"/>
      <c r="AO1247" s="1"/>
      <c r="AP1247" s="1"/>
      <c r="AQ1247" s="1"/>
      <c r="AR1247" s="1"/>
      <c r="AS1247" s="1"/>
      <c r="AT1247" s="1"/>
      <c r="AU1247" s="1"/>
      <c r="AV1247" s="1"/>
      <c r="AW1247" s="1"/>
      <c r="AX1247" s="1"/>
      <c r="AY1247" s="1"/>
      <c r="AZ1247" s="1"/>
      <c r="BA1247" s="1"/>
      <c r="BB1247" s="1"/>
      <c r="BC1247" s="1"/>
      <c r="BD1247" s="1"/>
      <c r="BE1247" s="1"/>
      <c r="BF1247" s="1"/>
      <c r="BG1247" s="1"/>
      <c r="BH1247" s="1"/>
      <c r="BI1247" s="1"/>
      <c r="BJ1247" s="1"/>
      <c r="BK1247" s="1"/>
      <c r="BL1247" s="1"/>
      <c r="BM1247" s="1"/>
      <c r="BN1247" s="1"/>
      <c r="BO1247" s="1"/>
      <c r="BP1247" s="1" t="s">
        <v>9609</v>
      </c>
      <c r="BQ1247" s="3"/>
      <c r="BR1247" s="3"/>
    </row>
    <row r="1248" spans="1:70">
      <c r="A1248" s="1" t="s">
        <v>70</v>
      </c>
      <c r="B1248" s="1" t="s">
        <v>13846</v>
      </c>
      <c r="C1248" s="1" t="s">
        <v>16164</v>
      </c>
      <c r="D1248" s="1"/>
      <c r="E1248" s="1"/>
      <c r="F1248" s="1"/>
      <c r="G1248" s="1"/>
      <c r="H1248" s="1" t="s">
        <v>16165</v>
      </c>
      <c r="I1248" s="1" t="s">
        <v>16165</v>
      </c>
      <c r="J1248" s="1"/>
      <c r="K1248" s="1"/>
      <c r="L1248" s="1"/>
      <c r="M1248" s="1"/>
      <c r="N1248" s="1"/>
      <c r="O1248" s="1"/>
      <c r="P1248" s="1"/>
      <c r="Q1248" s="1"/>
      <c r="R1248" s="1"/>
      <c r="S1248" s="1"/>
      <c r="T1248" s="1"/>
      <c r="U1248" s="1"/>
      <c r="V1248" s="1"/>
      <c r="W1248" s="1"/>
      <c r="X1248" s="1"/>
      <c r="Y1248" s="1"/>
      <c r="Z1248" s="1"/>
      <c r="AA1248" s="1"/>
      <c r="AB1248" s="1"/>
      <c r="AC1248" s="1"/>
      <c r="AD1248" s="1" t="s">
        <v>93</v>
      </c>
      <c r="AE1248" s="1" t="s">
        <v>93</v>
      </c>
      <c r="AF1248" s="1"/>
      <c r="AG1248" s="1"/>
      <c r="AH1248" s="1"/>
      <c r="AI1248" s="1"/>
      <c r="AJ1248" s="1"/>
      <c r="AK1248" s="1"/>
      <c r="AL1248" s="1"/>
      <c r="AM1248" s="1"/>
      <c r="AN1248" s="1"/>
      <c r="AO1248" s="1"/>
      <c r="AP1248" s="1"/>
      <c r="AQ1248" s="1"/>
      <c r="AR1248" s="1"/>
      <c r="AS1248" s="1"/>
      <c r="AT1248" s="1"/>
      <c r="AU1248" s="1"/>
      <c r="AV1248" s="1"/>
      <c r="AW1248" s="1"/>
      <c r="AX1248" s="1"/>
      <c r="AY1248" s="1"/>
      <c r="AZ1248" s="1"/>
      <c r="BA1248" s="1"/>
      <c r="BB1248" s="1"/>
      <c r="BC1248" s="1"/>
      <c r="BD1248" s="1"/>
      <c r="BE1248" s="1"/>
      <c r="BF1248" s="1"/>
      <c r="BG1248" s="1"/>
      <c r="BH1248" s="1"/>
      <c r="BI1248" s="1"/>
      <c r="BJ1248" s="1"/>
      <c r="BK1248" s="1"/>
      <c r="BL1248" s="1"/>
      <c r="BM1248" s="1"/>
      <c r="BN1248" s="1"/>
      <c r="BO1248" s="1"/>
      <c r="BP1248" s="1" t="s">
        <v>9609</v>
      </c>
      <c r="BQ1248" s="3"/>
      <c r="BR1248" s="3"/>
    </row>
    <row r="1249" spans="1:70">
      <c r="A1249" s="1" t="s">
        <v>70</v>
      </c>
      <c r="B1249" s="1" t="s">
        <v>13846</v>
      </c>
      <c r="C1249" s="1" t="s">
        <v>16166</v>
      </c>
      <c r="D1249" s="1"/>
      <c r="E1249" s="1"/>
      <c r="F1249" s="1"/>
      <c r="G1249" s="1"/>
      <c r="H1249" s="1" t="s">
        <v>16167</v>
      </c>
      <c r="I1249" s="1" t="s">
        <v>16167</v>
      </c>
      <c r="J1249" s="1"/>
      <c r="K1249" s="1"/>
      <c r="L1249" s="1"/>
      <c r="M1249" s="1"/>
      <c r="N1249" s="1"/>
      <c r="O1249" s="1"/>
      <c r="P1249" s="1"/>
      <c r="Q1249" s="1"/>
      <c r="R1249" s="1"/>
      <c r="S1249" s="1"/>
      <c r="T1249" s="1"/>
      <c r="U1249" s="1"/>
      <c r="V1249" s="1"/>
      <c r="W1249" s="1"/>
      <c r="X1249" s="1"/>
      <c r="Y1249" s="1"/>
      <c r="Z1249" s="1"/>
      <c r="AA1249" s="1"/>
      <c r="AB1249" s="1"/>
      <c r="AC1249" s="1"/>
      <c r="AD1249" s="1" t="s">
        <v>93</v>
      </c>
      <c r="AE1249" s="1" t="s">
        <v>93</v>
      </c>
      <c r="AF1249" s="1"/>
      <c r="AG1249" s="1"/>
      <c r="AH1249" s="1"/>
      <c r="AI1249" s="1"/>
      <c r="AJ1249" s="1"/>
      <c r="AK1249" s="1"/>
      <c r="AL1249" s="1"/>
      <c r="AM1249" s="1"/>
      <c r="AN1249" s="1"/>
      <c r="AO1249" s="1"/>
      <c r="AP1249" s="1"/>
      <c r="AQ1249" s="1"/>
      <c r="AR1249" s="1"/>
      <c r="AS1249" s="1"/>
      <c r="AT1249" s="1"/>
      <c r="AU1249" s="1"/>
      <c r="AV1249" s="1"/>
      <c r="AW1249" s="1"/>
      <c r="AX1249" s="1"/>
      <c r="AY1249" s="1"/>
      <c r="AZ1249" s="1"/>
      <c r="BA1249" s="1"/>
      <c r="BB1249" s="1"/>
      <c r="BC1249" s="1"/>
      <c r="BD1249" s="1"/>
      <c r="BE1249" s="1"/>
      <c r="BF1249" s="1"/>
      <c r="BG1249" s="1"/>
      <c r="BH1249" s="1"/>
      <c r="BI1249" s="1"/>
      <c r="BJ1249" s="1"/>
      <c r="BK1249" s="1"/>
      <c r="BL1249" s="1"/>
      <c r="BM1249" s="1"/>
      <c r="BN1249" s="1"/>
      <c r="BO1249" s="1"/>
      <c r="BP1249" s="1" t="s">
        <v>9609</v>
      </c>
      <c r="BQ1249" s="3"/>
      <c r="BR1249" s="3"/>
    </row>
    <row r="1250" spans="1:70">
      <c r="A1250" s="1" t="s">
        <v>70</v>
      </c>
      <c r="B1250" s="1" t="s">
        <v>13846</v>
      </c>
      <c r="C1250" s="1" t="s">
        <v>16168</v>
      </c>
      <c r="D1250" s="1"/>
      <c r="E1250" s="1"/>
      <c r="F1250" s="1"/>
      <c r="G1250" s="1"/>
      <c r="H1250" s="1" t="s">
        <v>16169</v>
      </c>
      <c r="I1250" s="1" t="s">
        <v>16169</v>
      </c>
      <c r="J1250" s="1"/>
      <c r="K1250" s="1"/>
      <c r="L1250" s="1"/>
      <c r="M1250" s="1"/>
      <c r="N1250" s="1"/>
      <c r="O1250" s="1"/>
      <c r="P1250" s="1"/>
      <c r="Q1250" s="1"/>
      <c r="R1250" s="1"/>
      <c r="S1250" s="1"/>
      <c r="T1250" s="1"/>
      <c r="U1250" s="1"/>
      <c r="V1250" s="1"/>
      <c r="W1250" s="1"/>
      <c r="X1250" s="1"/>
      <c r="Y1250" s="1"/>
      <c r="Z1250" s="1"/>
      <c r="AA1250" s="1"/>
      <c r="AB1250" s="1"/>
      <c r="AC1250" s="1"/>
      <c r="AD1250" s="1" t="s">
        <v>93</v>
      </c>
      <c r="AE1250" s="1" t="s">
        <v>93</v>
      </c>
      <c r="AF1250" s="1"/>
      <c r="AG1250" s="1"/>
      <c r="AH1250" s="1"/>
      <c r="AI1250" s="1"/>
      <c r="AJ1250" s="1"/>
      <c r="AK1250" s="1"/>
      <c r="AL1250" s="1"/>
      <c r="AM1250" s="1"/>
      <c r="AN1250" s="1"/>
      <c r="AO1250" s="1"/>
      <c r="AP1250" s="1"/>
      <c r="AQ1250" s="1"/>
      <c r="AR1250" s="1"/>
      <c r="AS1250" s="1"/>
      <c r="AT1250" s="1"/>
      <c r="AU1250" s="1"/>
      <c r="AV1250" s="1"/>
      <c r="AW1250" s="1"/>
      <c r="AX1250" s="1"/>
      <c r="AY1250" s="1"/>
      <c r="AZ1250" s="1"/>
      <c r="BA1250" s="1"/>
      <c r="BB1250" s="1"/>
      <c r="BC1250" s="1"/>
      <c r="BD1250" s="1"/>
      <c r="BE1250" s="1"/>
      <c r="BF1250" s="1"/>
      <c r="BG1250" s="1"/>
      <c r="BH1250" s="1"/>
      <c r="BI1250" s="1"/>
      <c r="BJ1250" s="1"/>
      <c r="BK1250" s="1"/>
      <c r="BL1250" s="1"/>
      <c r="BM1250" s="1"/>
      <c r="BN1250" s="1"/>
      <c r="BO1250" s="1"/>
      <c r="BP1250" s="1" t="s">
        <v>9609</v>
      </c>
      <c r="BQ1250" s="3"/>
      <c r="BR1250" s="3"/>
    </row>
    <row r="1251" spans="1:70">
      <c r="A1251" s="1" t="s">
        <v>70</v>
      </c>
      <c r="B1251" s="1" t="s">
        <v>13846</v>
      </c>
      <c r="C1251" s="1" t="s">
        <v>16170</v>
      </c>
      <c r="D1251" s="1"/>
      <c r="E1251" s="1"/>
      <c r="F1251" s="1"/>
      <c r="G1251" s="1"/>
      <c r="H1251" s="1" t="s">
        <v>16171</v>
      </c>
      <c r="I1251" s="1" t="s">
        <v>16171</v>
      </c>
      <c r="J1251" s="1"/>
      <c r="K1251" s="1"/>
      <c r="L1251" s="1"/>
      <c r="M1251" s="1"/>
      <c r="N1251" s="1"/>
      <c r="O1251" s="1"/>
      <c r="P1251" s="1"/>
      <c r="Q1251" s="1"/>
      <c r="R1251" s="1"/>
      <c r="S1251" s="1"/>
      <c r="T1251" s="1"/>
      <c r="U1251" s="1"/>
      <c r="V1251" s="1"/>
      <c r="W1251" s="1"/>
      <c r="X1251" s="1"/>
      <c r="Y1251" s="1"/>
      <c r="Z1251" s="1"/>
      <c r="AA1251" s="1"/>
      <c r="AB1251" s="1"/>
      <c r="AC1251" s="1"/>
      <c r="AD1251" s="1" t="s">
        <v>93</v>
      </c>
      <c r="AE1251" s="1" t="s">
        <v>93</v>
      </c>
      <c r="AF1251" s="1"/>
      <c r="AG1251" s="1"/>
      <c r="AH1251" s="1"/>
      <c r="AI1251" s="1"/>
      <c r="AJ1251" s="1"/>
      <c r="AK1251" s="1"/>
      <c r="AL1251" s="1"/>
      <c r="AM1251" s="1"/>
      <c r="AN1251" s="1"/>
      <c r="AO1251" s="1"/>
      <c r="AP1251" s="1"/>
      <c r="AQ1251" s="1"/>
      <c r="AR1251" s="1"/>
      <c r="AS1251" s="1"/>
      <c r="AT1251" s="1"/>
      <c r="AU1251" s="1"/>
      <c r="AV1251" s="1"/>
      <c r="AW1251" s="1"/>
      <c r="AX1251" s="1"/>
      <c r="AY1251" s="1"/>
      <c r="AZ1251" s="1"/>
      <c r="BA1251" s="1"/>
      <c r="BB1251" s="1"/>
      <c r="BC1251" s="1"/>
      <c r="BD1251" s="1"/>
      <c r="BE1251" s="1"/>
      <c r="BF1251" s="1"/>
      <c r="BG1251" s="1"/>
      <c r="BH1251" s="1"/>
      <c r="BI1251" s="1"/>
      <c r="BJ1251" s="1"/>
      <c r="BK1251" s="1"/>
      <c r="BL1251" s="1"/>
      <c r="BM1251" s="1"/>
      <c r="BN1251" s="1"/>
      <c r="BO1251" s="1"/>
      <c r="BP1251" s="1" t="s">
        <v>9609</v>
      </c>
      <c r="BQ1251" s="3"/>
      <c r="BR1251" s="3"/>
    </row>
    <row r="1252" spans="1:70">
      <c r="A1252" s="1" t="s">
        <v>70</v>
      </c>
      <c r="B1252" s="1" t="s">
        <v>13846</v>
      </c>
      <c r="C1252" s="1" t="s">
        <v>16172</v>
      </c>
      <c r="D1252" s="1"/>
      <c r="E1252" s="1"/>
      <c r="F1252" s="1"/>
      <c r="G1252" s="1"/>
      <c r="H1252" s="1" t="s">
        <v>16173</v>
      </c>
      <c r="I1252" s="1" t="s">
        <v>16173</v>
      </c>
      <c r="J1252" s="1"/>
      <c r="K1252" s="1"/>
      <c r="L1252" s="1"/>
      <c r="M1252" s="1"/>
      <c r="N1252" s="1"/>
      <c r="O1252" s="1"/>
      <c r="P1252" s="1"/>
      <c r="Q1252" s="1"/>
      <c r="R1252" s="1"/>
      <c r="S1252" s="1"/>
      <c r="T1252" s="1"/>
      <c r="U1252" s="1"/>
      <c r="V1252" s="1"/>
      <c r="W1252" s="1"/>
      <c r="X1252" s="1"/>
      <c r="Y1252" s="1"/>
      <c r="Z1252" s="1"/>
      <c r="AA1252" s="1"/>
      <c r="AB1252" s="1"/>
      <c r="AC1252" s="1"/>
      <c r="AD1252" s="1" t="s">
        <v>93</v>
      </c>
      <c r="AE1252" s="1" t="s">
        <v>93</v>
      </c>
      <c r="AF1252" s="1"/>
      <c r="AG1252" s="1"/>
      <c r="AH1252" s="1"/>
      <c r="AI1252" s="1"/>
      <c r="AJ1252" s="1"/>
      <c r="AK1252" s="1"/>
      <c r="AL1252" s="1"/>
      <c r="AM1252" s="1"/>
      <c r="AN1252" s="1"/>
      <c r="AO1252" s="1"/>
      <c r="AP1252" s="1"/>
      <c r="AQ1252" s="1"/>
      <c r="AR1252" s="1"/>
      <c r="AS1252" s="1"/>
      <c r="AT1252" s="1"/>
      <c r="AU1252" s="1"/>
      <c r="AV1252" s="1"/>
      <c r="AW1252" s="1"/>
      <c r="AX1252" s="1"/>
      <c r="AY1252" s="1"/>
      <c r="AZ1252" s="1"/>
      <c r="BA1252" s="1"/>
      <c r="BB1252" s="1"/>
      <c r="BC1252" s="1"/>
      <c r="BD1252" s="1"/>
      <c r="BE1252" s="1"/>
      <c r="BF1252" s="1"/>
      <c r="BG1252" s="1"/>
      <c r="BH1252" s="1"/>
      <c r="BI1252" s="1"/>
      <c r="BJ1252" s="1"/>
      <c r="BK1252" s="1"/>
      <c r="BL1252" s="1"/>
      <c r="BM1252" s="1"/>
      <c r="BN1252" s="1"/>
      <c r="BO1252" s="1"/>
      <c r="BP1252" s="1" t="s">
        <v>9609</v>
      </c>
      <c r="BQ1252" s="3"/>
      <c r="BR1252" s="3"/>
    </row>
    <row r="1253" spans="1:70">
      <c r="A1253" s="1" t="s">
        <v>70</v>
      </c>
      <c r="B1253" s="1" t="s">
        <v>13846</v>
      </c>
      <c r="C1253" s="1" t="s">
        <v>16174</v>
      </c>
      <c r="D1253" s="1"/>
      <c r="E1253" s="1"/>
      <c r="F1253" s="1"/>
      <c r="G1253" s="1"/>
      <c r="H1253" s="1" t="s">
        <v>16175</v>
      </c>
      <c r="I1253" s="1" t="s">
        <v>16175</v>
      </c>
      <c r="J1253" s="1"/>
      <c r="K1253" s="1"/>
      <c r="L1253" s="1"/>
      <c r="M1253" s="1"/>
      <c r="N1253" s="1"/>
      <c r="O1253" s="1"/>
      <c r="P1253" s="1"/>
      <c r="Q1253" s="1"/>
      <c r="R1253" s="1"/>
      <c r="S1253" s="1"/>
      <c r="T1253" s="1"/>
      <c r="U1253" s="1"/>
      <c r="V1253" s="1"/>
      <c r="W1253" s="1"/>
      <c r="X1253" s="1"/>
      <c r="Y1253" s="1"/>
      <c r="Z1253" s="1"/>
      <c r="AA1253" s="1"/>
      <c r="AB1253" s="1"/>
      <c r="AC1253" s="1"/>
      <c r="AD1253" s="1" t="s">
        <v>93</v>
      </c>
      <c r="AE1253" s="1" t="s">
        <v>93</v>
      </c>
      <c r="AF1253" s="1"/>
      <c r="AG1253" s="1"/>
      <c r="AH1253" s="1"/>
      <c r="AI1253" s="1"/>
      <c r="AJ1253" s="1"/>
      <c r="AK1253" s="1"/>
      <c r="AL1253" s="1"/>
      <c r="AM1253" s="1"/>
      <c r="AN1253" s="1"/>
      <c r="AO1253" s="1"/>
      <c r="AP1253" s="1"/>
      <c r="AQ1253" s="1"/>
      <c r="AR1253" s="1"/>
      <c r="AS1253" s="1"/>
      <c r="AT1253" s="1"/>
      <c r="AU1253" s="1"/>
      <c r="AV1253" s="1"/>
      <c r="AW1253" s="1"/>
      <c r="AX1253" s="1"/>
      <c r="AY1253" s="1"/>
      <c r="AZ1253" s="1"/>
      <c r="BA1253" s="1"/>
      <c r="BB1253" s="1"/>
      <c r="BC1253" s="1"/>
      <c r="BD1253" s="1"/>
      <c r="BE1253" s="1"/>
      <c r="BF1253" s="1"/>
      <c r="BG1253" s="1"/>
      <c r="BH1253" s="1"/>
      <c r="BI1253" s="1"/>
      <c r="BJ1253" s="1"/>
      <c r="BK1253" s="1"/>
      <c r="BL1253" s="1"/>
      <c r="BM1253" s="1"/>
      <c r="BN1253" s="1"/>
      <c r="BO1253" s="1"/>
      <c r="BP1253" s="1" t="s">
        <v>9609</v>
      </c>
      <c r="BQ1253" s="3"/>
      <c r="BR1253" s="3"/>
    </row>
    <row r="1254" spans="1:70">
      <c r="A1254" s="1" t="s">
        <v>70</v>
      </c>
      <c r="B1254" s="1" t="s">
        <v>13846</v>
      </c>
      <c r="C1254" s="1" t="s">
        <v>16176</v>
      </c>
      <c r="D1254" s="1"/>
      <c r="E1254" s="1"/>
      <c r="F1254" s="1"/>
      <c r="G1254" s="1"/>
      <c r="H1254" s="1" t="s">
        <v>16177</v>
      </c>
      <c r="I1254" s="1" t="s">
        <v>16177</v>
      </c>
      <c r="J1254" s="1"/>
      <c r="K1254" s="1"/>
      <c r="L1254" s="1"/>
      <c r="M1254" s="1"/>
      <c r="N1254" s="1"/>
      <c r="O1254" s="1"/>
      <c r="P1254" s="1"/>
      <c r="Q1254" s="1"/>
      <c r="R1254" s="1"/>
      <c r="S1254" s="1"/>
      <c r="T1254" s="1"/>
      <c r="U1254" s="1"/>
      <c r="V1254" s="1"/>
      <c r="W1254" s="1"/>
      <c r="X1254" s="1"/>
      <c r="Y1254" s="1"/>
      <c r="Z1254" s="1"/>
      <c r="AA1254" s="1"/>
      <c r="AB1254" s="1"/>
      <c r="AC1254" s="1"/>
      <c r="AD1254" s="1" t="s">
        <v>93</v>
      </c>
      <c r="AE1254" s="1" t="s">
        <v>93</v>
      </c>
      <c r="AF1254" s="1"/>
      <c r="AG1254" s="1"/>
      <c r="AH1254" s="1"/>
      <c r="AI1254" s="1"/>
      <c r="AJ1254" s="1"/>
      <c r="AK1254" s="1"/>
      <c r="AL1254" s="1"/>
      <c r="AM1254" s="1"/>
      <c r="AN1254" s="1"/>
      <c r="AO1254" s="1"/>
      <c r="AP1254" s="1"/>
      <c r="AQ1254" s="1"/>
      <c r="AR1254" s="1"/>
      <c r="AS1254" s="1"/>
      <c r="AT1254" s="1"/>
      <c r="AU1254" s="1"/>
      <c r="AV1254" s="1"/>
      <c r="AW1254" s="1"/>
      <c r="AX1254" s="1"/>
      <c r="AY1254" s="1"/>
      <c r="AZ1254" s="1"/>
      <c r="BA1254" s="1"/>
      <c r="BB1254" s="1"/>
      <c r="BC1254" s="1"/>
      <c r="BD1254" s="1"/>
      <c r="BE1254" s="1"/>
      <c r="BF1254" s="1"/>
      <c r="BG1254" s="1"/>
      <c r="BH1254" s="1"/>
      <c r="BI1254" s="1"/>
      <c r="BJ1254" s="1"/>
      <c r="BK1254" s="1"/>
      <c r="BL1254" s="1"/>
      <c r="BM1254" s="1"/>
      <c r="BN1254" s="1"/>
      <c r="BO1254" s="1"/>
      <c r="BP1254" s="1" t="s">
        <v>9609</v>
      </c>
      <c r="BQ1254" s="3"/>
      <c r="BR1254" s="3"/>
    </row>
    <row r="1255" spans="1:70">
      <c r="A1255" s="1" t="s">
        <v>70</v>
      </c>
      <c r="B1255" s="1" t="s">
        <v>13846</v>
      </c>
      <c r="C1255" s="1" t="s">
        <v>16178</v>
      </c>
      <c r="D1255" s="1"/>
      <c r="E1255" s="1"/>
      <c r="F1255" s="1"/>
      <c r="G1255" s="1"/>
      <c r="H1255" s="1" t="s">
        <v>16179</v>
      </c>
      <c r="I1255" s="1" t="s">
        <v>16179</v>
      </c>
      <c r="J1255" s="1"/>
      <c r="K1255" s="1"/>
      <c r="L1255" s="1"/>
      <c r="M1255" s="1"/>
      <c r="N1255" s="1"/>
      <c r="O1255" s="1"/>
      <c r="P1255" s="1"/>
      <c r="Q1255" s="1"/>
      <c r="R1255" s="1"/>
      <c r="S1255" s="1"/>
      <c r="T1255" s="1"/>
      <c r="U1255" s="1"/>
      <c r="V1255" s="1"/>
      <c r="W1255" s="1"/>
      <c r="X1255" s="1"/>
      <c r="Y1255" s="1"/>
      <c r="Z1255" s="1"/>
      <c r="AA1255" s="1"/>
      <c r="AB1255" s="1"/>
      <c r="AC1255" s="1"/>
      <c r="AD1255" s="1" t="s">
        <v>93</v>
      </c>
      <c r="AE1255" s="1" t="s">
        <v>93</v>
      </c>
      <c r="AF1255" s="1"/>
      <c r="AG1255" s="1"/>
      <c r="AH1255" s="1"/>
      <c r="AI1255" s="1"/>
      <c r="AJ1255" s="1"/>
      <c r="AK1255" s="1"/>
      <c r="AL1255" s="1"/>
      <c r="AM1255" s="1"/>
      <c r="AN1255" s="1"/>
      <c r="AO1255" s="1"/>
      <c r="AP1255" s="1"/>
      <c r="AQ1255" s="1"/>
      <c r="AR1255" s="1"/>
      <c r="AS1255" s="1"/>
      <c r="AT1255" s="1"/>
      <c r="AU1255" s="1"/>
      <c r="AV1255" s="1"/>
      <c r="AW1255" s="1"/>
      <c r="AX1255" s="1"/>
      <c r="AY1255" s="1"/>
      <c r="AZ1255" s="1"/>
      <c r="BA1255" s="1"/>
      <c r="BB1255" s="1"/>
      <c r="BC1255" s="1"/>
      <c r="BD1255" s="1"/>
      <c r="BE1255" s="1"/>
      <c r="BF1255" s="1"/>
      <c r="BG1255" s="1"/>
      <c r="BH1255" s="1"/>
      <c r="BI1255" s="1"/>
      <c r="BJ1255" s="1"/>
      <c r="BK1255" s="1"/>
      <c r="BL1255" s="1"/>
      <c r="BM1255" s="1"/>
      <c r="BN1255" s="1"/>
      <c r="BO1255" s="1"/>
      <c r="BP1255" s="1" t="s">
        <v>9609</v>
      </c>
      <c r="BQ1255" s="3"/>
      <c r="BR1255" s="3"/>
    </row>
    <row r="1256" spans="1:70">
      <c r="A1256" s="1" t="s">
        <v>70</v>
      </c>
      <c r="B1256" s="1" t="s">
        <v>13846</v>
      </c>
      <c r="C1256" s="1" t="s">
        <v>16180</v>
      </c>
      <c r="D1256" s="1"/>
      <c r="E1256" s="1"/>
      <c r="F1256" s="1"/>
      <c r="G1256" s="1"/>
      <c r="H1256" s="1" t="s">
        <v>16181</v>
      </c>
      <c r="I1256" s="1" t="s">
        <v>16181</v>
      </c>
      <c r="J1256" s="1"/>
      <c r="K1256" s="1"/>
      <c r="L1256" s="1"/>
      <c r="M1256" s="1"/>
      <c r="N1256" s="1"/>
      <c r="O1256" s="1"/>
      <c r="P1256" s="1"/>
      <c r="Q1256" s="1"/>
      <c r="R1256" s="1"/>
      <c r="S1256" s="1"/>
      <c r="T1256" s="1"/>
      <c r="U1256" s="1"/>
      <c r="V1256" s="1"/>
      <c r="W1256" s="1"/>
      <c r="X1256" s="1"/>
      <c r="Y1256" s="1"/>
      <c r="Z1256" s="1"/>
      <c r="AA1256" s="1"/>
      <c r="AB1256" s="1"/>
      <c r="AC1256" s="1"/>
      <c r="AD1256" s="1" t="s">
        <v>93</v>
      </c>
      <c r="AE1256" s="1" t="s">
        <v>93</v>
      </c>
      <c r="AF1256" s="1"/>
      <c r="AG1256" s="1"/>
      <c r="AH1256" s="1"/>
      <c r="AI1256" s="1"/>
      <c r="AJ1256" s="1"/>
      <c r="AK1256" s="1"/>
      <c r="AL1256" s="1"/>
      <c r="AM1256" s="1"/>
      <c r="AN1256" s="1"/>
      <c r="AO1256" s="1"/>
      <c r="AP1256" s="1"/>
      <c r="AQ1256" s="1"/>
      <c r="AR1256" s="1"/>
      <c r="AS1256" s="1"/>
      <c r="AT1256" s="1"/>
      <c r="AU1256" s="1"/>
      <c r="AV1256" s="1"/>
      <c r="AW1256" s="1"/>
      <c r="AX1256" s="1"/>
      <c r="AY1256" s="1"/>
      <c r="AZ1256" s="1"/>
      <c r="BA1256" s="1"/>
      <c r="BB1256" s="1"/>
      <c r="BC1256" s="1"/>
      <c r="BD1256" s="1"/>
      <c r="BE1256" s="1"/>
      <c r="BF1256" s="1"/>
      <c r="BG1256" s="1"/>
      <c r="BH1256" s="1"/>
      <c r="BI1256" s="1"/>
      <c r="BJ1256" s="1"/>
      <c r="BK1256" s="1"/>
      <c r="BL1256" s="1"/>
      <c r="BM1256" s="1"/>
      <c r="BN1256" s="1"/>
      <c r="BO1256" s="1"/>
      <c r="BP1256" s="1" t="s">
        <v>9609</v>
      </c>
      <c r="BQ1256" s="3"/>
      <c r="BR1256" s="3"/>
    </row>
    <row r="1257" spans="1:70">
      <c r="A1257" s="1" t="s">
        <v>70</v>
      </c>
      <c r="B1257" s="1" t="s">
        <v>13846</v>
      </c>
      <c r="C1257" s="1" t="s">
        <v>16182</v>
      </c>
      <c r="D1257" s="1"/>
      <c r="E1257" s="1"/>
      <c r="F1257" s="1"/>
      <c r="G1257" s="1"/>
      <c r="H1257" s="1" t="s">
        <v>16183</v>
      </c>
      <c r="I1257" s="1" t="s">
        <v>16183</v>
      </c>
      <c r="J1257" s="1"/>
      <c r="K1257" s="1"/>
      <c r="L1257" s="1"/>
      <c r="M1257" s="1"/>
      <c r="N1257" s="1"/>
      <c r="O1257" s="1"/>
      <c r="P1257" s="1"/>
      <c r="Q1257" s="1"/>
      <c r="R1257" s="1"/>
      <c r="S1257" s="1"/>
      <c r="T1257" s="1"/>
      <c r="U1257" s="1"/>
      <c r="V1257" s="1"/>
      <c r="W1257" s="1"/>
      <c r="X1257" s="1"/>
      <c r="Y1257" s="1"/>
      <c r="Z1257" s="1"/>
      <c r="AA1257" s="1"/>
      <c r="AB1257" s="1"/>
      <c r="AC1257" s="1"/>
      <c r="AD1257" s="1" t="s">
        <v>93</v>
      </c>
      <c r="AE1257" s="1" t="s">
        <v>93</v>
      </c>
      <c r="AF1257" s="1"/>
      <c r="AG1257" s="1"/>
      <c r="AH1257" s="1"/>
      <c r="AI1257" s="1"/>
      <c r="AJ1257" s="1"/>
      <c r="AK1257" s="1"/>
      <c r="AL1257" s="1"/>
      <c r="AM1257" s="1"/>
      <c r="AN1257" s="1"/>
      <c r="AO1257" s="1"/>
      <c r="AP1257" s="1"/>
      <c r="AQ1257" s="1"/>
      <c r="AR1257" s="1"/>
      <c r="AS1257" s="1"/>
      <c r="AT1257" s="1"/>
      <c r="AU1257" s="1"/>
      <c r="AV1257" s="1"/>
      <c r="AW1257" s="1"/>
      <c r="AX1257" s="1"/>
      <c r="AY1257" s="1"/>
      <c r="AZ1257" s="1"/>
      <c r="BA1257" s="1"/>
      <c r="BB1257" s="1"/>
      <c r="BC1257" s="1"/>
      <c r="BD1257" s="1"/>
      <c r="BE1257" s="1"/>
      <c r="BF1257" s="1"/>
      <c r="BG1257" s="1"/>
      <c r="BH1257" s="1"/>
      <c r="BI1257" s="1"/>
      <c r="BJ1257" s="1"/>
      <c r="BK1257" s="1"/>
      <c r="BL1257" s="1"/>
      <c r="BM1257" s="1"/>
      <c r="BN1257" s="1"/>
      <c r="BO1257" s="1"/>
      <c r="BP1257" s="1" t="s">
        <v>9609</v>
      </c>
      <c r="BQ1257" s="3"/>
      <c r="BR1257" s="3"/>
    </row>
    <row r="1258" spans="1:70">
      <c r="A1258" s="1" t="s">
        <v>70</v>
      </c>
      <c r="B1258" s="1" t="s">
        <v>13846</v>
      </c>
      <c r="C1258" s="1" t="s">
        <v>16184</v>
      </c>
      <c r="D1258" s="1"/>
      <c r="E1258" s="1"/>
      <c r="F1258" s="1"/>
      <c r="G1258" s="1"/>
      <c r="H1258" s="1" t="s">
        <v>16185</v>
      </c>
      <c r="I1258" s="1" t="s">
        <v>16185</v>
      </c>
      <c r="J1258" s="1"/>
      <c r="K1258" s="1"/>
      <c r="L1258" s="1"/>
      <c r="M1258" s="1"/>
      <c r="N1258" s="1"/>
      <c r="O1258" s="1"/>
      <c r="P1258" s="1"/>
      <c r="Q1258" s="1"/>
      <c r="R1258" s="1"/>
      <c r="S1258" s="1"/>
      <c r="T1258" s="1"/>
      <c r="U1258" s="1"/>
      <c r="V1258" s="1"/>
      <c r="W1258" s="1"/>
      <c r="X1258" s="1"/>
      <c r="Y1258" s="1"/>
      <c r="Z1258" s="1"/>
      <c r="AA1258" s="1"/>
      <c r="AB1258" s="1"/>
      <c r="AC1258" s="1"/>
      <c r="AD1258" s="1" t="s">
        <v>93</v>
      </c>
      <c r="AE1258" s="1" t="s">
        <v>93</v>
      </c>
      <c r="AF1258" s="1"/>
      <c r="AG1258" s="1"/>
      <c r="AH1258" s="1"/>
      <c r="AI1258" s="1"/>
      <c r="AJ1258" s="1"/>
      <c r="AK1258" s="1"/>
      <c r="AL1258" s="1"/>
      <c r="AM1258" s="1"/>
      <c r="AN1258" s="1"/>
      <c r="AO1258" s="1"/>
      <c r="AP1258" s="1"/>
      <c r="AQ1258" s="1"/>
      <c r="AR1258" s="1"/>
      <c r="AS1258" s="1"/>
      <c r="AT1258" s="1"/>
      <c r="AU1258" s="1"/>
      <c r="AV1258" s="1"/>
      <c r="AW1258" s="1"/>
      <c r="AX1258" s="1"/>
      <c r="AY1258" s="1"/>
      <c r="AZ1258" s="1"/>
      <c r="BA1258" s="1"/>
      <c r="BB1258" s="1"/>
      <c r="BC1258" s="1"/>
      <c r="BD1258" s="1"/>
      <c r="BE1258" s="1"/>
      <c r="BF1258" s="1"/>
      <c r="BG1258" s="1"/>
      <c r="BH1258" s="1"/>
      <c r="BI1258" s="1"/>
      <c r="BJ1258" s="1"/>
      <c r="BK1258" s="1"/>
      <c r="BL1258" s="1"/>
      <c r="BM1258" s="1"/>
      <c r="BN1258" s="1"/>
      <c r="BO1258" s="1"/>
      <c r="BP1258" s="1" t="s">
        <v>9609</v>
      </c>
      <c r="BQ1258" s="3"/>
      <c r="BR1258" s="3"/>
    </row>
    <row r="1259" spans="1:70">
      <c r="A1259" s="1" t="s">
        <v>70</v>
      </c>
      <c r="B1259" s="1" t="s">
        <v>13846</v>
      </c>
      <c r="C1259" s="1" t="s">
        <v>16186</v>
      </c>
      <c r="D1259" s="1"/>
      <c r="E1259" s="1"/>
      <c r="F1259" s="1"/>
      <c r="G1259" s="1"/>
      <c r="H1259" s="1" t="s">
        <v>16187</v>
      </c>
      <c r="I1259" s="1" t="s">
        <v>16187</v>
      </c>
      <c r="J1259" s="1"/>
      <c r="K1259" s="1"/>
      <c r="L1259" s="1"/>
      <c r="M1259" s="1"/>
      <c r="N1259" s="1"/>
      <c r="O1259" s="1"/>
      <c r="P1259" s="1"/>
      <c r="Q1259" s="1"/>
      <c r="R1259" s="1"/>
      <c r="S1259" s="1"/>
      <c r="T1259" s="1"/>
      <c r="U1259" s="1"/>
      <c r="V1259" s="1"/>
      <c r="W1259" s="1"/>
      <c r="X1259" s="1"/>
      <c r="Y1259" s="1"/>
      <c r="Z1259" s="1"/>
      <c r="AA1259" s="1"/>
      <c r="AB1259" s="1"/>
      <c r="AC1259" s="1"/>
      <c r="AD1259" s="1" t="s">
        <v>93</v>
      </c>
      <c r="AE1259" s="1" t="s">
        <v>93</v>
      </c>
      <c r="AF1259" s="1"/>
      <c r="AG1259" s="1"/>
      <c r="AH1259" s="1"/>
      <c r="AI1259" s="1"/>
      <c r="AJ1259" s="1"/>
      <c r="AK1259" s="1"/>
      <c r="AL1259" s="1"/>
      <c r="AM1259" s="1"/>
      <c r="AN1259" s="1"/>
      <c r="AO1259" s="1"/>
      <c r="AP1259" s="1"/>
      <c r="AQ1259" s="1"/>
      <c r="AR1259" s="1"/>
      <c r="AS1259" s="1"/>
      <c r="AT1259" s="1"/>
      <c r="AU1259" s="1"/>
      <c r="AV1259" s="1"/>
      <c r="AW1259" s="1"/>
      <c r="AX1259" s="1"/>
      <c r="AY1259" s="1"/>
      <c r="AZ1259" s="1"/>
      <c r="BA1259" s="1"/>
      <c r="BB1259" s="1"/>
      <c r="BC1259" s="1"/>
      <c r="BD1259" s="1"/>
      <c r="BE1259" s="1"/>
      <c r="BF1259" s="1"/>
      <c r="BG1259" s="1"/>
      <c r="BH1259" s="1"/>
      <c r="BI1259" s="1"/>
      <c r="BJ1259" s="1"/>
      <c r="BK1259" s="1"/>
      <c r="BL1259" s="1"/>
      <c r="BM1259" s="1"/>
      <c r="BN1259" s="1"/>
      <c r="BO1259" s="1"/>
      <c r="BP1259" s="1" t="s">
        <v>9609</v>
      </c>
      <c r="BQ1259" s="3"/>
      <c r="BR1259" s="3"/>
    </row>
    <row r="1260" spans="1:70">
      <c r="A1260" s="1" t="s">
        <v>70</v>
      </c>
      <c r="B1260" s="1" t="s">
        <v>13846</v>
      </c>
      <c r="C1260" s="1" t="s">
        <v>16188</v>
      </c>
      <c r="D1260" s="1"/>
      <c r="E1260" s="1"/>
      <c r="F1260" s="1"/>
      <c r="G1260" s="1"/>
      <c r="H1260" s="1" t="s">
        <v>16189</v>
      </c>
      <c r="I1260" s="1" t="s">
        <v>16189</v>
      </c>
      <c r="J1260" s="1"/>
      <c r="K1260" s="1"/>
      <c r="L1260" s="1"/>
      <c r="M1260" s="1"/>
      <c r="N1260" s="1"/>
      <c r="O1260" s="1"/>
      <c r="P1260" s="1"/>
      <c r="Q1260" s="1"/>
      <c r="R1260" s="1"/>
      <c r="S1260" s="1"/>
      <c r="T1260" s="1"/>
      <c r="U1260" s="1"/>
      <c r="V1260" s="1"/>
      <c r="W1260" s="1"/>
      <c r="X1260" s="1"/>
      <c r="Y1260" s="1"/>
      <c r="Z1260" s="1"/>
      <c r="AA1260" s="1"/>
      <c r="AB1260" s="1"/>
      <c r="AC1260" s="1"/>
      <c r="AD1260" s="1" t="s">
        <v>93</v>
      </c>
      <c r="AE1260" s="1" t="s">
        <v>93</v>
      </c>
      <c r="AF1260" s="1"/>
      <c r="AG1260" s="1"/>
      <c r="AH1260" s="1"/>
      <c r="AI1260" s="1"/>
      <c r="AJ1260" s="1"/>
      <c r="AK1260" s="1"/>
      <c r="AL1260" s="1"/>
      <c r="AM1260" s="1"/>
      <c r="AN1260" s="1"/>
      <c r="AO1260" s="1"/>
      <c r="AP1260" s="1"/>
      <c r="AQ1260" s="1"/>
      <c r="AR1260" s="1"/>
      <c r="AS1260" s="1"/>
      <c r="AT1260" s="1"/>
      <c r="AU1260" s="1"/>
      <c r="AV1260" s="1"/>
      <c r="AW1260" s="1"/>
      <c r="AX1260" s="1"/>
      <c r="AY1260" s="1"/>
      <c r="AZ1260" s="1"/>
      <c r="BA1260" s="1"/>
      <c r="BB1260" s="1"/>
      <c r="BC1260" s="1"/>
      <c r="BD1260" s="1"/>
      <c r="BE1260" s="1"/>
      <c r="BF1260" s="1"/>
      <c r="BG1260" s="1"/>
      <c r="BH1260" s="1"/>
      <c r="BI1260" s="1"/>
      <c r="BJ1260" s="1"/>
      <c r="BK1260" s="1"/>
      <c r="BL1260" s="1"/>
      <c r="BM1260" s="1"/>
      <c r="BN1260" s="1"/>
      <c r="BO1260" s="1"/>
      <c r="BP1260" s="1" t="s">
        <v>9609</v>
      </c>
      <c r="BQ1260" s="3"/>
      <c r="BR1260" s="3"/>
    </row>
    <row r="1261" spans="1:70">
      <c r="A1261" s="1" t="s">
        <v>70</v>
      </c>
      <c r="B1261" s="1" t="s">
        <v>13846</v>
      </c>
      <c r="C1261" s="1" t="s">
        <v>16190</v>
      </c>
      <c r="D1261" s="1"/>
      <c r="E1261" s="1"/>
      <c r="F1261" s="1"/>
      <c r="G1261" s="1"/>
      <c r="H1261" s="1" t="s">
        <v>16191</v>
      </c>
      <c r="I1261" s="1" t="s">
        <v>16191</v>
      </c>
      <c r="J1261" s="1"/>
      <c r="K1261" s="1"/>
      <c r="L1261" s="1"/>
      <c r="M1261" s="1"/>
      <c r="N1261" s="1"/>
      <c r="O1261" s="1"/>
      <c r="P1261" s="1"/>
      <c r="Q1261" s="1"/>
      <c r="R1261" s="1"/>
      <c r="S1261" s="1"/>
      <c r="T1261" s="1"/>
      <c r="U1261" s="1"/>
      <c r="V1261" s="1"/>
      <c r="W1261" s="1"/>
      <c r="X1261" s="1"/>
      <c r="Y1261" s="1"/>
      <c r="Z1261" s="1"/>
      <c r="AA1261" s="1"/>
      <c r="AB1261" s="1"/>
      <c r="AC1261" s="1"/>
      <c r="AD1261" s="1" t="s">
        <v>93</v>
      </c>
      <c r="AE1261" s="1" t="s">
        <v>93</v>
      </c>
      <c r="AF1261" s="1"/>
      <c r="AG1261" s="1"/>
      <c r="AH1261" s="1"/>
      <c r="AI1261" s="1"/>
      <c r="AJ1261" s="1"/>
      <c r="AK1261" s="1"/>
      <c r="AL1261" s="1"/>
      <c r="AM1261" s="1"/>
      <c r="AN1261" s="1"/>
      <c r="AO1261" s="1"/>
      <c r="AP1261" s="1"/>
      <c r="AQ1261" s="1"/>
      <c r="AR1261" s="1"/>
      <c r="AS1261" s="1"/>
      <c r="AT1261" s="1"/>
      <c r="AU1261" s="1"/>
      <c r="AV1261" s="1"/>
      <c r="AW1261" s="1"/>
      <c r="AX1261" s="1"/>
      <c r="AY1261" s="1"/>
      <c r="AZ1261" s="1"/>
      <c r="BA1261" s="1"/>
      <c r="BB1261" s="1"/>
      <c r="BC1261" s="1"/>
      <c r="BD1261" s="1"/>
      <c r="BE1261" s="1"/>
      <c r="BF1261" s="1"/>
      <c r="BG1261" s="1"/>
      <c r="BH1261" s="1"/>
      <c r="BI1261" s="1"/>
      <c r="BJ1261" s="1"/>
      <c r="BK1261" s="1"/>
      <c r="BL1261" s="1"/>
      <c r="BM1261" s="1"/>
      <c r="BN1261" s="1"/>
      <c r="BO1261" s="1"/>
      <c r="BP1261" s="1" t="s">
        <v>9609</v>
      </c>
      <c r="BQ1261" s="3"/>
      <c r="BR1261" s="3"/>
    </row>
    <row r="1262" spans="1:70">
      <c r="A1262" s="1" t="s">
        <v>70</v>
      </c>
      <c r="B1262" s="1" t="s">
        <v>13846</v>
      </c>
      <c r="C1262" s="1" t="s">
        <v>16192</v>
      </c>
      <c r="D1262" s="1"/>
      <c r="E1262" s="1"/>
      <c r="F1262" s="1"/>
      <c r="G1262" s="1"/>
      <c r="H1262" s="1" t="s">
        <v>16193</v>
      </c>
      <c r="I1262" s="1" t="s">
        <v>16193</v>
      </c>
      <c r="J1262" s="1"/>
      <c r="K1262" s="1"/>
      <c r="L1262" s="1"/>
      <c r="M1262" s="1"/>
      <c r="N1262" s="1"/>
      <c r="O1262" s="1"/>
      <c r="P1262" s="1"/>
      <c r="Q1262" s="1"/>
      <c r="R1262" s="1"/>
      <c r="S1262" s="1"/>
      <c r="T1262" s="1"/>
      <c r="U1262" s="1"/>
      <c r="V1262" s="1"/>
      <c r="W1262" s="1"/>
      <c r="X1262" s="1"/>
      <c r="Y1262" s="1"/>
      <c r="Z1262" s="1"/>
      <c r="AA1262" s="1"/>
      <c r="AB1262" s="1"/>
      <c r="AC1262" s="1"/>
      <c r="AD1262" s="1" t="s">
        <v>93</v>
      </c>
      <c r="AE1262" s="1" t="s">
        <v>93</v>
      </c>
      <c r="AF1262" s="1"/>
      <c r="AG1262" s="1"/>
      <c r="AH1262" s="1"/>
      <c r="AI1262" s="1"/>
      <c r="AJ1262" s="1"/>
      <c r="AK1262" s="1"/>
      <c r="AL1262" s="1"/>
      <c r="AM1262" s="1"/>
      <c r="AN1262" s="1"/>
      <c r="AO1262" s="1"/>
      <c r="AP1262" s="1"/>
      <c r="AQ1262" s="1"/>
      <c r="AR1262" s="1"/>
      <c r="AS1262" s="1"/>
      <c r="AT1262" s="1"/>
      <c r="AU1262" s="1"/>
      <c r="AV1262" s="1"/>
      <c r="AW1262" s="1"/>
      <c r="AX1262" s="1"/>
      <c r="AY1262" s="1"/>
      <c r="AZ1262" s="1"/>
      <c r="BA1262" s="1"/>
      <c r="BB1262" s="1"/>
      <c r="BC1262" s="1"/>
      <c r="BD1262" s="1"/>
      <c r="BE1262" s="1"/>
      <c r="BF1262" s="1"/>
      <c r="BG1262" s="1"/>
      <c r="BH1262" s="1"/>
      <c r="BI1262" s="1"/>
      <c r="BJ1262" s="1"/>
      <c r="BK1262" s="1"/>
      <c r="BL1262" s="1"/>
      <c r="BM1262" s="1"/>
      <c r="BN1262" s="1"/>
      <c r="BO1262" s="1"/>
      <c r="BP1262" s="1" t="s">
        <v>9609</v>
      </c>
      <c r="BQ1262" s="3"/>
      <c r="BR1262" s="3"/>
    </row>
    <row r="1263" spans="1:70">
      <c r="A1263" s="1" t="s">
        <v>70</v>
      </c>
      <c r="B1263" s="1" t="s">
        <v>13846</v>
      </c>
      <c r="C1263" s="1" t="s">
        <v>16194</v>
      </c>
      <c r="D1263" s="1"/>
      <c r="E1263" s="1"/>
      <c r="F1263" s="1"/>
      <c r="G1263" s="1"/>
      <c r="H1263" s="1" t="s">
        <v>16195</v>
      </c>
      <c r="I1263" s="1" t="s">
        <v>16195</v>
      </c>
      <c r="J1263" s="1"/>
      <c r="K1263" s="1"/>
      <c r="L1263" s="1"/>
      <c r="M1263" s="1"/>
      <c r="N1263" s="1"/>
      <c r="O1263" s="1"/>
      <c r="P1263" s="1"/>
      <c r="Q1263" s="1"/>
      <c r="R1263" s="1"/>
      <c r="S1263" s="1"/>
      <c r="T1263" s="1"/>
      <c r="U1263" s="1"/>
      <c r="V1263" s="1"/>
      <c r="W1263" s="1"/>
      <c r="X1263" s="1"/>
      <c r="Y1263" s="1"/>
      <c r="Z1263" s="1"/>
      <c r="AA1263" s="1"/>
      <c r="AB1263" s="1"/>
      <c r="AC1263" s="1"/>
      <c r="AD1263" s="1" t="s">
        <v>93</v>
      </c>
      <c r="AE1263" s="1" t="s">
        <v>93</v>
      </c>
      <c r="AF1263" s="1"/>
      <c r="AG1263" s="1"/>
      <c r="AH1263" s="1"/>
      <c r="AI1263" s="1"/>
      <c r="AJ1263" s="1"/>
      <c r="AK1263" s="1"/>
      <c r="AL1263" s="1"/>
      <c r="AM1263" s="1"/>
      <c r="AN1263" s="1"/>
      <c r="AO1263" s="1"/>
      <c r="AP1263" s="1"/>
      <c r="AQ1263" s="1"/>
      <c r="AR1263" s="1"/>
      <c r="AS1263" s="1"/>
      <c r="AT1263" s="1"/>
      <c r="AU1263" s="1"/>
      <c r="AV1263" s="1"/>
      <c r="AW1263" s="1"/>
      <c r="AX1263" s="1"/>
      <c r="AY1263" s="1"/>
      <c r="AZ1263" s="1"/>
      <c r="BA1263" s="1"/>
      <c r="BB1263" s="1"/>
      <c r="BC1263" s="1"/>
      <c r="BD1263" s="1"/>
      <c r="BE1263" s="1"/>
      <c r="BF1263" s="1"/>
      <c r="BG1263" s="1"/>
      <c r="BH1263" s="1"/>
      <c r="BI1263" s="1"/>
      <c r="BJ1263" s="1"/>
      <c r="BK1263" s="1"/>
      <c r="BL1263" s="1"/>
      <c r="BM1263" s="1"/>
      <c r="BN1263" s="1"/>
      <c r="BO1263" s="1"/>
      <c r="BP1263" s="1" t="s">
        <v>9609</v>
      </c>
      <c r="BQ1263" s="3"/>
      <c r="BR1263" s="3"/>
    </row>
    <row r="1264" spans="1:70">
      <c r="A1264" s="1" t="s">
        <v>70</v>
      </c>
      <c r="B1264" s="1" t="s">
        <v>13846</v>
      </c>
      <c r="C1264" s="1" t="s">
        <v>16196</v>
      </c>
      <c r="D1264" s="1"/>
      <c r="E1264" s="1"/>
      <c r="F1264" s="1"/>
      <c r="G1264" s="1"/>
      <c r="H1264" s="1" t="s">
        <v>16197</v>
      </c>
      <c r="I1264" s="1" t="s">
        <v>16197</v>
      </c>
      <c r="J1264" s="1"/>
      <c r="K1264" s="1"/>
      <c r="L1264" s="1"/>
      <c r="M1264" s="1"/>
      <c r="N1264" s="1"/>
      <c r="O1264" s="1"/>
      <c r="P1264" s="1"/>
      <c r="Q1264" s="1"/>
      <c r="R1264" s="1"/>
      <c r="S1264" s="1"/>
      <c r="T1264" s="1"/>
      <c r="U1264" s="1"/>
      <c r="V1264" s="1"/>
      <c r="W1264" s="1"/>
      <c r="X1264" s="1"/>
      <c r="Y1264" s="1"/>
      <c r="Z1264" s="1"/>
      <c r="AA1264" s="1"/>
      <c r="AB1264" s="1"/>
      <c r="AC1264" s="1"/>
      <c r="AD1264" s="1" t="s">
        <v>93</v>
      </c>
      <c r="AE1264" s="1" t="s">
        <v>93</v>
      </c>
      <c r="AF1264" s="1"/>
      <c r="AG1264" s="1"/>
      <c r="AH1264" s="1"/>
      <c r="AI1264" s="1"/>
      <c r="AJ1264" s="1"/>
      <c r="AK1264" s="1"/>
      <c r="AL1264" s="1"/>
      <c r="AM1264" s="1"/>
      <c r="AN1264" s="1"/>
      <c r="AO1264" s="1"/>
      <c r="AP1264" s="1"/>
      <c r="AQ1264" s="1"/>
      <c r="AR1264" s="1"/>
      <c r="AS1264" s="1"/>
      <c r="AT1264" s="1"/>
      <c r="AU1264" s="1"/>
      <c r="AV1264" s="1"/>
      <c r="AW1264" s="1"/>
      <c r="AX1264" s="1"/>
      <c r="AY1264" s="1"/>
      <c r="AZ1264" s="1"/>
      <c r="BA1264" s="1"/>
      <c r="BB1264" s="1"/>
      <c r="BC1264" s="1"/>
      <c r="BD1264" s="1"/>
      <c r="BE1264" s="1"/>
      <c r="BF1264" s="1"/>
      <c r="BG1264" s="1"/>
      <c r="BH1264" s="1"/>
      <c r="BI1264" s="1"/>
      <c r="BJ1264" s="1"/>
      <c r="BK1264" s="1"/>
      <c r="BL1264" s="1"/>
      <c r="BM1264" s="1"/>
      <c r="BN1264" s="1"/>
      <c r="BO1264" s="1"/>
      <c r="BP1264" s="1" t="s">
        <v>9609</v>
      </c>
      <c r="BQ1264" s="3"/>
      <c r="BR1264" s="3"/>
    </row>
    <row r="1265" spans="1:70">
      <c r="A1265" s="1" t="s">
        <v>70</v>
      </c>
      <c r="B1265" s="1" t="s">
        <v>13846</v>
      </c>
      <c r="C1265" s="1" t="s">
        <v>16198</v>
      </c>
      <c r="D1265" s="1"/>
      <c r="E1265" s="1"/>
      <c r="F1265" s="1"/>
      <c r="G1265" s="1"/>
      <c r="H1265" s="1" t="s">
        <v>16199</v>
      </c>
      <c r="I1265" s="1" t="s">
        <v>16199</v>
      </c>
      <c r="J1265" s="1"/>
      <c r="K1265" s="1"/>
      <c r="L1265" s="1"/>
      <c r="M1265" s="1"/>
      <c r="N1265" s="1"/>
      <c r="O1265" s="1"/>
      <c r="P1265" s="1"/>
      <c r="Q1265" s="1"/>
      <c r="R1265" s="1"/>
      <c r="S1265" s="1"/>
      <c r="T1265" s="1"/>
      <c r="U1265" s="1"/>
      <c r="V1265" s="1"/>
      <c r="W1265" s="1"/>
      <c r="X1265" s="1"/>
      <c r="Y1265" s="1"/>
      <c r="Z1265" s="1"/>
      <c r="AA1265" s="1"/>
      <c r="AB1265" s="1"/>
      <c r="AC1265" s="1"/>
      <c r="AD1265" s="1" t="s">
        <v>93</v>
      </c>
      <c r="AE1265" s="1" t="s">
        <v>93</v>
      </c>
      <c r="AF1265" s="1"/>
      <c r="AG1265" s="1"/>
      <c r="AH1265" s="1"/>
      <c r="AI1265" s="1"/>
      <c r="AJ1265" s="1"/>
      <c r="AK1265" s="1"/>
      <c r="AL1265" s="1"/>
      <c r="AM1265" s="1"/>
      <c r="AN1265" s="1"/>
      <c r="AO1265" s="1"/>
      <c r="AP1265" s="1"/>
      <c r="AQ1265" s="1"/>
      <c r="AR1265" s="1"/>
      <c r="AS1265" s="1"/>
      <c r="AT1265" s="1"/>
      <c r="AU1265" s="1"/>
      <c r="AV1265" s="1"/>
      <c r="AW1265" s="1"/>
      <c r="AX1265" s="1"/>
      <c r="AY1265" s="1"/>
      <c r="AZ1265" s="1"/>
      <c r="BA1265" s="1"/>
      <c r="BB1265" s="1"/>
      <c r="BC1265" s="1"/>
      <c r="BD1265" s="1"/>
      <c r="BE1265" s="1"/>
      <c r="BF1265" s="1"/>
      <c r="BG1265" s="1"/>
      <c r="BH1265" s="1"/>
      <c r="BI1265" s="1"/>
      <c r="BJ1265" s="1"/>
      <c r="BK1265" s="1"/>
      <c r="BL1265" s="1"/>
      <c r="BM1265" s="1"/>
      <c r="BN1265" s="1"/>
      <c r="BO1265" s="1"/>
      <c r="BP1265" s="1" t="s">
        <v>9609</v>
      </c>
      <c r="BQ1265" s="3"/>
      <c r="BR1265" s="3"/>
    </row>
    <row r="1266" spans="1:70">
      <c r="A1266" s="1" t="s">
        <v>70</v>
      </c>
      <c r="B1266" s="1" t="s">
        <v>13846</v>
      </c>
      <c r="C1266" s="1" t="s">
        <v>16200</v>
      </c>
      <c r="D1266" s="1"/>
      <c r="E1266" s="1"/>
      <c r="F1266" s="1"/>
      <c r="G1266" s="1"/>
      <c r="H1266" s="1" t="s">
        <v>16201</v>
      </c>
      <c r="I1266" s="1" t="s">
        <v>16201</v>
      </c>
      <c r="J1266" s="1"/>
      <c r="K1266" s="1"/>
      <c r="L1266" s="1"/>
      <c r="M1266" s="1"/>
      <c r="N1266" s="1"/>
      <c r="O1266" s="1"/>
      <c r="P1266" s="1"/>
      <c r="Q1266" s="1"/>
      <c r="R1266" s="1"/>
      <c r="S1266" s="1"/>
      <c r="T1266" s="1"/>
      <c r="U1266" s="1"/>
      <c r="V1266" s="1"/>
      <c r="W1266" s="1"/>
      <c r="X1266" s="1"/>
      <c r="Y1266" s="1"/>
      <c r="Z1266" s="1"/>
      <c r="AA1266" s="1"/>
      <c r="AB1266" s="1"/>
      <c r="AC1266" s="1"/>
      <c r="AD1266" s="1" t="s">
        <v>93</v>
      </c>
      <c r="AE1266" s="1" t="s">
        <v>93</v>
      </c>
      <c r="AF1266" s="1"/>
      <c r="AG1266" s="1"/>
      <c r="AH1266" s="1"/>
      <c r="AI1266" s="1"/>
      <c r="AJ1266" s="1"/>
      <c r="AK1266" s="1"/>
      <c r="AL1266" s="1"/>
      <c r="AM1266" s="1"/>
      <c r="AN1266" s="1"/>
      <c r="AO1266" s="1"/>
      <c r="AP1266" s="1"/>
      <c r="AQ1266" s="1"/>
      <c r="AR1266" s="1"/>
      <c r="AS1266" s="1"/>
      <c r="AT1266" s="1"/>
      <c r="AU1266" s="1"/>
      <c r="AV1266" s="1"/>
      <c r="AW1266" s="1"/>
      <c r="AX1266" s="1"/>
      <c r="AY1266" s="1"/>
      <c r="AZ1266" s="1"/>
      <c r="BA1266" s="1"/>
      <c r="BB1266" s="1"/>
      <c r="BC1266" s="1"/>
      <c r="BD1266" s="1"/>
      <c r="BE1266" s="1"/>
      <c r="BF1266" s="1"/>
      <c r="BG1266" s="1"/>
      <c r="BH1266" s="1"/>
      <c r="BI1266" s="1"/>
      <c r="BJ1266" s="1"/>
      <c r="BK1266" s="1"/>
      <c r="BL1266" s="1"/>
      <c r="BM1266" s="1"/>
      <c r="BN1266" s="1"/>
      <c r="BO1266" s="1"/>
      <c r="BP1266" s="1" t="s">
        <v>9609</v>
      </c>
      <c r="BQ1266" s="3"/>
      <c r="BR1266" s="3"/>
    </row>
    <row r="1267" spans="1:70">
      <c r="A1267" s="1" t="s">
        <v>70</v>
      </c>
      <c r="B1267" s="1" t="s">
        <v>13846</v>
      </c>
      <c r="C1267" s="1" t="s">
        <v>16202</v>
      </c>
      <c r="D1267" s="1"/>
      <c r="E1267" s="1"/>
      <c r="F1267" s="1"/>
      <c r="G1267" s="1"/>
      <c r="H1267" s="1" t="s">
        <v>16203</v>
      </c>
      <c r="I1267" s="1" t="s">
        <v>16203</v>
      </c>
      <c r="J1267" s="1"/>
      <c r="K1267" s="1"/>
      <c r="L1267" s="1"/>
      <c r="M1267" s="1"/>
      <c r="N1267" s="1"/>
      <c r="O1267" s="1"/>
      <c r="P1267" s="1"/>
      <c r="Q1267" s="1"/>
      <c r="R1267" s="1"/>
      <c r="S1267" s="1"/>
      <c r="T1267" s="1"/>
      <c r="U1267" s="1"/>
      <c r="V1267" s="1"/>
      <c r="W1267" s="1"/>
      <c r="X1267" s="1"/>
      <c r="Y1267" s="1"/>
      <c r="Z1267" s="1"/>
      <c r="AA1267" s="1"/>
      <c r="AB1267" s="1"/>
      <c r="AC1267" s="1"/>
      <c r="AD1267" s="1" t="s">
        <v>93</v>
      </c>
      <c r="AE1267" s="1" t="s">
        <v>93</v>
      </c>
      <c r="AF1267" s="1"/>
      <c r="AG1267" s="1"/>
      <c r="AH1267" s="1"/>
      <c r="AI1267" s="1"/>
      <c r="AJ1267" s="1"/>
      <c r="AK1267" s="1"/>
      <c r="AL1267" s="1"/>
      <c r="AM1267" s="1"/>
      <c r="AN1267" s="1"/>
      <c r="AO1267" s="1"/>
      <c r="AP1267" s="1"/>
      <c r="AQ1267" s="1"/>
      <c r="AR1267" s="1"/>
      <c r="AS1267" s="1"/>
      <c r="AT1267" s="1"/>
      <c r="AU1267" s="1"/>
      <c r="AV1267" s="1"/>
      <c r="AW1267" s="1"/>
      <c r="AX1267" s="1"/>
      <c r="AY1267" s="1"/>
      <c r="AZ1267" s="1"/>
      <c r="BA1267" s="1"/>
      <c r="BB1267" s="1"/>
      <c r="BC1267" s="1"/>
      <c r="BD1267" s="1"/>
      <c r="BE1267" s="1"/>
      <c r="BF1267" s="1"/>
      <c r="BG1267" s="1"/>
      <c r="BH1267" s="1"/>
      <c r="BI1267" s="1"/>
      <c r="BJ1267" s="1"/>
      <c r="BK1267" s="1"/>
      <c r="BL1267" s="1"/>
      <c r="BM1267" s="1"/>
      <c r="BN1267" s="1"/>
      <c r="BO1267" s="1"/>
      <c r="BP1267" s="1" t="s">
        <v>9609</v>
      </c>
      <c r="BQ1267" s="3"/>
      <c r="BR1267" s="3"/>
    </row>
    <row r="1268" spans="1:70">
      <c r="A1268" s="1" t="s">
        <v>70</v>
      </c>
      <c r="B1268" s="1" t="s">
        <v>13846</v>
      </c>
      <c r="C1268" s="1" t="s">
        <v>16204</v>
      </c>
      <c r="D1268" s="1"/>
      <c r="E1268" s="1"/>
      <c r="F1268" s="1"/>
      <c r="G1268" s="1"/>
      <c r="H1268" s="1" t="s">
        <v>16205</v>
      </c>
      <c r="I1268" s="1" t="s">
        <v>16205</v>
      </c>
      <c r="J1268" s="1"/>
      <c r="K1268" s="1"/>
      <c r="L1268" s="1"/>
      <c r="M1268" s="1"/>
      <c r="N1268" s="1"/>
      <c r="O1268" s="1"/>
      <c r="P1268" s="1"/>
      <c r="Q1268" s="1"/>
      <c r="R1268" s="1"/>
      <c r="S1268" s="1"/>
      <c r="T1268" s="1"/>
      <c r="U1268" s="1"/>
      <c r="V1268" s="1"/>
      <c r="W1268" s="1"/>
      <c r="X1268" s="1"/>
      <c r="Y1268" s="1"/>
      <c r="Z1268" s="1"/>
      <c r="AA1268" s="1"/>
      <c r="AB1268" s="1"/>
      <c r="AC1268" s="1"/>
      <c r="AD1268" s="1" t="s">
        <v>93</v>
      </c>
      <c r="AE1268" s="1" t="s">
        <v>93</v>
      </c>
      <c r="AF1268" s="1"/>
      <c r="AG1268" s="1"/>
      <c r="AH1268" s="1"/>
      <c r="AI1268" s="1"/>
      <c r="AJ1268" s="1"/>
      <c r="AK1268" s="1"/>
      <c r="AL1268" s="1"/>
      <c r="AM1268" s="1"/>
      <c r="AN1268" s="1"/>
      <c r="AO1268" s="1"/>
      <c r="AP1268" s="1"/>
      <c r="AQ1268" s="1"/>
      <c r="AR1268" s="1"/>
      <c r="AS1268" s="1"/>
      <c r="AT1268" s="1"/>
      <c r="AU1268" s="1"/>
      <c r="AV1268" s="1"/>
      <c r="AW1268" s="1"/>
      <c r="AX1268" s="1"/>
      <c r="AY1268" s="1"/>
      <c r="AZ1268" s="1"/>
      <c r="BA1268" s="1"/>
      <c r="BB1268" s="1"/>
      <c r="BC1268" s="1"/>
      <c r="BD1268" s="1"/>
      <c r="BE1268" s="1"/>
      <c r="BF1268" s="1"/>
      <c r="BG1268" s="1"/>
      <c r="BH1268" s="1"/>
      <c r="BI1268" s="1"/>
      <c r="BJ1268" s="1"/>
      <c r="BK1268" s="1"/>
      <c r="BL1268" s="1"/>
      <c r="BM1268" s="1"/>
      <c r="BN1268" s="1"/>
      <c r="BO1268" s="1"/>
      <c r="BP1268" s="1" t="s">
        <v>9609</v>
      </c>
      <c r="BQ1268" s="3"/>
      <c r="BR1268" s="3"/>
    </row>
    <row r="1269" spans="1:70">
      <c r="A1269" s="1" t="s">
        <v>70</v>
      </c>
      <c r="B1269" s="1" t="s">
        <v>13846</v>
      </c>
      <c r="C1269" s="1" t="s">
        <v>16206</v>
      </c>
      <c r="D1269" s="1"/>
      <c r="E1269" s="1"/>
      <c r="F1269" s="1"/>
      <c r="G1269" s="1"/>
      <c r="H1269" s="1" t="s">
        <v>16207</v>
      </c>
      <c r="I1269" s="1" t="s">
        <v>16207</v>
      </c>
      <c r="J1269" s="1"/>
      <c r="K1269" s="1"/>
      <c r="L1269" s="1"/>
      <c r="M1269" s="1"/>
      <c r="N1269" s="1"/>
      <c r="O1269" s="1"/>
      <c r="P1269" s="1"/>
      <c r="Q1269" s="1"/>
      <c r="R1269" s="1"/>
      <c r="S1269" s="1"/>
      <c r="T1269" s="1"/>
      <c r="U1269" s="1"/>
      <c r="V1269" s="1"/>
      <c r="W1269" s="1"/>
      <c r="X1269" s="1"/>
      <c r="Y1269" s="1"/>
      <c r="Z1269" s="1"/>
      <c r="AA1269" s="1"/>
      <c r="AB1269" s="1"/>
      <c r="AC1269" s="1"/>
      <c r="AD1269" s="1" t="s">
        <v>93</v>
      </c>
      <c r="AE1269" s="1" t="s">
        <v>93</v>
      </c>
      <c r="AF1269" s="1"/>
      <c r="AG1269" s="1"/>
      <c r="AH1269" s="1"/>
      <c r="AI1269" s="1"/>
      <c r="AJ1269" s="1"/>
      <c r="AK1269" s="1"/>
      <c r="AL1269" s="1"/>
      <c r="AM1269" s="1"/>
      <c r="AN1269" s="1"/>
      <c r="AO1269" s="1"/>
      <c r="AP1269" s="1"/>
      <c r="AQ1269" s="1"/>
      <c r="AR1269" s="1"/>
      <c r="AS1269" s="1"/>
      <c r="AT1269" s="1"/>
      <c r="AU1269" s="1"/>
      <c r="AV1269" s="1"/>
      <c r="AW1269" s="1"/>
      <c r="AX1269" s="1"/>
      <c r="AY1269" s="1"/>
      <c r="AZ1269" s="1"/>
      <c r="BA1269" s="1"/>
      <c r="BB1269" s="1"/>
      <c r="BC1269" s="1"/>
      <c r="BD1269" s="1"/>
      <c r="BE1269" s="1"/>
      <c r="BF1269" s="1"/>
      <c r="BG1269" s="1"/>
      <c r="BH1269" s="1"/>
      <c r="BI1269" s="1"/>
      <c r="BJ1269" s="1"/>
      <c r="BK1269" s="1"/>
      <c r="BL1269" s="1"/>
      <c r="BM1269" s="1"/>
      <c r="BN1269" s="1"/>
      <c r="BO1269" s="1"/>
      <c r="BP1269" s="1" t="s">
        <v>9609</v>
      </c>
      <c r="BQ1269" s="3"/>
      <c r="BR1269" s="3"/>
    </row>
    <row r="1270" spans="1:70">
      <c r="A1270" s="1" t="s">
        <v>70</v>
      </c>
      <c r="B1270" s="1" t="s">
        <v>13846</v>
      </c>
      <c r="C1270" s="1" t="s">
        <v>16208</v>
      </c>
      <c r="D1270" s="1"/>
      <c r="E1270" s="1"/>
      <c r="F1270" s="1"/>
      <c r="G1270" s="1"/>
      <c r="H1270" s="1" t="s">
        <v>16209</v>
      </c>
      <c r="I1270" s="1" t="s">
        <v>16209</v>
      </c>
      <c r="J1270" s="1"/>
      <c r="K1270" s="1"/>
      <c r="L1270" s="1"/>
      <c r="M1270" s="1"/>
      <c r="N1270" s="1"/>
      <c r="O1270" s="1"/>
      <c r="P1270" s="1"/>
      <c r="Q1270" s="1"/>
      <c r="R1270" s="1"/>
      <c r="S1270" s="1"/>
      <c r="T1270" s="1"/>
      <c r="U1270" s="1"/>
      <c r="V1270" s="1"/>
      <c r="W1270" s="1"/>
      <c r="X1270" s="1"/>
      <c r="Y1270" s="1"/>
      <c r="Z1270" s="1"/>
      <c r="AA1270" s="1"/>
      <c r="AB1270" s="1"/>
      <c r="AC1270" s="1"/>
      <c r="AD1270" s="1" t="s">
        <v>93</v>
      </c>
      <c r="AE1270" s="1" t="s">
        <v>93</v>
      </c>
      <c r="AF1270" s="1"/>
      <c r="AG1270" s="1"/>
      <c r="AH1270" s="1"/>
      <c r="AI1270" s="1"/>
      <c r="AJ1270" s="1"/>
      <c r="AK1270" s="1"/>
      <c r="AL1270" s="1"/>
      <c r="AM1270" s="1"/>
      <c r="AN1270" s="1"/>
      <c r="AO1270" s="1"/>
      <c r="AP1270" s="1"/>
      <c r="AQ1270" s="1"/>
      <c r="AR1270" s="1"/>
      <c r="AS1270" s="1"/>
      <c r="AT1270" s="1"/>
      <c r="AU1270" s="1"/>
      <c r="AV1270" s="1"/>
      <c r="AW1270" s="1"/>
      <c r="AX1270" s="1"/>
      <c r="AY1270" s="1"/>
      <c r="AZ1270" s="1"/>
      <c r="BA1270" s="1"/>
      <c r="BB1270" s="1"/>
      <c r="BC1270" s="1"/>
      <c r="BD1270" s="1"/>
      <c r="BE1270" s="1"/>
      <c r="BF1270" s="1"/>
      <c r="BG1270" s="1"/>
      <c r="BH1270" s="1"/>
      <c r="BI1270" s="1"/>
      <c r="BJ1270" s="1"/>
      <c r="BK1270" s="1"/>
      <c r="BL1270" s="1"/>
      <c r="BM1270" s="1"/>
      <c r="BN1270" s="1"/>
      <c r="BO1270" s="1"/>
      <c r="BP1270" s="1" t="s">
        <v>9609</v>
      </c>
      <c r="BQ1270" s="3"/>
      <c r="BR1270" s="3"/>
    </row>
    <row r="1271" spans="1:70">
      <c r="A1271" s="1" t="s">
        <v>70</v>
      </c>
      <c r="B1271" s="1" t="s">
        <v>13846</v>
      </c>
      <c r="C1271" s="1" t="s">
        <v>16210</v>
      </c>
      <c r="D1271" s="1"/>
      <c r="E1271" s="1"/>
      <c r="F1271" s="1"/>
      <c r="G1271" s="1"/>
      <c r="H1271" s="1" t="s">
        <v>16211</v>
      </c>
      <c r="I1271" s="1" t="s">
        <v>16211</v>
      </c>
      <c r="J1271" s="1"/>
      <c r="K1271" s="1"/>
      <c r="L1271" s="1"/>
      <c r="M1271" s="1"/>
      <c r="N1271" s="1"/>
      <c r="O1271" s="1"/>
      <c r="P1271" s="1"/>
      <c r="Q1271" s="1"/>
      <c r="R1271" s="1"/>
      <c r="S1271" s="1"/>
      <c r="T1271" s="1"/>
      <c r="U1271" s="1"/>
      <c r="V1271" s="1"/>
      <c r="W1271" s="1"/>
      <c r="X1271" s="1"/>
      <c r="Y1271" s="1"/>
      <c r="Z1271" s="1"/>
      <c r="AA1271" s="1"/>
      <c r="AB1271" s="1"/>
      <c r="AC1271" s="1"/>
      <c r="AD1271" s="1" t="s">
        <v>93</v>
      </c>
      <c r="AE1271" s="1" t="s">
        <v>93</v>
      </c>
      <c r="AF1271" s="1"/>
      <c r="AG1271" s="1"/>
      <c r="AH1271" s="1"/>
      <c r="AI1271" s="1"/>
      <c r="AJ1271" s="1"/>
      <c r="AK1271" s="1"/>
      <c r="AL1271" s="1"/>
      <c r="AM1271" s="1"/>
      <c r="AN1271" s="1"/>
      <c r="AO1271" s="1"/>
      <c r="AP1271" s="1"/>
      <c r="AQ1271" s="1"/>
      <c r="AR1271" s="1"/>
      <c r="AS1271" s="1"/>
      <c r="AT1271" s="1"/>
      <c r="AU1271" s="1"/>
      <c r="AV1271" s="1"/>
      <c r="AW1271" s="1"/>
      <c r="AX1271" s="1"/>
      <c r="AY1271" s="1"/>
      <c r="AZ1271" s="1"/>
      <c r="BA1271" s="1"/>
      <c r="BB1271" s="1"/>
      <c r="BC1271" s="1"/>
      <c r="BD1271" s="1"/>
      <c r="BE1271" s="1"/>
      <c r="BF1271" s="1"/>
      <c r="BG1271" s="1"/>
      <c r="BH1271" s="1"/>
      <c r="BI1271" s="1"/>
      <c r="BJ1271" s="1"/>
      <c r="BK1271" s="1"/>
      <c r="BL1271" s="1"/>
      <c r="BM1271" s="1"/>
      <c r="BN1271" s="1"/>
      <c r="BO1271" s="1"/>
      <c r="BP1271" s="1" t="s">
        <v>9609</v>
      </c>
      <c r="BQ1271" s="3"/>
      <c r="BR1271" s="3"/>
    </row>
    <row r="1272" spans="1:70">
      <c r="A1272" s="1" t="s">
        <v>70</v>
      </c>
      <c r="B1272" s="1" t="s">
        <v>13846</v>
      </c>
      <c r="C1272" s="1" t="s">
        <v>16212</v>
      </c>
      <c r="D1272" s="1"/>
      <c r="E1272" s="1"/>
      <c r="F1272" s="1"/>
      <c r="G1272" s="1"/>
      <c r="H1272" s="1" t="s">
        <v>16213</v>
      </c>
      <c r="I1272" s="1" t="s">
        <v>16213</v>
      </c>
      <c r="J1272" s="1"/>
      <c r="K1272" s="1"/>
      <c r="L1272" s="1"/>
      <c r="M1272" s="1"/>
      <c r="N1272" s="1"/>
      <c r="O1272" s="1"/>
      <c r="P1272" s="1"/>
      <c r="Q1272" s="1"/>
      <c r="R1272" s="1"/>
      <c r="S1272" s="1"/>
      <c r="T1272" s="1"/>
      <c r="U1272" s="1"/>
      <c r="V1272" s="1"/>
      <c r="W1272" s="1"/>
      <c r="X1272" s="1"/>
      <c r="Y1272" s="1"/>
      <c r="Z1272" s="1"/>
      <c r="AA1272" s="1"/>
      <c r="AB1272" s="1"/>
      <c r="AC1272" s="1"/>
      <c r="AD1272" s="1" t="s">
        <v>93</v>
      </c>
      <c r="AE1272" s="1" t="s">
        <v>93</v>
      </c>
      <c r="AF1272" s="1"/>
      <c r="AG1272" s="1"/>
      <c r="AH1272" s="1"/>
      <c r="AI1272" s="1"/>
      <c r="AJ1272" s="1"/>
      <c r="AK1272" s="1"/>
      <c r="AL1272" s="1"/>
      <c r="AM1272" s="1"/>
      <c r="AN1272" s="1"/>
      <c r="AO1272" s="1"/>
      <c r="AP1272" s="1"/>
      <c r="AQ1272" s="1"/>
      <c r="AR1272" s="1"/>
      <c r="AS1272" s="1"/>
      <c r="AT1272" s="1"/>
      <c r="AU1272" s="1"/>
      <c r="AV1272" s="1"/>
      <c r="AW1272" s="1"/>
      <c r="AX1272" s="1"/>
      <c r="AY1272" s="1"/>
      <c r="AZ1272" s="1"/>
      <c r="BA1272" s="1"/>
      <c r="BB1272" s="1"/>
      <c r="BC1272" s="1"/>
      <c r="BD1272" s="1"/>
      <c r="BE1272" s="1"/>
      <c r="BF1272" s="1"/>
      <c r="BG1272" s="1"/>
      <c r="BH1272" s="1"/>
      <c r="BI1272" s="1"/>
      <c r="BJ1272" s="1"/>
      <c r="BK1272" s="1"/>
      <c r="BL1272" s="1"/>
      <c r="BM1272" s="1"/>
      <c r="BN1272" s="1"/>
      <c r="BO1272" s="1"/>
      <c r="BP1272" s="1" t="s">
        <v>9609</v>
      </c>
      <c r="BQ1272" s="3"/>
      <c r="BR1272" s="3"/>
    </row>
    <row r="1273" spans="1:70">
      <c r="A1273" s="1" t="s">
        <v>70</v>
      </c>
      <c r="B1273" s="1" t="s">
        <v>13846</v>
      </c>
      <c r="C1273" s="1" t="s">
        <v>16214</v>
      </c>
      <c r="D1273" s="1"/>
      <c r="E1273" s="1"/>
      <c r="F1273" s="1"/>
      <c r="G1273" s="1"/>
      <c r="H1273" s="1" t="s">
        <v>16215</v>
      </c>
      <c r="I1273" s="1" t="s">
        <v>16215</v>
      </c>
      <c r="J1273" s="1"/>
      <c r="K1273" s="1"/>
      <c r="L1273" s="1"/>
      <c r="M1273" s="1"/>
      <c r="N1273" s="1"/>
      <c r="O1273" s="1"/>
      <c r="P1273" s="1"/>
      <c r="Q1273" s="1"/>
      <c r="R1273" s="1"/>
      <c r="S1273" s="1"/>
      <c r="T1273" s="1"/>
      <c r="U1273" s="1"/>
      <c r="V1273" s="1"/>
      <c r="W1273" s="1"/>
      <c r="X1273" s="1"/>
      <c r="Y1273" s="1"/>
      <c r="Z1273" s="1"/>
      <c r="AA1273" s="1"/>
      <c r="AB1273" s="1"/>
      <c r="AC1273" s="1"/>
      <c r="AD1273" s="1" t="s">
        <v>93</v>
      </c>
      <c r="AE1273" s="1" t="s">
        <v>93</v>
      </c>
      <c r="AF1273" s="1"/>
      <c r="AG1273" s="1"/>
      <c r="AH1273" s="1"/>
      <c r="AI1273" s="1"/>
      <c r="AJ1273" s="1"/>
      <c r="AK1273" s="1"/>
      <c r="AL1273" s="1"/>
      <c r="AM1273" s="1"/>
      <c r="AN1273" s="1"/>
      <c r="AO1273" s="1"/>
      <c r="AP1273" s="1"/>
      <c r="AQ1273" s="1"/>
      <c r="AR1273" s="1"/>
      <c r="AS1273" s="1"/>
      <c r="AT1273" s="1"/>
      <c r="AU1273" s="1"/>
      <c r="AV1273" s="1"/>
      <c r="AW1273" s="1"/>
      <c r="AX1273" s="1"/>
      <c r="AY1273" s="1"/>
      <c r="AZ1273" s="1"/>
      <c r="BA1273" s="1"/>
      <c r="BB1273" s="1"/>
      <c r="BC1273" s="1"/>
      <c r="BD1273" s="1"/>
      <c r="BE1273" s="1"/>
      <c r="BF1273" s="1"/>
      <c r="BG1273" s="1"/>
      <c r="BH1273" s="1"/>
      <c r="BI1273" s="1"/>
      <c r="BJ1273" s="1"/>
      <c r="BK1273" s="1"/>
      <c r="BL1273" s="1"/>
      <c r="BM1273" s="1"/>
      <c r="BN1273" s="1"/>
      <c r="BO1273" s="1"/>
      <c r="BP1273" s="1" t="s">
        <v>9609</v>
      </c>
      <c r="BQ1273" s="3"/>
      <c r="BR1273" s="3"/>
    </row>
    <row r="1274" spans="1:70">
      <c r="A1274" s="1" t="s">
        <v>70</v>
      </c>
      <c r="B1274" s="1" t="s">
        <v>13846</v>
      </c>
      <c r="C1274" s="1" t="s">
        <v>16216</v>
      </c>
      <c r="D1274" s="1"/>
      <c r="E1274" s="1"/>
      <c r="F1274" s="1"/>
      <c r="G1274" s="1"/>
      <c r="H1274" s="1" t="s">
        <v>16217</v>
      </c>
      <c r="I1274" s="1" t="s">
        <v>16217</v>
      </c>
      <c r="J1274" s="1"/>
      <c r="K1274" s="1"/>
      <c r="L1274" s="1"/>
      <c r="M1274" s="1"/>
      <c r="N1274" s="1"/>
      <c r="O1274" s="1"/>
      <c r="P1274" s="1"/>
      <c r="Q1274" s="1"/>
      <c r="R1274" s="1"/>
      <c r="S1274" s="1"/>
      <c r="T1274" s="1"/>
      <c r="U1274" s="1"/>
      <c r="V1274" s="1"/>
      <c r="W1274" s="1"/>
      <c r="X1274" s="1"/>
      <c r="Y1274" s="1"/>
      <c r="Z1274" s="1"/>
      <c r="AA1274" s="1"/>
      <c r="AB1274" s="1"/>
      <c r="AC1274" s="1"/>
      <c r="AD1274" s="1" t="s">
        <v>93</v>
      </c>
      <c r="AE1274" s="1" t="s">
        <v>93</v>
      </c>
      <c r="AF1274" s="1"/>
      <c r="AG1274" s="1"/>
      <c r="AH1274" s="1"/>
      <c r="AI1274" s="1"/>
      <c r="AJ1274" s="1"/>
      <c r="AK1274" s="1"/>
      <c r="AL1274" s="1"/>
      <c r="AM1274" s="1"/>
      <c r="AN1274" s="1"/>
      <c r="AO1274" s="1"/>
      <c r="AP1274" s="1"/>
      <c r="AQ1274" s="1"/>
      <c r="AR1274" s="1"/>
      <c r="AS1274" s="1"/>
      <c r="AT1274" s="1"/>
      <c r="AU1274" s="1"/>
      <c r="AV1274" s="1"/>
      <c r="AW1274" s="1"/>
      <c r="AX1274" s="1"/>
      <c r="AY1274" s="1"/>
      <c r="AZ1274" s="1"/>
      <c r="BA1274" s="1"/>
      <c r="BB1274" s="1"/>
      <c r="BC1274" s="1"/>
      <c r="BD1274" s="1"/>
      <c r="BE1274" s="1"/>
      <c r="BF1274" s="1"/>
      <c r="BG1274" s="1"/>
      <c r="BH1274" s="1"/>
      <c r="BI1274" s="1"/>
      <c r="BJ1274" s="1"/>
      <c r="BK1274" s="1"/>
      <c r="BL1274" s="1"/>
      <c r="BM1274" s="1"/>
      <c r="BN1274" s="1"/>
      <c r="BO1274" s="1"/>
      <c r="BP1274" s="1" t="s">
        <v>9609</v>
      </c>
      <c r="BQ1274" s="3"/>
      <c r="BR1274" s="3"/>
    </row>
    <row r="1275" spans="1:70">
      <c r="A1275" s="1" t="s">
        <v>70</v>
      </c>
      <c r="B1275" s="1" t="s">
        <v>13846</v>
      </c>
      <c r="C1275" s="1" t="s">
        <v>16218</v>
      </c>
      <c r="D1275" s="1"/>
      <c r="E1275" s="1"/>
      <c r="F1275" s="1"/>
      <c r="G1275" s="1"/>
      <c r="H1275" s="1" t="s">
        <v>16219</v>
      </c>
      <c r="I1275" s="1" t="s">
        <v>16219</v>
      </c>
      <c r="J1275" s="1"/>
      <c r="K1275" s="1"/>
      <c r="L1275" s="1"/>
      <c r="M1275" s="1"/>
      <c r="N1275" s="1"/>
      <c r="O1275" s="1"/>
      <c r="P1275" s="1"/>
      <c r="Q1275" s="1"/>
      <c r="R1275" s="1"/>
      <c r="S1275" s="1"/>
      <c r="T1275" s="1"/>
      <c r="U1275" s="1"/>
      <c r="V1275" s="1"/>
      <c r="W1275" s="1"/>
      <c r="X1275" s="1"/>
      <c r="Y1275" s="1"/>
      <c r="Z1275" s="1"/>
      <c r="AA1275" s="1"/>
      <c r="AB1275" s="1"/>
      <c r="AC1275" s="1"/>
      <c r="AD1275" s="1" t="s">
        <v>93</v>
      </c>
      <c r="AE1275" s="1" t="s">
        <v>93</v>
      </c>
      <c r="AF1275" s="1"/>
      <c r="AG1275" s="1"/>
      <c r="AH1275" s="1"/>
      <c r="AI1275" s="1"/>
      <c r="AJ1275" s="1"/>
      <c r="AK1275" s="1"/>
      <c r="AL1275" s="1"/>
      <c r="AM1275" s="1"/>
      <c r="AN1275" s="1"/>
      <c r="AO1275" s="1"/>
      <c r="AP1275" s="1"/>
      <c r="AQ1275" s="1"/>
      <c r="AR1275" s="1"/>
      <c r="AS1275" s="1"/>
      <c r="AT1275" s="1"/>
      <c r="AU1275" s="1"/>
      <c r="AV1275" s="1"/>
      <c r="AW1275" s="1"/>
      <c r="AX1275" s="1"/>
      <c r="AY1275" s="1"/>
      <c r="AZ1275" s="1"/>
      <c r="BA1275" s="1"/>
      <c r="BB1275" s="1"/>
      <c r="BC1275" s="1"/>
      <c r="BD1275" s="1"/>
      <c r="BE1275" s="1"/>
      <c r="BF1275" s="1"/>
      <c r="BG1275" s="1"/>
      <c r="BH1275" s="1"/>
      <c r="BI1275" s="1"/>
      <c r="BJ1275" s="1"/>
      <c r="BK1275" s="1"/>
      <c r="BL1275" s="1"/>
      <c r="BM1275" s="1"/>
      <c r="BN1275" s="1"/>
      <c r="BO1275" s="1"/>
      <c r="BP1275" s="1" t="s">
        <v>9609</v>
      </c>
      <c r="BQ1275" s="3"/>
      <c r="BR1275" s="3"/>
    </row>
    <row r="1276" spans="1:70">
      <c r="A1276" s="1" t="s">
        <v>70</v>
      </c>
      <c r="B1276" s="1" t="s">
        <v>13846</v>
      </c>
      <c r="C1276" s="1" t="s">
        <v>16220</v>
      </c>
      <c r="D1276" s="1"/>
      <c r="E1276" s="1"/>
      <c r="F1276" s="1"/>
      <c r="G1276" s="1"/>
      <c r="H1276" s="1" t="s">
        <v>16221</v>
      </c>
      <c r="I1276" s="1" t="s">
        <v>16221</v>
      </c>
      <c r="J1276" s="1"/>
      <c r="K1276" s="1"/>
      <c r="L1276" s="1"/>
      <c r="M1276" s="1"/>
      <c r="N1276" s="1"/>
      <c r="O1276" s="1"/>
      <c r="P1276" s="1"/>
      <c r="Q1276" s="1"/>
      <c r="R1276" s="1"/>
      <c r="S1276" s="1"/>
      <c r="T1276" s="1"/>
      <c r="U1276" s="1"/>
      <c r="V1276" s="1"/>
      <c r="W1276" s="1"/>
      <c r="X1276" s="1"/>
      <c r="Y1276" s="1"/>
      <c r="Z1276" s="1"/>
      <c r="AA1276" s="1"/>
      <c r="AB1276" s="1"/>
      <c r="AC1276" s="1"/>
      <c r="AD1276" s="1" t="s">
        <v>93</v>
      </c>
      <c r="AE1276" s="1" t="s">
        <v>93</v>
      </c>
      <c r="AF1276" s="1"/>
      <c r="AG1276" s="1"/>
      <c r="AH1276" s="1"/>
      <c r="AI1276" s="1"/>
      <c r="AJ1276" s="1"/>
      <c r="AK1276" s="1"/>
      <c r="AL1276" s="1"/>
      <c r="AM1276" s="1"/>
      <c r="AN1276" s="1"/>
      <c r="AO1276" s="1"/>
      <c r="AP1276" s="1"/>
      <c r="AQ1276" s="1"/>
      <c r="AR1276" s="1"/>
      <c r="AS1276" s="1"/>
      <c r="AT1276" s="1"/>
      <c r="AU1276" s="1"/>
      <c r="AV1276" s="1"/>
      <c r="AW1276" s="1"/>
      <c r="AX1276" s="1"/>
      <c r="AY1276" s="1"/>
      <c r="AZ1276" s="1"/>
      <c r="BA1276" s="1"/>
      <c r="BB1276" s="1"/>
      <c r="BC1276" s="1"/>
      <c r="BD1276" s="1"/>
      <c r="BE1276" s="1"/>
      <c r="BF1276" s="1"/>
      <c r="BG1276" s="1"/>
      <c r="BH1276" s="1"/>
      <c r="BI1276" s="1"/>
      <c r="BJ1276" s="1"/>
      <c r="BK1276" s="1"/>
      <c r="BL1276" s="1"/>
      <c r="BM1276" s="1"/>
      <c r="BN1276" s="1"/>
      <c r="BO1276" s="1"/>
      <c r="BP1276" s="1" t="s">
        <v>9609</v>
      </c>
      <c r="BQ1276" s="3"/>
      <c r="BR1276" s="3"/>
    </row>
    <row r="1277" spans="1:70">
      <c r="A1277" s="1" t="s">
        <v>70</v>
      </c>
      <c r="B1277" s="1" t="s">
        <v>13846</v>
      </c>
      <c r="C1277" s="1" t="s">
        <v>16222</v>
      </c>
      <c r="D1277" s="1"/>
      <c r="E1277" s="1"/>
      <c r="F1277" s="1"/>
      <c r="G1277" s="1"/>
      <c r="H1277" s="1" t="s">
        <v>16223</v>
      </c>
      <c r="I1277" s="1" t="s">
        <v>16223</v>
      </c>
      <c r="J1277" s="1"/>
      <c r="K1277" s="1"/>
      <c r="L1277" s="1"/>
      <c r="M1277" s="1"/>
      <c r="N1277" s="1"/>
      <c r="O1277" s="1"/>
      <c r="P1277" s="1"/>
      <c r="Q1277" s="1"/>
      <c r="R1277" s="1"/>
      <c r="S1277" s="1"/>
      <c r="T1277" s="1"/>
      <c r="U1277" s="1"/>
      <c r="V1277" s="1"/>
      <c r="W1277" s="1"/>
      <c r="X1277" s="1"/>
      <c r="Y1277" s="1"/>
      <c r="Z1277" s="1"/>
      <c r="AA1277" s="1"/>
      <c r="AB1277" s="1"/>
      <c r="AC1277" s="1"/>
      <c r="AD1277" s="1" t="s">
        <v>93</v>
      </c>
      <c r="AE1277" s="1" t="s">
        <v>93</v>
      </c>
      <c r="AF1277" s="1"/>
      <c r="AG1277" s="1"/>
      <c r="AH1277" s="1"/>
      <c r="AI1277" s="1"/>
      <c r="AJ1277" s="1"/>
      <c r="AK1277" s="1"/>
      <c r="AL1277" s="1"/>
      <c r="AM1277" s="1"/>
      <c r="AN1277" s="1"/>
      <c r="AO1277" s="1"/>
      <c r="AP1277" s="1"/>
      <c r="AQ1277" s="1"/>
      <c r="AR1277" s="1"/>
      <c r="AS1277" s="1"/>
      <c r="AT1277" s="1"/>
      <c r="AU1277" s="1"/>
      <c r="AV1277" s="1"/>
      <c r="AW1277" s="1"/>
      <c r="AX1277" s="1"/>
      <c r="AY1277" s="1"/>
      <c r="AZ1277" s="1"/>
      <c r="BA1277" s="1"/>
      <c r="BB1277" s="1"/>
      <c r="BC1277" s="1"/>
      <c r="BD1277" s="1"/>
      <c r="BE1277" s="1"/>
      <c r="BF1277" s="1"/>
      <c r="BG1277" s="1"/>
      <c r="BH1277" s="1"/>
      <c r="BI1277" s="1"/>
      <c r="BJ1277" s="1"/>
      <c r="BK1277" s="1"/>
      <c r="BL1277" s="1"/>
      <c r="BM1277" s="1"/>
      <c r="BN1277" s="1"/>
      <c r="BO1277" s="1"/>
      <c r="BP1277" s="1" t="s">
        <v>9609</v>
      </c>
      <c r="BQ1277" s="3"/>
      <c r="BR1277" s="3"/>
    </row>
    <row r="1278" spans="1:70">
      <c r="A1278" s="1" t="s">
        <v>70</v>
      </c>
      <c r="B1278" s="1" t="s">
        <v>13846</v>
      </c>
      <c r="C1278" s="1" t="s">
        <v>16224</v>
      </c>
      <c r="D1278" s="1"/>
      <c r="E1278" s="1"/>
      <c r="F1278" s="1"/>
      <c r="G1278" s="1"/>
      <c r="H1278" s="1" t="s">
        <v>16225</v>
      </c>
      <c r="I1278" s="1" t="s">
        <v>16225</v>
      </c>
      <c r="J1278" s="1"/>
      <c r="K1278" s="1"/>
      <c r="L1278" s="1"/>
      <c r="M1278" s="1"/>
      <c r="N1278" s="1"/>
      <c r="O1278" s="1"/>
      <c r="P1278" s="1"/>
      <c r="Q1278" s="1"/>
      <c r="R1278" s="1"/>
      <c r="S1278" s="1"/>
      <c r="T1278" s="1"/>
      <c r="U1278" s="1"/>
      <c r="V1278" s="1"/>
      <c r="W1278" s="1"/>
      <c r="X1278" s="1"/>
      <c r="Y1278" s="1"/>
      <c r="Z1278" s="1"/>
      <c r="AA1278" s="1"/>
      <c r="AB1278" s="1"/>
      <c r="AC1278" s="1"/>
      <c r="AD1278" s="1" t="s">
        <v>93</v>
      </c>
      <c r="AE1278" s="1" t="s">
        <v>93</v>
      </c>
      <c r="AF1278" s="1"/>
      <c r="AG1278" s="1"/>
      <c r="AH1278" s="1"/>
      <c r="AI1278" s="1"/>
      <c r="AJ1278" s="1"/>
      <c r="AK1278" s="1"/>
      <c r="AL1278" s="1"/>
      <c r="AM1278" s="1"/>
      <c r="AN1278" s="1"/>
      <c r="AO1278" s="1"/>
      <c r="AP1278" s="1"/>
      <c r="AQ1278" s="1"/>
      <c r="AR1278" s="1"/>
      <c r="AS1278" s="1"/>
      <c r="AT1278" s="1"/>
      <c r="AU1278" s="1"/>
      <c r="AV1278" s="1"/>
      <c r="AW1278" s="1"/>
      <c r="AX1278" s="1"/>
      <c r="AY1278" s="1"/>
      <c r="AZ1278" s="1"/>
      <c r="BA1278" s="1"/>
      <c r="BB1278" s="1"/>
      <c r="BC1278" s="1"/>
      <c r="BD1278" s="1"/>
      <c r="BE1278" s="1"/>
      <c r="BF1278" s="1"/>
      <c r="BG1278" s="1"/>
      <c r="BH1278" s="1"/>
      <c r="BI1278" s="1"/>
      <c r="BJ1278" s="1"/>
      <c r="BK1278" s="1"/>
      <c r="BL1278" s="1"/>
      <c r="BM1278" s="1"/>
      <c r="BN1278" s="1"/>
      <c r="BO1278" s="1"/>
      <c r="BP1278" s="1" t="s">
        <v>9609</v>
      </c>
      <c r="BQ1278" s="3"/>
      <c r="BR1278" s="3"/>
    </row>
    <row r="1279" spans="1:70">
      <c r="A1279" s="1" t="s">
        <v>70</v>
      </c>
      <c r="B1279" s="1" t="s">
        <v>13846</v>
      </c>
      <c r="C1279" s="1" t="s">
        <v>16226</v>
      </c>
      <c r="D1279" s="1"/>
      <c r="E1279" s="1"/>
      <c r="F1279" s="1"/>
      <c r="G1279" s="1"/>
      <c r="H1279" s="1" t="s">
        <v>16227</v>
      </c>
      <c r="I1279" s="1" t="s">
        <v>16227</v>
      </c>
      <c r="J1279" s="1"/>
      <c r="K1279" s="1"/>
      <c r="L1279" s="1"/>
      <c r="M1279" s="1"/>
      <c r="N1279" s="1"/>
      <c r="O1279" s="1"/>
      <c r="P1279" s="1"/>
      <c r="Q1279" s="1"/>
      <c r="R1279" s="1"/>
      <c r="S1279" s="1"/>
      <c r="T1279" s="1"/>
      <c r="U1279" s="1"/>
      <c r="V1279" s="1"/>
      <c r="W1279" s="1"/>
      <c r="X1279" s="1"/>
      <c r="Y1279" s="1"/>
      <c r="Z1279" s="1"/>
      <c r="AA1279" s="1"/>
      <c r="AB1279" s="1"/>
      <c r="AC1279" s="1"/>
      <c r="AD1279" s="1" t="s">
        <v>93</v>
      </c>
      <c r="AE1279" s="1" t="s">
        <v>93</v>
      </c>
      <c r="AF1279" s="1"/>
      <c r="AG1279" s="1"/>
      <c r="AH1279" s="1"/>
      <c r="AI1279" s="1"/>
      <c r="AJ1279" s="1"/>
      <c r="AK1279" s="1"/>
      <c r="AL1279" s="1"/>
      <c r="AM1279" s="1"/>
      <c r="AN1279" s="1"/>
      <c r="AO1279" s="1"/>
      <c r="AP1279" s="1"/>
      <c r="AQ1279" s="1"/>
      <c r="AR1279" s="1"/>
      <c r="AS1279" s="1"/>
      <c r="AT1279" s="1"/>
      <c r="AU1279" s="1"/>
      <c r="AV1279" s="1"/>
      <c r="AW1279" s="1"/>
      <c r="AX1279" s="1"/>
      <c r="AY1279" s="1"/>
      <c r="AZ1279" s="1"/>
      <c r="BA1279" s="1"/>
      <c r="BB1279" s="1"/>
      <c r="BC1279" s="1"/>
      <c r="BD1279" s="1"/>
      <c r="BE1279" s="1"/>
      <c r="BF1279" s="1"/>
      <c r="BG1279" s="1"/>
      <c r="BH1279" s="1"/>
      <c r="BI1279" s="1"/>
      <c r="BJ1279" s="1"/>
      <c r="BK1279" s="1"/>
      <c r="BL1279" s="1"/>
      <c r="BM1279" s="1"/>
      <c r="BN1279" s="1"/>
      <c r="BO1279" s="1"/>
      <c r="BP1279" s="1" t="s">
        <v>9609</v>
      </c>
      <c r="BQ1279" s="3"/>
      <c r="BR1279" s="3"/>
    </row>
    <row r="1280" spans="1:70">
      <c r="A1280" s="1" t="s">
        <v>70</v>
      </c>
      <c r="B1280" s="1" t="s">
        <v>13846</v>
      </c>
      <c r="C1280" s="1" t="s">
        <v>16228</v>
      </c>
      <c r="D1280" s="1"/>
      <c r="E1280" s="1"/>
      <c r="F1280" s="1"/>
      <c r="G1280" s="1"/>
      <c r="H1280" s="1" t="s">
        <v>16229</v>
      </c>
      <c r="I1280" s="1" t="s">
        <v>16229</v>
      </c>
      <c r="J1280" s="1"/>
      <c r="K1280" s="1"/>
      <c r="L1280" s="1"/>
      <c r="M1280" s="1"/>
      <c r="N1280" s="1"/>
      <c r="O1280" s="1"/>
      <c r="P1280" s="1"/>
      <c r="Q1280" s="1"/>
      <c r="R1280" s="1"/>
      <c r="S1280" s="1"/>
      <c r="T1280" s="1"/>
      <c r="U1280" s="1"/>
      <c r="V1280" s="1"/>
      <c r="W1280" s="1"/>
      <c r="X1280" s="1"/>
      <c r="Y1280" s="1"/>
      <c r="Z1280" s="1"/>
      <c r="AA1280" s="1"/>
      <c r="AB1280" s="1"/>
      <c r="AC1280" s="1"/>
      <c r="AD1280" s="1" t="s">
        <v>93</v>
      </c>
      <c r="AE1280" s="1" t="s">
        <v>93</v>
      </c>
      <c r="AF1280" s="1"/>
      <c r="AG1280" s="1"/>
      <c r="AH1280" s="1"/>
      <c r="AI1280" s="1"/>
      <c r="AJ1280" s="1"/>
      <c r="AK1280" s="1"/>
      <c r="AL1280" s="1"/>
      <c r="AM1280" s="1"/>
      <c r="AN1280" s="1"/>
      <c r="AO1280" s="1"/>
      <c r="AP1280" s="1"/>
      <c r="AQ1280" s="1"/>
      <c r="AR1280" s="1"/>
      <c r="AS1280" s="1"/>
      <c r="AT1280" s="1"/>
      <c r="AU1280" s="1"/>
      <c r="AV1280" s="1"/>
      <c r="AW1280" s="1"/>
      <c r="AX1280" s="1"/>
      <c r="AY1280" s="1"/>
      <c r="AZ1280" s="1"/>
      <c r="BA1280" s="1"/>
      <c r="BB1280" s="1"/>
      <c r="BC1280" s="1"/>
      <c r="BD1280" s="1"/>
      <c r="BE1280" s="1"/>
      <c r="BF1280" s="1"/>
      <c r="BG1280" s="1"/>
      <c r="BH1280" s="1"/>
      <c r="BI1280" s="1"/>
      <c r="BJ1280" s="1"/>
      <c r="BK1280" s="1"/>
      <c r="BL1280" s="1"/>
      <c r="BM1280" s="1"/>
      <c r="BN1280" s="1"/>
      <c r="BO1280" s="1"/>
      <c r="BP1280" s="1" t="s">
        <v>9609</v>
      </c>
      <c r="BQ1280" s="3"/>
      <c r="BR1280" s="3"/>
    </row>
    <row r="1281" spans="1:70">
      <c r="A1281" s="1" t="s">
        <v>70</v>
      </c>
      <c r="B1281" s="1" t="s">
        <v>13846</v>
      </c>
      <c r="C1281" s="1" t="s">
        <v>16230</v>
      </c>
      <c r="D1281" s="1"/>
      <c r="E1281" s="1"/>
      <c r="F1281" s="1"/>
      <c r="G1281" s="1"/>
      <c r="H1281" s="1" t="s">
        <v>16231</v>
      </c>
      <c r="I1281" s="1" t="s">
        <v>16231</v>
      </c>
      <c r="J1281" s="1"/>
      <c r="K1281" s="1"/>
      <c r="L1281" s="1"/>
      <c r="M1281" s="1"/>
      <c r="N1281" s="1"/>
      <c r="O1281" s="1"/>
      <c r="P1281" s="1"/>
      <c r="Q1281" s="1"/>
      <c r="R1281" s="1"/>
      <c r="S1281" s="1"/>
      <c r="T1281" s="1"/>
      <c r="U1281" s="1"/>
      <c r="V1281" s="1"/>
      <c r="W1281" s="1"/>
      <c r="X1281" s="1"/>
      <c r="Y1281" s="1"/>
      <c r="Z1281" s="1"/>
      <c r="AA1281" s="1"/>
      <c r="AB1281" s="1"/>
      <c r="AC1281" s="1"/>
      <c r="AD1281" s="1" t="s">
        <v>93</v>
      </c>
      <c r="AE1281" s="1" t="s">
        <v>93</v>
      </c>
      <c r="AF1281" s="1"/>
      <c r="AG1281" s="1"/>
      <c r="AH1281" s="1"/>
      <c r="AI1281" s="1"/>
      <c r="AJ1281" s="1"/>
      <c r="AK1281" s="1"/>
      <c r="AL1281" s="1"/>
      <c r="AM1281" s="1"/>
      <c r="AN1281" s="1"/>
      <c r="AO1281" s="1"/>
      <c r="AP1281" s="1"/>
      <c r="AQ1281" s="1"/>
      <c r="AR1281" s="1"/>
      <c r="AS1281" s="1"/>
      <c r="AT1281" s="1"/>
      <c r="AU1281" s="1"/>
      <c r="AV1281" s="1"/>
      <c r="AW1281" s="1"/>
      <c r="AX1281" s="1"/>
      <c r="AY1281" s="1"/>
      <c r="AZ1281" s="1"/>
      <c r="BA1281" s="1"/>
      <c r="BB1281" s="1"/>
      <c r="BC1281" s="1"/>
      <c r="BD1281" s="1"/>
      <c r="BE1281" s="1"/>
      <c r="BF1281" s="1"/>
      <c r="BG1281" s="1"/>
      <c r="BH1281" s="1"/>
      <c r="BI1281" s="1"/>
      <c r="BJ1281" s="1"/>
      <c r="BK1281" s="1"/>
      <c r="BL1281" s="1"/>
      <c r="BM1281" s="1"/>
      <c r="BN1281" s="1"/>
      <c r="BO1281" s="1"/>
      <c r="BP1281" s="1" t="s">
        <v>9609</v>
      </c>
      <c r="BQ1281" s="3"/>
      <c r="BR1281" s="3"/>
    </row>
    <row r="1282" spans="1:70">
      <c r="A1282" s="1" t="s">
        <v>70</v>
      </c>
      <c r="B1282" s="1" t="s">
        <v>13846</v>
      </c>
      <c r="C1282" s="1" t="s">
        <v>16232</v>
      </c>
      <c r="D1282" s="1"/>
      <c r="E1282" s="1"/>
      <c r="F1282" s="1"/>
      <c r="G1282" s="1"/>
      <c r="H1282" s="1" t="s">
        <v>16233</v>
      </c>
      <c r="I1282" s="1" t="s">
        <v>16233</v>
      </c>
      <c r="J1282" s="1"/>
      <c r="K1282" s="1"/>
      <c r="L1282" s="1"/>
      <c r="M1282" s="1"/>
      <c r="N1282" s="1"/>
      <c r="O1282" s="1"/>
      <c r="P1282" s="1"/>
      <c r="Q1282" s="1"/>
      <c r="R1282" s="1"/>
      <c r="S1282" s="1"/>
      <c r="T1282" s="1"/>
      <c r="U1282" s="1"/>
      <c r="V1282" s="1"/>
      <c r="W1282" s="1"/>
      <c r="X1282" s="1"/>
      <c r="Y1282" s="1"/>
      <c r="Z1282" s="1"/>
      <c r="AA1282" s="1"/>
      <c r="AB1282" s="1"/>
      <c r="AC1282" s="1"/>
      <c r="AD1282" s="1" t="s">
        <v>93</v>
      </c>
      <c r="AE1282" s="1" t="s">
        <v>93</v>
      </c>
      <c r="AF1282" s="1"/>
      <c r="AG1282" s="1"/>
      <c r="AH1282" s="1"/>
      <c r="AI1282" s="1"/>
      <c r="AJ1282" s="1"/>
      <c r="AK1282" s="1"/>
      <c r="AL1282" s="1"/>
      <c r="AM1282" s="1"/>
      <c r="AN1282" s="1"/>
      <c r="AO1282" s="1"/>
      <c r="AP1282" s="1"/>
      <c r="AQ1282" s="1"/>
      <c r="AR1282" s="1"/>
      <c r="AS1282" s="1"/>
      <c r="AT1282" s="1"/>
      <c r="AU1282" s="1"/>
      <c r="AV1282" s="1"/>
      <c r="AW1282" s="1"/>
      <c r="AX1282" s="1"/>
      <c r="AY1282" s="1"/>
      <c r="AZ1282" s="1"/>
      <c r="BA1282" s="1"/>
      <c r="BB1282" s="1"/>
      <c r="BC1282" s="1"/>
      <c r="BD1282" s="1"/>
      <c r="BE1282" s="1"/>
      <c r="BF1282" s="1"/>
      <c r="BG1282" s="1"/>
      <c r="BH1282" s="1"/>
      <c r="BI1282" s="1"/>
      <c r="BJ1282" s="1"/>
      <c r="BK1282" s="1"/>
      <c r="BL1282" s="1"/>
      <c r="BM1282" s="1"/>
      <c r="BN1282" s="1"/>
      <c r="BO1282" s="1"/>
      <c r="BP1282" s="1" t="s">
        <v>9609</v>
      </c>
      <c r="BQ1282" s="3"/>
      <c r="BR1282" s="3"/>
    </row>
    <row r="1283" spans="1:70">
      <c r="A1283" s="1" t="s">
        <v>70</v>
      </c>
      <c r="B1283" s="1" t="s">
        <v>13846</v>
      </c>
      <c r="C1283" s="1" t="s">
        <v>16234</v>
      </c>
      <c r="D1283" s="1"/>
      <c r="E1283" s="1"/>
      <c r="F1283" s="1"/>
      <c r="G1283" s="1"/>
      <c r="H1283" s="1" t="s">
        <v>16235</v>
      </c>
      <c r="I1283" s="1" t="s">
        <v>16235</v>
      </c>
      <c r="J1283" s="1"/>
      <c r="K1283" s="1"/>
      <c r="L1283" s="1"/>
      <c r="M1283" s="1"/>
      <c r="N1283" s="1"/>
      <c r="O1283" s="1"/>
      <c r="P1283" s="1"/>
      <c r="Q1283" s="1"/>
      <c r="R1283" s="1"/>
      <c r="S1283" s="1"/>
      <c r="T1283" s="1"/>
      <c r="U1283" s="1"/>
      <c r="V1283" s="1"/>
      <c r="W1283" s="1"/>
      <c r="X1283" s="1"/>
      <c r="Y1283" s="1"/>
      <c r="Z1283" s="1"/>
      <c r="AA1283" s="1"/>
      <c r="AB1283" s="1"/>
      <c r="AC1283" s="1"/>
      <c r="AD1283" s="1" t="s">
        <v>93</v>
      </c>
      <c r="AE1283" s="1" t="s">
        <v>93</v>
      </c>
      <c r="AF1283" s="1"/>
      <c r="AG1283" s="1"/>
      <c r="AH1283" s="1"/>
      <c r="AI1283" s="1"/>
      <c r="AJ1283" s="1"/>
      <c r="AK1283" s="1"/>
      <c r="AL1283" s="1"/>
      <c r="AM1283" s="1"/>
      <c r="AN1283" s="1"/>
      <c r="AO1283" s="1"/>
      <c r="AP1283" s="1"/>
      <c r="AQ1283" s="1"/>
      <c r="AR1283" s="1"/>
      <c r="AS1283" s="1"/>
      <c r="AT1283" s="1"/>
      <c r="AU1283" s="1"/>
      <c r="AV1283" s="1"/>
      <c r="AW1283" s="1"/>
      <c r="AX1283" s="1"/>
      <c r="AY1283" s="1"/>
      <c r="AZ1283" s="1"/>
      <c r="BA1283" s="1"/>
      <c r="BB1283" s="1"/>
      <c r="BC1283" s="1"/>
      <c r="BD1283" s="1"/>
      <c r="BE1283" s="1"/>
      <c r="BF1283" s="1"/>
      <c r="BG1283" s="1"/>
      <c r="BH1283" s="1"/>
      <c r="BI1283" s="1"/>
      <c r="BJ1283" s="1"/>
      <c r="BK1283" s="1"/>
      <c r="BL1283" s="1"/>
      <c r="BM1283" s="1"/>
      <c r="BN1283" s="1"/>
      <c r="BO1283" s="1"/>
      <c r="BP1283" s="1" t="s">
        <v>9609</v>
      </c>
      <c r="BQ1283" s="3"/>
      <c r="BR1283" s="3"/>
    </row>
    <row r="1284" spans="1:70">
      <c r="A1284" s="1" t="s">
        <v>70</v>
      </c>
      <c r="B1284" s="1" t="s">
        <v>13846</v>
      </c>
      <c r="C1284" s="1" t="s">
        <v>16236</v>
      </c>
      <c r="D1284" s="1"/>
      <c r="E1284" s="1"/>
      <c r="F1284" s="1"/>
      <c r="G1284" s="1"/>
      <c r="H1284" s="1" t="s">
        <v>16237</v>
      </c>
      <c r="I1284" s="1" t="s">
        <v>16237</v>
      </c>
      <c r="J1284" s="1"/>
      <c r="K1284" s="1"/>
      <c r="L1284" s="1"/>
      <c r="M1284" s="1"/>
      <c r="N1284" s="1"/>
      <c r="O1284" s="1"/>
      <c r="P1284" s="1"/>
      <c r="Q1284" s="1"/>
      <c r="R1284" s="1"/>
      <c r="S1284" s="1"/>
      <c r="T1284" s="1"/>
      <c r="U1284" s="1"/>
      <c r="V1284" s="1"/>
      <c r="W1284" s="1"/>
      <c r="X1284" s="1"/>
      <c r="Y1284" s="1"/>
      <c r="Z1284" s="1"/>
      <c r="AA1284" s="1"/>
      <c r="AB1284" s="1"/>
      <c r="AC1284" s="1"/>
      <c r="AD1284" s="1" t="s">
        <v>93</v>
      </c>
      <c r="AE1284" s="1" t="s">
        <v>93</v>
      </c>
      <c r="AF1284" s="1"/>
      <c r="AG1284" s="1"/>
      <c r="AH1284" s="1"/>
      <c r="AI1284" s="1"/>
      <c r="AJ1284" s="1"/>
      <c r="AK1284" s="1"/>
      <c r="AL1284" s="1"/>
      <c r="AM1284" s="1"/>
      <c r="AN1284" s="1"/>
      <c r="AO1284" s="1"/>
      <c r="AP1284" s="1"/>
      <c r="AQ1284" s="1"/>
      <c r="AR1284" s="1"/>
      <c r="AS1284" s="1"/>
      <c r="AT1284" s="1"/>
      <c r="AU1284" s="1"/>
      <c r="AV1284" s="1"/>
      <c r="AW1284" s="1"/>
      <c r="AX1284" s="1"/>
      <c r="AY1284" s="1"/>
      <c r="AZ1284" s="1"/>
      <c r="BA1284" s="1"/>
      <c r="BB1284" s="1"/>
      <c r="BC1284" s="1"/>
      <c r="BD1284" s="1"/>
      <c r="BE1284" s="1"/>
      <c r="BF1284" s="1"/>
      <c r="BG1284" s="1"/>
      <c r="BH1284" s="1"/>
      <c r="BI1284" s="1"/>
      <c r="BJ1284" s="1"/>
      <c r="BK1284" s="1"/>
      <c r="BL1284" s="1"/>
      <c r="BM1284" s="1"/>
      <c r="BN1284" s="1"/>
      <c r="BO1284" s="1"/>
      <c r="BP1284" s="1" t="s">
        <v>9609</v>
      </c>
      <c r="BQ1284" s="3"/>
      <c r="BR1284" s="3"/>
    </row>
    <row r="1285" spans="1:70">
      <c r="A1285" s="1" t="s">
        <v>70</v>
      </c>
      <c r="B1285" s="1" t="s">
        <v>13846</v>
      </c>
      <c r="C1285" s="1" t="s">
        <v>16238</v>
      </c>
      <c r="D1285" s="1"/>
      <c r="E1285" s="1"/>
      <c r="F1285" s="1"/>
      <c r="G1285" s="1"/>
      <c r="H1285" s="1" t="s">
        <v>16239</v>
      </c>
      <c r="I1285" s="1" t="s">
        <v>16239</v>
      </c>
      <c r="J1285" s="1"/>
      <c r="K1285" s="1"/>
      <c r="L1285" s="1"/>
      <c r="M1285" s="1"/>
      <c r="N1285" s="1"/>
      <c r="O1285" s="1"/>
      <c r="P1285" s="1"/>
      <c r="Q1285" s="1"/>
      <c r="R1285" s="1"/>
      <c r="S1285" s="1"/>
      <c r="T1285" s="1"/>
      <c r="U1285" s="1"/>
      <c r="V1285" s="1"/>
      <c r="W1285" s="1"/>
      <c r="X1285" s="1"/>
      <c r="Y1285" s="1"/>
      <c r="Z1285" s="1"/>
      <c r="AA1285" s="1"/>
      <c r="AB1285" s="1"/>
      <c r="AC1285" s="1"/>
      <c r="AD1285" s="1" t="s">
        <v>93</v>
      </c>
      <c r="AE1285" s="1" t="s">
        <v>93</v>
      </c>
      <c r="AF1285" s="1"/>
      <c r="AG1285" s="1"/>
      <c r="AH1285" s="1"/>
      <c r="AI1285" s="1"/>
      <c r="AJ1285" s="1"/>
      <c r="AK1285" s="1"/>
      <c r="AL1285" s="1"/>
      <c r="AM1285" s="1"/>
      <c r="AN1285" s="1"/>
      <c r="AO1285" s="1"/>
      <c r="AP1285" s="1"/>
      <c r="AQ1285" s="1"/>
      <c r="AR1285" s="1"/>
      <c r="AS1285" s="1"/>
      <c r="AT1285" s="1"/>
      <c r="AU1285" s="1"/>
      <c r="AV1285" s="1"/>
      <c r="AW1285" s="1"/>
      <c r="AX1285" s="1"/>
      <c r="AY1285" s="1"/>
      <c r="AZ1285" s="1"/>
      <c r="BA1285" s="1"/>
      <c r="BB1285" s="1"/>
      <c r="BC1285" s="1"/>
      <c r="BD1285" s="1"/>
      <c r="BE1285" s="1"/>
      <c r="BF1285" s="1"/>
      <c r="BG1285" s="1"/>
      <c r="BH1285" s="1"/>
      <c r="BI1285" s="1"/>
      <c r="BJ1285" s="1"/>
      <c r="BK1285" s="1"/>
      <c r="BL1285" s="1"/>
      <c r="BM1285" s="1"/>
      <c r="BN1285" s="1"/>
      <c r="BO1285" s="1"/>
      <c r="BP1285" s="1" t="s">
        <v>9609</v>
      </c>
      <c r="BQ1285" s="3"/>
      <c r="BR1285" s="3"/>
    </row>
    <row r="1286" spans="1:70">
      <c r="A1286" s="1" t="s">
        <v>70</v>
      </c>
      <c r="B1286" s="1" t="s">
        <v>13846</v>
      </c>
      <c r="C1286" s="1" t="s">
        <v>16240</v>
      </c>
      <c r="D1286" s="1"/>
      <c r="E1286" s="1"/>
      <c r="F1286" s="1"/>
      <c r="G1286" s="1"/>
      <c r="H1286" s="1" t="s">
        <v>16241</v>
      </c>
      <c r="I1286" s="1" t="s">
        <v>16241</v>
      </c>
      <c r="J1286" s="1"/>
      <c r="K1286" s="1"/>
      <c r="L1286" s="1"/>
      <c r="M1286" s="1"/>
      <c r="N1286" s="1"/>
      <c r="O1286" s="1"/>
      <c r="P1286" s="1"/>
      <c r="Q1286" s="1"/>
      <c r="R1286" s="1"/>
      <c r="S1286" s="1"/>
      <c r="T1286" s="1"/>
      <c r="U1286" s="1"/>
      <c r="V1286" s="1"/>
      <c r="W1286" s="1"/>
      <c r="X1286" s="1"/>
      <c r="Y1286" s="1"/>
      <c r="Z1286" s="1"/>
      <c r="AA1286" s="1"/>
      <c r="AB1286" s="1"/>
      <c r="AC1286" s="1"/>
      <c r="AD1286" s="1" t="s">
        <v>93</v>
      </c>
      <c r="AE1286" s="1" t="s">
        <v>93</v>
      </c>
      <c r="AF1286" s="1"/>
      <c r="AG1286" s="1"/>
      <c r="AH1286" s="1"/>
      <c r="AI1286" s="1"/>
      <c r="AJ1286" s="1"/>
      <c r="AK1286" s="1"/>
      <c r="AL1286" s="1"/>
      <c r="AM1286" s="1"/>
      <c r="AN1286" s="1"/>
      <c r="AO1286" s="1"/>
      <c r="AP1286" s="1"/>
      <c r="AQ1286" s="1"/>
      <c r="AR1286" s="1"/>
      <c r="AS1286" s="1"/>
      <c r="AT1286" s="1"/>
      <c r="AU1286" s="1"/>
      <c r="AV1286" s="1"/>
      <c r="AW1286" s="1"/>
      <c r="AX1286" s="1"/>
      <c r="AY1286" s="1"/>
      <c r="AZ1286" s="1"/>
      <c r="BA1286" s="1"/>
      <c r="BB1286" s="1"/>
      <c r="BC1286" s="1"/>
      <c r="BD1286" s="1"/>
      <c r="BE1286" s="1"/>
      <c r="BF1286" s="1"/>
      <c r="BG1286" s="1"/>
      <c r="BH1286" s="1"/>
      <c r="BI1286" s="1"/>
      <c r="BJ1286" s="1"/>
      <c r="BK1286" s="1"/>
      <c r="BL1286" s="1"/>
      <c r="BM1286" s="1"/>
      <c r="BN1286" s="1"/>
      <c r="BO1286" s="1"/>
      <c r="BP1286" s="1" t="s">
        <v>9609</v>
      </c>
      <c r="BQ1286" s="3"/>
      <c r="BR1286" s="3"/>
    </row>
    <row r="1287" spans="1:70">
      <c r="A1287" s="1" t="s">
        <v>70</v>
      </c>
      <c r="B1287" s="1" t="s">
        <v>13846</v>
      </c>
      <c r="C1287" s="1" t="s">
        <v>16242</v>
      </c>
      <c r="D1287" s="1"/>
      <c r="E1287" s="1"/>
      <c r="F1287" s="1"/>
      <c r="G1287" s="1"/>
      <c r="H1287" s="1" t="s">
        <v>16243</v>
      </c>
      <c r="I1287" s="1" t="s">
        <v>16243</v>
      </c>
      <c r="J1287" s="1"/>
      <c r="K1287" s="1"/>
      <c r="L1287" s="1"/>
      <c r="M1287" s="1"/>
      <c r="N1287" s="1"/>
      <c r="O1287" s="1"/>
      <c r="P1287" s="1"/>
      <c r="Q1287" s="1"/>
      <c r="R1287" s="1"/>
      <c r="S1287" s="1"/>
      <c r="T1287" s="1"/>
      <c r="U1287" s="1"/>
      <c r="V1287" s="1"/>
      <c r="W1287" s="1"/>
      <c r="X1287" s="1"/>
      <c r="Y1287" s="1"/>
      <c r="Z1287" s="1"/>
      <c r="AA1287" s="1"/>
      <c r="AB1287" s="1"/>
      <c r="AC1287" s="1"/>
      <c r="AD1287" s="1" t="s">
        <v>93</v>
      </c>
      <c r="AE1287" s="1" t="s">
        <v>93</v>
      </c>
      <c r="AF1287" s="1"/>
      <c r="AG1287" s="1"/>
      <c r="AH1287" s="1"/>
      <c r="AI1287" s="1"/>
      <c r="AJ1287" s="1"/>
      <c r="AK1287" s="1"/>
      <c r="AL1287" s="1"/>
      <c r="AM1287" s="1"/>
      <c r="AN1287" s="1"/>
      <c r="AO1287" s="1"/>
      <c r="AP1287" s="1"/>
      <c r="AQ1287" s="1"/>
      <c r="AR1287" s="1"/>
      <c r="AS1287" s="1"/>
      <c r="AT1287" s="1"/>
      <c r="AU1287" s="1"/>
      <c r="AV1287" s="1"/>
      <c r="AW1287" s="1"/>
      <c r="AX1287" s="1"/>
      <c r="AY1287" s="1"/>
      <c r="AZ1287" s="1"/>
      <c r="BA1287" s="1"/>
      <c r="BB1287" s="1"/>
      <c r="BC1287" s="1"/>
      <c r="BD1287" s="1"/>
      <c r="BE1287" s="1"/>
      <c r="BF1287" s="1"/>
      <c r="BG1287" s="1"/>
      <c r="BH1287" s="1"/>
      <c r="BI1287" s="1"/>
      <c r="BJ1287" s="1"/>
      <c r="BK1287" s="1"/>
      <c r="BL1287" s="1"/>
      <c r="BM1287" s="1"/>
      <c r="BN1287" s="1"/>
      <c r="BO1287" s="1"/>
      <c r="BP1287" s="1" t="s">
        <v>9609</v>
      </c>
      <c r="BQ1287" s="3"/>
      <c r="BR1287" s="3"/>
    </row>
    <row r="1288" spans="1:70">
      <c r="A1288" s="1" t="s">
        <v>70</v>
      </c>
      <c r="B1288" s="1" t="s">
        <v>13846</v>
      </c>
      <c r="C1288" s="1" t="s">
        <v>16244</v>
      </c>
      <c r="D1288" s="1"/>
      <c r="E1288" s="1"/>
      <c r="F1288" s="1"/>
      <c r="G1288" s="1"/>
      <c r="H1288" s="1" t="s">
        <v>16245</v>
      </c>
      <c r="I1288" s="1" t="s">
        <v>16245</v>
      </c>
      <c r="J1288" s="1"/>
      <c r="K1288" s="1"/>
      <c r="L1288" s="1"/>
      <c r="M1288" s="1"/>
      <c r="N1288" s="1"/>
      <c r="O1288" s="1"/>
      <c r="P1288" s="1"/>
      <c r="Q1288" s="1"/>
      <c r="R1288" s="1"/>
      <c r="S1288" s="1"/>
      <c r="T1288" s="1"/>
      <c r="U1288" s="1"/>
      <c r="V1288" s="1"/>
      <c r="W1288" s="1"/>
      <c r="X1288" s="1"/>
      <c r="Y1288" s="1"/>
      <c r="Z1288" s="1"/>
      <c r="AA1288" s="1"/>
      <c r="AB1288" s="1"/>
      <c r="AC1288" s="1"/>
      <c r="AD1288" s="1" t="s">
        <v>93</v>
      </c>
      <c r="AE1288" s="1" t="s">
        <v>93</v>
      </c>
      <c r="AF1288" s="1"/>
      <c r="AG1288" s="1"/>
      <c r="AH1288" s="1"/>
      <c r="AI1288" s="1"/>
      <c r="AJ1288" s="1"/>
      <c r="AK1288" s="1"/>
      <c r="AL1288" s="1"/>
      <c r="AM1288" s="1"/>
      <c r="AN1288" s="1"/>
      <c r="AO1288" s="1"/>
      <c r="AP1288" s="1"/>
      <c r="AQ1288" s="1"/>
      <c r="AR1288" s="1"/>
      <c r="AS1288" s="1"/>
      <c r="AT1288" s="1"/>
      <c r="AU1288" s="1"/>
      <c r="AV1288" s="1"/>
      <c r="AW1288" s="1"/>
      <c r="AX1288" s="1"/>
      <c r="AY1288" s="1"/>
      <c r="AZ1288" s="1"/>
      <c r="BA1288" s="1"/>
      <c r="BB1288" s="1"/>
      <c r="BC1288" s="1"/>
      <c r="BD1288" s="1"/>
      <c r="BE1288" s="1"/>
      <c r="BF1288" s="1"/>
      <c r="BG1288" s="1"/>
      <c r="BH1288" s="1"/>
      <c r="BI1288" s="1"/>
      <c r="BJ1288" s="1"/>
      <c r="BK1288" s="1"/>
      <c r="BL1288" s="1"/>
      <c r="BM1288" s="1"/>
      <c r="BN1288" s="1"/>
      <c r="BO1288" s="1"/>
      <c r="BP1288" s="1" t="s">
        <v>9609</v>
      </c>
      <c r="BQ1288" s="3"/>
      <c r="BR1288" s="3"/>
    </row>
    <row r="1289" spans="1:70">
      <c r="A1289" s="1" t="s">
        <v>70</v>
      </c>
      <c r="B1289" s="1" t="s">
        <v>13846</v>
      </c>
      <c r="C1289" s="1" t="s">
        <v>16246</v>
      </c>
      <c r="D1289" s="1"/>
      <c r="E1289" s="1"/>
      <c r="F1289" s="1"/>
      <c r="G1289" s="1"/>
      <c r="H1289" s="1" t="s">
        <v>16247</v>
      </c>
      <c r="I1289" s="1" t="s">
        <v>16247</v>
      </c>
      <c r="J1289" s="1"/>
      <c r="K1289" s="1"/>
      <c r="L1289" s="1"/>
      <c r="M1289" s="1"/>
      <c r="N1289" s="1"/>
      <c r="O1289" s="1"/>
      <c r="P1289" s="1"/>
      <c r="Q1289" s="1"/>
      <c r="R1289" s="1"/>
      <c r="S1289" s="1"/>
      <c r="T1289" s="1"/>
      <c r="U1289" s="1"/>
      <c r="V1289" s="1"/>
      <c r="W1289" s="1"/>
      <c r="X1289" s="1"/>
      <c r="Y1289" s="1"/>
      <c r="Z1289" s="1"/>
      <c r="AA1289" s="1"/>
      <c r="AB1289" s="1"/>
      <c r="AC1289" s="1"/>
      <c r="AD1289" s="1" t="s">
        <v>93</v>
      </c>
      <c r="AE1289" s="1" t="s">
        <v>93</v>
      </c>
      <c r="AF1289" s="1"/>
      <c r="AG1289" s="1"/>
      <c r="AH1289" s="1"/>
      <c r="AI1289" s="1"/>
      <c r="AJ1289" s="1"/>
      <c r="AK1289" s="1"/>
      <c r="AL1289" s="1"/>
      <c r="AM1289" s="1"/>
      <c r="AN1289" s="1"/>
      <c r="AO1289" s="1"/>
      <c r="AP1289" s="1"/>
      <c r="AQ1289" s="1"/>
      <c r="AR1289" s="1"/>
      <c r="AS1289" s="1"/>
      <c r="AT1289" s="1"/>
      <c r="AU1289" s="1"/>
      <c r="AV1289" s="1"/>
      <c r="AW1289" s="1"/>
      <c r="AX1289" s="1"/>
      <c r="AY1289" s="1"/>
      <c r="AZ1289" s="1"/>
      <c r="BA1289" s="1"/>
      <c r="BB1289" s="1"/>
      <c r="BC1289" s="1"/>
      <c r="BD1289" s="1"/>
      <c r="BE1289" s="1"/>
      <c r="BF1289" s="1"/>
      <c r="BG1289" s="1"/>
      <c r="BH1289" s="1"/>
      <c r="BI1289" s="1"/>
      <c r="BJ1289" s="1"/>
      <c r="BK1289" s="1"/>
      <c r="BL1289" s="1"/>
      <c r="BM1289" s="1"/>
      <c r="BN1289" s="1"/>
      <c r="BO1289" s="1"/>
      <c r="BP1289" s="1" t="s">
        <v>9609</v>
      </c>
      <c r="BQ1289" s="3"/>
      <c r="BR1289" s="3"/>
    </row>
    <row r="1290" spans="1:70">
      <c r="A1290" s="1" t="s">
        <v>70</v>
      </c>
      <c r="B1290" s="1" t="s">
        <v>13846</v>
      </c>
      <c r="C1290" s="1" t="s">
        <v>16248</v>
      </c>
      <c r="D1290" s="1"/>
      <c r="E1290" s="1"/>
      <c r="F1290" s="1"/>
      <c r="G1290" s="1"/>
      <c r="H1290" s="1" t="s">
        <v>16249</v>
      </c>
      <c r="I1290" s="1" t="s">
        <v>16249</v>
      </c>
      <c r="J1290" s="1"/>
      <c r="K1290" s="1"/>
      <c r="L1290" s="1"/>
      <c r="M1290" s="1"/>
      <c r="N1290" s="1"/>
      <c r="O1290" s="1"/>
      <c r="P1290" s="1"/>
      <c r="Q1290" s="1"/>
      <c r="R1290" s="1"/>
      <c r="S1290" s="1"/>
      <c r="T1290" s="1"/>
      <c r="U1290" s="1"/>
      <c r="V1290" s="1"/>
      <c r="W1290" s="1"/>
      <c r="X1290" s="1"/>
      <c r="Y1290" s="1"/>
      <c r="Z1290" s="1"/>
      <c r="AA1290" s="1"/>
      <c r="AB1290" s="1"/>
      <c r="AC1290" s="1"/>
      <c r="AD1290" s="1" t="s">
        <v>93</v>
      </c>
      <c r="AE1290" s="1" t="s">
        <v>93</v>
      </c>
      <c r="AF1290" s="1"/>
      <c r="AG1290" s="1"/>
      <c r="AH1290" s="1"/>
      <c r="AI1290" s="1"/>
      <c r="AJ1290" s="1"/>
      <c r="AK1290" s="1"/>
      <c r="AL1290" s="1"/>
      <c r="AM1290" s="1"/>
      <c r="AN1290" s="1"/>
      <c r="AO1290" s="1"/>
      <c r="AP1290" s="1"/>
      <c r="AQ1290" s="1"/>
      <c r="AR1290" s="1"/>
      <c r="AS1290" s="1"/>
      <c r="AT1290" s="1"/>
      <c r="AU1290" s="1"/>
      <c r="AV1290" s="1"/>
      <c r="AW1290" s="1"/>
      <c r="AX1290" s="1"/>
      <c r="AY1290" s="1"/>
      <c r="AZ1290" s="1"/>
      <c r="BA1290" s="1"/>
      <c r="BB1290" s="1"/>
      <c r="BC1290" s="1"/>
      <c r="BD1290" s="1"/>
      <c r="BE1290" s="1"/>
      <c r="BF1290" s="1"/>
      <c r="BG1290" s="1"/>
      <c r="BH1290" s="1"/>
      <c r="BI1290" s="1"/>
      <c r="BJ1290" s="1"/>
      <c r="BK1290" s="1"/>
      <c r="BL1290" s="1"/>
      <c r="BM1290" s="1"/>
      <c r="BN1290" s="1"/>
      <c r="BO1290" s="1"/>
      <c r="BP1290" s="1" t="s">
        <v>9609</v>
      </c>
      <c r="BQ1290" s="3"/>
      <c r="BR1290" s="3"/>
    </row>
    <row r="1291" spans="1:70">
      <c r="A1291" s="1" t="s">
        <v>70</v>
      </c>
      <c r="B1291" s="1" t="s">
        <v>13846</v>
      </c>
      <c r="C1291" s="1" t="s">
        <v>16250</v>
      </c>
      <c r="D1291" s="1"/>
      <c r="E1291" s="1"/>
      <c r="F1291" s="1"/>
      <c r="G1291" s="1"/>
      <c r="H1291" s="1" t="s">
        <v>16251</v>
      </c>
      <c r="I1291" s="1" t="s">
        <v>16251</v>
      </c>
      <c r="J1291" s="1"/>
      <c r="K1291" s="1"/>
      <c r="L1291" s="1"/>
      <c r="M1291" s="1"/>
      <c r="N1291" s="1"/>
      <c r="O1291" s="1"/>
      <c r="P1291" s="1"/>
      <c r="Q1291" s="1"/>
      <c r="R1291" s="1"/>
      <c r="S1291" s="1"/>
      <c r="T1291" s="1"/>
      <c r="U1291" s="1"/>
      <c r="V1291" s="1"/>
      <c r="W1291" s="1"/>
      <c r="X1291" s="1"/>
      <c r="Y1291" s="1"/>
      <c r="Z1291" s="1"/>
      <c r="AA1291" s="1"/>
      <c r="AB1291" s="1"/>
      <c r="AC1291" s="1"/>
      <c r="AD1291" s="1" t="s">
        <v>93</v>
      </c>
      <c r="AE1291" s="1" t="s">
        <v>93</v>
      </c>
      <c r="AF1291" s="1"/>
      <c r="AG1291" s="1"/>
      <c r="AH1291" s="1"/>
      <c r="AI1291" s="1"/>
      <c r="AJ1291" s="1"/>
      <c r="AK1291" s="1"/>
      <c r="AL1291" s="1"/>
      <c r="AM1291" s="1"/>
      <c r="AN1291" s="1"/>
      <c r="AO1291" s="1"/>
      <c r="AP1291" s="1"/>
      <c r="AQ1291" s="1"/>
      <c r="AR1291" s="1"/>
      <c r="AS1291" s="1"/>
      <c r="AT1291" s="1"/>
      <c r="AU1291" s="1"/>
      <c r="AV1291" s="1"/>
      <c r="AW1291" s="1"/>
      <c r="AX1291" s="1"/>
      <c r="AY1291" s="1"/>
      <c r="AZ1291" s="1"/>
      <c r="BA1291" s="1"/>
      <c r="BB1291" s="1"/>
      <c r="BC1291" s="1"/>
      <c r="BD1291" s="1"/>
      <c r="BE1291" s="1"/>
      <c r="BF1291" s="1"/>
      <c r="BG1291" s="1"/>
      <c r="BH1291" s="1"/>
      <c r="BI1291" s="1"/>
      <c r="BJ1291" s="1"/>
      <c r="BK1291" s="1"/>
      <c r="BL1291" s="1"/>
      <c r="BM1291" s="1"/>
      <c r="BN1291" s="1"/>
      <c r="BO1291" s="1"/>
      <c r="BP1291" s="1" t="s">
        <v>9609</v>
      </c>
      <c r="BQ1291" s="3"/>
      <c r="BR1291" s="3"/>
    </row>
    <row r="1292" spans="1:70">
      <c r="A1292" s="1" t="s">
        <v>70</v>
      </c>
      <c r="B1292" s="1" t="s">
        <v>13846</v>
      </c>
      <c r="C1292" s="1" t="s">
        <v>16252</v>
      </c>
      <c r="D1292" s="1"/>
      <c r="E1292" s="1"/>
      <c r="F1292" s="1"/>
      <c r="G1292" s="1"/>
      <c r="H1292" s="1" t="s">
        <v>16253</v>
      </c>
      <c r="I1292" s="1" t="s">
        <v>16253</v>
      </c>
      <c r="J1292" s="1"/>
      <c r="K1292" s="1"/>
      <c r="L1292" s="1"/>
      <c r="M1292" s="1"/>
      <c r="N1292" s="1"/>
      <c r="O1292" s="1"/>
      <c r="P1292" s="1"/>
      <c r="Q1292" s="1"/>
      <c r="R1292" s="1"/>
      <c r="S1292" s="1"/>
      <c r="T1292" s="1"/>
      <c r="U1292" s="1"/>
      <c r="V1292" s="1"/>
      <c r="W1292" s="1"/>
      <c r="X1292" s="1"/>
      <c r="Y1292" s="1"/>
      <c r="Z1292" s="1"/>
      <c r="AA1292" s="1"/>
      <c r="AB1292" s="1"/>
      <c r="AC1292" s="1"/>
      <c r="AD1292" s="1" t="s">
        <v>93</v>
      </c>
      <c r="AE1292" s="1" t="s">
        <v>93</v>
      </c>
      <c r="AF1292" s="1"/>
      <c r="AG1292" s="1"/>
      <c r="AH1292" s="1"/>
      <c r="AI1292" s="1"/>
      <c r="AJ1292" s="1"/>
      <c r="AK1292" s="1"/>
      <c r="AL1292" s="1"/>
      <c r="AM1292" s="1"/>
      <c r="AN1292" s="1"/>
      <c r="AO1292" s="1"/>
      <c r="AP1292" s="1"/>
      <c r="AQ1292" s="1"/>
      <c r="AR1292" s="1"/>
      <c r="AS1292" s="1"/>
      <c r="AT1292" s="1"/>
      <c r="AU1292" s="1"/>
      <c r="AV1292" s="1"/>
      <c r="AW1292" s="1"/>
      <c r="AX1292" s="1"/>
      <c r="AY1292" s="1"/>
      <c r="AZ1292" s="1"/>
      <c r="BA1292" s="1"/>
      <c r="BB1292" s="1"/>
      <c r="BC1292" s="1"/>
      <c r="BD1292" s="1"/>
      <c r="BE1292" s="1"/>
      <c r="BF1292" s="1"/>
      <c r="BG1292" s="1"/>
      <c r="BH1292" s="1"/>
      <c r="BI1292" s="1"/>
      <c r="BJ1292" s="1"/>
      <c r="BK1292" s="1"/>
      <c r="BL1292" s="1"/>
      <c r="BM1292" s="1"/>
      <c r="BN1292" s="1"/>
      <c r="BO1292" s="1"/>
      <c r="BP1292" s="1" t="s">
        <v>9609</v>
      </c>
      <c r="BQ1292" s="3"/>
      <c r="BR1292" s="3"/>
    </row>
    <row r="1293" spans="1:70">
      <c r="A1293" s="1" t="s">
        <v>70</v>
      </c>
      <c r="B1293" s="1" t="s">
        <v>13846</v>
      </c>
      <c r="C1293" s="1" t="s">
        <v>16254</v>
      </c>
      <c r="D1293" s="1"/>
      <c r="E1293" s="1"/>
      <c r="F1293" s="1"/>
      <c r="G1293" s="1"/>
      <c r="H1293" s="1" t="s">
        <v>16255</v>
      </c>
      <c r="I1293" s="1" t="s">
        <v>16255</v>
      </c>
      <c r="J1293" s="1"/>
      <c r="K1293" s="1"/>
      <c r="L1293" s="1"/>
      <c r="M1293" s="1"/>
      <c r="N1293" s="1"/>
      <c r="O1293" s="1"/>
      <c r="P1293" s="1"/>
      <c r="Q1293" s="1"/>
      <c r="R1293" s="1"/>
      <c r="S1293" s="1"/>
      <c r="T1293" s="1"/>
      <c r="U1293" s="1"/>
      <c r="V1293" s="1"/>
      <c r="W1293" s="1"/>
      <c r="X1293" s="1"/>
      <c r="Y1293" s="1"/>
      <c r="Z1293" s="1"/>
      <c r="AA1293" s="1"/>
      <c r="AB1293" s="1"/>
      <c r="AC1293" s="1"/>
      <c r="AD1293" s="1" t="s">
        <v>93</v>
      </c>
      <c r="AE1293" s="1" t="s">
        <v>93</v>
      </c>
      <c r="AF1293" s="1"/>
      <c r="AG1293" s="1"/>
      <c r="AH1293" s="1"/>
      <c r="AI1293" s="1"/>
      <c r="AJ1293" s="1"/>
      <c r="AK1293" s="1"/>
      <c r="AL1293" s="1"/>
      <c r="AM1293" s="1"/>
      <c r="AN1293" s="1"/>
      <c r="AO1293" s="1"/>
      <c r="AP1293" s="1"/>
      <c r="AQ1293" s="1"/>
      <c r="AR1293" s="1"/>
      <c r="AS1293" s="1"/>
      <c r="AT1293" s="1"/>
      <c r="AU1293" s="1"/>
      <c r="AV1293" s="1"/>
      <c r="AW1293" s="1"/>
      <c r="AX1293" s="1"/>
      <c r="AY1293" s="1"/>
      <c r="AZ1293" s="1"/>
      <c r="BA1293" s="1"/>
      <c r="BB1293" s="1"/>
      <c r="BC1293" s="1"/>
      <c r="BD1293" s="1"/>
      <c r="BE1293" s="1"/>
      <c r="BF1293" s="1"/>
      <c r="BG1293" s="1"/>
      <c r="BH1293" s="1"/>
      <c r="BI1293" s="1"/>
      <c r="BJ1293" s="1"/>
      <c r="BK1293" s="1"/>
      <c r="BL1293" s="1"/>
      <c r="BM1293" s="1"/>
      <c r="BN1293" s="1"/>
      <c r="BO1293" s="1"/>
      <c r="BP1293" s="1" t="s">
        <v>9609</v>
      </c>
      <c r="BQ1293" s="3"/>
      <c r="BR1293" s="3"/>
    </row>
    <row r="1294" spans="1:70">
      <c r="A1294" s="1" t="s">
        <v>70</v>
      </c>
      <c r="B1294" s="1" t="s">
        <v>13846</v>
      </c>
      <c r="C1294" s="1" t="s">
        <v>16256</v>
      </c>
      <c r="D1294" s="1"/>
      <c r="E1294" s="1"/>
      <c r="F1294" s="1"/>
      <c r="G1294" s="1"/>
      <c r="H1294" s="1" t="s">
        <v>16257</v>
      </c>
      <c r="I1294" s="1" t="s">
        <v>16257</v>
      </c>
      <c r="J1294" s="1"/>
      <c r="K1294" s="1"/>
      <c r="L1294" s="1"/>
      <c r="M1294" s="1"/>
      <c r="N1294" s="1"/>
      <c r="O1294" s="1"/>
      <c r="P1294" s="1"/>
      <c r="Q1294" s="1"/>
      <c r="R1294" s="1"/>
      <c r="S1294" s="1"/>
      <c r="T1294" s="1"/>
      <c r="U1294" s="1"/>
      <c r="V1294" s="1"/>
      <c r="W1294" s="1"/>
      <c r="X1294" s="1"/>
      <c r="Y1294" s="1"/>
      <c r="Z1294" s="1"/>
      <c r="AA1294" s="1"/>
      <c r="AB1294" s="1"/>
      <c r="AC1294" s="1"/>
      <c r="AD1294" s="1" t="s">
        <v>93</v>
      </c>
      <c r="AE1294" s="1" t="s">
        <v>93</v>
      </c>
      <c r="AF1294" s="1"/>
      <c r="AG1294" s="1"/>
      <c r="AH1294" s="1"/>
      <c r="AI1294" s="1"/>
      <c r="AJ1294" s="1"/>
      <c r="AK1294" s="1"/>
      <c r="AL1294" s="1"/>
      <c r="AM1294" s="1"/>
      <c r="AN1294" s="1"/>
      <c r="AO1294" s="1"/>
      <c r="AP1294" s="1"/>
      <c r="AQ1294" s="1"/>
      <c r="AR1294" s="1"/>
      <c r="AS1294" s="1"/>
      <c r="AT1294" s="1"/>
      <c r="AU1294" s="1"/>
      <c r="AV1294" s="1"/>
      <c r="AW1294" s="1"/>
      <c r="AX1294" s="1"/>
      <c r="AY1294" s="1"/>
      <c r="AZ1294" s="1"/>
      <c r="BA1294" s="1"/>
      <c r="BB1294" s="1"/>
      <c r="BC1294" s="1"/>
      <c r="BD1294" s="1"/>
      <c r="BE1294" s="1"/>
      <c r="BF1294" s="1"/>
      <c r="BG1294" s="1"/>
      <c r="BH1294" s="1"/>
      <c r="BI1294" s="1"/>
      <c r="BJ1294" s="1"/>
      <c r="BK1294" s="1"/>
      <c r="BL1294" s="1"/>
      <c r="BM1294" s="1"/>
      <c r="BN1294" s="1"/>
      <c r="BO1294" s="1"/>
      <c r="BP1294" s="1" t="s">
        <v>9609</v>
      </c>
      <c r="BQ1294" s="3"/>
      <c r="BR1294" s="3"/>
    </row>
    <row r="1295" spans="1:70">
      <c r="A1295" s="1" t="s">
        <v>70</v>
      </c>
      <c r="B1295" s="1" t="s">
        <v>13846</v>
      </c>
      <c r="C1295" s="1" t="s">
        <v>16258</v>
      </c>
      <c r="D1295" s="1"/>
      <c r="E1295" s="1"/>
      <c r="F1295" s="1"/>
      <c r="G1295" s="1"/>
      <c r="H1295" s="1" t="s">
        <v>16259</v>
      </c>
      <c r="I1295" s="1" t="s">
        <v>16259</v>
      </c>
      <c r="J1295" s="1"/>
      <c r="K1295" s="1"/>
      <c r="L1295" s="1"/>
      <c r="M1295" s="1"/>
      <c r="N1295" s="1"/>
      <c r="O1295" s="1"/>
      <c r="P1295" s="1"/>
      <c r="Q1295" s="1"/>
      <c r="R1295" s="1"/>
      <c r="S1295" s="1"/>
      <c r="T1295" s="1"/>
      <c r="U1295" s="1"/>
      <c r="V1295" s="1"/>
      <c r="W1295" s="1"/>
      <c r="X1295" s="1"/>
      <c r="Y1295" s="1"/>
      <c r="Z1295" s="1"/>
      <c r="AA1295" s="1"/>
      <c r="AB1295" s="1"/>
      <c r="AC1295" s="1"/>
      <c r="AD1295" s="1" t="s">
        <v>93</v>
      </c>
      <c r="AE1295" s="1" t="s">
        <v>93</v>
      </c>
      <c r="AF1295" s="1"/>
      <c r="AG1295" s="1"/>
      <c r="AH1295" s="1"/>
      <c r="AI1295" s="1"/>
      <c r="AJ1295" s="1"/>
      <c r="AK1295" s="1"/>
      <c r="AL1295" s="1"/>
      <c r="AM1295" s="1"/>
      <c r="AN1295" s="1"/>
      <c r="AO1295" s="1"/>
      <c r="AP1295" s="1"/>
      <c r="AQ1295" s="1"/>
      <c r="AR1295" s="1"/>
      <c r="AS1295" s="1"/>
      <c r="AT1295" s="1"/>
      <c r="AU1295" s="1"/>
      <c r="AV1295" s="1"/>
      <c r="AW1295" s="1"/>
      <c r="AX1295" s="1"/>
      <c r="AY1295" s="1"/>
      <c r="AZ1295" s="1"/>
      <c r="BA1295" s="1"/>
      <c r="BB1295" s="1"/>
      <c r="BC1295" s="1"/>
      <c r="BD1295" s="1"/>
      <c r="BE1295" s="1"/>
      <c r="BF1295" s="1"/>
      <c r="BG1295" s="1"/>
      <c r="BH1295" s="1"/>
      <c r="BI1295" s="1"/>
      <c r="BJ1295" s="1"/>
      <c r="BK1295" s="1"/>
      <c r="BL1295" s="1"/>
      <c r="BM1295" s="1"/>
      <c r="BN1295" s="1"/>
      <c r="BO1295" s="1"/>
      <c r="BP1295" s="1" t="s">
        <v>9609</v>
      </c>
      <c r="BQ1295" s="3"/>
      <c r="BR1295" s="3"/>
    </row>
    <row r="1296" spans="1:70">
      <c r="A1296" s="1" t="s">
        <v>70</v>
      </c>
      <c r="B1296" s="1" t="s">
        <v>13846</v>
      </c>
      <c r="C1296" s="1" t="s">
        <v>16260</v>
      </c>
      <c r="D1296" s="1"/>
      <c r="E1296" s="1"/>
      <c r="F1296" s="1"/>
      <c r="G1296" s="1"/>
      <c r="H1296" s="1" t="s">
        <v>16261</v>
      </c>
      <c r="I1296" s="1" t="s">
        <v>16261</v>
      </c>
      <c r="J1296" s="1"/>
      <c r="K1296" s="1"/>
      <c r="L1296" s="1"/>
      <c r="M1296" s="1"/>
      <c r="N1296" s="1"/>
      <c r="O1296" s="1"/>
      <c r="P1296" s="1"/>
      <c r="Q1296" s="1"/>
      <c r="R1296" s="1"/>
      <c r="S1296" s="1"/>
      <c r="T1296" s="1"/>
      <c r="U1296" s="1"/>
      <c r="V1296" s="1"/>
      <c r="W1296" s="1"/>
      <c r="X1296" s="1"/>
      <c r="Y1296" s="1"/>
      <c r="Z1296" s="1"/>
      <c r="AA1296" s="1"/>
      <c r="AB1296" s="1"/>
      <c r="AC1296" s="1"/>
      <c r="AD1296" s="1" t="s">
        <v>93</v>
      </c>
      <c r="AE1296" s="1" t="s">
        <v>93</v>
      </c>
      <c r="AF1296" s="1"/>
      <c r="AG1296" s="1"/>
      <c r="AH1296" s="1"/>
      <c r="AI1296" s="1"/>
      <c r="AJ1296" s="1"/>
      <c r="AK1296" s="1"/>
      <c r="AL1296" s="1"/>
      <c r="AM1296" s="1"/>
      <c r="AN1296" s="1"/>
      <c r="AO1296" s="1"/>
      <c r="AP1296" s="1"/>
      <c r="AQ1296" s="1"/>
      <c r="AR1296" s="1"/>
      <c r="AS1296" s="1"/>
      <c r="AT1296" s="1"/>
      <c r="AU1296" s="1"/>
      <c r="AV1296" s="1"/>
      <c r="AW1296" s="1"/>
      <c r="AX1296" s="1"/>
      <c r="AY1296" s="1"/>
      <c r="AZ1296" s="1"/>
      <c r="BA1296" s="1"/>
      <c r="BB1296" s="1"/>
      <c r="BC1296" s="1"/>
      <c r="BD1296" s="1"/>
      <c r="BE1296" s="1"/>
      <c r="BF1296" s="1"/>
      <c r="BG1296" s="1"/>
      <c r="BH1296" s="1"/>
      <c r="BI1296" s="1"/>
      <c r="BJ1296" s="1"/>
      <c r="BK1296" s="1"/>
      <c r="BL1296" s="1"/>
      <c r="BM1296" s="1"/>
      <c r="BN1296" s="1"/>
      <c r="BO1296" s="1"/>
      <c r="BP1296" s="1" t="s">
        <v>9609</v>
      </c>
      <c r="BQ1296" s="3"/>
      <c r="BR1296" s="3"/>
    </row>
    <row r="1297" spans="1:70">
      <c r="A1297" s="1" t="s">
        <v>70</v>
      </c>
      <c r="B1297" s="1" t="s">
        <v>13846</v>
      </c>
      <c r="C1297" s="1" t="s">
        <v>16262</v>
      </c>
      <c r="D1297" s="1"/>
      <c r="E1297" s="1"/>
      <c r="F1297" s="1"/>
      <c r="G1297" s="1"/>
      <c r="H1297" s="1" t="s">
        <v>16263</v>
      </c>
      <c r="I1297" s="1" t="s">
        <v>16263</v>
      </c>
      <c r="J1297" s="1"/>
      <c r="K1297" s="1"/>
      <c r="L1297" s="1"/>
      <c r="M1297" s="1"/>
      <c r="N1297" s="1"/>
      <c r="O1297" s="1"/>
      <c r="P1297" s="1"/>
      <c r="Q1297" s="1"/>
      <c r="R1297" s="1"/>
      <c r="S1297" s="1"/>
      <c r="T1297" s="1"/>
      <c r="U1297" s="1"/>
      <c r="V1297" s="1"/>
      <c r="W1297" s="1"/>
      <c r="X1297" s="1"/>
      <c r="Y1297" s="1"/>
      <c r="Z1297" s="1"/>
      <c r="AA1297" s="1"/>
      <c r="AB1297" s="1"/>
      <c r="AC1297" s="1"/>
      <c r="AD1297" s="1" t="s">
        <v>93</v>
      </c>
      <c r="AE1297" s="1" t="s">
        <v>93</v>
      </c>
      <c r="AF1297" s="1"/>
      <c r="AG1297" s="1"/>
      <c r="AH1297" s="1"/>
      <c r="AI1297" s="1"/>
      <c r="AJ1297" s="1"/>
      <c r="AK1297" s="1"/>
      <c r="AL1297" s="1"/>
      <c r="AM1297" s="1"/>
      <c r="AN1297" s="1"/>
      <c r="AO1297" s="1"/>
      <c r="AP1297" s="1"/>
      <c r="AQ1297" s="1"/>
      <c r="AR1297" s="1"/>
      <c r="AS1297" s="1"/>
      <c r="AT1297" s="1"/>
      <c r="AU1297" s="1"/>
      <c r="AV1297" s="1"/>
      <c r="AW1297" s="1"/>
      <c r="AX1297" s="1"/>
      <c r="AY1297" s="1"/>
      <c r="AZ1297" s="1"/>
      <c r="BA1297" s="1"/>
      <c r="BB1297" s="1"/>
      <c r="BC1297" s="1"/>
      <c r="BD1297" s="1"/>
      <c r="BE1297" s="1"/>
      <c r="BF1297" s="1"/>
      <c r="BG1297" s="1"/>
      <c r="BH1297" s="1"/>
      <c r="BI1297" s="1"/>
      <c r="BJ1297" s="1"/>
      <c r="BK1297" s="1"/>
      <c r="BL1297" s="1"/>
      <c r="BM1297" s="1"/>
      <c r="BN1297" s="1"/>
      <c r="BO1297" s="1"/>
      <c r="BP1297" s="1" t="s">
        <v>9609</v>
      </c>
      <c r="BQ1297" s="3"/>
      <c r="BR1297" s="3"/>
    </row>
    <row r="1298" spans="1:70">
      <c r="A1298" s="1" t="s">
        <v>70</v>
      </c>
      <c r="B1298" s="1" t="s">
        <v>13846</v>
      </c>
      <c r="C1298" s="1" t="s">
        <v>16264</v>
      </c>
      <c r="D1298" s="1"/>
      <c r="E1298" s="1"/>
      <c r="F1298" s="1"/>
      <c r="G1298" s="1"/>
      <c r="H1298" s="1" t="s">
        <v>16265</v>
      </c>
      <c r="I1298" s="1" t="s">
        <v>16265</v>
      </c>
      <c r="J1298" s="1"/>
      <c r="K1298" s="1"/>
      <c r="L1298" s="1"/>
      <c r="M1298" s="1"/>
      <c r="N1298" s="1"/>
      <c r="O1298" s="1"/>
      <c r="P1298" s="1"/>
      <c r="Q1298" s="1"/>
      <c r="R1298" s="1"/>
      <c r="S1298" s="1"/>
      <c r="T1298" s="1"/>
      <c r="U1298" s="1"/>
      <c r="V1298" s="1"/>
      <c r="W1298" s="1"/>
      <c r="X1298" s="1"/>
      <c r="Y1298" s="1"/>
      <c r="Z1298" s="1"/>
      <c r="AA1298" s="1"/>
      <c r="AB1298" s="1"/>
      <c r="AC1298" s="1"/>
      <c r="AD1298" s="1" t="s">
        <v>93</v>
      </c>
      <c r="AE1298" s="1" t="s">
        <v>93</v>
      </c>
      <c r="AF1298" s="1"/>
      <c r="AG1298" s="1"/>
      <c r="AH1298" s="1"/>
      <c r="AI1298" s="1"/>
      <c r="AJ1298" s="1"/>
      <c r="AK1298" s="1"/>
      <c r="AL1298" s="1"/>
      <c r="AM1298" s="1"/>
      <c r="AN1298" s="1"/>
      <c r="AO1298" s="1"/>
      <c r="AP1298" s="1"/>
      <c r="AQ1298" s="1"/>
      <c r="AR1298" s="1"/>
      <c r="AS1298" s="1"/>
      <c r="AT1298" s="1"/>
      <c r="AU1298" s="1"/>
      <c r="AV1298" s="1"/>
      <c r="AW1298" s="1"/>
      <c r="AX1298" s="1"/>
      <c r="AY1298" s="1"/>
      <c r="AZ1298" s="1"/>
      <c r="BA1298" s="1"/>
      <c r="BB1298" s="1"/>
      <c r="BC1298" s="1"/>
      <c r="BD1298" s="1"/>
      <c r="BE1298" s="1"/>
      <c r="BF1298" s="1"/>
      <c r="BG1298" s="1"/>
      <c r="BH1298" s="1"/>
      <c r="BI1298" s="1"/>
      <c r="BJ1298" s="1"/>
      <c r="BK1298" s="1"/>
      <c r="BL1298" s="1"/>
      <c r="BM1298" s="1"/>
      <c r="BN1298" s="1"/>
      <c r="BO1298" s="1"/>
      <c r="BP1298" s="1" t="s">
        <v>9609</v>
      </c>
      <c r="BQ1298" s="3"/>
      <c r="BR1298" s="3"/>
    </row>
    <row r="1299" spans="1:70">
      <c r="A1299" s="1" t="s">
        <v>70</v>
      </c>
      <c r="B1299" s="1" t="s">
        <v>13846</v>
      </c>
      <c r="C1299" s="1" t="s">
        <v>16266</v>
      </c>
      <c r="D1299" s="1"/>
      <c r="E1299" s="1"/>
      <c r="F1299" s="1"/>
      <c r="G1299" s="1"/>
      <c r="H1299" s="1" t="s">
        <v>16267</v>
      </c>
      <c r="I1299" s="1" t="s">
        <v>16267</v>
      </c>
      <c r="J1299" s="1"/>
      <c r="K1299" s="1"/>
      <c r="L1299" s="1"/>
      <c r="M1299" s="1"/>
      <c r="N1299" s="1"/>
      <c r="O1299" s="1"/>
      <c r="P1299" s="1"/>
      <c r="Q1299" s="1"/>
      <c r="R1299" s="1"/>
      <c r="S1299" s="1"/>
      <c r="T1299" s="1"/>
      <c r="U1299" s="1"/>
      <c r="V1299" s="1"/>
      <c r="W1299" s="1"/>
      <c r="X1299" s="1"/>
      <c r="Y1299" s="1"/>
      <c r="Z1299" s="1"/>
      <c r="AA1299" s="1"/>
      <c r="AB1299" s="1"/>
      <c r="AC1299" s="1"/>
      <c r="AD1299" s="1" t="s">
        <v>93</v>
      </c>
      <c r="AE1299" s="1" t="s">
        <v>93</v>
      </c>
      <c r="AF1299" s="1"/>
      <c r="AG1299" s="1"/>
      <c r="AH1299" s="1"/>
      <c r="AI1299" s="1"/>
      <c r="AJ1299" s="1"/>
      <c r="AK1299" s="1"/>
      <c r="AL1299" s="1"/>
      <c r="AM1299" s="1"/>
      <c r="AN1299" s="1"/>
      <c r="AO1299" s="1"/>
      <c r="AP1299" s="1"/>
      <c r="AQ1299" s="1"/>
      <c r="AR1299" s="1"/>
      <c r="AS1299" s="1"/>
      <c r="AT1299" s="1"/>
      <c r="AU1299" s="1"/>
      <c r="AV1299" s="1"/>
      <c r="AW1299" s="1"/>
      <c r="AX1299" s="1"/>
      <c r="AY1299" s="1"/>
      <c r="AZ1299" s="1"/>
      <c r="BA1299" s="1"/>
      <c r="BB1299" s="1"/>
      <c r="BC1299" s="1"/>
      <c r="BD1299" s="1"/>
      <c r="BE1299" s="1"/>
      <c r="BF1299" s="1"/>
      <c r="BG1299" s="1"/>
      <c r="BH1299" s="1"/>
      <c r="BI1299" s="1"/>
      <c r="BJ1299" s="1"/>
      <c r="BK1299" s="1"/>
      <c r="BL1299" s="1"/>
      <c r="BM1299" s="1"/>
      <c r="BN1299" s="1"/>
      <c r="BO1299" s="1"/>
      <c r="BP1299" s="1" t="s">
        <v>9609</v>
      </c>
      <c r="BQ1299" s="3"/>
      <c r="BR1299" s="3"/>
    </row>
    <row r="1300" spans="1:70">
      <c r="A1300" s="1" t="s">
        <v>70</v>
      </c>
      <c r="B1300" s="1" t="s">
        <v>13846</v>
      </c>
      <c r="C1300" s="1" t="s">
        <v>16268</v>
      </c>
      <c r="D1300" s="1"/>
      <c r="E1300" s="1"/>
      <c r="F1300" s="1"/>
      <c r="G1300" s="1"/>
      <c r="H1300" s="1" t="s">
        <v>16269</v>
      </c>
      <c r="I1300" s="1" t="s">
        <v>16269</v>
      </c>
      <c r="J1300" s="1"/>
      <c r="K1300" s="1"/>
      <c r="L1300" s="1"/>
      <c r="M1300" s="1"/>
      <c r="N1300" s="1"/>
      <c r="O1300" s="1"/>
      <c r="P1300" s="1"/>
      <c r="Q1300" s="1"/>
      <c r="R1300" s="1"/>
      <c r="S1300" s="1"/>
      <c r="T1300" s="1"/>
      <c r="U1300" s="1"/>
      <c r="V1300" s="1"/>
      <c r="W1300" s="1"/>
      <c r="X1300" s="1"/>
      <c r="Y1300" s="1"/>
      <c r="Z1300" s="1"/>
      <c r="AA1300" s="1"/>
      <c r="AB1300" s="1"/>
      <c r="AC1300" s="1"/>
      <c r="AD1300" s="1" t="s">
        <v>93</v>
      </c>
      <c r="AE1300" s="1" t="s">
        <v>93</v>
      </c>
      <c r="AF1300" s="1"/>
      <c r="AG1300" s="1"/>
      <c r="AH1300" s="1"/>
      <c r="AI1300" s="1"/>
      <c r="AJ1300" s="1"/>
      <c r="AK1300" s="1"/>
      <c r="AL1300" s="1"/>
      <c r="AM1300" s="1"/>
      <c r="AN1300" s="1"/>
      <c r="AO1300" s="1"/>
      <c r="AP1300" s="1"/>
      <c r="AQ1300" s="1"/>
      <c r="AR1300" s="1"/>
      <c r="AS1300" s="1"/>
      <c r="AT1300" s="1"/>
      <c r="AU1300" s="1"/>
      <c r="AV1300" s="1"/>
      <c r="AW1300" s="1"/>
      <c r="AX1300" s="1"/>
      <c r="AY1300" s="1"/>
      <c r="AZ1300" s="1"/>
      <c r="BA1300" s="1"/>
      <c r="BB1300" s="1"/>
      <c r="BC1300" s="1"/>
      <c r="BD1300" s="1"/>
      <c r="BE1300" s="1"/>
      <c r="BF1300" s="1"/>
      <c r="BG1300" s="1"/>
      <c r="BH1300" s="1"/>
      <c r="BI1300" s="1"/>
      <c r="BJ1300" s="1"/>
      <c r="BK1300" s="1"/>
      <c r="BL1300" s="1"/>
      <c r="BM1300" s="1"/>
      <c r="BN1300" s="1"/>
      <c r="BO1300" s="1"/>
      <c r="BP1300" s="1" t="s">
        <v>9609</v>
      </c>
      <c r="BQ1300" s="3"/>
      <c r="BR1300" s="3"/>
    </row>
    <row r="1301" spans="1:70">
      <c r="A1301" s="1" t="s">
        <v>70</v>
      </c>
      <c r="B1301" s="1" t="s">
        <v>13846</v>
      </c>
      <c r="C1301" s="1" t="s">
        <v>16270</v>
      </c>
      <c r="D1301" s="1"/>
      <c r="E1301" s="1"/>
      <c r="F1301" s="1"/>
      <c r="G1301" s="1"/>
      <c r="H1301" s="1" t="s">
        <v>16271</v>
      </c>
      <c r="I1301" s="1" t="s">
        <v>16271</v>
      </c>
      <c r="J1301" s="1"/>
      <c r="K1301" s="1"/>
      <c r="L1301" s="1"/>
      <c r="M1301" s="1"/>
      <c r="N1301" s="1"/>
      <c r="O1301" s="1"/>
      <c r="P1301" s="1"/>
      <c r="Q1301" s="1"/>
      <c r="R1301" s="1"/>
      <c r="S1301" s="1"/>
      <c r="T1301" s="1"/>
      <c r="U1301" s="1"/>
      <c r="V1301" s="1"/>
      <c r="W1301" s="1"/>
      <c r="X1301" s="1"/>
      <c r="Y1301" s="1"/>
      <c r="Z1301" s="1"/>
      <c r="AA1301" s="1"/>
      <c r="AB1301" s="1"/>
      <c r="AC1301" s="1"/>
      <c r="AD1301" s="1" t="s">
        <v>93</v>
      </c>
      <c r="AE1301" s="1" t="s">
        <v>93</v>
      </c>
      <c r="AF1301" s="1"/>
      <c r="AG1301" s="1"/>
      <c r="AH1301" s="1"/>
      <c r="AI1301" s="1"/>
      <c r="AJ1301" s="1"/>
      <c r="AK1301" s="1"/>
      <c r="AL1301" s="1"/>
      <c r="AM1301" s="1"/>
      <c r="AN1301" s="1"/>
      <c r="AO1301" s="1"/>
      <c r="AP1301" s="1"/>
      <c r="AQ1301" s="1"/>
      <c r="AR1301" s="1"/>
      <c r="AS1301" s="1"/>
      <c r="AT1301" s="1"/>
      <c r="AU1301" s="1"/>
      <c r="AV1301" s="1"/>
      <c r="AW1301" s="1"/>
      <c r="AX1301" s="1"/>
      <c r="AY1301" s="1"/>
      <c r="AZ1301" s="1"/>
      <c r="BA1301" s="1"/>
      <c r="BB1301" s="1"/>
      <c r="BC1301" s="1"/>
      <c r="BD1301" s="1"/>
      <c r="BE1301" s="1"/>
      <c r="BF1301" s="1"/>
      <c r="BG1301" s="1"/>
      <c r="BH1301" s="1"/>
      <c r="BI1301" s="1"/>
      <c r="BJ1301" s="1"/>
      <c r="BK1301" s="1"/>
      <c r="BL1301" s="1"/>
      <c r="BM1301" s="1"/>
      <c r="BN1301" s="1"/>
      <c r="BO1301" s="1"/>
      <c r="BP1301" s="1" t="s">
        <v>9609</v>
      </c>
      <c r="BQ1301" s="3"/>
      <c r="BR1301" s="3"/>
    </row>
    <row r="1302" spans="1:70">
      <c r="A1302" s="1" t="s">
        <v>70</v>
      </c>
      <c r="B1302" s="1" t="s">
        <v>13846</v>
      </c>
      <c r="C1302" s="1" t="s">
        <v>16272</v>
      </c>
      <c r="D1302" s="1"/>
      <c r="E1302" s="1"/>
      <c r="F1302" s="1"/>
      <c r="G1302" s="1"/>
      <c r="H1302" s="1" t="s">
        <v>16273</v>
      </c>
      <c r="I1302" s="1" t="s">
        <v>16273</v>
      </c>
      <c r="J1302" s="1"/>
      <c r="K1302" s="1"/>
      <c r="L1302" s="1"/>
      <c r="M1302" s="1"/>
      <c r="N1302" s="1"/>
      <c r="O1302" s="1"/>
      <c r="P1302" s="1"/>
      <c r="Q1302" s="1"/>
      <c r="R1302" s="1"/>
      <c r="S1302" s="1"/>
      <c r="T1302" s="1"/>
      <c r="U1302" s="1"/>
      <c r="V1302" s="1"/>
      <c r="W1302" s="1"/>
      <c r="X1302" s="1"/>
      <c r="Y1302" s="1"/>
      <c r="Z1302" s="1"/>
      <c r="AA1302" s="1"/>
      <c r="AB1302" s="1"/>
      <c r="AC1302" s="1"/>
      <c r="AD1302" s="1" t="s">
        <v>93</v>
      </c>
      <c r="AE1302" s="1" t="s">
        <v>93</v>
      </c>
      <c r="AF1302" s="1"/>
      <c r="AG1302" s="1"/>
      <c r="AH1302" s="1"/>
      <c r="AI1302" s="1"/>
      <c r="AJ1302" s="1"/>
      <c r="AK1302" s="1"/>
      <c r="AL1302" s="1"/>
      <c r="AM1302" s="1"/>
      <c r="AN1302" s="1"/>
      <c r="AO1302" s="1"/>
      <c r="AP1302" s="1"/>
      <c r="AQ1302" s="1"/>
      <c r="AR1302" s="1"/>
      <c r="AS1302" s="1"/>
      <c r="AT1302" s="1"/>
      <c r="AU1302" s="1"/>
      <c r="AV1302" s="1"/>
      <c r="AW1302" s="1"/>
      <c r="AX1302" s="1"/>
      <c r="AY1302" s="1"/>
      <c r="AZ1302" s="1"/>
      <c r="BA1302" s="1"/>
      <c r="BB1302" s="1"/>
      <c r="BC1302" s="1"/>
      <c r="BD1302" s="1"/>
      <c r="BE1302" s="1"/>
      <c r="BF1302" s="1"/>
      <c r="BG1302" s="1"/>
      <c r="BH1302" s="1"/>
      <c r="BI1302" s="1"/>
      <c r="BJ1302" s="1"/>
      <c r="BK1302" s="1"/>
      <c r="BL1302" s="1"/>
      <c r="BM1302" s="1"/>
      <c r="BN1302" s="1"/>
      <c r="BO1302" s="1"/>
      <c r="BP1302" s="1" t="s">
        <v>9609</v>
      </c>
      <c r="BQ1302" s="3"/>
      <c r="BR1302" s="3"/>
    </row>
    <row r="1303" spans="1:70">
      <c r="A1303" s="1" t="s">
        <v>70</v>
      </c>
      <c r="B1303" s="1" t="s">
        <v>13846</v>
      </c>
      <c r="C1303" s="1" t="s">
        <v>16274</v>
      </c>
      <c r="D1303" s="1"/>
      <c r="E1303" s="1"/>
      <c r="F1303" s="1"/>
      <c r="G1303" s="1"/>
      <c r="H1303" s="1" t="s">
        <v>16275</v>
      </c>
      <c r="I1303" s="1" t="s">
        <v>16275</v>
      </c>
      <c r="J1303" s="1"/>
      <c r="K1303" s="1"/>
      <c r="L1303" s="1"/>
      <c r="M1303" s="1"/>
      <c r="N1303" s="1"/>
      <c r="O1303" s="1"/>
      <c r="P1303" s="1"/>
      <c r="Q1303" s="1"/>
      <c r="R1303" s="1"/>
      <c r="S1303" s="1"/>
      <c r="T1303" s="1"/>
      <c r="U1303" s="1"/>
      <c r="V1303" s="1"/>
      <c r="W1303" s="1"/>
      <c r="X1303" s="1"/>
      <c r="Y1303" s="1"/>
      <c r="Z1303" s="1"/>
      <c r="AA1303" s="1"/>
      <c r="AB1303" s="1"/>
      <c r="AC1303" s="1"/>
      <c r="AD1303" s="1" t="s">
        <v>93</v>
      </c>
      <c r="AE1303" s="1" t="s">
        <v>93</v>
      </c>
      <c r="AF1303" s="1"/>
      <c r="AG1303" s="1"/>
      <c r="AH1303" s="1"/>
      <c r="AI1303" s="1"/>
      <c r="AJ1303" s="1"/>
      <c r="AK1303" s="1"/>
      <c r="AL1303" s="1"/>
      <c r="AM1303" s="1"/>
      <c r="AN1303" s="1"/>
      <c r="AO1303" s="1"/>
      <c r="AP1303" s="1"/>
      <c r="AQ1303" s="1"/>
      <c r="AR1303" s="1"/>
      <c r="AS1303" s="1"/>
      <c r="AT1303" s="1"/>
      <c r="AU1303" s="1"/>
      <c r="AV1303" s="1"/>
      <c r="AW1303" s="1"/>
      <c r="AX1303" s="1"/>
      <c r="AY1303" s="1"/>
      <c r="AZ1303" s="1"/>
      <c r="BA1303" s="1"/>
      <c r="BB1303" s="1"/>
      <c r="BC1303" s="1"/>
      <c r="BD1303" s="1"/>
      <c r="BE1303" s="1"/>
      <c r="BF1303" s="1"/>
      <c r="BG1303" s="1"/>
      <c r="BH1303" s="1"/>
      <c r="BI1303" s="1"/>
      <c r="BJ1303" s="1"/>
      <c r="BK1303" s="1"/>
      <c r="BL1303" s="1"/>
      <c r="BM1303" s="1"/>
      <c r="BN1303" s="1"/>
      <c r="BO1303" s="1"/>
      <c r="BP1303" s="1" t="s">
        <v>9609</v>
      </c>
      <c r="BQ1303" s="3"/>
      <c r="BR1303" s="3"/>
    </row>
    <row r="1304" spans="1:70">
      <c r="A1304" s="1" t="s">
        <v>70</v>
      </c>
      <c r="B1304" s="1" t="s">
        <v>13846</v>
      </c>
      <c r="C1304" s="1" t="s">
        <v>16276</v>
      </c>
      <c r="D1304" s="1"/>
      <c r="E1304" s="1"/>
      <c r="F1304" s="1"/>
      <c r="G1304" s="1"/>
      <c r="H1304" s="1" t="s">
        <v>16277</v>
      </c>
      <c r="I1304" s="1" t="s">
        <v>16277</v>
      </c>
      <c r="J1304" s="1"/>
      <c r="K1304" s="1"/>
      <c r="L1304" s="1"/>
      <c r="M1304" s="1"/>
      <c r="N1304" s="1"/>
      <c r="O1304" s="1"/>
      <c r="P1304" s="1"/>
      <c r="Q1304" s="1"/>
      <c r="R1304" s="1"/>
      <c r="S1304" s="1"/>
      <c r="T1304" s="1"/>
      <c r="U1304" s="1"/>
      <c r="V1304" s="1"/>
      <c r="W1304" s="1"/>
      <c r="X1304" s="1"/>
      <c r="Y1304" s="1"/>
      <c r="Z1304" s="1"/>
      <c r="AA1304" s="1"/>
      <c r="AB1304" s="1"/>
      <c r="AC1304" s="1"/>
      <c r="AD1304" s="1" t="s">
        <v>93</v>
      </c>
      <c r="AE1304" s="1" t="s">
        <v>93</v>
      </c>
      <c r="AF1304" s="1"/>
      <c r="AG1304" s="1"/>
      <c r="AH1304" s="1"/>
      <c r="AI1304" s="1"/>
      <c r="AJ1304" s="1"/>
      <c r="AK1304" s="1"/>
      <c r="AL1304" s="1"/>
      <c r="AM1304" s="1"/>
      <c r="AN1304" s="1"/>
      <c r="AO1304" s="1"/>
      <c r="AP1304" s="1"/>
      <c r="AQ1304" s="1"/>
      <c r="AR1304" s="1"/>
      <c r="AS1304" s="1"/>
      <c r="AT1304" s="1"/>
      <c r="AU1304" s="1"/>
      <c r="AV1304" s="1"/>
      <c r="AW1304" s="1"/>
      <c r="AX1304" s="1"/>
      <c r="AY1304" s="1"/>
      <c r="AZ1304" s="1"/>
      <c r="BA1304" s="1"/>
      <c r="BB1304" s="1"/>
      <c r="BC1304" s="1"/>
      <c r="BD1304" s="1"/>
      <c r="BE1304" s="1"/>
      <c r="BF1304" s="1"/>
      <c r="BG1304" s="1"/>
      <c r="BH1304" s="1"/>
      <c r="BI1304" s="1"/>
      <c r="BJ1304" s="1"/>
      <c r="BK1304" s="1"/>
      <c r="BL1304" s="1"/>
      <c r="BM1304" s="1"/>
      <c r="BN1304" s="1"/>
      <c r="BO1304" s="1"/>
      <c r="BP1304" s="1" t="s">
        <v>9609</v>
      </c>
      <c r="BQ1304" s="3"/>
      <c r="BR1304" s="3"/>
    </row>
    <row r="1305" spans="1:70">
      <c r="A1305" s="1" t="s">
        <v>70</v>
      </c>
      <c r="B1305" s="1" t="s">
        <v>13846</v>
      </c>
      <c r="C1305" s="1" t="s">
        <v>16278</v>
      </c>
      <c r="D1305" s="1"/>
      <c r="E1305" s="1"/>
      <c r="F1305" s="1"/>
      <c r="G1305" s="1"/>
      <c r="H1305" s="1" t="s">
        <v>16279</v>
      </c>
      <c r="I1305" s="1" t="s">
        <v>16279</v>
      </c>
      <c r="J1305" s="1"/>
      <c r="K1305" s="1"/>
      <c r="L1305" s="1"/>
      <c r="M1305" s="1"/>
      <c r="N1305" s="1"/>
      <c r="O1305" s="1"/>
      <c r="P1305" s="1"/>
      <c r="Q1305" s="1"/>
      <c r="R1305" s="1"/>
      <c r="S1305" s="1"/>
      <c r="T1305" s="1"/>
      <c r="U1305" s="1"/>
      <c r="V1305" s="1"/>
      <c r="W1305" s="1"/>
      <c r="X1305" s="1"/>
      <c r="Y1305" s="1"/>
      <c r="Z1305" s="1"/>
      <c r="AA1305" s="1"/>
      <c r="AB1305" s="1"/>
      <c r="AC1305" s="1"/>
      <c r="AD1305" s="1" t="s">
        <v>93</v>
      </c>
      <c r="AE1305" s="1" t="s">
        <v>93</v>
      </c>
      <c r="AF1305" s="1"/>
      <c r="AG1305" s="1"/>
      <c r="AH1305" s="1"/>
      <c r="AI1305" s="1"/>
      <c r="AJ1305" s="1"/>
      <c r="AK1305" s="1"/>
      <c r="AL1305" s="1"/>
      <c r="AM1305" s="1"/>
      <c r="AN1305" s="1"/>
      <c r="AO1305" s="1"/>
      <c r="AP1305" s="1"/>
      <c r="AQ1305" s="1"/>
      <c r="AR1305" s="1"/>
      <c r="AS1305" s="1"/>
      <c r="AT1305" s="1"/>
      <c r="AU1305" s="1"/>
      <c r="AV1305" s="1"/>
      <c r="AW1305" s="1"/>
      <c r="AX1305" s="1"/>
      <c r="AY1305" s="1"/>
      <c r="AZ1305" s="1"/>
      <c r="BA1305" s="1"/>
      <c r="BB1305" s="1"/>
      <c r="BC1305" s="1"/>
      <c r="BD1305" s="1"/>
      <c r="BE1305" s="1"/>
      <c r="BF1305" s="1"/>
      <c r="BG1305" s="1"/>
      <c r="BH1305" s="1"/>
      <c r="BI1305" s="1"/>
      <c r="BJ1305" s="1"/>
      <c r="BK1305" s="1"/>
      <c r="BL1305" s="1"/>
      <c r="BM1305" s="1"/>
      <c r="BN1305" s="1"/>
      <c r="BO1305" s="1"/>
      <c r="BP1305" s="1" t="s">
        <v>9609</v>
      </c>
      <c r="BQ1305" s="3"/>
      <c r="BR1305" s="3"/>
    </row>
    <row r="1306" spans="1:70">
      <c r="A1306" s="1" t="s">
        <v>70</v>
      </c>
      <c r="B1306" s="1" t="s">
        <v>13846</v>
      </c>
      <c r="C1306" s="1" t="s">
        <v>16280</v>
      </c>
      <c r="D1306" s="1"/>
      <c r="E1306" s="1"/>
      <c r="F1306" s="1"/>
      <c r="G1306" s="1"/>
      <c r="H1306" s="1" t="s">
        <v>16281</v>
      </c>
      <c r="I1306" s="1" t="s">
        <v>16281</v>
      </c>
      <c r="J1306" s="1"/>
      <c r="K1306" s="1"/>
      <c r="L1306" s="1"/>
      <c r="M1306" s="1"/>
      <c r="N1306" s="1"/>
      <c r="O1306" s="1"/>
      <c r="P1306" s="1"/>
      <c r="Q1306" s="1"/>
      <c r="R1306" s="1"/>
      <c r="S1306" s="1"/>
      <c r="T1306" s="1"/>
      <c r="U1306" s="1"/>
      <c r="V1306" s="1"/>
      <c r="W1306" s="1"/>
      <c r="X1306" s="1"/>
      <c r="Y1306" s="1"/>
      <c r="Z1306" s="1"/>
      <c r="AA1306" s="1"/>
      <c r="AB1306" s="1"/>
      <c r="AC1306" s="1"/>
      <c r="AD1306" s="1" t="s">
        <v>93</v>
      </c>
      <c r="AE1306" s="1" t="s">
        <v>93</v>
      </c>
      <c r="AF1306" s="1"/>
      <c r="AG1306" s="1"/>
      <c r="AH1306" s="1"/>
      <c r="AI1306" s="1"/>
      <c r="AJ1306" s="1"/>
      <c r="AK1306" s="1"/>
      <c r="AL1306" s="1"/>
      <c r="AM1306" s="1"/>
      <c r="AN1306" s="1"/>
      <c r="AO1306" s="1"/>
      <c r="AP1306" s="1"/>
      <c r="AQ1306" s="1"/>
      <c r="AR1306" s="1"/>
      <c r="AS1306" s="1"/>
      <c r="AT1306" s="1"/>
      <c r="AU1306" s="1"/>
      <c r="AV1306" s="1"/>
      <c r="AW1306" s="1"/>
      <c r="AX1306" s="1"/>
      <c r="AY1306" s="1"/>
      <c r="AZ1306" s="1"/>
      <c r="BA1306" s="1"/>
      <c r="BB1306" s="1"/>
      <c r="BC1306" s="1"/>
      <c r="BD1306" s="1"/>
      <c r="BE1306" s="1"/>
      <c r="BF1306" s="1"/>
      <c r="BG1306" s="1"/>
      <c r="BH1306" s="1"/>
      <c r="BI1306" s="1"/>
      <c r="BJ1306" s="1"/>
      <c r="BK1306" s="1"/>
      <c r="BL1306" s="1"/>
      <c r="BM1306" s="1"/>
      <c r="BN1306" s="1"/>
      <c r="BO1306" s="1"/>
      <c r="BP1306" s="1" t="s">
        <v>9609</v>
      </c>
      <c r="BQ1306" s="3"/>
      <c r="BR1306" s="3"/>
    </row>
    <row r="1307" spans="1:70">
      <c r="A1307" s="1" t="s">
        <v>70</v>
      </c>
      <c r="B1307" s="1" t="s">
        <v>13846</v>
      </c>
      <c r="C1307" s="1" t="s">
        <v>16282</v>
      </c>
      <c r="D1307" s="1"/>
      <c r="E1307" s="1"/>
      <c r="F1307" s="1"/>
      <c r="G1307" s="1"/>
      <c r="H1307" s="1" t="s">
        <v>16283</v>
      </c>
      <c r="I1307" s="1" t="s">
        <v>16283</v>
      </c>
      <c r="J1307" s="1"/>
      <c r="K1307" s="1"/>
      <c r="L1307" s="1"/>
      <c r="M1307" s="1"/>
      <c r="N1307" s="1"/>
      <c r="O1307" s="1"/>
      <c r="P1307" s="1"/>
      <c r="Q1307" s="1"/>
      <c r="R1307" s="1"/>
      <c r="S1307" s="1"/>
      <c r="T1307" s="1"/>
      <c r="U1307" s="1"/>
      <c r="V1307" s="1"/>
      <c r="W1307" s="1"/>
      <c r="X1307" s="1"/>
      <c r="Y1307" s="1"/>
      <c r="Z1307" s="1"/>
      <c r="AA1307" s="1"/>
      <c r="AB1307" s="1"/>
      <c r="AC1307" s="1"/>
      <c r="AD1307" s="1" t="s">
        <v>93</v>
      </c>
      <c r="AE1307" s="1" t="s">
        <v>93</v>
      </c>
      <c r="AF1307" s="1"/>
      <c r="AG1307" s="1"/>
      <c r="AH1307" s="1"/>
      <c r="AI1307" s="1"/>
      <c r="AJ1307" s="1"/>
      <c r="AK1307" s="1"/>
      <c r="AL1307" s="1"/>
      <c r="AM1307" s="1"/>
      <c r="AN1307" s="1"/>
      <c r="AO1307" s="1"/>
      <c r="AP1307" s="1"/>
      <c r="AQ1307" s="1"/>
      <c r="AR1307" s="1"/>
      <c r="AS1307" s="1"/>
      <c r="AT1307" s="1"/>
      <c r="AU1307" s="1"/>
      <c r="AV1307" s="1"/>
      <c r="AW1307" s="1"/>
      <c r="AX1307" s="1"/>
      <c r="AY1307" s="1"/>
      <c r="AZ1307" s="1"/>
      <c r="BA1307" s="1"/>
      <c r="BB1307" s="1"/>
      <c r="BC1307" s="1"/>
      <c r="BD1307" s="1"/>
      <c r="BE1307" s="1"/>
      <c r="BF1307" s="1"/>
      <c r="BG1307" s="1"/>
      <c r="BH1307" s="1"/>
      <c r="BI1307" s="1"/>
      <c r="BJ1307" s="1"/>
      <c r="BK1307" s="1"/>
      <c r="BL1307" s="1"/>
      <c r="BM1307" s="1"/>
      <c r="BN1307" s="1"/>
      <c r="BO1307" s="1"/>
      <c r="BP1307" s="1" t="s">
        <v>9609</v>
      </c>
      <c r="BQ1307" s="3"/>
      <c r="BR1307" s="3"/>
    </row>
    <row r="1308" spans="1:70">
      <c r="A1308" s="1" t="s">
        <v>70</v>
      </c>
      <c r="B1308" s="1" t="s">
        <v>13846</v>
      </c>
      <c r="C1308" s="1" t="s">
        <v>16284</v>
      </c>
      <c r="D1308" s="1"/>
      <c r="E1308" s="1"/>
      <c r="F1308" s="1"/>
      <c r="G1308" s="1"/>
      <c r="H1308" s="1" t="s">
        <v>16285</v>
      </c>
      <c r="I1308" s="1" t="s">
        <v>16285</v>
      </c>
      <c r="J1308" s="1"/>
      <c r="K1308" s="1"/>
      <c r="L1308" s="1"/>
      <c r="M1308" s="1"/>
      <c r="N1308" s="1"/>
      <c r="O1308" s="1"/>
      <c r="P1308" s="1"/>
      <c r="Q1308" s="1"/>
      <c r="R1308" s="1"/>
      <c r="S1308" s="1"/>
      <c r="T1308" s="1"/>
      <c r="U1308" s="1"/>
      <c r="V1308" s="1"/>
      <c r="W1308" s="1"/>
      <c r="X1308" s="1"/>
      <c r="Y1308" s="1"/>
      <c r="Z1308" s="1"/>
      <c r="AA1308" s="1"/>
      <c r="AB1308" s="1"/>
      <c r="AC1308" s="1"/>
      <c r="AD1308" s="1" t="s">
        <v>93</v>
      </c>
      <c r="AE1308" s="1" t="s">
        <v>93</v>
      </c>
      <c r="AF1308" s="1"/>
      <c r="AG1308" s="1"/>
      <c r="AH1308" s="1"/>
      <c r="AI1308" s="1"/>
      <c r="AJ1308" s="1"/>
      <c r="AK1308" s="1"/>
      <c r="AL1308" s="1"/>
      <c r="AM1308" s="1"/>
      <c r="AN1308" s="1"/>
      <c r="AO1308" s="1"/>
      <c r="AP1308" s="1"/>
      <c r="AQ1308" s="1"/>
      <c r="AR1308" s="1"/>
      <c r="AS1308" s="1"/>
      <c r="AT1308" s="1"/>
      <c r="AU1308" s="1"/>
      <c r="AV1308" s="1"/>
      <c r="AW1308" s="1"/>
      <c r="AX1308" s="1"/>
      <c r="AY1308" s="1"/>
      <c r="AZ1308" s="1"/>
      <c r="BA1308" s="1"/>
      <c r="BB1308" s="1"/>
      <c r="BC1308" s="1"/>
      <c r="BD1308" s="1"/>
      <c r="BE1308" s="1"/>
      <c r="BF1308" s="1"/>
      <c r="BG1308" s="1"/>
      <c r="BH1308" s="1"/>
      <c r="BI1308" s="1"/>
      <c r="BJ1308" s="1"/>
      <c r="BK1308" s="1"/>
      <c r="BL1308" s="1"/>
      <c r="BM1308" s="1"/>
      <c r="BN1308" s="1"/>
      <c r="BO1308" s="1"/>
      <c r="BP1308" s="1" t="s">
        <v>9609</v>
      </c>
      <c r="BQ1308" s="3"/>
      <c r="BR1308" s="3"/>
    </row>
    <row r="1309" spans="1:70">
      <c r="A1309" s="1" t="s">
        <v>70</v>
      </c>
      <c r="B1309" s="1" t="s">
        <v>13846</v>
      </c>
      <c r="C1309" s="1" t="s">
        <v>16286</v>
      </c>
      <c r="D1309" s="1"/>
      <c r="E1309" s="1"/>
      <c r="F1309" s="1"/>
      <c r="G1309" s="1"/>
      <c r="H1309" s="1" t="s">
        <v>16287</v>
      </c>
      <c r="I1309" s="1" t="s">
        <v>16287</v>
      </c>
      <c r="J1309" s="1"/>
      <c r="K1309" s="1"/>
      <c r="L1309" s="1"/>
      <c r="M1309" s="1"/>
      <c r="N1309" s="1"/>
      <c r="O1309" s="1"/>
      <c r="P1309" s="1"/>
      <c r="Q1309" s="1"/>
      <c r="R1309" s="1"/>
      <c r="S1309" s="1"/>
      <c r="T1309" s="1"/>
      <c r="U1309" s="1"/>
      <c r="V1309" s="1"/>
      <c r="W1309" s="1"/>
      <c r="X1309" s="1"/>
      <c r="Y1309" s="1"/>
      <c r="Z1309" s="1"/>
      <c r="AA1309" s="1"/>
      <c r="AB1309" s="1"/>
      <c r="AC1309" s="1"/>
      <c r="AD1309" s="1" t="s">
        <v>93</v>
      </c>
      <c r="AE1309" s="1" t="s">
        <v>93</v>
      </c>
      <c r="AF1309" s="1"/>
      <c r="AG1309" s="1"/>
      <c r="AH1309" s="1"/>
      <c r="AI1309" s="1"/>
      <c r="AJ1309" s="1"/>
      <c r="AK1309" s="1"/>
      <c r="AL1309" s="1"/>
      <c r="AM1309" s="1"/>
      <c r="AN1309" s="1"/>
      <c r="AO1309" s="1"/>
      <c r="AP1309" s="1"/>
      <c r="AQ1309" s="1"/>
      <c r="AR1309" s="1"/>
      <c r="AS1309" s="1"/>
      <c r="AT1309" s="1"/>
      <c r="AU1309" s="1"/>
      <c r="AV1309" s="1"/>
      <c r="AW1309" s="1"/>
      <c r="AX1309" s="1"/>
      <c r="AY1309" s="1"/>
      <c r="AZ1309" s="1"/>
      <c r="BA1309" s="1"/>
      <c r="BB1309" s="1"/>
      <c r="BC1309" s="1"/>
      <c r="BD1309" s="1"/>
      <c r="BE1309" s="1"/>
      <c r="BF1309" s="1"/>
      <c r="BG1309" s="1"/>
      <c r="BH1309" s="1"/>
      <c r="BI1309" s="1"/>
      <c r="BJ1309" s="1"/>
      <c r="BK1309" s="1"/>
      <c r="BL1309" s="1"/>
      <c r="BM1309" s="1"/>
      <c r="BN1309" s="1"/>
      <c r="BO1309" s="1"/>
      <c r="BP1309" s="1" t="s">
        <v>9609</v>
      </c>
      <c r="BQ1309" s="3"/>
      <c r="BR1309" s="3"/>
    </row>
    <row r="1310" spans="1:70">
      <c r="A1310" s="1" t="s">
        <v>70</v>
      </c>
      <c r="B1310" s="1" t="s">
        <v>13846</v>
      </c>
      <c r="C1310" s="1" t="s">
        <v>16288</v>
      </c>
      <c r="D1310" s="1"/>
      <c r="E1310" s="1"/>
      <c r="F1310" s="1"/>
      <c r="G1310" s="1"/>
      <c r="H1310" s="1" t="s">
        <v>16289</v>
      </c>
      <c r="I1310" s="1" t="s">
        <v>16289</v>
      </c>
      <c r="J1310" s="1"/>
      <c r="K1310" s="1"/>
      <c r="L1310" s="1"/>
      <c r="M1310" s="1"/>
      <c r="N1310" s="1"/>
      <c r="O1310" s="1"/>
      <c r="P1310" s="1"/>
      <c r="Q1310" s="1"/>
      <c r="R1310" s="1"/>
      <c r="S1310" s="1"/>
      <c r="T1310" s="1"/>
      <c r="U1310" s="1"/>
      <c r="V1310" s="1"/>
      <c r="W1310" s="1"/>
      <c r="X1310" s="1"/>
      <c r="Y1310" s="1"/>
      <c r="Z1310" s="1"/>
      <c r="AA1310" s="1"/>
      <c r="AB1310" s="1"/>
      <c r="AC1310" s="1"/>
      <c r="AD1310" s="1" t="s">
        <v>93</v>
      </c>
      <c r="AE1310" s="1" t="s">
        <v>93</v>
      </c>
      <c r="AF1310" s="1"/>
      <c r="AG1310" s="1"/>
      <c r="AH1310" s="1"/>
      <c r="AI1310" s="1"/>
      <c r="AJ1310" s="1"/>
      <c r="AK1310" s="1"/>
      <c r="AL1310" s="1"/>
      <c r="AM1310" s="1"/>
      <c r="AN1310" s="1"/>
      <c r="AO1310" s="1"/>
      <c r="AP1310" s="1"/>
      <c r="AQ1310" s="1"/>
      <c r="AR1310" s="1"/>
      <c r="AS1310" s="1"/>
      <c r="AT1310" s="1"/>
      <c r="AU1310" s="1"/>
      <c r="AV1310" s="1"/>
      <c r="AW1310" s="1"/>
      <c r="AX1310" s="1"/>
      <c r="AY1310" s="1"/>
      <c r="AZ1310" s="1"/>
      <c r="BA1310" s="1"/>
      <c r="BB1310" s="1"/>
      <c r="BC1310" s="1"/>
      <c r="BD1310" s="1"/>
      <c r="BE1310" s="1"/>
      <c r="BF1310" s="1"/>
      <c r="BG1310" s="1"/>
      <c r="BH1310" s="1"/>
      <c r="BI1310" s="1"/>
      <c r="BJ1310" s="1"/>
      <c r="BK1310" s="1"/>
      <c r="BL1310" s="1"/>
      <c r="BM1310" s="1"/>
      <c r="BN1310" s="1"/>
      <c r="BO1310" s="1"/>
      <c r="BP1310" s="1" t="s">
        <v>9609</v>
      </c>
      <c r="BQ1310" s="3"/>
      <c r="BR1310" s="3"/>
    </row>
    <row r="1311" spans="1:70">
      <c r="A1311" s="1" t="s">
        <v>70</v>
      </c>
      <c r="B1311" s="1" t="s">
        <v>13846</v>
      </c>
      <c r="C1311" s="1" t="s">
        <v>16290</v>
      </c>
      <c r="D1311" s="1"/>
      <c r="E1311" s="1"/>
      <c r="F1311" s="1"/>
      <c r="G1311" s="1"/>
      <c r="H1311" s="1" t="s">
        <v>16291</v>
      </c>
      <c r="I1311" s="1" t="s">
        <v>16291</v>
      </c>
      <c r="J1311" s="1"/>
      <c r="K1311" s="1"/>
      <c r="L1311" s="1"/>
      <c r="M1311" s="1"/>
      <c r="N1311" s="1"/>
      <c r="O1311" s="1"/>
      <c r="P1311" s="1"/>
      <c r="Q1311" s="1"/>
      <c r="R1311" s="1"/>
      <c r="S1311" s="1"/>
      <c r="T1311" s="1"/>
      <c r="U1311" s="1"/>
      <c r="V1311" s="1"/>
      <c r="W1311" s="1"/>
      <c r="X1311" s="1"/>
      <c r="Y1311" s="1"/>
      <c r="Z1311" s="1"/>
      <c r="AA1311" s="1"/>
      <c r="AB1311" s="1"/>
      <c r="AC1311" s="1"/>
      <c r="AD1311" s="1" t="s">
        <v>93</v>
      </c>
      <c r="AE1311" s="1" t="s">
        <v>93</v>
      </c>
      <c r="AF1311" s="1"/>
      <c r="AG1311" s="1"/>
      <c r="AH1311" s="1"/>
      <c r="AI1311" s="1"/>
      <c r="AJ1311" s="1"/>
      <c r="AK1311" s="1"/>
      <c r="AL1311" s="1"/>
      <c r="AM1311" s="1"/>
      <c r="AN1311" s="1"/>
      <c r="AO1311" s="1"/>
      <c r="AP1311" s="1"/>
      <c r="AQ1311" s="1"/>
      <c r="AR1311" s="1"/>
      <c r="AS1311" s="1"/>
      <c r="AT1311" s="1"/>
      <c r="AU1311" s="1"/>
      <c r="AV1311" s="1"/>
      <c r="AW1311" s="1"/>
      <c r="AX1311" s="1"/>
      <c r="AY1311" s="1"/>
      <c r="AZ1311" s="1"/>
      <c r="BA1311" s="1"/>
      <c r="BB1311" s="1"/>
      <c r="BC1311" s="1"/>
      <c r="BD1311" s="1"/>
      <c r="BE1311" s="1"/>
      <c r="BF1311" s="1"/>
      <c r="BG1311" s="1"/>
      <c r="BH1311" s="1"/>
      <c r="BI1311" s="1"/>
      <c r="BJ1311" s="1"/>
      <c r="BK1311" s="1"/>
      <c r="BL1311" s="1"/>
      <c r="BM1311" s="1"/>
      <c r="BN1311" s="1"/>
      <c r="BO1311" s="1"/>
      <c r="BP1311" s="1" t="s">
        <v>9609</v>
      </c>
      <c r="BQ1311" s="3"/>
      <c r="BR1311" s="3"/>
    </row>
    <row r="1312" spans="1:70">
      <c r="A1312" s="1" t="s">
        <v>70</v>
      </c>
      <c r="B1312" s="1" t="s">
        <v>13846</v>
      </c>
      <c r="C1312" s="1" t="s">
        <v>16292</v>
      </c>
      <c r="D1312" s="1"/>
      <c r="E1312" s="1"/>
      <c r="F1312" s="1"/>
      <c r="G1312" s="1"/>
      <c r="H1312" s="1" t="s">
        <v>16293</v>
      </c>
      <c r="I1312" s="1" t="s">
        <v>16293</v>
      </c>
      <c r="J1312" s="1"/>
      <c r="K1312" s="1"/>
      <c r="L1312" s="1"/>
      <c r="M1312" s="1"/>
      <c r="N1312" s="1"/>
      <c r="O1312" s="1"/>
      <c r="P1312" s="1"/>
      <c r="Q1312" s="1"/>
      <c r="R1312" s="1"/>
      <c r="S1312" s="1"/>
      <c r="T1312" s="1"/>
      <c r="U1312" s="1"/>
      <c r="V1312" s="1"/>
      <c r="W1312" s="1"/>
      <c r="X1312" s="1"/>
      <c r="Y1312" s="1"/>
      <c r="Z1312" s="1"/>
      <c r="AA1312" s="1"/>
      <c r="AB1312" s="1"/>
      <c r="AC1312" s="1"/>
      <c r="AD1312" s="1" t="s">
        <v>93</v>
      </c>
      <c r="AE1312" s="1" t="s">
        <v>93</v>
      </c>
      <c r="AF1312" s="1"/>
      <c r="AG1312" s="1"/>
      <c r="AH1312" s="1"/>
      <c r="AI1312" s="1"/>
      <c r="AJ1312" s="1"/>
      <c r="AK1312" s="1"/>
      <c r="AL1312" s="1"/>
      <c r="AM1312" s="1"/>
      <c r="AN1312" s="1"/>
      <c r="AO1312" s="1"/>
      <c r="AP1312" s="1"/>
      <c r="AQ1312" s="1"/>
      <c r="AR1312" s="1"/>
      <c r="AS1312" s="1"/>
      <c r="AT1312" s="1"/>
      <c r="AU1312" s="1"/>
      <c r="AV1312" s="1"/>
      <c r="AW1312" s="1"/>
      <c r="AX1312" s="1"/>
      <c r="AY1312" s="1"/>
      <c r="AZ1312" s="1"/>
      <c r="BA1312" s="1"/>
      <c r="BB1312" s="1"/>
      <c r="BC1312" s="1"/>
      <c r="BD1312" s="1"/>
      <c r="BE1312" s="1"/>
      <c r="BF1312" s="1"/>
      <c r="BG1312" s="1"/>
      <c r="BH1312" s="1"/>
      <c r="BI1312" s="1"/>
      <c r="BJ1312" s="1"/>
      <c r="BK1312" s="1"/>
      <c r="BL1312" s="1"/>
      <c r="BM1312" s="1"/>
      <c r="BN1312" s="1"/>
      <c r="BO1312" s="1"/>
      <c r="BP1312" s="1" t="s">
        <v>9609</v>
      </c>
      <c r="BQ1312" s="3"/>
      <c r="BR1312" s="3"/>
    </row>
    <row r="1313" spans="1:70">
      <c r="A1313" s="1" t="s">
        <v>70</v>
      </c>
      <c r="B1313" s="1" t="s">
        <v>13846</v>
      </c>
      <c r="C1313" s="1" t="s">
        <v>16294</v>
      </c>
      <c r="D1313" s="1"/>
      <c r="E1313" s="1"/>
      <c r="F1313" s="1"/>
      <c r="G1313" s="1"/>
      <c r="H1313" s="1" t="s">
        <v>16295</v>
      </c>
      <c r="I1313" s="1" t="s">
        <v>16295</v>
      </c>
      <c r="J1313" s="1"/>
      <c r="K1313" s="1"/>
      <c r="L1313" s="1"/>
      <c r="M1313" s="1"/>
      <c r="N1313" s="1"/>
      <c r="O1313" s="1"/>
      <c r="P1313" s="1"/>
      <c r="Q1313" s="1"/>
      <c r="R1313" s="1"/>
      <c r="S1313" s="1"/>
      <c r="T1313" s="1"/>
      <c r="U1313" s="1"/>
      <c r="V1313" s="1"/>
      <c r="W1313" s="1"/>
      <c r="X1313" s="1"/>
      <c r="Y1313" s="1"/>
      <c r="Z1313" s="1"/>
      <c r="AA1313" s="1"/>
      <c r="AB1313" s="1"/>
      <c r="AC1313" s="1"/>
      <c r="AD1313" s="1" t="s">
        <v>93</v>
      </c>
      <c r="AE1313" s="1" t="s">
        <v>93</v>
      </c>
      <c r="AF1313" s="1"/>
      <c r="AG1313" s="1"/>
      <c r="AH1313" s="1"/>
      <c r="AI1313" s="1"/>
      <c r="AJ1313" s="1"/>
      <c r="AK1313" s="1"/>
      <c r="AL1313" s="1"/>
      <c r="AM1313" s="1"/>
      <c r="AN1313" s="1"/>
      <c r="AO1313" s="1"/>
      <c r="AP1313" s="1"/>
      <c r="AQ1313" s="1"/>
      <c r="AR1313" s="1"/>
      <c r="AS1313" s="1"/>
      <c r="AT1313" s="1"/>
      <c r="AU1313" s="1"/>
      <c r="AV1313" s="1"/>
      <c r="AW1313" s="1"/>
      <c r="AX1313" s="1"/>
      <c r="AY1313" s="1"/>
      <c r="AZ1313" s="1"/>
      <c r="BA1313" s="1"/>
      <c r="BB1313" s="1"/>
      <c r="BC1313" s="1"/>
      <c r="BD1313" s="1"/>
      <c r="BE1313" s="1"/>
      <c r="BF1313" s="1"/>
      <c r="BG1313" s="1"/>
      <c r="BH1313" s="1"/>
      <c r="BI1313" s="1"/>
      <c r="BJ1313" s="1"/>
      <c r="BK1313" s="1"/>
      <c r="BL1313" s="1"/>
      <c r="BM1313" s="1"/>
      <c r="BN1313" s="1"/>
      <c r="BO1313" s="1"/>
      <c r="BP1313" s="1" t="s">
        <v>9609</v>
      </c>
      <c r="BQ1313" s="3"/>
      <c r="BR1313" s="3"/>
    </row>
    <row r="1314" spans="1:70">
      <c r="A1314" s="1" t="s">
        <v>70</v>
      </c>
      <c r="B1314" s="1" t="s">
        <v>13846</v>
      </c>
      <c r="C1314" s="1" t="s">
        <v>16296</v>
      </c>
      <c r="D1314" s="1"/>
      <c r="E1314" s="1"/>
      <c r="F1314" s="1"/>
      <c r="G1314" s="1"/>
      <c r="H1314" s="1" t="s">
        <v>16297</v>
      </c>
      <c r="I1314" s="1" t="s">
        <v>16297</v>
      </c>
      <c r="J1314" s="1"/>
      <c r="K1314" s="1"/>
      <c r="L1314" s="1"/>
      <c r="M1314" s="1"/>
      <c r="N1314" s="1"/>
      <c r="O1314" s="1"/>
      <c r="P1314" s="1"/>
      <c r="Q1314" s="1"/>
      <c r="R1314" s="1"/>
      <c r="S1314" s="1"/>
      <c r="T1314" s="1"/>
      <c r="U1314" s="1"/>
      <c r="V1314" s="1"/>
      <c r="W1314" s="1"/>
      <c r="X1314" s="1"/>
      <c r="Y1314" s="1"/>
      <c r="Z1314" s="1"/>
      <c r="AA1314" s="1"/>
      <c r="AB1314" s="1"/>
      <c r="AC1314" s="1"/>
      <c r="AD1314" s="1" t="s">
        <v>93</v>
      </c>
      <c r="AE1314" s="1" t="s">
        <v>93</v>
      </c>
      <c r="AF1314" s="1"/>
      <c r="AG1314" s="1"/>
      <c r="AH1314" s="1"/>
      <c r="AI1314" s="1"/>
      <c r="AJ1314" s="1"/>
      <c r="AK1314" s="1"/>
      <c r="AL1314" s="1"/>
      <c r="AM1314" s="1"/>
      <c r="AN1314" s="1"/>
      <c r="AO1314" s="1"/>
      <c r="AP1314" s="1"/>
      <c r="AQ1314" s="1"/>
      <c r="AR1314" s="1"/>
      <c r="AS1314" s="1"/>
      <c r="AT1314" s="1"/>
      <c r="AU1314" s="1"/>
      <c r="AV1314" s="1"/>
      <c r="AW1314" s="1"/>
      <c r="AX1314" s="1"/>
      <c r="AY1314" s="1"/>
      <c r="AZ1314" s="1"/>
      <c r="BA1314" s="1"/>
      <c r="BB1314" s="1"/>
      <c r="BC1314" s="1"/>
      <c r="BD1314" s="1"/>
      <c r="BE1314" s="1"/>
      <c r="BF1314" s="1"/>
      <c r="BG1314" s="1"/>
      <c r="BH1314" s="1"/>
      <c r="BI1314" s="1"/>
      <c r="BJ1314" s="1"/>
      <c r="BK1314" s="1"/>
      <c r="BL1314" s="1"/>
      <c r="BM1314" s="1"/>
      <c r="BN1314" s="1"/>
      <c r="BO1314" s="1"/>
      <c r="BP1314" s="1" t="s">
        <v>9609</v>
      </c>
      <c r="BQ1314" s="3"/>
      <c r="BR1314" s="3"/>
    </row>
    <row r="1315" spans="1:70">
      <c r="A1315" s="1" t="s">
        <v>70</v>
      </c>
      <c r="B1315" s="1" t="s">
        <v>13846</v>
      </c>
      <c r="C1315" s="1" t="s">
        <v>16298</v>
      </c>
      <c r="D1315" s="1"/>
      <c r="E1315" s="1"/>
      <c r="F1315" s="1"/>
      <c r="G1315" s="1"/>
      <c r="H1315" s="1" t="s">
        <v>16299</v>
      </c>
      <c r="I1315" s="1" t="s">
        <v>16299</v>
      </c>
      <c r="J1315" s="1"/>
      <c r="K1315" s="1"/>
      <c r="L1315" s="1"/>
      <c r="M1315" s="1"/>
      <c r="N1315" s="1"/>
      <c r="O1315" s="1"/>
      <c r="P1315" s="1"/>
      <c r="Q1315" s="1"/>
      <c r="R1315" s="1"/>
      <c r="S1315" s="1"/>
      <c r="T1315" s="1"/>
      <c r="U1315" s="1"/>
      <c r="V1315" s="1"/>
      <c r="W1315" s="1"/>
      <c r="X1315" s="1"/>
      <c r="Y1315" s="1"/>
      <c r="Z1315" s="1"/>
      <c r="AA1315" s="1"/>
      <c r="AB1315" s="1"/>
      <c r="AC1315" s="1"/>
      <c r="AD1315" s="1" t="s">
        <v>93</v>
      </c>
      <c r="AE1315" s="1" t="s">
        <v>93</v>
      </c>
      <c r="AF1315" s="1"/>
      <c r="AG1315" s="1"/>
      <c r="AH1315" s="1"/>
      <c r="AI1315" s="1"/>
      <c r="AJ1315" s="1"/>
      <c r="AK1315" s="1"/>
      <c r="AL1315" s="1"/>
      <c r="AM1315" s="1"/>
      <c r="AN1315" s="1"/>
      <c r="AO1315" s="1"/>
      <c r="AP1315" s="1"/>
      <c r="AQ1315" s="1"/>
      <c r="AR1315" s="1"/>
      <c r="AS1315" s="1"/>
      <c r="AT1315" s="1"/>
      <c r="AU1315" s="1"/>
      <c r="AV1315" s="1"/>
      <c r="AW1315" s="1"/>
      <c r="AX1315" s="1"/>
      <c r="AY1315" s="1"/>
      <c r="AZ1315" s="1"/>
      <c r="BA1315" s="1"/>
      <c r="BB1315" s="1"/>
      <c r="BC1315" s="1"/>
      <c r="BD1315" s="1"/>
      <c r="BE1315" s="1"/>
      <c r="BF1315" s="1"/>
      <c r="BG1315" s="1"/>
      <c r="BH1315" s="1"/>
      <c r="BI1315" s="1"/>
      <c r="BJ1315" s="1"/>
      <c r="BK1315" s="1"/>
      <c r="BL1315" s="1"/>
      <c r="BM1315" s="1"/>
      <c r="BN1315" s="1"/>
      <c r="BO1315" s="1"/>
      <c r="BP1315" s="1" t="s">
        <v>9609</v>
      </c>
      <c r="BQ1315" s="3"/>
      <c r="BR1315" s="3"/>
    </row>
    <row r="1316" spans="1:70">
      <c r="A1316" s="1" t="s">
        <v>70</v>
      </c>
      <c r="B1316" s="1" t="s">
        <v>13846</v>
      </c>
      <c r="C1316" s="1" t="s">
        <v>16300</v>
      </c>
      <c r="D1316" s="1"/>
      <c r="E1316" s="1"/>
      <c r="F1316" s="1"/>
      <c r="G1316" s="1"/>
      <c r="H1316" s="1" t="s">
        <v>16301</v>
      </c>
      <c r="I1316" s="1" t="s">
        <v>16301</v>
      </c>
      <c r="J1316" s="1"/>
      <c r="K1316" s="1"/>
      <c r="L1316" s="1"/>
      <c r="M1316" s="1"/>
      <c r="N1316" s="1"/>
      <c r="O1316" s="1"/>
      <c r="P1316" s="1"/>
      <c r="Q1316" s="1"/>
      <c r="R1316" s="1"/>
      <c r="S1316" s="1"/>
      <c r="T1316" s="1"/>
      <c r="U1316" s="1"/>
      <c r="V1316" s="1"/>
      <c r="W1316" s="1"/>
      <c r="X1316" s="1"/>
      <c r="Y1316" s="1"/>
      <c r="Z1316" s="1"/>
      <c r="AA1316" s="1"/>
      <c r="AB1316" s="1"/>
      <c r="AC1316" s="1"/>
      <c r="AD1316" s="1" t="s">
        <v>93</v>
      </c>
      <c r="AE1316" s="1" t="s">
        <v>93</v>
      </c>
      <c r="AF1316" s="1"/>
      <c r="AG1316" s="1"/>
      <c r="AH1316" s="1"/>
      <c r="AI1316" s="1"/>
      <c r="AJ1316" s="1"/>
      <c r="AK1316" s="1"/>
      <c r="AL1316" s="1"/>
      <c r="AM1316" s="1"/>
      <c r="AN1316" s="1"/>
      <c r="AO1316" s="1"/>
      <c r="AP1316" s="1"/>
      <c r="AQ1316" s="1"/>
      <c r="AR1316" s="1"/>
      <c r="AS1316" s="1"/>
      <c r="AT1316" s="1"/>
      <c r="AU1316" s="1"/>
      <c r="AV1316" s="1"/>
      <c r="AW1316" s="1"/>
      <c r="AX1316" s="1"/>
      <c r="AY1316" s="1"/>
      <c r="AZ1316" s="1"/>
      <c r="BA1316" s="1"/>
      <c r="BB1316" s="1"/>
      <c r="BC1316" s="1"/>
      <c r="BD1316" s="1"/>
      <c r="BE1316" s="1"/>
      <c r="BF1316" s="1"/>
      <c r="BG1316" s="1"/>
      <c r="BH1316" s="1"/>
      <c r="BI1316" s="1"/>
      <c r="BJ1316" s="1"/>
      <c r="BK1316" s="1"/>
      <c r="BL1316" s="1"/>
      <c r="BM1316" s="1"/>
      <c r="BN1316" s="1"/>
      <c r="BO1316" s="1"/>
      <c r="BP1316" s="1" t="s">
        <v>9609</v>
      </c>
      <c r="BQ1316" s="3"/>
      <c r="BR1316" s="3"/>
    </row>
    <row r="1317" spans="1:70">
      <c r="A1317" s="1" t="s">
        <v>70</v>
      </c>
      <c r="B1317" s="1" t="s">
        <v>13846</v>
      </c>
      <c r="C1317" s="1" t="s">
        <v>16302</v>
      </c>
      <c r="D1317" s="1" t="s">
        <v>16303</v>
      </c>
      <c r="E1317" s="1" t="s">
        <v>16304</v>
      </c>
      <c r="F1317" s="1" t="s">
        <v>16305</v>
      </c>
      <c r="G1317" s="1" t="s">
        <v>16306</v>
      </c>
      <c r="H1317" s="1" t="s">
        <v>16307</v>
      </c>
      <c r="I1317" s="1" t="s">
        <v>16308</v>
      </c>
      <c r="J1317" s="1">
        <v>9881022587</v>
      </c>
      <c r="K1317" s="1" t="s">
        <v>79</v>
      </c>
      <c r="L1317" s="1" t="s">
        <v>16309</v>
      </c>
      <c r="M1317" s="1" t="s">
        <v>81</v>
      </c>
      <c r="N1317" s="1" t="s">
        <v>16310</v>
      </c>
      <c r="O1317" s="1" t="s">
        <v>16311</v>
      </c>
      <c r="P1317" s="1" t="s">
        <v>84</v>
      </c>
      <c r="Q1317" s="1">
        <v>999830920848</v>
      </c>
      <c r="R1317" s="1" t="s">
        <v>16312</v>
      </c>
      <c r="S1317" s="1">
        <v>8698503108</v>
      </c>
      <c r="T1317" s="1" t="s">
        <v>3457</v>
      </c>
      <c r="U1317" s="1" t="s">
        <v>16313</v>
      </c>
      <c r="V1317" s="1">
        <v>7776903191</v>
      </c>
      <c r="W1317" s="1" t="s">
        <v>16314</v>
      </c>
      <c r="X1317" s="1" t="s">
        <v>16315</v>
      </c>
      <c r="Y1317" s="1" t="s">
        <v>191</v>
      </c>
      <c r="Z1317" s="1" t="s">
        <v>92</v>
      </c>
      <c r="AA1317" s="1" t="s">
        <v>16315</v>
      </c>
      <c r="AB1317" s="1" t="s">
        <v>191</v>
      </c>
      <c r="AC1317" s="1" t="s">
        <v>92</v>
      </c>
      <c r="AD1317" s="1" t="s">
        <v>93</v>
      </c>
      <c r="AE1317" s="1" t="s">
        <v>93</v>
      </c>
      <c r="AF1317" s="1"/>
      <c r="AG1317" s="1"/>
      <c r="AH1317" s="1"/>
      <c r="AI1317" s="1"/>
      <c r="AJ1317" s="1"/>
      <c r="AK1317" s="1"/>
      <c r="AL1317" s="1"/>
      <c r="AM1317" s="1"/>
      <c r="AN1317" s="1"/>
      <c r="AO1317" s="1"/>
      <c r="AP1317" s="1"/>
      <c r="AQ1317" s="1"/>
      <c r="AR1317" s="1"/>
      <c r="AS1317" s="1"/>
      <c r="AT1317" s="1"/>
      <c r="AU1317" s="1"/>
      <c r="AV1317" s="1"/>
      <c r="AW1317" s="1"/>
      <c r="AX1317" s="1"/>
      <c r="AY1317" s="1"/>
      <c r="AZ1317" s="1"/>
      <c r="BA1317" s="1"/>
      <c r="BB1317" s="1"/>
      <c r="BC1317" s="1"/>
      <c r="BD1317" s="1"/>
      <c r="BE1317" s="1"/>
      <c r="BF1317" s="1"/>
      <c r="BG1317" s="1"/>
      <c r="BH1317" s="1"/>
      <c r="BI1317" s="1"/>
      <c r="BJ1317" s="1"/>
      <c r="BK1317" s="1"/>
      <c r="BL1317" s="1"/>
      <c r="BM1317" s="1"/>
      <c r="BN1317" s="1"/>
      <c r="BO1317" s="1"/>
      <c r="BP1317" s="1" t="str">
        <f>HYPERLINK("https://nconnect.nicmar.ac.in/storage/profile/6a7ef1081ef14.png","Download")</f>
        <v>0</v>
      </c>
      <c r="BQ1317" s="3"/>
      <c r="BR1317" s="3"/>
    </row>
    <row r="1318" spans="1:70">
      <c r="A1318" s="1" t="s">
        <v>70</v>
      </c>
      <c r="B1318" s="1" t="s">
        <v>13846</v>
      </c>
      <c r="C1318" s="1" t="s">
        <v>16316</v>
      </c>
      <c r="D1318" s="1"/>
      <c r="E1318" s="1"/>
      <c r="F1318" s="1"/>
      <c r="G1318" s="1"/>
      <c r="H1318" s="1" t="s">
        <v>16317</v>
      </c>
      <c r="I1318" s="1" t="s">
        <v>16317</v>
      </c>
      <c r="J1318" s="1"/>
      <c r="K1318" s="1"/>
      <c r="L1318" s="1"/>
      <c r="M1318" s="1"/>
      <c r="N1318" s="1"/>
      <c r="O1318" s="1"/>
      <c r="P1318" s="1"/>
      <c r="Q1318" s="1"/>
      <c r="R1318" s="1"/>
      <c r="S1318" s="1"/>
      <c r="T1318" s="1"/>
      <c r="U1318" s="1"/>
      <c r="V1318" s="1"/>
      <c r="W1318" s="1"/>
      <c r="X1318" s="1"/>
      <c r="Y1318" s="1"/>
      <c r="Z1318" s="1"/>
      <c r="AA1318" s="1"/>
      <c r="AB1318" s="1"/>
      <c r="AC1318" s="1"/>
      <c r="AD1318" s="1" t="s">
        <v>93</v>
      </c>
      <c r="AE1318" s="1" t="s">
        <v>93</v>
      </c>
      <c r="AF1318" s="1"/>
      <c r="AG1318" s="1"/>
      <c r="AH1318" s="1"/>
      <c r="AI1318" s="1"/>
      <c r="AJ1318" s="1"/>
      <c r="AK1318" s="1"/>
      <c r="AL1318" s="1"/>
      <c r="AM1318" s="1"/>
      <c r="AN1318" s="1"/>
      <c r="AO1318" s="1"/>
      <c r="AP1318" s="1"/>
      <c r="AQ1318" s="1"/>
      <c r="AR1318" s="1"/>
      <c r="AS1318" s="1"/>
      <c r="AT1318" s="1"/>
      <c r="AU1318" s="1"/>
      <c r="AV1318" s="1"/>
      <c r="AW1318" s="1"/>
      <c r="AX1318" s="1"/>
      <c r="AY1318" s="1"/>
      <c r="AZ1318" s="1"/>
      <c r="BA1318" s="1"/>
      <c r="BB1318" s="1"/>
      <c r="BC1318" s="1"/>
      <c r="BD1318" s="1"/>
      <c r="BE1318" s="1"/>
      <c r="BF1318" s="1"/>
      <c r="BG1318" s="1"/>
      <c r="BH1318" s="1"/>
      <c r="BI1318" s="1"/>
      <c r="BJ1318" s="1"/>
      <c r="BK1318" s="1"/>
      <c r="BL1318" s="1"/>
      <c r="BM1318" s="1"/>
      <c r="BN1318" s="1"/>
      <c r="BO1318" s="1"/>
      <c r="BP1318" s="1" t="s">
        <v>9609</v>
      </c>
      <c r="BQ1318" s="3"/>
      <c r="BR1318" s="3"/>
    </row>
    <row r="1319" spans="1:70">
      <c r="A1319" s="1" t="s">
        <v>70</v>
      </c>
      <c r="B1319" s="1" t="s">
        <v>13846</v>
      </c>
      <c r="C1319" s="1" t="s">
        <v>16318</v>
      </c>
      <c r="D1319" s="1"/>
      <c r="E1319" s="1"/>
      <c r="F1319" s="1"/>
      <c r="G1319" s="1"/>
      <c r="H1319" s="1" t="s">
        <v>16319</v>
      </c>
      <c r="I1319" s="1" t="s">
        <v>16319</v>
      </c>
      <c r="J1319" s="1"/>
      <c r="K1319" s="1"/>
      <c r="L1319" s="1"/>
      <c r="M1319" s="1"/>
      <c r="N1319" s="1"/>
      <c r="O1319" s="1"/>
      <c r="P1319" s="1"/>
      <c r="Q1319" s="1"/>
      <c r="R1319" s="1"/>
      <c r="S1319" s="1"/>
      <c r="T1319" s="1"/>
      <c r="U1319" s="1"/>
      <c r="V1319" s="1"/>
      <c r="W1319" s="1"/>
      <c r="X1319" s="1"/>
      <c r="Y1319" s="1"/>
      <c r="Z1319" s="1"/>
      <c r="AA1319" s="1"/>
      <c r="AB1319" s="1"/>
      <c r="AC1319" s="1"/>
      <c r="AD1319" s="1" t="s">
        <v>93</v>
      </c>
      <c r="AE1319" s="1" t="s">
        <v>93</v>
      </c>
      <c r="AF1319" s="1"/>
      <c r="AG1319" s="1"/>
      <c r="AH1319" s="1"/>
      <c r="AI1319" s="1"/>
      <c r="AJ1319" s="1"/>
      <c r="AK1319" s="1"/>
      <c r="AL1319" s="1"/>
      <c r="AM1319" s="1"/>
      <c r="AN1319" s="1"/>
      <c r="AO1319" s="1"/>
      <c r="AP1319" s="1"/>
      <c r="AQ1319" s="1"/>
      <c r="AR1319" s="1"/>
      <c r="AS1319" s="1"/>
      <c r="AT1319" s="1"/>
      <c r="AU1319" s="1"/>
      <c r="AV1319" s="1"/>
      <c r="AW1319" s="1"/>
      <c r="AX1319" s="1"/>
      <c r="AY1319" s="1"/>
      <c r="AZ1319" s="1"/>
      <c r="BA1319" s="1"/>
      <c r="BB1319" s="1"/>
      <c r="BC1319" s="1"/>
      <c r="BD1319" s="1"/>
      <c r="BE1319" s="1"/>
      <c r="BF1319" s="1"/>
      <c r="BG1319" s="1"/>
      <c r="BH1319" s="1"/>
      <c r="BI1319" s="1"/>
      <c r="BJ1319" s="1"/>
      <c r="BK1319" s="1"/>
      <c r="BL1319" s="1"/>
      <c r="BM1319" s="1"/>
      <c r="BN1319" s="1"/>
      <c r="BO1319" s="1"/>
      <c r="BP1319" s="1" t="s">
        <v>9609</v>
      </c>
      <c r="BQ1319" s="3"/>
      <c r="BR1319" s="3"/>
    </row>
    <row r="1320" spans="1:70">
      <c r="A1320" s="1" t="s">
        <v>70</v>
      </c>
      <c r="B1320" s="1" t="s">
        <v>13846</v>
      </c>
      <c r="C1320" s="1" t="s">
        <v>16320</v>
      </c>
      <c r="D1320" s="1"/>
      <c r="E1320" s="1"/>
      <c r="F1320" s="1"/>
      <c r="G1320" s="1"/>
      <c r="H1320" s="1" t="s">
        <v>16321</v>
      </c>
      <c r="I1320" s="1" t="s">
        <v>16321</v>
      </c>
      <c r="J1320" s="1"/>
      <c r="K1320" s="1"/>
      <c r="L1320" s="1"/>
      <c r="M1320" s="1"/>
      <c r="N1320" s="1"/>
      <c r="O1320" s="1"/>
      <c r="P1320" s="1"/>
      <c r="Q1320" s="1"/>
      <c r="R1320" s="1"/>
      <c r="S1320" s="1"/>
      <c r="T1320" s="1"/>
      <c r="U1320" s="1"/>
      <c r="V1320" s="1"/>
      <c r="W1320" s="1"/>
      <c r="X1320" s="1"/>
      <c r="Y1320" s="1"/>
      <c r="Z1320" s="1"/>
      <c r="AA1320" s="1"/>
      <c r="AB1320" s="1"/>
      <c r="AC1320" s="1"/>
      <c r="AD1320" s="1" t="s">
        <v>93</v>
      </c>
      <c r="AE1320" s="1" t="s">
        <v>93</v>
      </c>
      <c r="AF1320" s="1"/>
      <c r="AG1320" s="1"/>
      <c r="AH1320" s="1"/>
      <c r="AI1320" s="1"/>
      <c r="AJ1320" s="1"/>
      <c r="AK1320" s="1"/>
      <c r="AL1320" s="1"/>
      <c r="AM1320" s="1"/>
      <c r="AN1320" s="1"/>
      <c r="AO1320" s="1"/>
      <c r="AP1320" s="1"/>
      <c r="AQ1320" s="1"/>
      <c r="AR1320" s="1"/>
      <c r="AS1320" s="1"/>
      <c r="AT1320" s="1"/>
      <c r="AU1320" s="1"/>
      <c r="AV1320" s="1"/>
      <c r="AW1320" s="1"/>
      <c r="AX1320" s="1"/>
      <c r="AY1320" s="1"/>
      <c r="AZ1320" s="1"/>
      <c r="BA1320" s="1"/>
      <c r="BB1320" s="1"/>
      <c r="BC1320" s="1"/>
      <c r="BD1320" s="1"/>
      <c r="BE1320" s="1"/>
      <c r="BF1320" s="1"/>
      <c r="BG1320" s="1"/>
      <c r="BH1320" s="1"/>
      <c r="BI1320" s="1"/>
      <c r="BJ1320" s="1"/>
      <c r="BK1320" s="1"/>
      <c r="BL1320" s="1"/>
      <c r="BM1320" s="1"/>
      <c r="BN1320" s="1"/>
      <c r="BO1320" s="1"/>
      <c r="BP1320" s="1" t="s">
        <v>9609</v>
      </c>
      <c r="BQ1320" s="3"/>
      <c r="BR1320" s="3"/>
    </row>
    <row r="1321" spans="1:70">
      <c r="A1321" s="1" t="s">
        <v>70</v>
      </c>
      <c r="B1321" s="1" t="s">
        <v>13846</v>
      </c>
      <c r="C1321" s="1" t="s">
        <v>16322</v>
      </c>
      <c r="D1321" s="1"/>
      <c r="E1321" s="1"/>
      <c r="F1321" s="1"/>
      <c r="G1321" s="1"/>
      <c r="H1321" s="1" t="s">
        <v>16323</v>
      </c>
      <c r="I1321" s="1" t="s">
        <v>16323</v>
      </c>
      <c r="J1321" s="1"/>
      <c r="K1321" s="1"/>
      <c r="L1321" s="1"/>
      <c r="M1321" s="1"/>
      <c r="N1321" s="1"/>
      <c r="O1321" s="1"/>
      <c r="P1321" s="1"/>
      <c r="Q1321" s="1"/>
      <c r="R1321" s="1"/>
      <c r="S1321" s="1"/>
      <c r="T1321" s="1"/>
      <c r="U1321" s="1"/>
      <c r="V1321" s="1"/>
      <c r="W1321" s="1"/>
      <c r="X1321" s="1"/>
      <c r="Y1321" s="1"/>
      <c r="Z1321" s="1"/>
      <c r="AA1321" s="1"/>
      <c r="AB1321" s="1"/>
      <c r="AC1321" s="1"/>
      <c r="AD1321" s="1" t="s">
        <v>93</v>
      </c>
      <c r="AE1321" s="1" t="s">
        <v>93</v>
      </c>
      <c r="AF1321" s="1"/>
      <c r="AG1321" s="1"/>
      <c r="AH1321" s="1"/>
      <c r="AI1321" s="1"/>
      <c r="AJ1321" s="1"/>
      <c r="AK1321" s="1"/>
      <c r="AL1321" s="1"/>
      <c r="AM1321" s="1"/>
      <c r="AN1321" s="1"/>
      <c r="AO1321" s="1"/>
      <c r="AP1321" s="1"/>
      <c r="AQ1321" s="1"/>
      <c r="AR1321" s="1"/>
      <c r="AS1321" s="1"/>
      <c r="AT1321" s="1"/>
      <c r="AU1321" s="1"/>
      <c r="AV1321" s="1"/>
      <c r="AW1321" s="1"/>
      <c r="AX1321" s="1"/>
      <c r="AY1321" s="1"/>
      <c r="AZ1321" s="1"/>
      <c r="BA1321" s="1"/>
      <c r="BB1321" s="1"/>
      <c r="BC1321" s="1"/>
      <c r="BD1321" s="1"/>
      <c r="BE1321" s="1"/>
      <c r="BF1321" s="1"/>
      <c r="BG1321" s="1"/>
      <c r="BH1321" s="1"/>
      <c r="BI1321" s="1"/>
      <c r="BJ1321" s="1"/>
      <c r="BK1321" s="1"/>
      <c r="BL1321" s="1"/>
      <c r="BM1321" s="1"/>
      <c r="BN1321" s="1"/>
      <c r="BO1321" s="1"/>
      <c r="BP1321" s="1" t="s">
        <v>9609</v>
      </c>
      <c r="BQ1321" s="3"/>
      <c r="BR1321" s="3"/>
    </row>
    <row r="1322" spans="1:70">
      <c r="A1322" s="1" t="s">
        <v>70</v>
      </c>
      <c r="B1322" s="1" t="s">
        <v>13846</v>
      </c>
      <c r="C1322" s="1" t="s">
        <v>16324</v>
      </c>
      <c r="D1322" s="1"/>
      <c r="E1322" s="1"/>
      <c r="F1322" s="1"/>
      <c r="G1322" s="1"/>
      <c r="H1322" s="1" t="s">
        <v>16325</v>
      </c>
      <c r="I1322" s="1" t="s">
        <v>16325</v>
      </c>
      <c r="J1322" s="1"/>
      <c r="K1322" s="1"/>
      <c r="L1322" s="1"/>
      <c r="M1322" s="1"/>
      <c r="N1322" s="1"/>
      <c r="O1322" s="1"/>
      <c r="P1322" s="1"/>
      <c r="Q1322" s="1"/>
      <c r="R1322" s="1"/>
      <c r="S1322" s="1"/>
      <c r="T1322" s="1"/>
      <c r="U1322" s="1"/>
      <c r="V1322" s="1"/>
      <c r="W1322" s="1"/>
      <c r="X1322" s="1"/>
      <c r="Y1322" s="1"/>
      <c r="Z1322" s="1"/>
      <c r="AA1322" s="1"/>
      <c r="AB1322" s="1"/>
      <c r="AC1322" s="1"/>
      <c r="AD1322" s="1" t="s">
        <v>93</v>
      </c>
      <c r="AE1322" s="1" t="s">
        <v>93</v>
      </c>
      <c r="AF1322" s="1"/>
      <c r="AG1322" s="1"/>
      <c r="AH1322" s="1"/>
      <c r="AI1322" s="1"/>
      <c r="AJ1322" s="1"/>
      <c r="AK1322" s="1"/>
      <c r="AL1322" s="1"/>
      <c r="AM1322" s="1"/>
      <c r="AN1322" s="1"/>
      <c r="AO1322" s="1"/>
      <c r="AP1322" s="1"/>
      <c r="AQ1322" s="1"/>
      <c r="AR1322" s="1"/>
      <c r="AS1322" s="1"/>
      <c r="AT1322" s="1"/>
      <c r="AU1322" s="1"/>
      <c r="AV1322" s="1"/>
      <c r="AW1322" s="1"/>
      <c r="AX1322" s="1"/>
      <c r="AY1322" s="1"/>
      <c r="AZ1322" s="1"/>
      <c r="BA1322" s="1"/>
      <c r="BB1322" s="1"/>
      <c r="BC1322" s="1"/>
      <c r="BD1322" s="1"/>
      <c r="BE1322" s="1"/>
      <c r="BF1322" s="1"/>
      <c r="BG1322" s="1"/>
      <c r="BH1322" s="1"/>
      <c r="BI1322" s="1"/>
      <c r="BJ1322" s="1"/>
      <c r="BK1322" s="1"/>
      <c r="BL1322" s="1"/>
      <c r="BM1322" s="1"/>
      <c r="BN1322" s="1"/>
      <c r="BO1322" s="1"/>
      <c r="BP1322" s="1" t="s">
        <v>9609</v>
      </c>
      <c r="BQ1322" s="3"/>
      <c r="BR1322" s="3"/>
    </row>
    <row r="1323" spans="1:70">
      <c r="A1323" s="1" t="s">
        <v>70</v>
      </c>
      <c r="B1323" s="1" t="s">
        <v>13846</v>
      </c>
      <c r="C1323" s="1" t="s">
        <v>16326</v>
      </c>
      <c r="D1323" s="1"/>
      <c r="E1323" s="1"/>
      <c r="F1323" s="1"/>
      <c r="G1323" s="1"/>
      <c r="H1323" s="1" t="s">
        <v>16327</v>
      </c>
      <c r="I1323" s="1" t="s">
        <v>16327</v>
      </c>
      <c r="J1323" s="1"/>
      <c r="K1323" s="1"/>
      <c r="L1323" s="1"/>
      <c r="M1323" s="1"/>
      <c r="N1323" s="1"/>
      <c r="O1323" s="1"/>
      <c r="P1323" s="1"/>
      <c r="Q1323" s="1"/>
      <c r="R1323" s="1"/>
      <c r="S1323" s="1"/>
      <c r="T1323" s="1"/>
      <c r="U1323" s="1"/>
      <c r="V1323" s="1"/>
      <c r="W1323" s="1"/>
      <c r="X1323" s="1"/>
      <c r="Y1323" s="1"/>
      <c r="Z1323" s="1"/>
      <c r="AA1323" s="1"/>
      <c r="AB1323" s="1"/>
      <c r="AC1323" s="1"/>
      <c r="AD1323" s="1" t="s">
        <v>93</v>
      </c>
      <c r="AE1323" s="1" t="s">
        <v>93</v>
      </c>
      <c r="AF1323" s="1"/>
      <c r="AG1323" s="1"/>
      <c r="AH1323" s="1"/>
      <c r="AI1323" s="1"/>
      <c r="AJ1323" s="1"/>
      <c r="AK1323" s="1"/>
      <c r="AL1323" s="1"/>
      <c r="AM1323" s="1"/>
      <c r="AN1323" s="1"/>
      <c r="AO1323" s="1"/>
      <c r="AP1323" s="1"/>
      <c r="AQ1323" s="1"/>
      <c r="AR1323" s="1"/>
      <c r="AS1323" s="1"/>
      <c r="AT1323" s="1"/>
      <c r="AU1323" s="1"/>
      <c r="AV1323" s="1"/>
      <c r="AW1323" s="1"/>
      <c r="AX1323" s="1"/>
      <c r="AY1323" s="1"/>
      <c r="AZ1323" s="1"/>
      <c r="BA1323" s="1"/>
      <c r="BB1323" s="1"/>
      <c r="BC1323" s="1"/>
      <c r="BD1323" s="1"/>
      <c r="BE1323" s="1"/>
      <c r="BF1323" s="1"/>
      <c r="BG1323" s="1"/>
      <c r="BH1323" s="1"/>
      <c r="BI1323" s="1"/>
      <c r="BJ1323" s="1"/>
      <c r="BK1323" s="1"/>
      <c r="BL1323" s="1"/>
      <c r="BM1323" s="1"/>
      <c r="BN1323" s="1"/>
      <c r="BO1323" s="1"/>
      <c r="BP1323" s="1" t="s">
        <v>9609</v>
      </c>
      <c r="BQ1323" s="3"/>
      <c r="BR1323" s="3"/>
    </row>
    <row r="1324" spans="1:70">
      <c r="A1324" s="1" t="s">
        <v>70</v>
      </c>
      <c r="B1324" s="1" t="s">
        <v>13846</v>
      </c>
      <c r="C1324" s="1" t="s">
        <v>16328</v>
      </c>
      <c r="D1324" s="1"/>
      <c r="E1324" s="1"/>
      <c r="F1324" s="1"/>
      <c r="G1324" s="1"/>
      <c r="H1324" s="1" t="s">
        <v>16329</v>
      </c>
      <c r="I1324" s="1" t="s">
        <v>16329</v>
      </c>
      <c r="J1324" s="1"/>
      <c r="K1324" s="1"/>
      <c r="L1324" s="1"/>
      <c r="M1324" s="1"/>
      <c r="N1324" s="1"/>
      <c r="O1324" s="1"/>
      <c r="P1324" s="1"/>
      <c r="Q1324" s="1"/>
      <c r="R1324" s="1"/>
      <c r="S1324" s="1"/>
      <c r="T1324" s="1"/>
      <c r="U1324" s="1"/>
      <c r="V1324" s="1"/>
      <c r="W1324" s="1"/>
      <c r="X1324" s="1"/>
      <c r="Y1324" s="1"/>
      <c r="Z1324" s="1"/>
      <c r="AA1324" s="1"/>
      <c r="AB1324" s="1"/>
      <c r="AC1324" s="1"/>
      <c r="AD1324" s="1" t="s">
        <v>93</v>
      </c>
      <c r="AE1324" s="1" t="s">
        <v>93</v>
      </c>
      <c r="AF1324" s="1"/>
      <c r="AG1324" s="1"/>
      <c r="AH1324" s="1"/>
      <c r="AI1324" s="1"/>
      <c r="AJ1324" s="1"/>
      <c r="AK1324" s="1"/>
      <c r="AL1324" s="1"/>
      <c r="AM1324" s="1"/>
      <c r="AN1324" s="1"/>
      <c r="AO1324" s="1"/>
      <c r="AP1324" s="1"/>
      <c r="AQ1324" s="1"/>
      <c r="AR1324" s="1"/>
      <c r="AS1324" s="1"/>
      <c r="AT1324" s="1"/>
      <c r="AU1324" s="1"/>
      <c r="AV1324" s="1"/>
      <c r="AW1324" s="1"/>
      <c r="AX1324" s="1"/>
      <c r="AY1324" s="1"/>
      <c r="AZ1324" s="1"/>
      <c r="BA1324" s="1"/>
      <c r="BB1324" s="1"/>
      <c r="BC1324" s="1"/>
      <c r="BD1324" s="1"/>
      <c r="BE1324" s="1"/>
      <c r="BF1324" s="1"/>
      <c r="BG1324" s="1"/>
      <c r="BH1324" s="1"/>
      <c r="BI1324" s="1"/>
      <c r="BJ1324" s="1"/>
      <c r="BK1324" s="1"/>
      <c r="BL1324" s="1"/>
      <c r="BM1324" s="1"/>
      <c r="BN1324" s="1"/>
      <c r="BO1324" s="1"/>
      <c r="BP1324" s="1" t="s">
        <v>9609</v>
      </c>
      <c r="BQ1324" s="3"/>
      <c r="BR1324" s="3"/>
    </row>
    <row r="1325" spans="1:70">
      <c r="A1325" s="1" t="s">
        <v>70</v>
      </c>
      <c r="B1325" s="1" t="s">
        <v>13846</v>
      </c>
      <c r="C1325" s="1" t="s">
        <v>16330</v>
      </c>
      <c r="D1325" s="1"/>
      <c r="E1325" s="1"/>
      <c r="F1325" s="1"/>
      <c r="G1325" s="1"/>
      <c r="H1325" s="1" t="s">
        <v>16331</v>
      </c>
      <c r="I1325" s="1" t="s">
        <v>16331</v>
      </c>
      <c r="J1325" s="1"/>
      <c r="K1325" s="1"/>
      <c r="L1325" s="1"/>
      <c r="M1325" s="1"/>
      <c r="N1325" s="1"/>
      <c r="O1325" s="1"/>
      <c r="P1325" s="1"/>
      <c r="Q1325" s="1"/>
      <c r="R1325" s="1"/>
      <c r="S1325" s="1"/>
      <c r="T1325" s="1"/>
      <c r="U1325" s="1"/>
      <c r="V1325" s="1"/>
      <c r="W1325" s="1"/>
      <c r="X1325" s="1"/>
      <c r="Y1325" s="1"/>
      <c r="Z1325" s="1"/>
      <c r="AA1325" s="1"/>
      <c r="AB1325" s="1"/>
      <c r="AC1325" s="1"/>
      <c r="AD1325" s="1" t="s">
        <v>93</v>
      </c>
      <c r="AE1325" s="1" t="s">
        <v>93</v>
      </c>
      <c r="AF1325" s="1"/>
      <c r="AG1325" s="1"/>
      <c r="AH1325" s="1"/>
      <c r="AI1325" s="1"/>
      <c r="AJ1325" s="1"/>
      <c r="AK1325" s="1"/>
      <c r="AL1325" s="1"/>
      <c r="AM1325" s="1"/>
      <c r="AN1325" s="1"/>
      <c r="AO1325" s="1"/>
      <c r="AP1325" s="1"/>
      <c r="AQ1325" s="1"/>
      <c r="AR1325" s="1"/>
      <c r="AS1325" s="1"/>
      <c r="AT1325" s="1"/>
      <c r="AU1325" s="1"/>
      <c r="AV1325" s="1"/>
      <c r="AW1325" s="1"/>
      <c r="AX1325" s="1"/>
      <c r="AY1325" s="1"/>
      <c r="AZ1325" s="1"/>
      <c r="BA1325" s="1"/>
      <c r="BB1325" s="1"/>
      <c r="BC1325" s="1"/>
      <c r="BD1325" s="1"/>
      <c r="BE1325" s="1"/>
      <c r="BF1325" s="1"/>
      <c r="BG1325" s="1"/>
      <c r="BH1325" s="1"/>
      <c r="BI1325" s="1"/>
      <c r="BJ1325" s="1"/>
      <c r="BK1325" s="1"/>
      <c r="BL1325" s="1"/>
      <c r="BM1325" s="1"/>
      <c r="BN1325" s="1"/>
      <c r="BO1325" s="1"/>
      <c r="BP1325" s="1" t="s">
        <v>9609</v>
      </c>
      <c r="BQ1325" s="3"/>
      <c r="BR1325" s="3"/>
    </row>
    <row r="1326" spans="1:70">
      <c r="A1326" s="1" t="s">
        <v>70</v>
      </c>
      <c r="B1326" s="1" t="s">
        <v>13846</v>
      </c>
      <c r="C1326" s="1" t="s">
        <v>16332</v>
      </c>
      <c r="D1326" s="1"/>
      <c r="E1326" s="1"/>
      <c r="F1326" s="1"/>
      <c r="G1326" s="1"/>
      <c r="H1326" s="1" t="s">
        <v>16333</v>
      </c>
      <c r="I1326" s="1" t="s">
        <v>16333</v>
      </c>
      <c r="J1326" s="1"/>
      <c r="K1326" s="1"/>
      <c r="L1326" s="1"/>
      <c r="M1326" s="1"/>
      <c r="N1326" s="1"/>
      <c r="O1326" s="1"/>
      <c r="P1326" s="1"/>
      <c r="Q1326" s="1"/>
      <c r="R1326" s="1"/>
      <c r="S1326" s="1"/>
      <c r="T1326" s="1"/>
      <c r="U1326" s="1"/>
      <c r="V1326" s="1"/>
      <c r="W1326" s="1"/>
      <c r="X1326" s="1"/>
      <c r="Y1326" s="1"/>
      <c r="Z1326" s="1"/>
      <c r="AA1326" s="1"/>
      <c r="AB1326" s="1"/>
      <c r="AC1326" s="1"/>
      <c r="AD1326" s="1" t="s">
        <v>93</v>
      </c>
      <c r="AE1326" s="1" t="s">
        <v>93</v>
      </c>
      <c r="AF1326" s="1"/>
      <c r="AG1326" s="1"/>
      <c r="AH1326" s="1"/>
      <c r="AI1326" s="1"/>
      <c r="AJ1326" s="1"/>
      <c r="AK1326" s="1"/>
      <c r="AL1326" s="1"/>
      <c r="AM1326" s="1"/>
      <c r="AN1326" s="1"/>
      <c r="AO1326" s="1"/>
      <c r="AP1326" s="1"/>
      <c r="AQ1326" s="1"/>
      <c r="AR1326" s="1"/>
      <c r="AS1326" s="1"/>
      <c r="AT1326" s="1"/>
      <c r="AU1326" s="1"/>
      <c r="AV1326" s="1"/>
      <c r="AW1326" s="1"/>
      <c r="AX1326" s="1"/>
      <c r="AY1326" s="1"/>
      <c r="AZ1326" s="1"/>
      <c r="BA1326" s="1"/>
      <c r="BB1326" s="1"/>
      <c r="BC1326" s="1"/>
      <c r="BD1326" s="1"/>
      <c r="BE1326" s="1"/>
      <c r="BF1326" s="1"/>
      <c r="BG1326" s="1"/>
      <c r="BH1326" s="1"/>
      <c r="BI1326" s="1"/>
      <c r="BJ1326" s="1"/>
      <c r="BK1326" s="1"/>
      <c r="BL1326" s="1"/>
      <c r="BM1326" s="1"/>
      <c r="BN1326" s="1"/>
      <c r="BO1326" s="1"/>
      <c r="BP1326" s="1" t="s">
        <v>9609</v>
      </c>
      <c r="BQ1326" s="3"/>
      <c r="BR1326" s="3"/>
    </row>
    <row r="1327" spans="1:70">
      <c r="A1327" s="1" t="s">
        <v>70</v>
      </c>
      <c r="B1327" s="1" t="s">
        <v>13846</v>
      </c>
      <c r="C1327" s="1" t="s">
        <v>16334</v>
      </c>
      <c r="D1327" s="1"/>
      <c r="E1327" s="1"/>
      <c r="F1327" s="1"/>
      <c r="G1327" s="1"/>
      <c r="H1327" s="1" t="s">
        <v>16335</v>
      </c>
      <c r="I1327" s="1" t="s">
        <v>16335</v>
      </c>
      <c r="J1327" s="1"/>
      <c r="K1327" s="1"/>
      <c r="L1327" s="1"/>
      <c r="M1327" s="1"/>
      <c r="N1327" s="1"/>
      <c r="O1327" s="1"/>
      <c r="P1327" s="1"/>
      <c r="Q1327" s="1"/>
      <c r="R1327" s="1"/>
      <c r="S1327" s="1"/>
      <c r="T1327" s="1"/>
      <c r="U1327" s="1"/>
      <c r="V1327" s="1"/>
      <c r="W1327" s="1"/>
      <c r="X1327" s="1"/>
      <c r="Y1327" s="1"/>
      <c r="Z1327" s="1"/>
      <c r="AA1327" s="1"/>
      <c r="AB1327" s="1"/>
      <c r="AC1327" s="1"/>
      <c r="AD1327" s="1" t="s">
        <v>93</v>
      </c>
      <c r="AE1327" s="1" t="s">
        <v>93</v>
      </c>
      <c r="AF1327" s="1"/>
      <c r="AG1327" s="1"/>
      <c r="AH1327" s="1"/>
      <c r="AI1327" s="1"/>
      <c r="AJ1327" s="1"/>
      <c r="AK1327" s="1"/>
      <c r="AL1327" s="1"/>
      <c r="AM1327" s="1"/>
      <c r="AN1327" s="1"/>
      <c r="AO1327" s="1"/>
      <c r="AP1327" s="1"/>
      <c r="AQ1327" s="1"/>
      <c r="AR1327" s="1"/>
      <c r="AS1327" s="1"/>
      <c r="AT1327" s="1"/>
      <c r="AU1327" s="1"/>
      <c r="AV1327" s="1"/>
      <c r="AW1327" s="1"/>
      <c r="AX1327" s="1"/>
      <c r="AY1327" s="1"/>
      <c r="AZ1327" s="1"/>
      <c r="BA1327" s="1"/>
      <c r="BB1327" s="1"/>
      <c r="BC1327" s="1"/>
      <c r="BD1327" s="1"/>
      <c r="BE1327" s="1"/>
      <c r="BF1327" s="1"/>
      <c r="BG1327" s="1"/>
      <c r="BH1327" s="1"/>
      <c r="BI1327" s="1"/>
      <c r="BJ1327" s="1"/>
      <c r="BK1327" s="1"/>
      <c r="BL1327" s="1"/>
      <c r="BM1327" s="1"/>
      <c r="BN1327" s="1"/>
      <c r="BO1327" s="1"/>
      <c r="BP1327" s="1" t="s">
        <v>9609</v>
      </c>
      <c r="BQ1327" s="3"/>
      <c r="BR1327" s="3"/>
    </row>
    <row r="1328" spans="1:70">
      <c r="A1328" s="1" t="s">
        <v>70</v>
      </c>
      <c r="B1328" s="1" t="s">
        <v>13846</v>
      </c>
      <c r="C1328" s="1" t="s">
        <v>16336</v>
      </c>
      <c r="D1328" s="1"/>
      <c r="E1328" s="1"/>
      <c r="F1328" s="1"/>
      <c r="G1328" s="1"/>
      <c r="H1328" s="1" t="s">
        <v>16337</v>
      </c>
      <c r="I1328" s="1" t="s">
        <v>16337</v>
      </c>
      <c r="J1328" s="1"/>
      <c r="K1328" s="1"/>
      <c r="L1328" s="1"/>
      <c r="M1328" s="1"/>
      <c r="N1328" s="1"/>
      <c r="O1328" s="1"/>
      <c r="P1328" s="1"/>
      <c r="Q1328" s="1"/>
      <c r="R1328" s="1"/>
      <c r="S1328" s="1"/>
      <c r="T1328" s="1"/>
      <c r="U1328" s="1"/>
      <c r="V1328" s="1"/>
      <c r="W1328" s="1"/>
      <c r="X1328" s="1"/>
      <c r="Y1328" s="1"/>
      <c r="Z1328" s="1"/>
      <c r="AA1328" s="1"/>
      <c r="AB1328" s="1"/>
      <c r="AC1328" s="1"/>
      <c r="AD1328" s="1" t="s">
        <v>93</v>
      </c>
      <c r="AE1328" s="1" t="s">
        <v>93</v>
      </c>
      <c r="AF1328" s="1"/>
      <c r="AG1328" s="1"/>
      <c r="AH1328" s="1"/>
      <c r="AI1328" s="1"/>
      <c r="AJ1328" s="1"/>
      <c r="AK1328" s="1"/>
      <c r="AL1328" s="1"/>
      <c r="AM1328" s="1"/>
      <c r="AN1328" s="1"/>
      <c r="AO1328" s="1"/>
      <c r="AP1328" s="1"/>
      <c r="AQ1328" s="1"/>
      <c r="AR1328" s="1"/>
      <c r="AS1328" s="1"/>
      <c r="AT1328" s="1"/>
      <c r="AU1328" s="1"/>
      <c r="AV1328" s="1"/>
      <c r="AW1328" s="1"/>
      <c r="AX1328" s="1"/>
      <c r="AY1328" s="1"/>
      <c r="AZ1328" s="1"/>
      <c r="BA1328" s="1"/>
      <c r="BB1328" s="1"/>
      <c r="BC1328" s="1"/>
      <c r="BD1328" s="1"/>
      <c r="BE1328" s="1"/>
      <c r="BF1328" s="1"/>
      <c r="BG1328" s="1"/>
      <c r="BH1328" s="1"/>
      <c r="BI1328" s="1"/>
      <c r="BJ1328" s="1"/>
      <c r="BK1328" s="1"/>
      <c r="BL1328" s="1"/>
      <c r="BM1328" s="1"/>
      <c r="BN1328" s="1"/>
      <c r="BO1328" s="1"/>
      <c r="BP1328" s="1" t="s">
        <v>9609</v>
      </c>
      <c r="BQ1328" s="3"/>
      <c r="BR1328" s="3"/>
    </row>
    <row r="1329" spans="1:70">
      <c r="A1329" s="1" t="s">
        <v>70</v>
      </c>
      <c r="B1329" s="1" t="s">
        <v>13846</v>
      </c>
      <c r="C1329" s="1" t="s">
        <v>16338</v>
      </c>
      <c r="D1329" s="1"/>
      <c r="E1329" s="1"/>
      <c r="F1329" s="1"/>
      <c r="G1329" s="1"/>
      <c r="H1329" s="1" t="s">
        <v>16339</v>
      </c>
      <c r="I1329" s="1" t="s">
        <v>16339</v>
      </c>
      <c r="J1329" s="1"/>
      <c r="K1329" s="1"/>
      <c r="L1329" s="1"/>
      <c r="M1329" s="1"/>
      <c r="N1329" s="1"/>
      <c r="O1329" s="1"/>
      <c r="P1329" s="1"/>
      <c r="Q1329" s="1"/>
      <c r="R1329" s="1"/>
      <c r="S1329" s="1"/>
      <c r="T1329" s="1"/>
      <c r="U1329" s="1"/>
      <c r="V1329" s="1"/>
      <c r="W1329" s="1"/>
      <c r="X1329" s="1"/>
      <c r="Y1329" s="1"/>
      <c r="Z1329" s="1"/>
      <c r="AA1329" s="1"/>
      <c r="AB1329" s="1"/>
      <c r="AC1329" s="1"/>
      <c r="AD1329" s="1" t="s">
        <v>93</v>
      </c>
      <c r="AE1329" s="1" t="s">
        <v>93</v>
      </c>
      <c r="AF1329" s="1"/>
      <c r="AG1329" s="1"/>
      <c r="AH1329" s="1"/>
      <c r="AI1329" s="1"/>
      <c r="AJ1329" s="1"/>
      <c r="AK1329" s="1"/>
      <c r="AL1329" s="1"/>
      <c r="AM1329" s="1"/>
      <c r="AN1329" s="1"/>
      <c r="AO1329" s="1"/>
      <c r="AP1329" s="1"/>
      <c r="AQ1329" s="1"/>
      <c r="AR1329" s="1"/>
      <c r="AS1329" s="1"/>
      <c r="AT1329" s="1"/>
      <c r="AU1329" s="1"/>
      <c r="AV1329" s="1"/>
      <c r="AW1329" s="1"/>
      <c r="AX1329" s="1"/>
      <c r="AY1329" s="1"/>
      <c r="AZ1329" s="1"/>
      <c r="BA1329" s="1"/>
      <c r="BB1329" s="1"/>
      <c r="BC1329" s="1"/>
      <c r="BD1329" s="1"/>
      <c r="BE1329" s="1"/>
      <c r="BF1329" s="1"/>
      <c r="BG1329" s="1"/>
      <c r="BH1329" s="1"/>
      <c r="BI1329" s="1"/>
      <c r="BJ1329" s="1"/>
      <c r="BK1329" s="1"/>
      <c r="BL1329" s="1"/>
      <c r="BM1329" s="1"/>
      <c r="BN1329" s="1"/>
      <c r="BO1329" s="1"/>
      <c r="BP1329" s="1" t="s">
        <v>9609</v>
      </c>
      <c r="BQ1329" s="3"/>
      <c r="BR1329" s="3"/>
    </row>
    <row r="1330" spans="1:70">
      <c r="A1330" s="1" t="s">
        <v>70</v>
      </c>
      <c r="B1330" s="1" t="s">
        <v>13846</v>
      </c>
      <c r="C1330" s="1" t="s">
        <v>16340</v>
      </c>
      <c r="D1330" s="1"/>
      <c r="E1330" s="1"/>
      <c r="F1330" s="1"/>
      <c r="G1330" s="1"/>
      <c r="H1330" s="1" t="s">
        <v>16341</v>
      </c>
      <c r="I1330" s="1" t="s">
        <v>16341</v>
      </c>
      <c r="J1330" s="1"/>
      <c r="K1330" s="1"/>
      <c r="L1330" s="1"/>
      <c r="M1330" s="1"/>
      <c r="N1330" s="1"/>
      <c r="O1330" s="1"/>
      <c r="P1330" s="1"/>
      <c r="Q1330" s="1"/>
      <c r="R1330" s="1"/>
      <c r="S1330" s="1"/>
      <c r="T1330" s="1"/>
      <c r="U1330" s="1"/>
      <c r="V1330" s="1"/>
      <c r="W1330" s="1"/>
      <c r="X1330" s="1"/>
      <c r="Y1330" s="1"/>
      <c r="Z1330" s="1"/>
      <c r="AA1330" s="1"/>
      <c r="AB1330" s="1"/>
      <c r="AC1330" s="1"/>
      <c r="AD1330" s="1" t="s">
        <v>93</v>
      </c>
      <c r="AE1330" s="1" t="s">
        <v>93</v>
      </c>
      <c r="AF1330" s="1"/>
      <c r="AG1330" s="1"/>
      <c r="AH1330" s="1"/>
      <c r="AI1330" s="1"/>
      <c r="AJ1330" s="1"/>
      <c r="AK1330" s="1"/>
      <c r="AL1330" s="1"/>
      <c r="AM1330" s="1"/>
      <c r="AN1330" s="1"/>
      <c r="AO1330" s="1"/>
      <c r="AP1330" s="1"/>
      <c r="AQ1330" s="1"/>
      <c r="AR1330" s="1"/>
      <c r="AS1330" s="1"/>
      <c r="AT1330" s="1"/>
      <c r="AU1330" s="1"/>
      <c r="AV1330" s="1"/>
      <c r="AW1330" s="1"/>
      <c r="AX1330" s="1"/>
      <c r="AY1330" s="1"/>
      <c r="AZ1330" s="1"/>
      <c r="BA1330" s="1"/>
      <c r="BB1330" s="1"/>
      <c r="BC1330" s="1"/>
      <c r="BD1330" s="1"/>
      <c r="BE1330" s="1"/>
      <c r="BF1330" s="1"/>
      <c r="BG1330" s="1"/>
      <c r="BH1330" s="1"/>
      <c r="BI1330" s="1"/>
      <c r="BJ1330" s="1"/>
      <c r="BK1330" s="1"/>
      <c r="BL1330" s="1"/>
      <c r="BM1330" s="1"/>
      <c r="BN1330" s="1"/>
      <c r="BO1330" s="1"/>
      <c r="BP1330" s="1" t="s">
        <v>9609</v>
      </c>
      <c r="BQ1330" s="3"/>
      <c r="BR1330" s="3"/>
    </row>
    <row r="1331" spans="1:70">
      <c r="A1331" s="1" t="s">
        <v>70</v>
      </c>
      <c r="B1331" s="1" t="s">
        <v>13846</v>
      </c>
      <c r="C1331" s="1" t="s">
        <v>16342</v>
      </c>
      <c r="D1331" s="1"/>
      <c r="E1331" s="1"/>
      <c r="F1331" s="1"/>
      <c r="G1331" s="1"/>
      <c r="H1331" s="1" t="s">
        <v>16343</v>
      </c>
      <c r="I1331" s="1" t="s">
        <v>16343</v>
      </c>
      <c r="J1331" s="1"/>
      <c r="K1331" s="1"/>
      <c r="L1331" s="1"/>
      <c r="M1331" s="1"/>
      <c r="N1331" s="1"/>
      <c r="O1331" s="1"/>
      <c r="P1331" s="1"/>
      <c r="Q1331" s="1"/>
      <c r="R1331" s="1"/>
      <c r="S1331" s="1"/>
      <c r="T1331" s="1"/>
      <c r="U1331" s="1"/>
      <c r="V1331" s="1"/>
      <c r="W1331" s="1"/>
      <c r="X1331" s="1"/>
      <c r="Y1331" s="1"/>
      <c r="Z1331" s="1"/>
      <c r="AA1331" s="1"/>
      <c r="AB1331" s="1"/>
      <c r="AC1331" s="1"/>
      <c r="AD1331" s="1" t="s">
        <v>93</v>
      </c>
      <c r="AE1331" s="1" t="s">
        <v>93</v>
      </c>
      <c r="AF1331" s="1"/>
      <c r="AG1331" s="1"/>
      <c r="AH1331" s="1"/>
      <c r="AI1331" s="1"/>
      <c r="AJ1331" s="1"/>
      <c r="AK1331" s="1"/>
      <c r="AL1331" s="1"/>
      <c r="AM1331" s="1"/>
      <c r="AN1331" s="1"/>
      <c r="AO1331" s="1"/>
      <c r="AP1331" s="1"/>
      <c r="AQ1331" s="1"/>
      <c r="AR1331" s="1"/>
      <c r="AS1331" s="1"/>
      <c r="AT1331" s="1"/>
      <c r="AU1331" s="1"/>
      <c r="AV1331" s="1"/>
      <c r="AW1331" s="1"/>
      <c r="AX1331" s="1"/>
      <c r="AY1331" s="1"/>
      <c r="AZ1331" s="1"/>
      <c r="BA1331" s="1"/>
      <c r="BB1331" s="1"/>
      <c r="BC1331" s="1"/>
      <c r="BD1331" s="1"/>
      <c r="BE1331" s="1"/>
      <c r="BF1331" s="1"/>
      <c r="BG1331" s="1"/>
      <c r="BH1331" s="1"/>
      <c r="BI1331" s="1"/>
      <c r="BJ1331" s="1"/>
      <c r="BK1331" s="1"/>
      <c r="BL1331" s="1"/>
      <c r="BM1331" s="1"/>
      <c r="BN1331" s="1"/>
      <c r="BO1331" s="1"/>
      <c r="BP1331" s="1" t="s">
        <v>9609</v>
      </c>
      <c r="BQ1331" s="3"/>
      <c r="BR1331" s="3"/>
    </row>
    <row r="1332" spans="1:70">
      <c r="A1332" s="1" t="s">
        <v>70</v>
      </c>
      <c r="B1332" s="1" t="s">
        <v>13846</v>
      </c>
      <c r="C1332" s="1" t="s">
        <v>16344</v>
      </c>
      <c r="D1332" s="1"/>
      <c r="E1332" s="1"/>
      <c r="F1332" s="1"/>
      <c r="G1332" s="1"/>
      <c r="H1332" s="1" t="s">
        <v>16345</v>
      </c>
      <c r="I1332" s="1" t="s">
        <v>16345</v>
      </c>
      <c r="J1332" s="1"/>
      <c r="K1332" s="1"/>
      <c r="L1332" s="1"/>
      <c r="M1332" s="1"/>
      <c r="N1332" s="1"/>
      <c r="O1332" s="1"/>
      <c r="P1332" s="1"/>
      <c r="Q1332" s="1"/>
      <c r="R1332" s="1"/>
      <c r="S1332" s="1"/>
      <c r="T1332" s="1"/>
      <c r="U1332" s="1"/>
      <c r="V1332" s="1"/>
      <c r="W1332" s="1"/>
      <c r="X1332" s="1"/>
      <c r="Y1332" s="1"/>
      <c r="Z1332" s="1"/>
      <c r="AA1332" s="1"/>
      <c r="AB1332" s="1"/>
      <c r="AC1332" s="1"/>
      <c r="AD1332" s="1" t="s">
        <v>93</v>
      </c>
      <c r="AE1332" s="1" t="s">
        <v>93</v>
      </c>
      <c r="AF1332" s="1"/>
      <c r="AG1332" s="1"/>
      <c r="AH1332" s="1"/>
      <c r="AI1332" s="1"/>
      <c r="AJ1332" s="1"/>
      <c r="AK1332" s="1"/>
      <c r="AL1332" s="1"/>
      <c r="AM1332" s="1"/>
      <c r="AN1332" s="1"/>
      <c r="AO1332" s="1"/>
      <c r="AP1332" s="1"/>
      <c r="AQ1332" s="1"/>
      <c r="AR1332" s="1"/>
      <c r="AS1332" s="1"/>
      <c r="AT1332" s="1"/>
      <c r="AU1332" s="1"/>
      <c r="AV1332" s="1"/>
      <c r="AW1332" s="1"/>
      <c r="AX1332" s="1"/>
      <c r="AY1332" s="1"/>
      <c r="AZ1332" s="1"/>
      <c r="BA1332" s="1"/>
      <c r="BB1332" s="1"/>
      <c r="BC1332" s="1"/>
      <c r="BD1332" s="1"/>
      <c r="BE1332" s="1"/>
      <c r="BF1332" s="1"/>
      <c r="BG1332" s="1"/>
      <c r="BH1332" s="1"/>
      <c r="BI1332" s="1"/>
      <c r="BJ1332" s="1"/>
      <c r="BK1332" s="1"/>
      <c r="BL1332" s="1"/>
      <c r="BM1332" s="1"/>
      <c r="BN1332" s="1"/>
      <c r="BO1332" s="1"/>
      <c r="BP1332" s="1" t="s">
        <v>9609</v>
      </c>
      <c r="BQ1332" s="3"/>
      <c r="BR1332" s="3"/>
    </row>
    <row r="1333" spans="1:70">
      <c r="A1333" s="1" t="s">
        <v>70</v>
      </c>
      <c r="B1333" s="1" t="s">
        <v>13846</v>
      </c>
      <c r="C1333" s="1" t="s">
        <v>16346</v>
      </c>
      <c r="D1333" s="1"/>
      <c r="E1333" s="1"/>
      <c r="F1333" s="1"/>
      <c r="G1333" s="1"/>
      <c r="H1333" s="1" t="s">
        <v>16347</v>
      </c>
      <c r="I1333" s="1" t="s">
        <v>16347</v>
      </c>
      <c r="J1333" s="1"/>
      <c r="K1333" s="1"/>
      <c r="L1333" s="1"/>
      <c r="M1333" s="1"/>
      <c r="N1333" s="1"/>
      <c r="O1333" s="1"/>
      <c r="P1333" s="1"/>
      <c r="Q1333" s="1"/>
      <c r="R1333" s="1"/>
      <c r="S1333" s="1"/>
      <c r="T1333" s="1"/>
      <c r="U1333" s="1"/>
      <c r="V1333" s="1"/>
      <c r="W1333" s="1"/>
      <c r="X1333" s="1"/>
      <c r="Y1333" s="1"/>
      <c r="Z1333" s="1"/>
      <c r="AA1333" s="1"/>
      <c r="AB1333" s="1"/>
      <c r="AC1333" s="1"/>
      <c r="AD1333" s="1" t="s">
        <v>93</v>
      </c>
      <c r="AE1333" s="1" t="s">
        <v>93</v>
      </c>
      <c r="AF1333" s="1"/>
      <c r="AG1333" s="1"/>
      <c r="AH1333" s="1"/>
      <c r="AI1333" s="1"/>
      <c r="AJ1333" s="1"/>
      <c r="AK1333" s="1"/>
      <c r="AL1333" s="1"/>
      <c r="AM1333" s="1"/>
      <c r="AN1333" s="1"/>
      <c r="AO1333" s="1"/>
      <c r="AP1333" s="1"/>
      <c r="AQ1333" s="1"/>
      <c r="AR1333" s="1"/>
      <c r="AS1333" s="1"/>
      <c r="AT1333" s="1"/>
      <c r="AU1333" s="1"/>
      <c r="AV1333" s="1"/>
      <c r="AW1333" s="1"/>
      <c r="AX1333" s="1"/>
      <c r="AY1333" s="1"/>
      <c r="AZ1333" s="1"/>
      <c r="BA1333" s="1"/>
      <c r="BB1333" s="1"/>
      <c r="BC1333" s="1"/>
      <c r="BD1333" s="1"/>
      <c r="BE1333" s="1"/>
      <c r="BF1333" s="1"/>
      <c r="BG1333" s="1"/>
      <c r="BH1333" s="1"/>
      <c r="BI1333" s="1"/>
      <c r="BJ1333" s="1"/>
      <c r="BK1333" s="1"/>
      <c r="BL1333" s="1"/>
      <c r="BM1333" s="1"/>
      <c r="BN1333" s="1"/>
      <c r="BO1333" s="1"/>
      <c r="BP1333" s="1" t="s">
        <v>9609</v>
      </c>
      <c r="BQ1333" s="3"/>
      <c r="BR1333" s="3"/>
    </row>
    <row r="1334" spans="1:70">
      <c r="A1334" s="1" t="s">
        <v>70</v>
      </c>
      <c r="B1334" s="1" t="s">
        <v>13846</v>
      </c>
      <c r="C1334" s="1" t="s">
        <v>16348</v>
      </c>
      <c r="D1334" s="1"/>
      <c r="E1334" s="1"/>
      <c r="F1334" s="1"/>
      <c r="G1334" s="1"/>
      <c r="H1334" s="1" t="s">
        <v>16349</v>
      </c>
      <c r="I1334" s="1" t="s">
        <v>16349</v>
      </c>
      <c r="J1334" s="1"/>
      <c r="K1334" s="1"/>
      <c r="L1334" s="1"/>
      <c r="M1334" s="1"/>
      <c r="N1334" s="1"/>
      <c r="O1334" s="1"/>
      <c r="P1334" s="1"/>
      <c r="Q1334" s="1"/>
      <c r="R1334" s="1"/>
      <c r="S1334" s="1"/>
      <c r="T1334" s="1"/>
      <c r="U1334" s="1"/>
      <c r="V1334" s="1"/>
      <c r="W1334" s="1"/>
      <c r="X1334" s="1"/>
      <c r="Y1334" s="1"/>
      <c r="Z1334" s="1"/>
      <c r="AA1334" s="1"/>
      <c r="AB1334" s="1"/>
      <c r="AC1334" s="1"/>
      <c r="AD1334" s="1" t="s">
        <v>93</v>
      </c>
      <c r="AE1334" s="1" t="s">
        <v>93</v>
      </c>
      <c r="AF1334" s="1"/>
      <c r="AG1334" s="1"/>
      <c r="AH1334" s="1"/>
      <c r="AI1334" s="1"/>
      <c r="AJ1334" s="1"/>
      <c r="AK1334" s="1"/>
      <c r="AL1334" s="1"/>
      <c r="AM1334" s="1"/>
      <c r="AN1334" s="1"/>
      <c r="AO1334" s="1"/>
      <c r="AP1334" s="1"/>
      <c r="AQ1334" s="1"/>
      <c r="AR1334" s="1"/>
      <c r="AS1334" s="1"/>
      <c r="AT1334" s="1"/>
      <c r="AU1334" s="1"/>
      <c r="AV1334" s="1"/>
      <c r="AW1334" s="1"/>
      <c r="AX1334" s="1"/>
      <c r="AY1334" s="1"/>
      <c r="AZ1334" s="1"/>
      <c r="BA1334" s="1"/>
      <c r="BB1334" s="1"/>
      <c r="BC1334" s="1"/>
      <c r="BD1334" s="1"/>
      <c r="BE1334" s="1"/>
      <c r="BF1334" s="1"/>
      <c r="BG1334" s="1"/>
      <c r="BH1334" s="1"/>
      <c r="BI1334" s="1"/>
      <c r="BJ1334" s="1"/>
      <c r="BK1334" s="1"/>
      <c r="BL1334" s="1"/>
      <c r="BM1334" s="1"/>
      <c r="BN1334" s="1"/>
      <c r="BO1334" s="1"/>
      <c r="BP1334" s="1" t="s">
        <v>9609</v>
      </c>
      <c r="BQ1334" s="3"/>
      <c r="BR1334" s="3"/>
    </row>
    <row r="1335" spans="1:70">
      <c r="A1335" s="1" t="s">
        <v>70</v>
      </c>
      <c r="B1335" s="1" t="s">
        <v>13846</v>
      </c>
      <c r="C1335" s="1" t="s">
        <v>16350</v>
      </c>
      <c r="D1335" s="1"/>
      <c r="E1335" s="1"/>
      <c r="F1335" s="1"/>
      <c r="G1335" s="1"/>
      <c r="H1335" s="1" t="s">
        <v>16351</v>
      </c>
      <c r="I1335" s="1" t="s">
        <v>16351</v>
      </c>
      <c r="J1335" s="1"/>
      <c r="K1335" s="1"/>
      <c r="L1335" s="1"/>
      <c r="M1335" s="1"/>
      <c r="N1335" s="1"/>
      <c r="O1335" s="1"/>
      <c r="P1335" s="1"/>
      <c r="Q1335" s="1"/>
      <c r="R1335" s="1"/>
      <c r="S1335" s="1"/>
      <c r="T1335" s="1"/>
      <c r="U1335" s="1"/>
      <c r="V1335" s="1"/>
      <c r="W1335" s="1"/>
      <c r="X1335" s="1"/>
      <c r="Y1335" s="1"/>
      <c r="Z1335" s="1"/>
      <c r="AA1335" s="1"/>
      <c r="AB1335" s="1"/>
      <c r="AC1335" s="1"/>
      <c r="AD1335" s="1" t="s">
        <v>93</v>
      </c>
      <c r="AE1335" s="1" t="s">
        <v>93</v>
      </c>
      <c r="AF1335" s="1"/>
      <c r="AG1335" s="1"/>
      <c r="AH1335" s="1"/>
      <c r="AI1335" s="1"/>
      <c r="AJ1335" s="1"/>
      <c r="AK1335" s="1"/>
      <c r="AL1335" s="1"/>
      <c r="AM1335" s="1"/>
      <c r="AN1335" s="1"/>
      <c r="AO1335" s="1"/>
      <c r="AP1335" s="1"/>
      <c r="AQ1335" s="1"/>
      <c r="AR1335" s="1"/>
      <c r="AS1335" s="1"/>
      <c r="AT1335" s="1"/>
      <c r="AU1335" s="1"/>
      <c r="AV1335" s="1"/>
      <c r="AW1335" s="1"/>
      <c r="AX1335" s="1"/>
      <c r="AY1335" s="1"/>
      <c r="AZ1335" s="1"/>
      <c r="BA1335" s="1"/>
      <c r="BB1335" s="1"/>
      <c r="BC1335" s="1"/>
      <c r="BD1335" s="1"/>
      <c r="BE1335" s="1"/>
      <c r="BF1335" s="1"/>
      <c r="BG1335" s="1"/>
      <c r="BH1335" s="1"/>
      <c r="BI1335" s="1"/>
      <c r="BJ1335" s="1"/>
      <c r="BK1335" s="1"/>
      <c r="BL1335" s="1"/>
      <c r="BM1335" s="1"/>
      <c r="BN1335" s="1"/>
      <c r="BO1335" s="1"/>
      <c r="BP1335" s="1" t="s">
        <v>9609</v>
      </c>
      <c r="BQ1335" s="3"/>
      <c r="BR1335" s="3"/>
    </row>
    <row r="1336" spans="1:70">
      <c r="A1336" s="1" t="s">
        <v>70</v>
      </c>
      <c r="B1336" s="1" t="s">
        <v>13846</v>
      </c>
      <c r="C1336" s="1" t="s">
        <v>16352</v>
      </c>
      <c r="D1336" s="1"/>
      <c r="E1336" s="1"/>
      <c r="F1336" s="1"/>
      <c r="G1336" s="1"/>
      <c r="H1336" s="1" t="s">
        <v>16353</v>
      </c>
      <c r="I1336" s="1" t="s">
        <v>16353</v>
      </c>
      <c r="J1336" s="1"/>
      <c r="K1336" s="1"/>
      <c r="L1336" s="1"/>
      <c r="M1336" s="1"/>
      <c r="N1336" s="1"/>
      <c r="O1336" s="1"/>
      <c r="P1336" s="1"/>
      <c r="Q1336" s="1"/>
      <c r="R1336" s="1"/>
      <c r="S1336" s="1"/>
      <c r="T1336" s="1"/>
      <c r="U1336" s="1"/>
      <c r="V1336" s="1"/>
      <c r="W1336" s="1"/>
      <c r="X1336" s="1"/>
      <c r="Y1336" s="1"/>
      <c r="Z1336" s="1"/>
      <c r="AA1336" s="1"/>
      <c r="AB1336" s="1"/>
      <c r="AC1336" s="1"/>
      <c r="AD1336" s="1" t="s">
        <v>93</v>
      </c>
      <c r="AE1336" s="1" t="s">
        <v>93</v>
      </c>
      <c r="AF1336" s="1"/>
      <c r="AG1336" s="1"/>
      <c r="AH1336" s="1"/>
      <c r="AI1336" s="1"/>
      <c r="AJ1336" s="1"/>
      <c r="AK1336" s="1"/>
      <c r="AL1336" s="1"/>
      <c r="AM1336" s="1"/>
      <c r="AN1336" s="1"/>
      <c r="AO1336" s="1"/>
      <c r="AP1336" s="1"/>
      <c r="AQ1336" s="1"/>
      <c r="AR1336" s="1"/>
      <c r="AS1336" s="1"/>
      <c r="AT1336" s="1"/>
      <c r="AU1336" s="1"/>
      <c r="AV1336" s="1"/>
      <c r="AW1336" s="1"/>
      <c r="AX1336" s="1"/>
      <c r="AY1336" s="1"/>
      <c r="AZ1336" s="1"/>
      <c r="BA1336" s="1"/>
      <c r="BB1336" s="1"/>
      <c r="BC1336" s="1"/>
      <c r="BD1336" s="1"/>
      <c r="BE1336" s="1"/>
      <c r="BF1336" s="1"/>
      <c r="BG1336" s="1"/>
      <c r="BH1336" s="1"/>
      <c r="BI1336" s="1"/>
      <c r="BJ1336" s="1"/>
      <c r="BK1336" s="1"/>
      <c r="BL1336" s="1"/>
      <c r="BM1336" s="1"/>
      <c r="BN1336" s="1"/>
      <c r="BO1336" s="1"/>
      <c r="BP1336" s="1" t="s">
        <v>9609</v>
      </c>
      <c r="BQ1336" s="3"/>
      <c r="BR1336" s="3"/>
    </row>
    <row r="1337" spans="1:70">
      <c r="A1337" s="1" t="s">
        <v>70</v>
      </c>
      <c r="B1337" s="1" t="s">
        <v>13846</v>
      </c>
      <c r="C1337" s="1" t="s">
        <v>16354</v>
      </c>
      <c r="D1337" s="1"/>
      <c r="E1337" s="1"/>
      <c r="F1337" s="1"/>
      <c r="G1337" s="1"/>
      <c r="H1337" s="1" t="s">
        <v>16355</v>
      </c>
      <c r="I1337" s="1" t="s">
        <v>16355</v>
      </c>
      <c r="J1337" s="1"/>
      <c r="K1337" s="1"/>
      <c r="L1337" s="1"/>
      <c r="M1337" s="1"/>
      <c r="N1337" s="1"/>
      <c r="O1337" s="1"/>
      <c r="P1337" s="1"/>
      <c r="Q1337" s="1"/>
      <c r="R1337" s="1"/>
      <c r="S1337" s="1"/>
      <c r="T1337" s="1"/>
      <c r="U1337" s="1"/>
      <c r="V1337" s="1"/>
      <c r="W1337" s="1"/>
      <c r="X1337" s="1"/>
      <c r="Y1337" s="1"/>
      <c r="Z1337" s="1"/>
      <c r="AA1337" s="1"/>
      <c r="AB1337" s="1"/>
      <c r="AC1337" s="1"/>
      <c r="AD1337" s="1" t="s">
        <v>93</v>
      </c>
      <c r="AE1337" s="1" t="s">
        <v>93</v>
      </c>
      <c r="AF1337" s="1"/>
      <c r="AG1337" s="1"/>
      <c r="AH1337" s="1"/>
      <c r="AI1337" s="1"/>
      <c r="AJ1337" s="1"/>
      <c r="AK1337" s="1"/>
      <c r="AL1337" s="1"/>
      <c r="AM1337" s="1"/>
      <c r="AN1337" s="1"/>
      <c r="AO1337" s="1"/>
      <c r="AP1337" s="1"/>
      <c r="AQ1337" s="1"/>
      <c r="AR1337" s="1"/>
      <c r="AS1337" s="1"/>
      <c r="AT1337" s="1"/>
      <c r="AU1337" s="1"/>
      <c r="AV1337" s="1"/>
      <c r="AW1337" s="1"/>
      <c r="AX1337" s="1"/>
      <c r="AY1337" s="1"/>
      <c r="AZ1337" s="1"/>
      <c r="BA1337" s="1"/>
      <c r="BB1337" s="1"/>
      <c r="BC1337" s="1"/>
      <c r="BD1337" s="1"/>
      <c r="BE1337" s="1"/>
      <c r="BF1337" s="1"/>
      <c r="BG1337" s="1"/>
      <c r="BH1337" s="1"/>
      <c r="BI1337" s="1"/>
      <c r="BJ1337" s="1"/>
      <c r="BK1337" s="1"/>
      <c r="BL1337" s="1"/>
      <c r="BM1337" s="1"/>
      <c r="BN1337" s="1"/>
      <c r="BO1337" s="1"/>
      <c r="BP1337" s="1" t="s">
        <v>9609</v>
      </c>
      <c r="BQ1337" s="3"/>
      <c r="BR1337" s="3"/>
    </row>
    <row r="1338" spans="1:70">
      <c r="A1338" s="1" t="s">
        <v>70</v>
      </c>
      <c r="B1338" s="1" t="s">
        <v>13846</v>
      </c>
      <c r="C1338" s="1" t="s">
        <v>16356</v>
      </c>
      <c r="D1338" s="1"/>
      <c r="E1338" s="1"/>
      <c r="F1338" s="1"/>
      <c r="G1338" s="1"/>
      <c r="H1338" s="1" t="s">
        <v>16357</v>
      </c>
      <c r="I1338" s="1" t="s">
        <v>16357</v>
      </c>
      <c r="J1338" s="1"/>
      <c r="K1338" s="1"/>
      <c r="L1338" s="1"/>
      <c r="M1338" s="1"/>
      <c r="N1338" s="1"/>
      <c r="O1338" s="1"/>
      <c r="P1338" s="1"/>
      <c r="Q1338" s="1"/>
      <c r="R1338" s="1"/>
      <c r="S1338" s="1"/>
      <c r="T1338" s="1"/>
      <c r="U1338" s="1"/>
      <c r="V1338" s="1"/>
      <c r="W1338" s="1"/>
      <c r="X1338" s="1"/>
      <c r="Y1338" s="1"/>
      <c r="Z1338" s="1"/>
      <c r="AA1338" s="1"/>
      <c r="AB1338" s="1"/>
      <c r="AC1338" s="1"/>
      <c r="AD1338" s="1" t="s">
        <v>93</v>
      </c>
      <c r="AE1338" s="1" t="s">
        <v>93</v>
      </c>
      <c r="AF1338" s="1"/>
      <c r="AG1338" s="1"/>
      <c r="AH1338" s="1"/>
      <c r="AI1338" s="1"/>
      <c r="AJ1338" s="1"/>
      <c r="AK1338" s="1"/>
      <c r="AL1338" s="1"/>
      <c r="AM1338" s="1"/>
      <c r="AN1338" s="1"/>
      <c r="AO1338" s="1"/>
      <c r="AP1338" s="1"/>
      <c r="AQ1338" s="1"/>
      <c r="AR1338" s="1"/>
      <c r="AS1338" s="1"/>
      <c r="AT1338" s="1"/>
      <c r="AU1338" s="1"/>
      <c r="AV1338" s="1"/>
      <c r="AW1338" s="1"/>
      <c r="AX1338" s="1"/>
      <c r="AY1338" s="1"/>
      <c r="AZ1338" s="1"/>
      <c r="BA1338" s="1"/>
      <c r="BB1338" s="1"/>
      <c r="BC1338" s="1"/>
      <c r="BD1338" s="1"/>
      <c r="BE1338" s="1"/>
      <c r="BF1338" s="1"/>
      <c r="BG1338" s="1"/>
      <c r="BH1338" s="1"/>
      <c r="BI1338" s="1"/>
      <c r="BJ1338" s="1"/>
      <c r="BK1338" s="1"/>
      <c r="BL1338" s="1"/>
      <c r="BM1338" s="1"/>
      <c r="BN1338" s="1"/>
      <c r="BO1338" s="1"/>
      <c r="BP1338" s="1" t="s">
        <v>9609</v>
      </c>
      <c r="BQ1338" s="3"/>
      <c r="BR1338" s="3"/>
    </row>
    <row r="1339" spans="1:70">
      <c r="A1339" s="1" t="s">
        <v>70</v>
      </c>
      <c r="B1339" s="1" t="s">
        <v>13846</v>
      </c>
      <c r="C1339" s="1" t="s">
        <v>16358</v>
      </c>
      <c r="D1339" s="1"/>
      <c r="E1339" s="1"/>
      <c r="F1339" s="1"/>
      <c r="G1339" s="1"/>
      <c r="H1339" s="1" t="s">
        <v>16359</v>
      </c>
      <c r="I1339" s="1" t="s">
        <v>16359</v>
      </c>
      <c r="J1339" s="1"/>
      <c r="K1339" s="1"/>
      <c r="L1339" s="1"/>
      <c r="M1339" s="1"/>
      <c r="N1339" s="1"/>
      <c r="O1339" s="1"/>
      <c r="P1339" s="1"/>
      <c r="Q1339" s="1"/>
      <c r="R1339" s="1"/>
      <c r="S1339" s="1"/>
      <c r="T1339" s="1"/>
      <c r="U1339" s="1"/>
      <c r="V1339" s="1"/>
      <c r="W1339" s="1"/>
      <c r="X1339" s="1"/>
      <c r="Y1339" s="1"/>
      <c r="Z1339" s="1"/>
      <c r="AA1339" s="1"/>
      <c r="AB1339" s="1"/>
      <c r="AC1339" s="1"/>
      <c r="AD1339" s="1" t="s">
        <v>93</v>
      </c>
      <c r="AE1339" s="1" t="s">
        <v>93</v>
      </c>
      <c r="AF1339" s="1"/>
      <c r="AG1339" s="1"/>
      <c r="AH1339" s="1"/>
      <c r="AI1339" s="1"/>
      <c r="AJ1339" s="1"/>
      <c r="AK1339" s="1"/>
      <c r="AL1339" s="1"/>
      <c r="AM1339" s="1"/>
      <c r="AN1339" s="1"/>
      <c r="AO1339" s="1"/>
      <c r="AP1339" s="1"/>
      <c r="AQ1339" s="1"/>
      <c r="AR1339" s="1"/>
      <c r="AS1339" s="1"/>
      <c r="AT1339" s="1"/>
      <c r="AU1339" s="1"/>
      <c r="AV1339" s="1"/>
      <c r="AW1339" s="1"/>
      <c r="AX1339" s="1"/>
      <c r="AY1339" s="1"/>
      <c r="AZ1339" s="1"/>
      <c r="BA1339" s="1"/>
      <c r="BB1339" s="1"/>
      <c r="BC1339" s="1"/>
      <c r="BD1339" s="1"/>
      <c r="BE1339" s="1"/>
      <c r="BF1339" s="1"/>
      <c r="BG1339" s="1"/>
      <c r="BH1339" s="1"/>
      <c r="BI1339" s="1"/>
      <c r="BJ1339" s="1"/>
      <c r="BK1339" s="1"/>
      <c r="BL1339" s="1"/>
      <c r="BM1339" s="1"/>
      <c r="BN1339" s="1"/>
      <c r="BO1339" s="1"/>
      <c r="BP1339" s="1" t="s">
        <v>9609</v>
      </c>
      <c r="BQ1339" s="3"/>
      <c r="BR1339" s="3"/>
    </row>
    <row r="1340" spans="1:70">
      <c r="A1340" s="1" t="s">
        <v>70</v>
      </c>
      <c r="B1340" s="1" t="s">
        <v>13846</v>
      </c>
      <c r="C1340" s="1" t="s">
        <v>16360</v>
      </c>
      <c r="D1340" s="1"/>
      <c r="E1340" s="1"/>
      <c r="F1340" s="1"/>
      <c r="G1340" s="1"/>
      <c r="H1340" s="1" t="s">
        <v>16361</v>
      </c>
      <c r="I1340" s="1" t="s">
        <v>16361</v>
      </c>
      <c r="J1340" s="1"/>
      <c r="K1340" s="1"/>
      <c r="L1340" s="1"/>
      <c r="M1340" s="1"/>
      <c r="N1340" s="1"/>
      <c r="O1340" s="1"/>
      <c r="P1340" s="1"/>
      <c r="Q1340" s="1"/>
      <c r="R1340" s="1"/>
      <c r="S1340" s="1"/>
      <c r="T1340" s="1"/>
      <c r="U1340" s="1"/>
      <c r="V1340" s="1"/>
      <c r="W1340" s="1"/>
      <c r="X1340" s="1"/>
      <c r="Y1340" s="1"/>
      <c r="Z1340" s="1"/>
      <c r="AA1340" s="1"/>
      <c r="AB1340" s="1"/>
      <c r="AC1340" s="1"/>
      <c r="AD1340" s="1" t="s">
        <v>93</v>
      </c>
      <c r="AE1340" s="1" t="s">
        <v>93</v>
      </c>
      <c r="AF1340" s="1"/>
      <c r="AG1340" s="1"/>
      <c r="AH1340" s="1"/>
      <c r="AI1340" s="1"/>
      <c r="AJ1340" s="1"/>
      <c r="AK1340" s="1"/>
      <c r="AL1340" s="1"/>
      <c r="AM1340" s="1"/>
      <c r="AN1340" s="1"/>
      <c r="AO1340" s="1"/>
      <c r="AP1340" s="1"/>
      <c r="AQ1340" s="1"/>
      <c r="AR1340" s="1"/>
      <c r="AS1340" s="1"/>
      <c r="AT1340" s="1"/>
      <c r="AU1340" s="1"/>
      <c r="AV1340" s="1"/>
      <c r="AW1340" s="1"/>
      <c r="AX1340" s="1"/>
      <c r="AY1340" s="1"/>
      <c r="AZ1340" s="1"/>
      <c r="BA1340" s="1"/>
      <c r="BB1340" s="1"/>
      <c r="BC1340" s="1"/>
      <c r="BD1340" s="1"/>
      <c r="BE1340" s="1"/>
      <c r="BF1340" s="1"/>
      <c r="BG1340" s="1"/>
      <c r="BH1340" s="1"/>
      <c r="BI1340" s="1"/>
      <c r="BJ1340" s="1"/>
      <c r="BK1340" s="1"/>
      <c r="BL1340" s="1"/>
      <c r="BM1340" s="1"/>
      <c r="BN1340" s="1"/>
      <c r="BO1340" s="1"/>
      <c r="BP1340" s="1" t="s">
        <v>9609</v>
      </c>
      <c r="BQ1340" s="3"/>
      <c r="BR1340" s="3"/>
    </row>
    <row r="1341" spans="1:70">
      <c r="A1341" s="1" t="s">
        <v>70</v>
      </c>
      <c r="B1341" s="1" t="s">
        <v>13846</v>
      </c>
      <c r="C1341" s="1" t="s">
        <v>16362</v>
      </c>
      <c r="D1341" s="1"/>
      <c r="E1341" s="1"/>
      <c r="F1341" s="1"/>
      <c r="G1341" s="1"/>
      <c r="H1341" s="1" t="s">
        <v>16363</v>
      </c>
      <c r="I1341" s="1" t="s">
        <v>16363</v>
      </c>
      <c r="J1341" s="1"/>
      <c r="K1341" s="1"/>
      <c r="L1341" s="1"/>
      <c r="M1341" s="1"/>
      <c r="N1341" s="1"/>
      <c r="O1341" s="1"/>
      <c r="P1341" s="1"/>
      <c r="Q1341" s="1"/>
      <c r="R1341" s="1"/>
      <c r="S1341" s="1"/>
      <c r="T1341" s="1"/>
      <c r="U1341" s="1"/>
      <c r="V1341" s="1"/>
      <c r="W1341" s="1"/>
      <c r="X1341" s="1"/>
      <c r="Y1341" s="1"/>
      <c r="Z1341" s="1"/>
      <c r="AA1341" s="1"/>
      <c r="AB1341" s="1"/>
      <c r="AC1341" s="1"/>
      <c r="AD1341" s="1" t="s">
        <v>93</v>
      </c>
      <c r="AE1341" s="1" t="s">
        <v>93</v>
      </c>
      <c r="AF1341" s="1"/>
      <c r="AG1341" s="1"/>
      <c r="AH1341" s="1"/>
      <c r="AI1341" s="1"/>
      <c r="AJ1341" s="1"/>
      <c r="AK1341" s="1"/>
      <c r="AL1341" s="1"/>
      <c r="AM1341" s="1"/>
      <c r="AN1341" s="1"/>
      <c r="AO1341" s="1"/>
      <c r="AP1341" s="1"/>
      <c r="AQ1341" s="1"/>
      <c r="AR1341" s="1"/>
      <c r="AS1341" s="1"/>
      <c r="AT1341" s="1"/>
      <c r="AU1341" s="1"/>
      <c r="AV1341" s="1"/>
      <c r="AW1341" s="1"/>
      <c r="AX1341" s="1"/>
      <c r="AY1341" s="1"/>
      <c r="AZ1341" s="1"/>
      <c r="BA1341" s="1"/>
      <c r="BB1341" s="1"/>
      <c r="BC1341" s="1"/>
      <c r="BD1341" s="1"/>
      <c r="BE1341" s="1"/>
      <c r="BF1341" s="1"/>
      <c r="BG1341" s="1"/>
      <c r="BH1341" s="1"/>
      <c r="BI1341" s="1"/>
      <c r="BJ1341" s="1"/>
      <c r="BK1341" s="1"/>
      <c r="BL1341" s="1"/>
      <c r="BM1341" s="1"/>
      <c r="BN1341" s="1"/>
      <c r="BO1341" s="1"/>
      <c r="BP1341" s="1" t="s">
        <v>9609</v>
      </c>
      <c r="BQ1341" s="3"/>
      <c r="BR1341" s="3"/>
    </row>
    <row r="1342" spans="1:70">
      <c r="A1342" s="1" t="s">
        <v>70</v>
      </c>
      <c r="B1342" s="1" t="s">
        <v>13846</v>
      </c>
      <c r="C1342" s="1" t="s">
        <v>16364</v>
      </c>
      <c r="D1342" s="1"/>
      <c r="E1342" s="1"/>
      <c r="F1342" s="1"/>
      <c r="G1342" s="1"/>
      <c r="H1342" s="1" t="s">
        <v>16365</v>
      </c>
      <c r="I1342" s="1" t="s">
        <v>16365</v>
      </c>
      <c r="J1342" s="1"/>
      <c r="K1342" s="1"/>
      <c r="L1342" s="1"/>
      <c r="M1342" s="1"/>
      <c r="N1342" s="1"/>
      <c r="O1342" s="1"/>
      <c r="P1342" s="1"/>
      <c r="Q1342" s="1"/>
      <c r="R1342" s="1"/>
      <c r="S1342" s="1"/>
      <c r="T1342" s="1"/>
      <c r="U1342" s="1"/>
      <c r="V1342" s="1"/>
      <c r="W1342" s="1"/>
      <c r="X1342" s="1"/>
      <c r="Y1342" s="1"/>
      <c r="Z1342" s="1"/>
      <c r="AA1342" s="1"/>
      <c r="AB1342" s="1"/>
      <c r="AC1342" s="1"/>
      <c r="AD1342" s="1" t="s">
        <v>93</v>
      </c>
      <c r="AE1342" s="1" t="s">
        <v>93</v>
      </c>
      <c r="AF1342" s="1"/>
      <c r="AG1342" s="1"/>
      <c r="AH1342" s="1"/>
      <c r="AI1342" s="1"/>
      <c r="AJ1342" s="1"/>
      <c r="AK1342" s="1"/>
      <c r="AL1342" s="1"/>
      <c r="AM1342" s="1"/>
      <c r="AN1342" s="1"/>
      <c r="AO1342" s="1"/>
      <c r="AP1342" s="1"/>
      <c r="AQ1342" s="1"/>
      <c r="AR1342" s="1"/>
      <c r="AS1342" s="1"/>
      <c r="AT1342" s="1"/>
      <c r="AU1342" s="1"/>
      <c r="AV1342" s="1"/>
      <c r="AW1342" s="1"/>
      <c r="AX1342" s="1"/>
      <c r="AY1342" s="1"/>
      <c r="AZ1342" s="1"/>
      <c r="BA1342" s="1"/>
      <c r="BB1342" s="1"/>
      <c r="BC1342" s="1"/>
      <c r="BD1342" s="1"/>
      <c r="BE1342" s="1"/>
      <c r="BF1342" s="1"/>
      <c r="BG1342" s="1"/>
      <c r="BH1342" s="1"/>
      <c r="BI1342" s="1"/>
      <c r="BJ1342" s="1"/>
      <c r="BK1342" s="1"/>
      <c r="BL1342" s="1"/>
      <c r="BM1342" s="1"/>
      <c r="BN1342" s="1"/>
      <c r="BO1342" s="1"/>
      <c r="BP1342" s="1" t="s">
        <v>9609</v>
      </c>
      <c r="BQ1342" s="3"/>
      <c r="BR1342" s="3"/>
    </row>
    <row r="1343" spans="1:70">
      <c r="A1343" s="1" t="s">
        <v>70</v>
      </c>
      <c r="B1343" s="1" t="s">
        <v>13846</v>
      </c>
      <c r="C1343" s="1" t="s">
        <v>16366</v>
      </c>
      <c r="D1343" s="1"/>
      <c r="E1343" s="1"/>
      <c r="F1343" s="1"/>
      <c r="G1343" s="1"/>
      <c r="H1343" s="1" t="s">
        <v>16367</v>
      </c>
      <c r="I1343" s="1" t="s">
        <v>16367</v>
      </c>
      <c r="J1343" s="1"/>
      <c r="K1343" s="1"/>
      <c r="L1343" s="1"/>
      <c r="M1343" s="1"/>
      <c r="N1343" s="1"/>
      <c r="O1343" s="1"/>
      <c r="P1343" s="1"/>
      <c r="Q1343" s="1"/>
      <c r="R1343" s="1"/>
      <c r="S1343" s="1"/>
      <c r="T1343" s="1"/>
      <c r="U1343" s="1"/>
      <c r="V1343" s="1"/>
      <c r="W1343" s="1"/>
      <c r="X1343" s="1"/>
      <c r="Y1343" s="1"/>
      <c r="Z1343" s="1"/>
      <c r="AA1343" s="1"/>
      <c r="AB1343" s="1"/>
      <c r="AC1343" s="1"/>
      <c r="AD1343" s="1" t="s">
        <v>93</v>
      </c>
      <c r="AE1343" s="1" t="s">
        <v>93</v>
      </c>
      <c r="AF1343" s="1"/>
      <c r="AG1343" s="1"/>
      <c r="AH1343" s="1"/>
      <c r="AI1343" s="1"/>
      <c r="AJ1343" s="1"/>
      <c r="AK1343" s="1"/>
      <c r="AL1343" s="1"/>
      <c r="AM1343" s="1"/>
      <c r="AN1343" s="1"/>
      <c r="AO1343" s="1"/>
      <c r="AP1343" s="1"/>
      <c r="AQ1343" s="1"/>
      <c r="AR1343" s="1"/>
      <c r="AS1343" s="1"/>
      <c r="AT1343" s="1"/>
      <c r="AU1343" s="1"/>
      <c r="AV1343" s="1"/>
      <c r="AW1343" s="1"/>
      <c r="AX1343" s="1"/>
      <c r="AY1343" s="1"/>
      <c r="AZ1343" s="1"/>
      <c r="BA1343" s="1"/>
      <c r="BB1343" s="1"/>
      <c r="BC1343" s="1"/>
      <c r="BD1343" s="1"/>
      <c r="BE1343" s="1"/>
      <c r="BF1343" s="1"/>
      <c r="BG1343" s="1"/>
      <c r="BH1343" s="1"/>
      <c r="BI1343" s="1"/>
      <c r="BJ1343" s="1"/>
      <c r="BK1343" s="1"/>
      <c r="BL1343" s="1"/>
      <c r="BM1343" s="1"/>
      <c r="BN1343" s="1"/>
      <c r="BO1343" s="1"/>
      <c r="BP1343" s="1" t="s">
        <v>9609</v>
      </c>
      <c r="BQ1343" s="3"/>
      <c r="BR1343" s="3"/>
    </row>
    <row r="1344" spans="1:70">
      <c r="A1344" s="1" t="s">
        <v>70</v>
      </c>
      <c r="B1344" s="1" t="s">
        <v>13846</v>
      </c>
      <c r="C1344" s="1" t="s">
        <v>16368</v>
      </c>
      <c r="D1344" s="1"/>
      <c r="E1344" s="1"/>
      <c r="F1344" s="1"/>
      <c r="G1344" s="1"/>
      <c r="H1344" s="1" t="s">
        <v>16369</v>
      </c>
      <c r="I1344" s="1" t="s">
        <v>16369</v>
      </c>
      <c r="J1344" s="1"/>
      <c r="K1344" s="1"/>
      <c r="L1344" s="1"/>
      <c r="M1344" s="1"/>
      <c r="N1344" s="1"/>
      <c r="O1344" s="1"/>
      <c r="P1344" s="1"/>
      <c r="Q1344" s="1"/>
      <c r="R1344" s="1"/>
      <c r="S1344" s="1"/>
      <c r="T1344" s="1"/>
      <c r="U1344" s="1"/>
      <c r="V1344" s="1"/>
      <c r="W1344" s="1"/>
      <c r="X1344" s="1"/>
      <c r="Y1344" s="1"/>
      <c r="Z1344" s="1"/>
      <c r="AA1344" s="1"/>
      <c r="AB1344" s="1"/>
      <c r="AC1344" s="1"/>
      <c r="AD1344" s="1" t="s">
        <v>93</v>
      </c>
      <c r="AE1344" s="1" t="s">
        <v>93</v>
      </c>
      <c r="AF1344" s="1"/>
      <c r="AG1344" s="1"/>
      <c r="AH1344" s="1"/>
      <c r="AI1344" s="1"/>
      <c r="AJ1344" s="1"/>
      <c r="AK1344" s="1"/>
      <c r="AL1344" s="1"/>
      <c r="AM1344" s="1"/>
      <c r="AN1344" s="1"/>
      <c r="AO1344" s="1"/>
      <c r="AP1344" s="1"/>
      <c r="AQ1344" s="1"/>
      <c r="AR1344" s="1"/>
      <c r="AS1344" s="1"/>
      <c r="AT1344" s="1"/>
      <c r="AU1344" s="1"/>
      <c r="AV1344" s="1"/>
      <c r="AW1344" s="1"/>
      <c r="AX1344" s="1"/>
      <c r="AY1344" s="1"/>
      <c r="AZ1344" s="1"/>
      <c r="BA1344" s="1"/>
      <c r="BB1344" s="1"/>
      <c r="BC1344" s="1"/>
      <c r="BD1344" s="1"/>
      <c r="BE1344" s="1"/>
      <c r="BF1344" s="1"/>
      <c r="BG1344" s="1"/>
      <c r="BH1344" s="1"/>
      <c r="BI1344" s="1"/>
      <c r="BJ1344" s="1"/>
      <c r="BK1344" s="1"/>
      <c r="BL1344" s="1"/>
      <c r="BM1344" s="1"/>
      <c r="BN1344" s="1"/>
      <c r="BO1344" s="1"/>
      <c r="BP1344" s="1" t="s">
        <v>9609</v>
      </c>
      <c r="BQ1344" s="3"/>
      <c r="BR1344" s="3"/>
    </row>
    <row r="1345" spans="1:70">
      <c r="A1345" s="1" t="s">
        <v>70</v>
      </c>
      <c r="B1345" s="1" t="s">
        <v>13846</v>
      </c>
      <c r="C1345" s="1" t="s">
        <v>16370</v>
      </c>
      <c r="D1345" s="1"/>
      <c r="E1345" s="1"/>
      <c r="F1345" s="1"/>
      <c r="G1345" s="1"/>
      <c r="H1345" s="1" t="s">
        <v>16371</v>
      </c>
      <c r="I1345" s="1" t="s">
        <v>16371</v>
      </c>
      <c r="J1345" s="1"/>
      <c r="K1345" s="1"/>
      <c r="L1345" s="1"/>
      <c r="M1345" s="1"/>
      <c r="N1345" s="1"/>
      <c r="O1345" s="1"/>
      <c r="P1345" s="1"/>
      <c r="Q1345" s="1"/>
      <c r="R1345" s="1"/>
      <c r="S1345" s="1"/>
      <c r="T1345" s="1"/>
      <c r="U1345" s="1"/>
      <c r="V1345" s="1"/>
      <c r="W1345" s="1"/>
      <c r="X1345" s="1"/>
      <c r="Y1345" s="1"/>
      <c r="Z1345" s="1"/>
      <c r="AA1345" s="1"/>
      <c r="AB1345" s="1"/>
      <c r="AC1345" s="1"/>
      <c r="AD1345" s="1" t="s">
        <v>93</v>
      </c>
      <c r="AE1345" s="1" t="s">
        <v>93</v>
      </c>
      <c r="AF1345" s="1"/>
      <c r="AG1345" s="1"/>
      <c r="AH1345" s="1"/>
      <c r="AI1345" s="1"/>
      <c r="AJ1345" s="1"/>
      <c r="AK1345" s="1"/>
      <c r="AL1345" s="1"/>
      <c r="AM1345" s="1"/>
      <c r="AN1345" s="1"/>
      <c r="AO1345" s="1"/>
      <c r="AP1345" s="1"/>
      <c r="AQ1345" s="1"/>
      <c r="AR1345" s="1"/>
      <c r="AS1345" s="1"/>
      <c r="AT1345" s="1"/>
      <c r="AU1345" s="1"/>
      <c r="AV1345" s="1"/>
      <c r="AW1345" s="1"/>
      <c r="AX1345" s="1"/>
      <c r="AY1345" s="1"/>
      <c r="AZ1345" s="1"/>
      <c r="BA1345" s="1"/>
      <c r="BB1345" s="1"/>
      <c r="BC1345" s="1"/>
      <c r="BD1345" s="1"/>
      <c r="BE1345" s="1"/>
      <c r="BF1345" s="1"/>
      <c r="BG1345" s="1"/>
      <c r="BH1345" s="1"/>
      <c r="BI1345" s="1"/>
      <c r="BJ1345" s="1"/>
      <c r="BK1345" s="1"/>
      <c r="BL1345" s="1"/>
      <c r="BM1345" s="1"/>
      <c r="BN1345" s="1"/>
      <c r="BO1345" s="1"/>
      <c r="BP1345" s="1" t="s">
        <v>9609</v>
      </c>
      <c r="BQ1345" s="3"/>
      <c r="BR1345" s="3"/>
    </row>
    <row r="1346" spans="1:70">
      <c r="A1346" s="1" t="s">
        <v>70</v>
      </c>
      <c r="B1346" s="1" t="s">
        <v>13846</v>
      </c>
      <c r="C1346" s="1" t="s">
        <v>16372</v>
      </c>
      <c r="D1346" s="1"/>
      <c r="E1346" s="1"/>
      <c r="F1346" s="1"/>
      <c r="G1346" s="1"/>
      <c r="H1346" s="1" t="s">
        <v>16373</v>
      </c>
      <c r="I1346" s="1" t="s">
        <v>16373</v>
      </c>
      <c r="J1346" s="1"/>
      <c r="K1346" s="1"/>
      <c r="L1346" s="1"/>
      <c r="M1346" s="1"/>
      <c r="N1346" s="1"/>
      <c r="O1346" s="1"/>
      <c r="P1346" s="1"/>
      <c r="Q1346" s="1"/>
      <c r="R1346" s="1"/>
      <c r="S1346" s="1"/>
      <c r="T1346" s="1"/>
      <c r="U1346" s="1"/>
      <c r="V1346" s="1"/>
      <c r="W1346" s="1"/>
      <c r="X1346" s="1"/>
      <c r="Y1346" s="1"/>
      <c r="Z1346" s="1"/>
      <c r="AA1346" s="1"/>
      <c r="AB1346" s="1"/>
      <c r="AC1346" s="1"/>
      <c r="AD1346" s="1" t="s">
        <v>93</v>
      </c>
      <c r="AE1346" s="1" t="s">
        <v>93</v>
      </c>
      <c r="AF1346" s="1"/>
      <c r="AG1346" s="1"/>
      <c r="AH1346" s="1"/>
      <c r="AI1346" s="1"/>
      <c r="AJ1346" s="1"/>
      <c r="AK1346" s="1"/>
      <c r="AL1346" s="1"/>
      <c r="AM1346" s="1"/>
      <c r="AN1346" s="1"/>
      <c r="AO1346" s="1"/>
      <c r="AP1346" s="1"/>
      <c r="AQ1346" s="1"/>
      <c r="AR1346" s="1"/>
      <c r="AS1346" s="1"/>
      <c r="AT1346" s="1"/>
      <c r="AU1346" s="1"/>
      <c r="AV1346" s="1"/>
      <c r="AW1346" s="1"/>
      <c r="AX1346" s="1"/>
      <c r="AY1346" s="1"/>
      <c r="AZ1346" s="1"/>
      <c r="BA1346" s="1"/>
      <c r="BB1346" s="1"/>
      <c r="BC1346" s="1"/>
      <c r="BD1346" s="1"/>
      <c r="BE1346" s="1"/>
      <c r="BF1346" s="1"/>
      <c r="BG1346" s="1"/>
      <c r="BH1346" s="1"/>
      <c r="BI1346" s="1"/>
      <c r="BJ1346" s="1"/>
      <c r="BK1346" s="1"/>
      <c r="BL1346" s="1"/>
      <c r="BM1346" s="1"/>
      <c r="BN1346" s="1"/>
      <c r="BO1346" s="1"/>
      <c r="BP1346" s="1" t="s">
        <v>9609</v>
      </c>
      <c r="BQ1346" s="3"/>
      <c r="BR1346" s="3"/>
    </row>
    <row r="1347" spans="1:70">
      <c r="A1347" s="1" t="s">
        <v>70</v>
      </c>
      <c r="B1347" s="1" t="s">
        <v>13846</v>
      </c>
      <c r="C1347" s="1" t="s">
        <v>16374</v>
      </c>
      <c r="D1347" s="1"/>
      <c r="E1347" s="1"/>
      <c r="F1347" s="1"/>
      <c r="G1347" s="1"/>
      <c r="H1347" s="1" t="s">
        <v>16375</v>
      </c>
      <c r="I1347" s="1" t="s">
        <v>16375</v>
      </c>
      <c r="J1347" s="1"/>
      <c r="K1347" s="1"/>
      <c r="L1347" s="1"/>
      <c r="M1347" s="1"/>
      <c r="N1347" s="1"/>
      <c r="O1347" s="1"/>
      <c r="P1347" s="1"/>
      <c r="Q1347" s="1"/>
      <c r="R1347" s="1"/>
      <c r="S1347" s="1"/>
      <c r="T1347" s="1"/>
      <c r="U1347" s="1"/>
      <c r="V1347" s="1"/>
      <c r="W1347" s="1"/>
      <c r="X1347" s="1"/>
      <c r="Y1347" s="1"/>
      <c r="Z1347" s="1"/>
      <c r="AA1347" s="1"/>
      <c r="AB1347" s="1"/>
      <c r="AC1347" s="1"/>
      <c r="AD1347" s="1" t="s">
        <v>93</v>
      </c>
      <c r="AE1347" s="1" t="s">
        <v>93</v>
      </c>
      <c r="AF1347" s="1"/>
      <c r="AG1347" s="1"/>
      <c r="AH1347" s="1"/>
      <c r="AI1347" s="1"/>
      <c r="AJ1347" s="1"/>
      <c r="AK1347" s="1"/>
      <c r="AL1347" s="1"/>
      <c r="AM1347" s="1"/>
      <c r="AN1347" s="1"/>
      <c r="AO1347" s="1"/>
      <c r="AP1347" s="1"/>
      <c r="AQ1347" s="1"/>
      <c r="AR1347" s="1"/>
      <c r="AS1347" s="1"/>
      <c r="AT1347" s="1"/>
      <c r="AU1347" s="1"/>
      <c r="AV1347" s="1"/>
      <c r="AW1347" s="1"/>
      <c r="AX1347" s="1"/>
      <c r="AY1347" s="1"/>
      <c r="AZ1347" s="1"/>
      <c r="BA1347" s="1"/>
      <c r="BB1347" s="1"/>
      <c r="BC1347" s="1"/>
      <c r="BD1347" s="1"/>
      <c r="BE1347" s="1"/>
      <c r="BF1347" s="1"/>
      <c r="BG1347" s="1"/>
      <c r="BH1347" s="1"/>
      <c r="BI1347" s="1"/>
      <c r="BJ1347" s="1"/>
      <c r="BK1347" s="1"/>
      <c r="BL1347" s="1"/>
      <c r="BM1347" s="1"/>
      <c r="BN1347" s="1"/>
      <c r="BO1347" s="1"/>
      <c r="BP1347" s="1" t="s">
        <v>9609</v>
      </c>
      <c r="BQ1347" s="3"/>
      <c r="BR1347" s="3"/>
    </row>
    <row r="1348" spans="1:70">
      <c r="A1348" s="1" t="s">
        <v>70</v>
      </c>
      <c r="B1348" s="1" t="s">
        <v>13846</v>
      </c>
      <c r="C1348" s="1" t="s">
        <v>16376</v>
      </c>
      <c r="D1348" s="1"/>
      <c r="E1348" s="1"/>
      <c r="F1348" s="1"/>
      <c r="G1348" s="1"/>
      <c r="H1348" s="1" t="s">
        <v>16377</v>
      </c>
      <c r="I1348" s="1" t="s">
        <v>16377</v>
      </c>
      <c r="J1348" s="1"/>
      <c r="K1348" s="1"/>
      <c r="L1348" s="1"/>
      <c r="M1348" s="1"/>
      <c r="N1348" s="1"/>
      <c r="O1348" s="1"/>
      <c r="P1348" s="1"/>
      <c r="Q1348" s="1"/>
      <c r="R1348" s="1"/>
      <c r="S1348" s="1"/>
      <c r="T1348" s="1"/>
      <c r="U1348" s="1"/>
      <c r="V1348" s="1"/>
      <c r="W1348" s="1"/>
      <c r="X1348" s="1"/>
      <c r="Y1348" s="1"/>
      <c r="Z1348" s="1"/>
      <c r="AA1348" s="1"/>
      <c r="AB1348" s="1"/>
      <c r="AC1348" s="1"/>
      <c r="AD1348" s="1" t="s">
        <v>93</v>
      </c>
      <c r="AE1348" s="1" t="s">
        <v>93</v>
      </c>
      <c r="AF1348" s="1"/>
      <c r="AG1348" s="1"/>
      <c r="AH1348" s="1"/>
      <c r="AI1348" s="1"/>
      <c r="AJ1348" s="1"/>
      <c r="AK1348" s="1"/>
      <c r="AL1348" s="1"/>
      <c r="AM1348" s="1"/>
      <c r="AN1348" s="1"/>
      <c r="AO1348" s="1"/>
      <c r="AP1348" s="1"/>
      <c r="AQ1348" s="1"/>
      <c r="AR1348" s="1"/>
      <c r="AS1348" s="1"/>
      <c r="AT1348" s="1"/>
      <c r="AU1348" s="1"/>
      <c r="AV1348" s="1"/>
      <c r="AW1348" s="1"/>
      <c r="AX1348" s="1"/>
      <c r="AY1348" s="1"/>
      <c r="AZ1348" s="1"/>
      <c r="BA1348" s="1"/>
      <c r="BB1348" s="1"/>
      <c r="BC1348" s="1"/>
      <c r="BD1348" s="1"/>
      <c r="BE1348" s="1"/>
      <c r="BF1348" s="1"/>
      <c r="BG1348" s="1"/>
      <c r="BH1348" s="1"/>
      <c r="BI1348" s="1"/>
      <c r="BJ1348" s="1"/>
      <c r="BK1348" s="1"/>
      <c r="BL1348" s="1"/>
      <c r="BM1348" s="1"/>
      <c r="BN1348" s="1"/>
      <c r="BO1348" s="1"/>
      <c r="BP1348" s="1" t="s">
        <v>9609</v>
      </c>
      <c r="BQ1348" s="3"/>
      <c r="BR1348" s="3"/>
    </row>
    <row r="1349" spans="1:70">
      <c r="A1349" s="1" t="s">
        <v>70</v>
      </c>
      <c r="B1349" s="1" t="s">
        <v>13846</v>
      </c>
      <c r="C1349" s="1" t="s">
        <v>16378</v>
      </c>
      <c r="D1349" s="1"/>
      <c r="E1349" s="1"/>
      <c r="F1349" s="1"/>
      <c r="G1349" s="1"/>
      <c r="H1349" s="1" t="s">
        <v>16379</v>
      </c>
      <c r="I1349" s="1" t="s">
        <v>16379</v>
      </c>
      <c r="J1349" s="1"/>
      <c r="K1349" s="1"/>
      <c r="L1349" s="1"/>
      <c r="M1349" s="1"/>
      <c r="N1349" s="1"/>
      <c r="O1349" s="1"/>
      <c r="P1349" s="1"/>
      <c r="Q1349" s="1"/>
      <c r="R1349" s="1"/>
      <c r="S1349" s="1"/>
      <c r="T1349" s="1"/>
      <c r="U1349" s="1"/>
      <c r="V1349" s="1"/>
      <c r="W1349" s="1"/>
      <c r="X1349" s="1"/>
      <c r="Y1349" s="1"/>
      <c r="Z1349" s="1"/>
      <c r="AA1349" s="1"/>
      <c r="AB1349" s="1"/>
      <c r="AC1349" s="1"/>
      <c r="AD1349" s="1" t="s">
        <v>93</v>
      </c>
      <c r="AE1349" s="1" t="s">
        <v>93</v>
      </c>
      <c r="AF1349" s="1"/>
      <c r="AG1349" s="1"/>
      <c r="AH1349" s="1"/>
      <c r="AI1349" s="1"/>
      <c r="AJ1349" s="1"/>
      <c r="AK1349" s="1"/>
      <c r="AL1349" s="1"/>
      <c r="AM1349" s="1"/>
      <c r="AN1349" s="1"/>
      <c r="AO1349" s="1"/>
      <c r="AP1349" s="1"/>
      <c r="AQ1349" s="1"/>
      <c r="AR1349" s="1"/>
      <c r="AS1349" s="1"/>
      <c r="AT1349" s="1"/>
      <c r="AU1349" s="1"/>
      <c r="AV1349" s="1"/>
      <c r="AW1349" s="1"/>
      <c r="AX1349" s="1"/>
      <c r="AY1349" s="1"/>
      <c r="AZ1349" s="1"/>
      <c r="BA1349" s="1"/>
      <c r="BB1349" s="1"/>
      <c r="BC1349" s="1"/>
      <c r="BD1349" s="1"/>
      <c r="BE1349" s="1"/>
      <c r="BF1349" s="1"/>
      <c r="BG1349" s="1"/>
      <c r="BH1349" s="1"/>
      <c r="BI1349" s="1"/>
      <c r="BJ1349" s="1"/>
      <c r="BK1349" s="1"/>
      <c r="BL1349" s="1"/>
      <c r="BM1349" s="1"/>
      <c r="BN1349" s="1"/>
      <c r="BO1349" s="1"/>
      <c r="BP1349" s="1" t="s">
        <v>9609</v>
      </c>
      <c r="BQ1349" s="3"/>
      <c r="BR1349" s="3"/>
    </row>
    <row r="1350" spans="1:70">
      <c r="A1350" s="1" t="s">
        <v>70</v>
      </c>
      <c r="B1350" s="1" t="s">
        <v>13846</v>
      </c>
      <c r="C1350" s="1" t="s">
        <v>16380</v>
      </c>
      <c r="D1350" s="1"/>
      <c r="E1350" s="1"/>
      <c r="F1350" s="1"/>
      <c r="G1350" s="1"/>
      <c r="H1350" s="1" t="s">
        <v>16381</v>
      </c>
      <c r="I1350" s="1" t="s">
        <v>16381</v>
      </c>
      <c r="J1350" s="1"/>
      <c r="K1350" s="1"/>
      <c r="L1350" s="1"/>
      <c r="M1350" s="1"/>
      <c r="N1350" s="1"/>
      <c r="O1350" s="1"/>
      <c r="P1350" s="1"/>
      <c r="Q1350" s="1"/>
      <c r="R1350" s="1"/>
      <c r="S1350" s="1"/>
      <c r="T1350" s="1"/>
      <c r="U1350" s="1"/>
      <c r="V1350" s="1"/>
      <c r="W1350" s="1"/>
      <c r="X1350" s="1"/>
      <c r="Y1350" s="1"/>
      <c r="Z1350" s="1"/>
      <c r="AA1350" s="1"/>
      <c r="AB1350" s="1"/>
      <c r="AC1350" s="1"/>
      <c r="AD1350" s="1" t="s">
        <v>93</v>
      </c>
      <c r="AE1350" s="1" t="s">
        <v>93</v>
      </c>
      <c r="AF1350" s="1"/>
      <c r="AG1350" s="1"/>
      <c r="AH1350" s="1"/>
      <c r="AI1350" s="1"/>
      <c r="AJ1350" s="1"/>
      <c r="AK1350" s="1"/>
      <c r="AL1350" s="1"/>
      <c r="AM1350" s="1"/>
      <c r="AN1350" s="1"/>
      <c r="AO1350" s="1"/>
      <c r="AP1350" s="1"/>
      <c r="AQ1350" s="1"/>
      <c r="AR1350" s="1"/>
      <c r="AS1350" s="1"/>
      <c r="AT1350" s="1"/>
      <c r="AU1350" s="1"/>
      <c r="AV1350" s="1"/>
      <c r="AW1350" s="1"/>
      <c r="AX1350" s="1"/>
      <c r="AY1350" s="1"/>
      <c r="AZ1350" s="1"/>
      <c r="BA1350" s="1"/>
      <c r="BB1350" s="1"/>
      <c r="BC1350" s="1"/>
      <c r="BD1350" s="1"/>
      <c r="BE1350" s="1"/>
      <c r="BF1350" s="1"/>
      <c r="BG1350" s="1"/>
      <c r="BH1350" s="1"/>
      <c r="BI1350" s="1"/>
      <c r="BJ1350" s="1"/>
      <c r="BK1350" s="1"/>
      <c r="BL1350" s="1"/>
      <c r="BM1350" s="1"/>
      <c r="BN1350" s="1"/>
      <c r="BO1350" s="1"/>
      <c r="BP1350" s="1" t="s">
        <v>9609</v>
      </c>
      <c r="BQ1350" s="3"/>
      <c r="BR1350" s="3"/>
    </row>
    <row r="1351" spans="1:70">
      <c r="A1351" s="1" t="s">
        <v>70</v>
      </c>
      <c r="B1351" s="1" t="s">
        <v>13846</v>
      </c>
      <c r="C1351" s="1" t="s">
        <v>16382</v>
      </c>
      <c r="D1351" s="1"/>
      <c r="E1351" s="1"/>
      <c r="F1351" s="1"/>
      <c r="G1351" s="1"/>
      <c r="H1351" s="1" t="s">
        <v>16383</v>
      </c>
      <c r="I1351" s="1" t="s">
        <v>16383</v>
      </c>
      <c r="J1351" s="1"/>
      <c r="K1351" s="1"/>
      <c r="L1351" s="1"/>
      <c r="M1351" s="1"/>
      <c r="N1351" s="1"/>
      <c r="O1351" s="1"/>
      <c r="P1351" s="1"/>
      <c r="Q1351" s="1"/>
      <c r="R1351" s="1"/>
      <c r="S1351" s="1"/>
      <c r="T1351" s="1"/>
      <c r="U1351" s="1"/>
      <c r="V1351" s="1"/>
      <c r="W1351" s="1"/>
      <c r="X1351" s="1"/>
      <c r="Y1351" s="1"/>
      <c r="Z1351" s="1"/>
      <c r="AA1351" s="1"/>
      <c r="AB1351" s="1"/>
      <c r="AC1351" s="1"/>
      <c r="AD1351" s="1" t="s">
        <v>93</v>
      </c>
      <c r="AE1351" s="1" t="s">
        <v>93</v>
      </c>
      <c r="AF1351" s="1"/>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t="s">
        <v>9609</v>
      </c>
      <c r="BQ1351" s="3"/>
      <c r="BR1351" s="3"/>
    </row>
    <row r="1352" spans="1:70">
      <c r="A1352" s="1" t="s">
        <v>70</v>
      </c>
      <c r="B1352" s="1" t="s">
        <v>13846</v>
      </c>
      <c r="C1352" s="1" t="s">
        <v>16384</v>
      </c>
      <c r="D1352" s="1"/>
      <c r="E1352" s="1"/>
      <c r="F1352" s="1"/>
      <c r="G1352" s="1"/>
      <c r="H1352" s="1" t="s">
        <v>16385</v>
      </c>
      <c r="I1352" s="1" t="s">
        <v>16385</v>
      </c>
      <c r="J1352" s="1"/>
      <c r="K1352" s="1"/>
      <c r="L1352" s="1"/>
      <c r="M1352" s="1"/>
      <c r="N1352" s="1"/>
      <c r="O1352" s="1"/>
      <c r="P1352" s="1"/>
      <c r="Q1352" s="1"/>
      <c r="R1352" s="1"/>
      <c r="S1352" s="1"/>
      <c r="T1352" s="1"/>
      <c r="U1352" s="1"/>
      <c r="V1352" s="1"/>
      <c r="W1352" s="1"/>
      <c r="X1352" s="1"/>
      <c r="Y1352" s="1"/>
      <c r="Z1352" s="1"/>
      <c r="AA1352" s="1"/>
      <c r="AB1352" s="1"/>
      <c r="AC1352" s="1"/>
      <c r="AD1352" s="1" t="s">
        <v>93</v>
      </c>
      <c r="AE1352" s="1" t="s">
        <v>93</v>
      </c>
      <c r="AF1352" s="1"/>
      <c r="AG1352" s="1"/>
      <c r="AH1352" s="1"/>
      <c r="AI1352" s="1"/>
      <c r="AJ1352" s="1"/>
      <c r="AK1352" s="1"/>
      <c r="AL1352" s="1"/>
      <c r="AM1352" s="1"/>
      <c r="AN1352" s="1"/>
      <c r="AO1352" s="1"/>
      <c r="AP1352" s="1"/>
      <c r="AQ1352" s="1"/>
      <c r="AR1352" s="1"/>
      <c r="AS1352" s="1"/>
      <c r="AT1352" s="1"/>
      <c r="AU1352" s="1"/>
      <c r="AV1352" s="1"/>
      <c r="AW1352" s="1"/>
      <c r="AX1352" s="1"/>
      <c r="AY1352" s="1"/>
      <c r="AZ1352" s="1"/>
      <c r="BA1352" s="1"/>
      <c r="BB1352" s="1"/>
      <c r="BC1352" s="1"/>
      <c r="BD1352" s="1"/>
      <c r="BE1352" s="1"/>
      <c r="BF1352" s="1"/>
      <c r="BG1352" s="1"/>
      <c r="BH1352" s="1"/>
      <c r="BI1352" s="1"/>
      <c r="BJ1352" s="1"/>
      <c r="BK1352" s="1"/>
      <c r="BL1352" s="1"/>
      <c r="BM1352" s="1"/>
      <c r="BN1352" s="1"/>
      <c r="BO1352" s="1"/>
      <c r="BP1352" s="1" t="s">
        <v>9609</v>
      </c>
      <c r="BQ1352" s="3"/>
      <c r="BR1352" s="3"/>
    </row>
    <row r="1353" spans="1:70">
      <c r="A1353" s="1" t="s">
        <v>70</v>
      </c>
      <c r="B1353" s="1" t="s">
        <v>13846</v>
      </c>
      <c r="C1353" s="1" t="s">
        <v>16386</v>
      </c>
      <c r="D1353" s="1"/>
      <c r="E1353" s="1"/>
      <c r="F1353" s="1"/>
      <c r="G1353" s="1"/>
      <c r="H1353" s="1" t="s">
        <v>16387</v>
      </c>
      <c r="I1353" s="1" t="s">
        <v>16387</v>
      </c>
      <c r="J1353" s="1"/>
      <c r="K1353" s="1"/>
      <c r="L1353" s="1"/>
      <c r="M1353" s="1"/>
      <c r="N1353" s="1"/>
      <c r="O1353" s="1"/>
      <c r="P1353" s="1"/>
      <c r="Q1353" s="1"/>
      <c r="R1353" s="1"/>
      <c r="S1353" s="1"/>
      <c r="T1353" s="1"/>
      <c r="U1353" s="1"/>
      <c r="V1353" s="1"/>
      <c r="W1353" s="1"/>
      <c r="X1353" s="1"/>
      <c r="Y1353" s="1"/>
      <c r="Z1353" s="1"/>
      <c r="AA1353" s="1"/>
      <c r="AB1353" s="1"/>
      <c r="AC1353" s="1"/>
      <c r="AD1353" s="1" t="s">
        <v>93</v>
      </c>
      <c r="AE1353" s="1" t="s">
        <v>93</v>
      </c>
      <c r="AF1353" s="1"/>
      <c r="AG1353" s="1"/>
      <c r="AH1353" s="1"/>
      <c r="AI1353" s="1"/>
      <c r="AJ1353" s="1"/>
      <c r="AK1353" s="1"/>
      <c r="AL1353" s="1"/>
      <c r="AM1353" s="1"/>
      <c r="AN1353" s="1"/>
      <c r="AO1353" s="1"/>
      <c r="AP1353" s="1"/>
      <c r="AQ1353" s="1"/>
      <c r="AR1353" s="1"/>
      <c r="AS1353" s="1"/>
      <c r="AT1353" s="1"/>
      <c r="AU1353" s="1"/>
      <c r="AV1353" s="1"/>
      <c r="AW1353" s="1"/>
      <c r="AX1353" s="1"/>
      <c r="AY1353" s="1"/>
      <c r="AZ1353" s="1"/>
      <c r="BA1353" s="1"/>
      <c r="BB1353" s="1"/>
      <c r="BC1353" s="1"/>
      <c r="BD1353" s="1"/>
      <c r="BE1353" s="1"/>
      <c r="BF1353" s="1"/>
      <c r="BG1353" s="1"/>
      <c r="BH1353" s="1"/>
      <c r="BI1353" s="1"/>
      <c r="BJ1353" s="1"/>
      <c r="BK1353" s="1"/>
      <c r="BL1353" s="1"/>
      <c r="BM1353" s="1"/>
      <c r="BN1353" s="1"/>
      <c r="BO1353" s="1"/>
      <c r="BP1353" s="1" t="s">
        <v>9609</v>
      </c>
      <c r="BQ1353" s="3"/>
      <c r="BR1353" s="3"/>
    </row>
    <row r="1354" spans="1:70">
      <c r="A1354" s="1" t="s">
        <v>70</v>
      </c>
      <c r="B1354" s="1" t="s">
        <v>13846</v>
      </c>
      <c r="C1354" s="1" t="s">
        <v>16388</v>
      </c>
      <c r="D1354" s="1"/>
      <c r="E1354" s="1"/>
      <c r="F1354" s="1"/>
      <c r="G1354" s="1"/>
      <c r="H1354" s="1" t="s">
        <v>16389</v>
      </c>
      <c r="I1354" s="1" t="s">
        <v>16389</v>
      </c>
      <c r="J1354" s="1"/>
      <c r="K1354" s="1"/>
      <c r="L1354" s="1"/>
      <c r="M1354" s="1"/>
      <c r="N1354" s="1"/>
      <c r="O1354" s="1"/>
      <c r="P1354" s="1"/>
      <c r="Q1354" s="1"/>
      <c r="R1354" s="1"/>
      <c r="S1354" s="1"/>
      <c r="T1354" s="1"/>
      <c r="U1354" s="1"/>
      <c r="V1354" s="1"/>
      <c r="W1354" s="1"/>
      <c r="X1354" s="1"/>
      <c r="Y1354" s="1"/>
      <c r="Z1354" s="1"/>
      <c r="AA1354" s="1"/>
      <c r="AB1354" s="1"/>
      <c r="AC1354" s="1"/>
      <c r="AD1354" s="1" t="s">
        <v>93</v>
      </c>
      <c r="AE1354" s="1" t="s">
        <v>93</v>
      </c>
      <c r="AF1354" s="1"/>
      <c r="AG1354" s="1"/>
      <c r="AH1354" s="1"/>
      <c r="AI1354" s="1"/>
      <c r="AJ1354" s="1"/>
      <c r="AK1354" s="1"/>
      <c r="AL1354" s="1"/>
      <c r="AM1354" s="1"/>
      <c r="AN1354" s="1"/>
      <c r="AO1354" s="1"/>
      <c r="AP1354" s="1"/>
      <c r="AQ1354" s="1"/>
      <c r="AR1354" s="1"/>
      <c r="AS1354" s="1"/>
      <c r="AT1354" s="1"/>
      <c r="AU1354" s="1"/>
      <c r="AV1354" s="1"/>
      <c r="AW1354" s="1"/>
      <c r="AX1354" s="1"/>
      <c r="AY1354" s="1"/>
      <c r="AZ1354" s="1"/>
      <c r="BA1354" s="1"/>
      <c r="BB1354" s="1"/>
      <c r="BC1354" s="1"/>
      <c r="BD1354" s="1"/>
      <c r="BE1354" s="1"/>
      <c r="BF1354" s="1"/>
      <c r="BG1354" s="1"/>
      <c r="BH1354" s="1"/>
      <c r="BI1354" s="1"/>
      <c r="BJ1354" s="1"/>
      <c r="BK1354" s="1"/>
      <c r="BL1354" s="1"/>
      <c r="BM1354" s="1"/>
      <c r="BN1354" s="1"/>
      <c r="BO1354" s="1"/>
      <c r="BP1354" s="1" t="s">
        <v>9609</v>
      </c>
      <c r="BQ1354" s="3"/>
      <c r="BR1354" s="3"/>
    </row>
    <row r="1355" spans="1:70">
      <c r="A1355" s="1" t="s">
        <v>70</v>
      </c>
      <c r="B1355" s="1" t="s">
        <v>13846</v>
      </c>
      <c r="C1355" s="1" t="s">
        <v>16390</v>
      </c>
      <c r="D1355" s="1"/>
      <c r="E1355" s="1"/>
      <c r="F1355" s="1"/>
      <c r="G1355" s="1"/>
      <c r="H1355" s="1" t="s">
        <v>16391</v>
      </c>
      <c r="I1355" s="1" t="s">
        <v>16391</v>
      </c>
      <c r="J1355" s="1"/>
      <c r="K1355" s="1"/>
      <c r="L1355" s="1"/>
      <c r="M1355" s="1"/>
      <c r="N1355" s="1"/>
      <c r="O1355" s="1"/>
      <c r="P1355" s="1"/>
      <c r="Q1355" s="1"/>
      <c r="R1355" s="1"/>
      <c r="S1355" s="1"/>
      <c r="T1355" s="1"/>
      <c r="U1355" s="1"/>
      <c r="V1355" s="1"/>
      <c r="W1355" s="1"/>
      <c r="X1355" s="1"/>
      <c r="Y1355" s="1"/>
      <c r="Z1355" s="1"/>
      <c r="AA1355" s="1"/>
      <c r="AB1355" s="1"/>
      <c r="AC1355" s="1"/>
      <c r="AD1355" s="1" t="s">
        <v>93</v>
      </c>
      <c r="AE1355" s="1" t="s">
        <v>93</v>
      </c>
      <c r="AF1355" s="1"/>
      <c r="AG1355" s="1"/>
      <c r="AH1355" s="1"/>
      <c r="AI1355" s="1"/>
      <c r="AJ1355" s="1"/>
      <c r="AK1355" s="1"/>
      <c r="AL1355" s="1"/>
      <c r="AM1355" s="1"/>
      <c r="AN1355" s="1"/>
      <c r="AO1355" s="1"/>
      <c r="AP1355" s="1"/>
      <c r="AQ1355" s="1"/>
      <c r="AR1355" s="1"/>
      <c r="AS1355" s="1"/>
      <c r="AT1355" s="1"/>
      <c r="AU1355" s="1"/>
      <c r="AV1355" s="1"/>
      <c r="AW1355" s="1"/>
      <c r="AX1355" s="1"/>
      <c r="AY1355" s="1"/>
      <c r="AZ1355" s="1"/>
      <c r="BA1355" s="1"/>
      <c r="BB1355" s="1"/>
      <c r="BC1355" s="1"/>
      <c r="BD1355" s="1"/>
      <c r="BE1355" s="1"/>
      <c r="BF1355" s="1"/>
      <c r="BG1355" s="1"/>
      <c r="BH1355" s="1"/>
      <c r="BI1355" s="1"/>
      <c r="BJ1355" s="1"/>
      <c r="BK1355" s="1"/>
      <c r="BL1355" s="1"/>
      <c r="BM1355" s="1"/>
      <c r="BN1355" s="1"/>
      <c r="BO1355" s="1"/>
      <c r="BP1355" s="1" t="s">
        <v>9609</v>
      </c>
      <c r="BQ1355" s="3"/>
      <c r="BR1355" s="3"/>
    </row>
    <row r="1356" spans="1:70">
      <c r="A1356" s="1" t="s">
        <v>70</v>
      </c>
      <c r="B1356" s="1" t="s">
        <v>13846</v>
      </c>
      <c r="C1356" s="1" t="s">
        <v>16392</v>
      </c>
      <c r="D1356" s="1"/>
      <c r="E1356" s="1"/>
      <c r="F1356" s="1"/>
      <c r="G1356" s="1"/>
      <c r="H1356" s="1" t="s">
        <v>16393</v>
      </c>
      <c r="I1356" s="1" t="s">
        <v>16393</v>
      </c>
      <c r="J1356" s="1"/>
      <c r="K1356" s="1"/>
      <c r="L1356" s="1"/>
      <c r="M1356" s="1"/>
      <c r="N1356" s="1"/>
      <c r="O1356" s="1"/>
      <c r="P1356" s="1"/>
      <c r="Q1356" s="1"/>
      <c r="R1356" s="1"/>
      <c r="S1356" s="1"/>
      <c r="T1356" s="1"/>
      <c r="U1356" s="1"/>
      <c r="V1356" s="1"/>
      <c r="W1356" s="1"/>
      <c r="X1356" s="1"/>
      <c r="Y1356" s="1"/>
      <c r="Z1356" s="1"/>
      <c r="AA1356" s="1"/>
      <c r="AB1356" s="1"/>
      <c r="AC1356" s="1"/>
      <c r="AD1356" s="1" t="s">
        <v>93</v>
      </c>
      <c r="AE1356" s="1" t="s">
        <v>93</v>
      </c>
      <c r="AF1356" s="1"/>
      <c r="AG1356" s="1"/>
      <c r="AH1356" s="1"/>
      <c r="AI1356" s="1"/>
      <c r="AJ1356" s="1"/>
      <c r="AK1356" s="1"/>
      <c r="AL1356" s="1"/>
      <c r="AM1356" s="1"/>
      <c r="AN1356" s="1"/>
      <c r="AO1356" s="1"/>
      <c r="AP1356" s="1"/>
      <c r="AQ1356" s="1"/>
      <c r="AR1356" s="1"/>
      <c r="AS1356" s="1"/>
      <c r="AT1356" s="1"/>
      <c r="AU1356" s="1"/>
      <c r="AV1356" s="1"/>
      <c r="AW1356" s="1"/>
      <c r="AX1356" s="1"/>
      <c r="AY1356" s="1"/>
      <c r="AZ1356" s="1"/>
      <c r="BA1356" s="1"/>
      <c r="BB1356" s="1"/>
      <c r="BC1356" s="1"/>
      <c r="BD1356" s="1"/>
      <c r="BE1356" s="1"/>
      <c r="BF1356" s="1"/>
      <c r="BG1356" s="1"/>
      <c r="BH1356" s="1"/>
      <c r="BI1356" s="1"/>
      <c r="BJ1356" s="1"/>
      <c r="BK1356" s="1"/>
      <c r="BL1356" s="1"/>
      <c r="BM1356" s="1"/>
      <c r="BN1356" s="1"/>
      <c r="BO1356" s="1"/>
      <c r="BP1356" s="1" t="s">
        <v>9609</v>
      </c>
      <c r="BQ1356" s="3"/>
      <c r="BR1356" s="3"/>
    </row>
    <row r="1357" spans="1:70">
      <c r="A1357" s="1" t="s">
        <v>70</v>
      </c>
      <c r="B1357" s="1" t="s">
        <v>13846</v>
      </c>
      <c r="C1357" s="1" t="s">
        <v>16394</v>
      </c>
      <c r="D1357" s="1"/>
      <c r="E1357" s="1"/>
      <c r="F1357" s="1"/>
      <c r="G1357" s="1"/>
      <c r="H1357" s="1" t="s">
        <v>16395</v>
      </c>
      <c r="I1357" s="1" t="s">
        <v>16395</v>
      </c>
      <c r="J1357" s="1"/>
      <c r="K1357" s="1"/>
      <c r="L1357" s="1"/>
      <c r="M1357" s="1"/>
      <c r="N1357" s="1"/>
      <c r="O1357" s="1"/>
      <c r="P1357" s="1"/>
      <c r="Q1357" s="1"/>
      <c r="R1357" s="1"/>
      <c r="S1357" s="1"/>
      <c r="T1357" s="1"/>
      <c r="U1357" s="1"/>
      <c r="V1357" s="1"/>
      <c r="W1357" s="1"/>
      <c r="X1357" s="1"/>
      <c r="Y1357" s="1"/>
      <c r="Z1357" s="1"/>
      <c r="AA1357" s="1"/>
      <c r="AB1357" s="1"/>
      <c r="AC1357" s="1"/>
      <c r="AD1357" s="1" t="s">
        <v>93</v>
      </c>
      <c r="AE1357" s="1" t="s">
        <v>93</v>
      </c>
      <c r="AF1357" s="1"/>
      <c r="AG1357" s="1"/>
      <c r="AH1357" s="1"/>
      <c r="AI1357" s="1"/>
      <c r="AJ1357" s="1"/>
      <c r="AK1357" s="1"/>
      <c r="AL1357" s="1"/>
      <c r="AM1357" s="1"/>
      <c r="AN1357" s="1"/>
      <c r="AO1357" s="1"/>
      <c r="AP1357" s="1"/>
      <c r="AQ1357" s="1"/>
      <c r="AR1357" s="1"/>
      <c r="AS1357" s="1"/>
      <c r="AT1357" s="1"/>
      <c r="AU1357" s="1"/>
      <c r="AV1357" s="1"/>
      <c r="AW1357" s="1"/>
      <c r="AX1357" s="1"/>
      <c r="AY1357" s="1"/>
      <c r="AZ1357" s="1"/>
      <c r="BA1357" s="1"/>
      <c r="BB1357" s="1"/>
      <c r="BC1357" s="1"/>
      <c r="BD1357" s="1"/>
      <c r="BE1357" s="1"/>
      <c r="BF1357" s="1"/>
      <c r="BG1357" s="1"/>
      <c r="BH1357" s="1"/>
      <c r="BI1357" s="1"/>
      <c r="BJ1357" s="1"/>
      <c r="BK1357" s="1"/>
      <c r="BL1357" s="1"/>
      <c r="BM1357" s="1"/>
      <c r="BN1357" s="1"/>
      <c r="BO1357" s="1"/>
      <c r="BP1357" s="1" t="s">
        <v>9609</v>
      </c>
      <c r="BQ1357" s="3"/>
      <c r="BR1357" s="3"/>
    </row>
    <row r="1358" spans="1:70">
      <c r="A1358" s="1" t="s">
        <v>70</v>
      </c>
      <c r="B1358" s="1" t="s">
        <v>13846</v>
      </c>
      <c r="C1358" s="1" t="s">
        <v>16396</v>
      </c>
      <c r="D1358" s="1"/>
      <c r="E1358" s="1"/>
      <c r="F1358" s="1"/>
      <c r="G1358" s="1"/>
      <c r="H1358" s="1" t="s">
        <v>16397</v>
      </c>
      <c r="I1358" s="1" t="s">
        <v>16397</v>
      </c>
      <c r="J1358" s="1"/>
      <c r="K1358" s="1"/>
      <c r="L1358" s="1"/>
      <c r="M1358" s="1"/>
      <c r="N1358" s="1"/>
      <c r="O1358" s="1"/>
      <c r="P1358" s="1"/>
      <c r="Q1358" s="1"/>
      <c r="R1358" s="1"/>
      <c r="S1358" s="1"/>
      <c r="T1358" s="1"/>
      <c r="U1358" s="1"/>
      <c r="V1358" s="1"/>
      <c r="W1358" s="1"/>
      <c r="X1358" s="1"/>
      <c r="Y1358" s="1"/>
      <c r="Z1358" s="1"/>
      <c r="AA1358" s="1"/>
      <c r="AB1358" s="1"/>
      <c r="AC1358" s="1"/>
      <c r="AD1358" s="1" t="s">
        <v>93</v>
      </c>
      <c r="AE1358" s="1" t="s">
        <v>93</v>
      </c>
      <c r="AF1358" s="1"/>
      <c r="AG1358" s="1"/>
      <c r="AH1358" s="1"/>
      <c r="AI1358" s="1"/>
      <c r="AJ1358" s="1"/>
      <c r="AK1358" s="1"/>
      <c r="AL1358" s="1"/>
      <c r="AM1358" s="1"/>
      <c r="AN1358" s="1"/>
      <c r="AO1358" s="1"/>
      <c r="AP1358" s="1"/>
      <c r="AQ1358" s="1"/>
      <c r="AR1358" s="1"/>
      <c r="AS1358" s="1"/>
      <c r="AT1358" s="1"/>
      <c r="AU1358" s="1"/>
      <c r="AV1358" s="1"/>
      <c r="AW1358" s="1"/>
      <c r="AX1358" s="1"/>
      <c r="AY1358" s="1"/>
      <c r="AZ1358" s="1"/>
      <c r="BA1358" s="1"/>
      <c r="BB1358" s="1"/>
      <c r="BC1358" s="1"/>
      <c r="BD1358" s="1"/>
      <c r="BE1358" s="1"/>
      <c r="BF1358" s="1"/>
      <c r="BG1358" s="1"/>
      <c r="BH1358" s="1"/>
      <c r="BI1358" s="1"/>
      <c r="BJ1358" s="1"/>
      <c r="BK1358" s="1"/>
      <c r="BL1358" s="1"/>
      <c r="BM1358" s="1"/>
      <c r="BN1358" s="1"/>
      <c r="BO1358" s="1"/>
      <c r="BP1358" s="1" t="s">
        <v>9609</v>
      </c>
      <c r="BQ1358" s="3"/>
      <c r="BR1358" s="3"/>
    </row>
    <row r="1359" spans="1:70">
      <c r="A1359" s="1" t="s">
        <v>70</v>
      </c>
      <c r="B1359" s="1" t="s">
        <v>13846</v>
      </c>
      <c r="C1359" s="1" t="s">
        <v>16398</v>
      </c>
      <c r="D1359" s="1"/>
      <c r="E1359" s="1"/>
      <c r="F1359" s="1"/>
      <c r="G1359" s="1"/>
      <c r="H1359" s="1" t="s">
        <v>16399</v>
      </c>
      <c r="I1359" s="1" t="s">
        <v>16399</v>
      </c>
      <c r="J1359" s="1"/>
      <c r="K1359" s="1"/>
      <c r="L1359" s="1"/>
      <c r="M1359" s="1"/>
      <c r="N1359" s="1"/>
      <c r="O1359" s="1"/>
      <c r="P1359" s="1"/>
      <c r="Q1359" s="1"/>
      <c r="R1359" s="1"/>
      <c r="S1359" s="1"/>
      <c r="T1359" s="1"/>
      <c r="U1359" s="1"/>
      <c r="V1359" s="1"/>
      <c r="W1359" s="1"/>
      <c r="X1359" s="1"/>
      <c r="Y1359" s="1"/>
      <c r="Z1359" s="1"/>
      <c r="AA1359" s="1"/>
      <c r="AB1359" s="1"/>
      <c r="AC1359" s="1"/>
      <c r="AD1359" s="1" t="s">
        <v>93</v>
      </c>
      <c r="AE1359" s="1" t="s">
        <v>93</v>
      </c>
      <c r="AF1359" s="1"/>
      <c r="AG1359" s="1"/>
      <c r="AH1359" s="1"/>
      <c r="AI1359" s="1"/>
      <c r="AJ1359" s="1"/>
      <c r="AK1359" s="1"/>
      <c r="AL1359" s="1"/>
      <c r="AM1359" s="1"/>
      <c r="AN1359" s="1"/>
      <c r="AO1359" s="1"/>
      <c r="AP1359" s="1"/>
      <c r="AQ1359" s="1"/>
      <c r="AR1359" s="1"/>
      <c r="AS1359" s="1"/>
      <c r="AT1359" s="1"/>
      <c r="AU1359" s="1"/>
      <c r="AV1359" s="1"/>
      <c r="AW1359" s="1"/>
      <c r="AX1359" s="1"/>
      <c r="AY1359" s="1"/>
      <c r="AZ1359" s="1"/>
      <c r="BA1359" s="1"/>
      <c r="BB1359" s="1"/>
      <c r="BC1359" s="1"/>
      <c r="BD1359" s="1"/>
      <c r="BE1359" s="1"/>
      <c r="BF1359" s="1"/>
      <c r="BG1359" s="1"/>
      <c r="BH1359" s="1"/>
      <c r="BI1359" s="1"/>
      <c r="BJ1359" s="1"/>
      <c r="BK1359" s="1"/>
      <c r="BL1359" s="1"/>
      <c r="BM1359" s="1"/>
      <c r="BN1359" s="1"/>
      <c r="BO1359" s="1"/>
      <c r="BP1359" s="1" t="s">
        <v>9609</v>
      </c>
      <c r="BQ1359" s="3"/>
      <c r="BR1359" s="3"/>
    </row>
    <row r="1360" spans="1:70">
      <c r="A1360" s="1" t="s">
        <v>70</v>
      </c>
      <c r="B1360" s="1" t="s">
        <v>13846</v>
      </c>
      <c r="C1360" s="1" t="s">
        <v>16400</v>
      </c>
      <c r="D1360" s="1"/>
      <c r="E1360" s="1"/>
      <c r="F1360" s="1"/>
      <c r="G1360" s="1"/>
      <c r="H1360" s="1" t="s">
        <v>16401</v>
      </c>
      <c r="I1360" s="1" t="s">
        <v>16401</v>
      </c>
      <c r="J1360" s="1"/>
      <c r="K1360" s="1"/>
      <c r="L1360" s="1"/>
      <c r="M1360" s="1"/>
      <c r="N1360" s="1"/>
      <c r="O1360" s="1"/>
      <c r="P1360" s="1"/>
      <c r="Q1360" s="1"/>
      <c r="R1360" s="1"/>
      <c r="S1360" s="1"/>
      <c r="T1360" s="1"/>
      <c r="U1360" s="1"/>
      <c r="V1360" s="1"/>
      <c r="W1360" s="1"/>
      <c r="X1360" s="1"/>
      <c r="Y1360" s="1"/>
      <c r="Z1360" s="1"/>
      <c r="AA1360" s="1"/>
      <c r="AB1360" s="1"/>
      <c r="AC1360" s="1"/>
      <c r="AD1360" s="1" t="s">
        <v>93</v>
      </c>
      <c r="AE1360" s="1" t="s">
        <v>93</v>
      </c>
      <c r="AF1360" s="1"/>
      <c r="AG1360" s="1"/>
      <c r="AH1360" s="1"/>
      <c r="AI1360" s="1"/>
      <c r="AJ1360" s="1"/>
      <c r="AK1360" s="1"/>
      <c r="AL1360" s="1"/>
      <c r="AM1360" s="1"/>
      <c r="AN1360" s="1"/>
      <c r="AO1360" s="1"/>
      <c r="AP1360" s="1"/>
      <c r="AQ1360" s="1"/>
      <c r="AR1360" s="1"/>
      <c r="AS1360" s="1"/>
      <c r="AT1360" s="1"/>
      <c r="AU1360" s="1"/>
      <c r="AV1360" s="1"/>
      <c r="AW1360" s="1"/>
      <c r="AX1360" s="1"/>
      <c r="AY1360" s="1"/>
      <c r="AZ1360" s="1"/>
      <c r="BA1360" s="1"/>
      <c r="BB1360" s="1"/>
      <c r="BC1360" s="1"/>
      <c r="BD1360" s="1"/>
      <c r="BE1360" s="1"/>
      <c r="BF1360" s="1"/>
      <c r="BG1360" s="1"/>
      <c r="BH1360" s="1"/>
      <c r="BI1360" s="1"/>
      <c r="BJ1360" s="1"/>
      <c r="BK1360" s="1"/>
      <c r="BL1360" s="1"/>
      <c r="BM1360" s="1"/>
      <c r="BN1360" s="1"/>
      <c r="BO1360" s="1"/>
      <c r="BP1360" s="1" t="s">
        <v>9609</v>
      </c>
      <c r="BQ1360" s="3"/>
      <c r="BR1360" s="3"/>
    </row>
    <row r="1361" spans="1:70">
      <c r="A1361" s="1" t="s">
        <v>70</v>
      </c>
      <c r="B1361" s="1" t="s">
        <v>13846</v>
      </c>
      <c r="C1361" s="1" t="s">
        <v>16402</v>
      </c>
      <c r="D1361" s="1"/>
      <c r="E1361" s="1"/>
      <c r="F1361" s="1"/>
      <c r="G1361" s="1"/>
      <c r="H1361" s="1" t="s">
        <v>16403</v>
      </c>
      <c r="I1361" s="1" t="s">
        <v>16403</v>
      </c>
      <c r="J1361" s="1"/>
      <c r="K1361" s="1"/>
      <c r="L1361" s="1"/>
      <c r="M1361" s="1"/>
      <c r="N1361" s="1"/>
      <c r="O1361" s="1"/>
      <c r="P1361" s="1"/>
      <c r="Q1361" s="1"/>
      <c r="R1361" s="1"/>
      <c r="S1361" s="1"/>
      <c r="T1361" s="1"/>
      <c r="U1361" s="1"/>
      <c r="V1361" s="1"/>
      <c r="W1361" s="1"/>
      <c r="X1361" s="1"/>
      <c r="Y1361" s="1"/>
      <c r="Z1361" s="1"/>
      <c r="AA1361" s="1"/>
      <c r="AB1361" s="1"/>
      <c r="AC1361" s="1"/>
      <c r="AD1361" s="1" t="s">
        <v>93</v>
      </c>
      <c r="AE1361" s="1" t="s">
        <v>93</v>
      </c>
      <c r="AF1361" s="1"/>
      <c r="AG1361" s="1"/>
      <c r="AH1361" s="1"/>
      <c r="AI1361" s="1"/>
      <c r="AJ1361" s="1"/>
      <c r="AK1361" s="1"/>
      <c r="AL1361" s="1"/>
      <c r="AM1361" s="1"/>
      <c r="AN1361" s="1"/>
      <c r="AO1361" s="1"/>
      <c r="AP1361" s="1"/>
      <c r="AQ1361" s="1"/>
      <c r="AR1361" s="1"/>
      <c r="AS1361" s="1"/>
      <c r="AT1361" s="1"/>
      <c r="AU1361" s="1"/>
      <c r="AV1361" s="1"/>
      <c r="AW1361" s="1"/>
      <c r="AX1361" s="1"/>
      <c r="AY1361" s="1"/>
      <c r="AZ1361" s="1"/>
      <c r="BA1361" s="1"/>
      <c r="BB1361" s="1"/>
      <c r="BC1361" s="1"/>
      <c r="BD1361" s="1"/>
      <c r="BE1361" s="1"/>
      <c r="BF1361" s="1"/>
      <c r="BG1361" s="1"/>
      <c r="BH1361" s="1"/>
      <c r="BI1361" s="1"/>
      <c r="BJ1361" s="1"/>
      <c r="BK1361" s="1"/>
      <c r="BL1361" s="1"/>
      <c r="BM1361" s="1"/>
      <c r="BN1361" s="1"/>
      <c r="BO1361" s="1"/>
      <c r="BP1361" s="1" t="s">
        <v>9609</v>
      </c>
      <c r="BQ1361" s="3"/>
      <c r="BR1361" s="3"/>
    </row>
    <row r="1362" spans="1:70">
      <c r="A1362" s="1" t="s">
        <v>70</v>
      </c>
      <c r="B1362" s="1" t="s">
        <v>13846</v>
      </c>
      <c r="C1362" s="1" t="s">
        <v>16404</v>
      </c>
      <c r="D1362" s="1"/>
      <c r="E1362" s="1"/>
      <c r="F1362" s="1"/>
      <c r="G1362" s="1"/>
      <c r="H1362" s="1" t="s">
        <v>16405</v>
      </c>
      <c r="I1362" s="1" t="s">
        <v>16405</v>
      </c>
      <c r="J1362" s="1"/>
      <c r="K1362" s="1"/>
      <c r="L1362" s="1"/>
      <c r="M1362" s="1"/>
      <c r="N1362" s="1"/>
      <c r="O1362" s="1"/>
      <c r="P1362" s="1"/>
      <c r="Q1362" s="1"/>
      <c r="R1362" s="1"/>
      <c r="S1362" s="1"/>
      <c r="T1362" s="1"/>
      <c r="U1362" s="1"/>
      <c r="V1362" s="1"/>
      <c r="W1362" s="1"/>
      <c r="X1362" s="1"/>
      <c r="Y1362" s="1"/>
      <c r="Z1362" s="1"/>
      <c r="AA1362" s="1"/>
      <c r="AB1362" s="1"/>
      <c r="AC1362" s="1"/>
      <c r="AD1362" s="1" t="s">
        <v>93</v>
      </c>
      <c r="AE1362" s="1" t="s">
        <v>93</v>
      </c>
      <c r="AF1362" s="1"/>
      <c r="AG1362" s="1"/>
      <c r="AH1362" s="1"/>
      <c r="AI1362" s="1"/>
      <c r="AJ1362" s="1"/>
      <c r="AK1362" s="1"/>
      <c r="AL1362" s="1"/>
      <c r="AM1362" s="1"/>
      <c r="AN1362" s="1"/>
      <c r="AO1362" s="1"/>
      <c r="AP1362" s="1"/>
      <c r="AQ1362" s="1"/>
      <c r="AR1362" s="1"/>
      <c r="AS1362" s="1"/>
      <c r="AT1362" s="1"/>
      <c r="AU1362" s="1"/>
      <c r="AV1362" s="1"/>
      <c r="AW1362" s="1"/>
      <c r="AX1362" s="1"/>
      <c r="AY1362" s="1"/>
      <c r="AZ1362" s="1"/>
      <c r="BA1362" s="1"/>
      <c r="BB1362" s="1"/>
      <c r="BC1362" s="1"/>
      <c r="BD1362" s="1"/>
      <c r="BE1362" s="1"/>
      <c r="BF1362" s="1"/>
      <c r="BG1362" s="1"/>
      <c r="BH1362" s="1"/>
      <c r="BI1362" s="1"/>
      <c r="BJ1362" s="1"/>
      <c r="BK1362" s="1"/>
      <c r="BL1362" s="1"/>
      <c r="BM1362" s="1"/>
      <c r="BN1362" s="1"/>
      <c r="BO1362" s="1"/>
      <c r="BP1362" s="1" t="s">
        <v>9609</v>
      </c>
      <c r="BQ1362" s="3"/>
      <c r="BR1362" s="3"/>
    </row>
    <row r="1363" spans="1:70">
      <c r="A1363" s="1" t="s">
        <v>70</v>
      </c>
      <c r="B1363" s="1" t="s">
        <v>13846</v>
      </c>
      <c r="C1363" s="1" t="s">
        <v>16406</v>
      </c>
      <c r="D1363" s="1"/>
      <c r="E1363" s="1"/>
      <c r="F1363" s="1"/>
      <c r="G1363" s="1"/>
      <c r="H1363" s="1" t="s">
        <v>16407</v>
      </c>
      <c r="I1363" s="1" t="s">
        <v>16407</v>
      </c>
      <c r="J1363" s="1"/>
      <c r="K1363" s="1"/>
      <c r="L1363" s="1"/>
      <c r="M1363" s="1"/>
      <c r="N1363" s="1"/>
      <c r="O1363" s="1"/>
      <c r="P1363" s="1"/>
      <c r="Q1363" s="1"/>
      <c r="R1363" s="1"/>
      <c r="S1363" s="1"/>
      <c r="T1363" s="1"/>
      <c r="U1363" s="1"/>
      <c r="V1363" s="1"/>
      <c r="W1363" s="1"/>
      <c r="X1363" s="1"/>
      <c r="Y1363" s="1"/>
      <c r="Z1363" s="1"/>
      <c r="AA1363" s="1"/>
      <c r="AB1363" s="1"/>
      <c r="AC1363" s="1"/>
      <c r="AD1363" s="1" t="s">
        <v>93</v>
      </c>
      <c r="AE1363" s="1" t="s">
        <v>93</v>
      </c>
      <c r="AF1363" s="1"/>
      <c r="AG1363" s="1"/>
      <c r="AH1363" s="1"/>
      <c r="AI1363" s="1"/>
      <c r="AJ1363" s="1"/>
      <c r="AK1363" s="1"/>
      <c r="AL1363" s="1"/>
      <c r="AM1363" s="1"/>
      <c r="AN1363" s="1"/>
      <c r="AO1363" s="1"/>
      <c r="AP1363" s="1"/>
      <c r="AQ1363" s="1"/>
      <c r="AR1363" s="1"/>
      <c r="AS1363" s="1"/>
      <c r="AT1363" s="1"/>
      <c r="AU1363" s="1"/>
      <c r="AV1363" s="1"/>
      <c r="AW1363" s="1"/>
      <c r="AX1363" s="1"/>
      <c r="AY1363" s="1"/>
      <c r="AZ1363" s="1"/>
      <c r="BA1363" s="1"/>
      <c r="BB1363" s="1"/>
      <c r="BC1363" s="1"/>
      <c r="BD1363" s="1"/>
      <c r="BE1363" s="1"/>
      <c r="BF1363" s="1"/>
      <c r="BG1363" s="1"/>
      <c r="BH1363" s="1"/>
      <c r="BI1363" s="1"/>
      <c r="BJ1363" s="1"/>
      <c r="BK1363" s="1"/>
      <c r="BL1363" s="1"/>
      <c r="BM1363" s="1"/>
      <c r="BN1363" s="1"/>
      <c r="BO1363" s="1"/>
      <c r="BP1363" s="1" t="s">
        <v>9609</v>
      </c>
      <c r="BQ1363" s="3"/>
      <c r="BR1363" s="3"/>
    </row>
    <row r="1364" spans="1:70">
      <c r="A1364" s="1" t="s">
        <v>70</v>
      </c>
      <c r="B1364" s="1" t="s">
        <v>13846</v>
      </c>
      <c r="C1364" s="1" t="s">
        <v>16408</v>
      </c>
      <c r="D1364" s="1"/>
      <c r="E1364" s="1"/>
      <c r="F1364" s="1"/>
      <c r="G1364" s="1"/>
      <c r="H1364" s="1" t="s">
        <v>16409</v>
      </c>
      <c r="I1364" s="1" t="s">
        <v>16409</v>
      </c>
      <c r="J1364" s="1"/>
      <c r="K1364" s="1"/>
      <c r="L1364" s="1"/>
      <c r="M1364" s="1"/>
      <c r="N1364" s="1"/>
      <c r="O1364" s="1"/>
      <c r="P1364" s="1"/>
      <c r="Q1364" s="1"/>
      <c r="R1364" s="1"/>
      <c r="S1364" s="1"/>
      <c r="T1364" s="1"/>
      <c r="U1364" s="1"/>
      <c r="V1364" s="1"/>
      <c r="W1364" s="1"/>
      <c r="X1364" s="1"/>
      <c r="Y1364" s="1"/>
      <c r="Z1364" s="1"/>
      <c r="AA1364" s="1"/>
      <c r="AB1364" s="1"/>
      <c r="AC1364" s="1"/>
      <c r="AD1364" s="1" t="s">
        <v>93</v>
      </c>
      <c r="AE1364" s="1" t="s">
        <v>93</v>
      </c>
      <c r="AF1364" s="1"/>
      <c r="AG1364" s="1"/>
      <c r="AH1364" s="1"/>
      <c r="AI1364" s="1"/>
      <c r="AJ1364" s="1"/>
      <c r="AK1364" s="1"/>
      <c r="AL1364" s="1"/>
      <c r="AM1364" s="1"/>
      <c r="AN1364" s="1"/>
      <c r="AO1364" s="1"/>
      <c r="AP1364" s="1"/>
      <c r="AQ1364" s="1"/>
      <c r="AR1364" s="1"/>
      <c r="AS1364" s="1"/>
      <c r="AT1364" s="1"/>
      <c r="AU1364" s="1"/>
      <c r="AV1364" s="1"/>
      <c r="AW1364" s="1"/>
      <c r="AX1364" s="1"/>
      <c r="AY1364" s="1"/>
      <c r="AZ1364" s="1"/>
      <c r="BA1364" s="1"/>
      <c r="BB1364" s="1"/>
      <c r="BC1364" s="1"/>
      <c r="BD1364" s="1"/>
      <c r="BE1364" s="1"/>
      <c r="BF1364" s="1"/>
      <c r="BG1364" s="1"/>
      <c r="BH1364" s="1"/>
      <c r="BI1364" s="1"/>
      <c r="BJ1364" s="1"/>
      <c r="BK1364" s="1"/>
      <c r="BL1364" s="1"/>
      <c r="BM1364" s="1"/>
      <c r="BN1364" s="1"/>
      <c r="BO1364" s="1"/>
      <c r="BP1364" s="1" t="s">
        <v>9609</v>
      </c>
      <c r="BQ1364" s="3"/>
      <c r="BR1364" s="3"/>
    </row>
    <row r="1365" spans="1:70">
      <c r="A1365" s="1" t="s">
        <v>70</v>
      </c>
      <c r="B1365" s="1" t="s">
        <v>13846</v>
      </c>
      <c r="C1365" s="1" t="s">
        <v>16410</v>
      </c>
      <c r="D1365" s="1"/>
      <c r="E1365" s="1"/>
      <c r="F1365" s="1"/>
      <c r="G1365" s="1"/>
      <c r="H1365" s="1" t="s">
        <v>16411</v>
      </c>
      <c r="I1365" s="1" t="s">
        <v>16411</v>
      </c>
      <c r="J1365" s="1"/>
      <c r="K1365" s="1"/>
      <c r="L1365" s="1"/>
      <c r="M1365" s="1"/>
      <c r="N1365" s="1"/>
      <c r="O1365" s="1"/>
      <c r="P1365" s="1"/>
      <c r="Q1365" s="1"/>
      <c r="R1365" s="1"/>
      <c r="S1365" s="1"/>
      <c r="T1365" s="1"/>
      <c r="U1365" s="1"/>
      <c r="V1365" s="1"/>
      <c r="W1365" s="1"/>
      <c r="X1365" s="1"/>
      <c r="Y1365" s="1"/>
      <c r="Z1365" s="1"/>
      <c r="AA1365" s="1"/>
      <c r="AB1365" s="1"/>
      <c r="AC1365" s="1"/>
      <c r="AD1365" s="1" t="s">
        <v>93</v>
      </c>
      <c r="AE1365" s="1" t="s">
        <v>93</v>
      </c>
      <c r="AF1365" s="1"/>
      <c r="AG1365" s="1"/>
      <c r="AH1365" s="1"/>
      <c r="AI1365" s="1"/>
      <c r="AJ1365" s="1"/>
      <c r="AK1365" s="1"/>
      <c r="AL1365" s="1"/>
      <c r="AM1365" s="1"/>
      <c r="AN1365" s="1"/>
      <c r="AO1365" s="1"/>
      <c r="AP1365" s="1"/>
      <c r="AQ1365" s="1"/>
      <c r="AR1365" s="1"/>
      <c r="AS1365" s="1"/>
      <c r="AT1365" s="1"/>
      <c r="AU1365" s="1"/>
      <c r="AV1365" s="1"/>
      <c r="AW1365" s="1"/>
      <c r="AX1365" s="1"/>
      <c r="AY1365" s="1"/>
      <c r="AZ1365" s="1"/>
      <c r="BA1365" s="1"/>
      <c r="BB1365" s="1"/>
      <c r="BC1365" s="1"/>
      <c r="BD1365" s="1"/>
      <c r="BE1365" s="1"/>
      <c r="BF1365" s="1"/>
      <c r="BG1365" s="1"/>
      <c r="BH1365" s="1"/>
      <c r="BI1365" s="1"/>
      <c r="BJ1365" s="1"/>
      <c r="BK1365" s="1"/>
      <c r="BL1365" s="1"/>
      <c r="BM1365" s="1"/>
      <c r="BN1365" s="1"/>
      <c r="BO1365" s="1"/>
      <c r="BP1365" s="1" t="s">
        <v>9609</v>
      </c>
      <c r="BQ1365" s="3"/>
      <c r="BR1365" s="3"/>
    </row>
    <row r="1366" spans="1:70">
      <c r="A1366" s="1" t="s">
        <v>70</v>
      </c>
      <c r="B1366" s="1" t="s">
        <v>13846</v>
      </c>
      <c r="C1366" s="1" t="s">
        <v>16412</v>
      </c>
      <c r="D1366" s="1"/>
      <c r="E1366" s="1"/>
      <c r="F1366" s="1"/>
      <c r="G1366" s="1"/>
      <c r="H1366" s="1" t="s">
        <v>16413</v>
      </c>
      <c r="I1366" s="1" t="s">
        <v>16413</v>
      </c>
      <c r="J1366" s="1"/>
      <c r="K1366" s="1"/>
      <c r="L1366" s="1"/>
      <c r="M1366" s="1"/>
      <c r="N1366" s="1"/>
      <c r="O1366" s="1"/>
      <c r="P1366" s="1"/>
      <c r="Q1366" s="1"/>
      <c r="R1366" s="1"/>
      <c r="S1366" s="1"/>
      <c r="T1366" s="1"/>
      <c r="U1366" s="1"/>
      <c r="V1366" s="1"/>
      <c r="W1366" s="1"/>
      <c r="X1366" s="1"/>
      <c r="Y1366" s="1"/>
      <c r="Z1366" s="1"/>
      <c r="AA1366" s="1"/>
      <c r="AB1366" s="1"/>
      <c r="AC1366" s="1"/>
      <c r="AD1366" s="1" t="s">
        <v>93</v>
      </c>
      <c r="AE1366" s="1" t="s">
        <v>93</v>
      </c>
      <c r="AF1366" s="1"/>
      <c r="AG1366" s="1"/>
      <c r="AH1366" s="1"/>
      <c r="AI1366" s="1"/>
      <c r="AJ1366" s="1"/>
      <c r="AK1366" s="1"/>
      <c r="AL1366" s="1"/>
      <c r="AM1366" s="1"/>
      <c r="AN1366" s="1"/>
      <c r="AO1366" s="1"/>
      <c r="AP1366" s="1"/>
      <c r="AQ1366" s="1"/>
      <c r="AR1366" s="1"/>
      <c r="AS1366" s="1"/>
      <c r="AT1366" s="1"/>
      <c r="AU1366" s="1"/>
      <c r="AV1366" s="1"/>
      <c r="AW1366" s="1"/>
      <c r="AX1366" s="1"/>
      <c r="AY1366" s="1"/>
      <c r="AZ1366" s="1"/>
      <c r="BA1366" s="1"/>
      <c r="BB1366" s="1"/>
      <c r="BC1366" s="1"/>
      <c r="BD1366" s="1"/>
      <c r="BE1366" s="1"/>
      <c r="BF1366" s="1"/>
      <c r="BG1366" s="1"/>
      <c r="BH1366" s="1"/>
      <c r="BI1366" s="1"/>
      <c r="BJ1366" s="1"/>
      <c r="BK1366" s="1"/>
      <c r="BL1366" s="1"/>
      <c r="BM1366" s="1"/>
      <c r="BN1366" s="1"/>
      <c r="BO1366" s="1"/>
      <c r="BP1366" s="1" t="s">
        <v>9609</v>
      </c>
      <c r="BQ1366" s="3"/>
      <c r="BR1366" s="3"/>
    </row>
    <row r="1367" spans="1:70">
      <c r="A1367" s="1" t="s">
        <v>70</v>
      </c>
      <c r="B1367" s="1" t="s">
        <v>13846</v>
      </c>
      <c r="C1367" s="1" t="s">
        <v>16414</v>
      </c>
      <c r="D1367" s="1"/>
      <c r="E1367" s="1"/>
      <c r="F1367" s="1"/>
      <c r="G1367" s="1"/>
      <c r="H1367" s="1" t="s">
        <v>16415</v>
      </c>
      <c r="I1367" s="1" t="s">
        <v>16415</v>
      </c>
      <c r="J1367" s="1"/>
      <c r="K1367" s="1"/>
      <c r="L1367" s="1"/>
      <c r="M1367" s="1"/>
      <c r="N1367" s="1"/>
      <c r="O1367" s="1"/>
      <c r="P1367" s="1"/>
      <c r="Q1367" s="1"/>
      <c r="R1367" s="1"/>
      <c r="S1367" s="1"/>
      <c r="T1367" s="1"/>
      <c r="U1367" s="1"/>
      <c r="V1367" s="1"/>
      <c r="W1367" s="1"/>
      <c r="X1367" s="1"/>
      <c r="Y1367" s="1"/>
      <c r="Z1367" s="1"/>
      <c r="AA1367" s="1"/>
      <c r="AB1367" s="1"/>
      <c r="AC1367" s="1"/>
      <c r="AD1367" s="1" t="s">
        <v>93</v>
      </c>
      <c r="AE1367" s="1" t="s">
        <v>93</v>
      </c>
      <c r="AF1367" s="1"/>
      <c r="AG1367" s="1"/>
      <c r="AH1367" s="1"/>
      <c r="AI1367" s="1"/>
      <c r="AJ1367" s="1"/>
      <c r="AK1367" s="1"/>
      <c r="AL1367" s="1"/>
      <c r="AM1367" s="1"/>
      <c r="AN1367" s="1"/>
      <c r="AO1367" s="1"/>
      <c r="AP1367" s="1"/>
      <c r="AQ1367" s="1"/>
      <c r="AR1367" s="1"/>
      <c r="AS1367" s="1"/>
      <c r="AT1367" s="1"/>
      <c r="AU1367" s="1"/>
      <c r="AV1367" s="1"/>
      <c r="AW1367" s="1"/>
      <c r="AX1367" s="1"/>
      <c r="AY1367" s="1"/>
      <c r="AZ1367" s="1"/>
      <c r="BA1367" s="1"/>
      <c r="BB1367" s="1"/>
      <c r="BC1367" s="1"/>
      <c r="BD1367" s="1"/>
      <c r="BE1367" s="1"/>
      <c r="BF1367" s="1"/>
      <c r="BG1367" s="1"/>
      <c r="BH1367" s="1"/>
      <c r="BI1367" s="1"/>
      <c r="BJ1367" s="1"/>
      <c r="BK1367" s="1"/>
      <c r="BL1367" s="1"/>
      <c r="BM1367" s="1"/>
      <c r="BN1367" s="1"/>
      <c r="BO1367" s="1"/>
      <c r="BP1367" s="1" t="s">
        <v>9609</v>
      </c>
      <c r="BQ1367" s="3"/>
      <c r="BR1367" s="3"/>
    </row>
    <row r="1368" spans="1:70">
      <c r="A1368" s="1" t="s">
        <v>70</v>
      </c>
      <c r="B1368" s="1" t="s">
        <v>13846</v>
      </c>
      <c r="C1368" s="1" t="s">
        <v>16416</v>
      </c>
      <c r="D1368" s="1"/>
      <c r="E1368" s="1"/>
      <c r="F1368" s="1"/>
      <c r="G1368" s="1"/>
      <c r="H1368" s="1" t="s">
        <v>16417</v>
      </c>
      <c r="I1368" s="1" t="s">
        <v>16417</v>
      </c>
      <c r="J1368" s="1"/>
      <c r="K1368" s="1"/>
      <c r="L1368" s="1"/>
      <c r="M1368" s="1"/>
      <c r="N1368" s="1"/>
      <c r="O1368" s="1"/>
      <c r="P1368" s="1"/>
      <c r="Q1368" s="1"/>
      <c r="R1368" s="1"/>
      <c r="S1368" s="1"/>
      <c r="T1368" s="1"/>
      <c r="U1368" s="1"/>
      <c r="V1368" s="1"/>
      <c r="W1368" s="1"/>
      <c r="X1368" s="1"/>
      <c r="Y1368" s="1"/>
      <c r="Z1368" s="1"/>
      <c r="AA1368" s="1"/>
      <c r="AB1368" s="1"/>
      <c r="AC1368" s="1"/>
      <c r="AD1368" s="1" t="s">
        <v>93</v>
      </c>
      <c r="AE1368" s="1" t="s">
        <v>93</v>
      </c>
      <c r="AF1368" s="1"/>
      <c r="AG1368" s="1"/>
      <c r="AH1368" s="1"/>
      <c r="AI1368" s="1"/>
      <c r="AJ1368" s="1"/>
      <c r="AK1368" s="1"/>
      <c r="AL1368" s="1"/>
      <c r="AM1368" s="1"/>
      <c r="AN1368" s="1"/>
      <c r="AO1368" s="1"/>
      <c r="AP1368" s="1"/>
      <c r="AQ1368" s="1"/>
      <c r="AR1368" s="1"/>
      <c r="AS1368" s="1"/>
      <c r="AT1368" s="1"/>
      <c r="AU1368" s="1"/>
      <c r="AV1368" s="1"/>
      <c r="AW1368" s="1"/>
      <c r="AX1368" s="1"/>
      <c r="AY1368" s="1"/>
      <c r="AZ1368" s="1"/>
      <c r="BA1368" s="1"/>
      <c r="BB1368" s="1"/>
      <c r="BC1368" s="1"/>
      <c r="BD1368" s="1"/>
      <c r="BE1368" s="1"/>
      <c r="BF1368" s="1"/>
      <c r="BG1368" s="1"/>
      <c r="BH1368" s="1"/>
      <c r="BI1368" s="1"/>
      <c r="BJ1368" s="1"/>
      <c r="BK1368" s="1"/>
      <c r="BL1368" s="1"/>
      <c r="BM1368" s="1"/>
      <c r="BN1368" s="1"/>
      <c r="BO1368" s="1"/>
      <c r="BP1368" s="1" t="s">
        <v>9609</v>
      </c>
      <c r="BQ1368" s="3"/>
      <c r="BR1368" s="3"/>
    </row>
    <row r="1369" spans="1:70">
      <c r="A1369" s="1" t="s">
        <v>70</v>
      </c>
      <c r="B1369" s="1" t="s">
        <v>13846</v>
      </c>
      <c r="C1369" s="1" t="s">
        <v>16418</v>
      </c>
      <c r="D1369" s="1"/>
      <c r="E1369" s="1"/>
      <c r="F1369" s="1"/>
      <c r="G1369" s="1"/>
      <c r="H1369" s="1" t="s">
        <v>16419</v>
      </c>
      <c r="I1369" s="1" t="s">
        <v>16419</v>
      </c>
      <c r="J1369" s="1"/>
      <c r="K1369" s="1"/>
      <c r="L1369" s="1"/>
      <c r="M1369" s="1"/>
      <c r="N1369" s="1"/>
      <c r="O1369" s="1"/>
      <c r="P1369" s="1"/>
      <c r="Q1369" s="1"/>
      <c r="R1369" s="1"/>
      <c r="S1369" s="1"/>
      <c r="T1369" s="1"/>
      <c r="U1369" s="1"/>
      <c r="V1369" s="1"/>
      <c r="W1369" s="1"/>
      <c r="X1369" s="1"/>
      <c r="Y1369" s="1"/>
      <c r="Z1369" s="1"/>
      <c r="AA1369" s="1"/>
      <c r="AB1369" s="1"/>
      <c r="AC1369" s="1"/>
      <c r="AD1369" s="1" t="s">
        <v>93</v>
      </c>
      <c r="AE1369" s="1" t="s">
        <v>93</v>
      </c>
      <c r="AF1369" s="1"/>
      <c r="AG1369" s="1"/>
      <c r="AH1369" s="1"/>
      <c r="AI1369" s="1"/>
      <c r="AJ1369" s="1"/>
      <c r="AK1369" s="1"/>
      <c r="AL1369" s="1"/>
      <c r="AM1369" s="1"/>
      <c r="AN1369" s="1"/>
      <c r="AO1369" s="1"/>
      <c r="AP1369" s="1"/>
      <c r="AQ1369" s="1"/>
      <c r="AR1369" s="1"/>
      <c r="AS1369" s="1"/>
      <c r="AT1369" s="1"/>
      <c r="AU1369" s="1"/>
      <c r="AV1369" s="1"/>
      <c r="AW1369" s="1"/>
      <c r="AX1369" s="1"/>
      <c r="AY1369" s="1"/>
      <c r="AZ1369" s="1"/>
      <c r="BA1369" s="1"/>
      <c r="BB1369" s="1"/>
      <c r="BC1369" s="1"/>
      <c r="BD1369" s="1"/>
      <c r="BE1369" s="1"/>
      <c r="BF1369" s="1"/>
      <c r="BG1369" s="1"/>
      <c r="BH1369" s="1"/>
      <c r="BI1369" s="1"/>
      <c r="BJ1369" s="1"/>
      <c r="BK1369" s="1"/>
      <c r="BL1369" s="1"/>
      <c r="BM1369" s="1"/>
      <c r="BN1369" s="1"/>
      <c r="BO1369" s="1"/>
      <c r="BP1369" s="1" t="s">
        <v>9609</v>
      </c>
      <c r="BQ1369" s="3"/>
      <c r="BR1369" s="3"/>
    </row>
    <row r="1370" spans="1:70">
      <c r="A1370" s="1" t="s">
        <v>70</v>
      </c>
      <c r="B1370" s="1" t="s">
        <v>13846</v>
      </c>
      <c r="C1370" s="1" t="s">
        <v>16420</v>
      </c>
      <c r="D1370" s="1"/>
      <c r="E1370" s="1"/>
      <c r="F1370" s="1"/>
      <c r="G1370" s="1"/>
      <c r="H1370" s="1" t="s">
        <v>16421</v>
      </c>
      <c r="I1370" s="1" t="s">
        <v>16421</v>
      </c>
      <c r="J1370" s="1"/>
      <c r="K1370" s="1"/>
      <c r="L1370" s="1"/>
      <c r="M1370" s="1"/>
      <c r="N1370" s="1"/>
      <c r="O1370" s="1"/>
      <c r="P1370" s="1"/>
      <c r="Q1370" s="1"/>
      <c r="R1370" s="1"/>
      <c r="S1370" s="1"/>
      <c r="T1370" s="1"/>
      <c r="U1370" s="1"/>
      <c r="V1370" s="1"/>
      <c r="W1370" s="1"/>
      <c r="X1370" s="1"/>
      <c r="Y1370" s="1"/>
      <c r="Z1370" s="1"/>
      <c r="AA1370" s="1"/>
      <c r="AB1370" s="1"/>
      <c r="AC1370" s="1"/>
      <c r="AD1370" s="1" t="s">
        <v>93</v>
      </c>
      <c r="AE1370" s="1" t="s">
        <v>93</v>
      </c>
      <c r="AF1370" s="1"/>
      <c r="AG1370" s="1"/>
      <c r="AH1370" s="1"/>
      <c r="AI1370" s="1"/>
      <c r="AJ1370" s="1"/>
      <c r="AK1370" s="1"/>
      <c r="AL1370" s="1"/>
      <c r="AM1370" s="1"/>
      <c r="AN1370" s="1"/>
      <c r="AO1370" s="1"/>
      <c r="AP1370" s="1"/>
      <c r="AQ1370" s="1"/>
      <c r="AR1370" s="1"/>
      <c r="AS1370" s="1"/>
      <c r="AT1370" s="1"/>
      <c r="AU1370" s="1"/>
      <c r="AV1370" s="1"/>
      <c r="AW1370" s="1"/>
      <c r="AX1370" s="1"/>
      <c r="AY1370" s="1"/>
      <c r="AZ1370" s="1"/>
      <c r="BA1370" s="1"/>
      <c r="BB1370" s="1"/>
      <c r="BC1370" s="1"/>
      <c r="BD1370" s="1"/>
      <c r="BE1370" s="1"/>
      <c r="BF1370" s="1"/>
      <c r="BG1370" s="1"/>
      <c r="BH1370" s="1"/>
      <c r="BI1370" s="1"/>
      <c r="BJ1370" s="1"/>
      <c r="BK1370" s="1"/>
      <c r="BL1370" s="1"/>
      <c r="BM1370" s="1"/>
      <c r="BN1370" s="1"/>
      <c r="BO1370" s="1"/>
      <c r="BP1370" s="1" t="s">
        <v>9609</v>
      </c>
      <c r="BQ1370" s="3"/>
      <c r="BR1370" s="3"/>
    </row>
    <row r="1371" spans="1:70">
      <c r="A1371" s="1" t="s">
        <v>70</v>
      </c>
      <c r="B1371" s="1" t="s">
        <v>13846</v>
      </c>
      <c r="C1371" s="1" t="s">
        <v>16422</v>
      </c>
      <c r="D1371" s="1"/>
      <c r="E1371" s="1"/>
      <c r="F1371" s="1"/>
      <c r="G1371" s="1"/>
      <c r="H1371" s="1" t="s">
        <v>16423</v>
      </c>
      <c r="I1371" s="1" t="s">
        <v>16423</v>
      </c>
      <c r="J1371" s="1"/>
      <c r="K1371" s="1"/>
      <c r="L1371" s="1"/>
      <c r="M1371" s="1"/>
      <c r="N1371" s="1"/>
      <c r="O1371" s="1"/>
      <c r="P1371" s="1"/>
      <c r="Q1371" s="1"/>
      <c r="R1371" s="1"/>
      <c r="S1371" s="1"/>
      <c r="T1371" s="1"/>
      <c r="U1371" s="1"/>
      <c r="V1371" s="1"/>
      <c r="W1371" s="1"/>
      <c r="X1371" s="1"/>
      <c r="Y1371" s="1"/>
      <c r="Z1371" s="1"/>
      <c r="AA1371" s="1"/>
      <c r="AB1371" s="1"/>
      <c r="AC1371" s="1"/>
      <c r="AD1371" s="1" t="s">
        <v>93</v>
      </c>
      <c r="AE1371" s="1" t="s">
        <v>93</v>
      </c>
      <c r="AF1371" s="1"/>
      <c r="AG1371" s="1"/>
      <c r="AH1371" s="1"/>
      <c r="AI1371" s="1"/>
      <c r="AJ1371" s="1"/>
      <c r="AK1371" s="1"/>
      <c r="AL1371" s="1"/>
      <c r="AM1371" s="1"/>
      <c r="AN1371" s="1"/>
      <c r="AO1371" s="1"/>
      <c r="AP1371" s="1"/>
      <c r="AQ1371" s="1"/>
      <c r="AR1371" s="1"/>
      <c r="AS1371" s="1"/>
      <c r="AT1371" s="1"/>
      <c r="AU1371" s="1"/>
      <c r="AV1371" s="1"/>
      <c r="AW1371" s="1"/>
      <c r="AX1371" s="1"/>
      <c r="AY1371" s="1"/>
      <c r="AZ1371" s="1"/>
      <c r="BA1371" s="1"/>
      <c r="BB1371" s="1"/>
      <c r="BC1371" s="1"/>
      <c r="BD1371" s="1"/>
      <c r="BE1371" s="1"/>
      <c r="BF1371" s="1"/>
      <c r="BG1371" s="1"/>
      <c r="BH1371" s="1"/>
      <c r="BI1371" s="1"/>
      <c r="BJ1371" s="1"/>
      <c r="BK1371" s="1"/>
      <c r="BL1371" s="1"/>
      <c r="BM1371" s="1"/>
      <c r="BN1371" s="1"/>
      <c r="BO1371" s="1"/>
      <c r="BP1371" s="1" t="s">
        <v>9609</v>
      </c>
      <c r="BQ1371" s="3"/>
      <c r="BR1371" s="3"/>
    </row>
    <row r="1372" spans="1:70">
      <c r="A1372" s="1" t="s">
        <v>70</v>
      </c>
      <c r="B1372" s="1" t="s">
        <v>13846</v>
      </c>
      <c r="C1372" s="1" t="s">
        <v>16424</v>
      </c>
      <c r="D1372" s="1"/>
      <c r="E1372" s="1"/>
      <c r="F1372" s="1"/>
      <c r="G1372" s="1"/>
      <c r="H1372" s="1" t="s">
        <v>16425</v>
      </c>
      <c r="I1372" s="1" t="s">
        <v>16425</v>
      </c>
      <c r="J1372" s="1"/>
      <c r="K1372" s="1"/>
      <c r="L1372" s="1"/>
      <c r="M1372" s="1"/>
      <c r="N1372" s="1"/>
      <c r="O1372" s="1"/>
      <c r="P1372" s="1"/>
      <c r="Q1372" s="1"/>
      <c r="R1372" s="1"/>
      <c r="S1372" s="1"/>
      <c r="T1372" s="1"/>
      <c r="U1372" s="1"/>
      <c r="V1372" s="1"/>
      <c r="W1372" s="1"/>
      <c r="X1372" s="1"/>
      <c r="Y1372" s="1"/>
      <c r="Z1372" s="1"/>
      <c r="AA1372" s="1"/>
      <c r="AB1372" s="1"/>
      <c r="AC1372" s="1"/>
      <c r="AD1372" s="1" t="s">
        <v>93</v>
      </c>
      <c r="AE1372" s="1" t="s">
        <v>93</v>
      </c>
      <c r="AF1372" s="1"/>
      <c r="AG1372" s="1"/>
      <c r="AH1372" s="1"/>
      <c r="AI1372" s="1"/>
      <c r="AJ1372" s="1"/>
      <c r="AK1372" s="1"/>
      <c r="AL1372" s="1"/>
      <c r="AM1372" s="1"/>
      <c r="AN1372" s="1"/>
      <c r="AO1372" s="1"/>
      <c r="AP1372" s="1"/>
      <c r="AQ1372" s="1"/>
      <c r="AR1372" s="1"/>
      <c r="AS1372" s="1"/>
      <c r="AT1372" s="1"/>
      <c r="AU1372" s="1"/>
      <c r="AV1372" s="1"/>
      <c r="AW1372" s="1"/>
      <c r="AX1372" s="1"/>
      <c r="AY1372" s="1"/>
      <c r="AZ1372" s="1"/>
      <c r="BA1372" s="1"/>
      <c r="BB1372" s="1"/>
      <c r="BC1372" s="1"/>
      <c r="BD1372" s="1"/>
      <c r="BE1372" s="1"/>
      <c r="BF1372" s="1"/>
      <c r="BG1372" s="1"/>
      <c r="BH1372" s="1"/>
      <c r="BI1372" s="1"/>
      <c r="BJ1372" s="1"/>
      <c r="BK1372" s="1"/>
      <c r="BL1372" s="1"/>
      <c r="BM1372" s="1"/>
      <c r="BN1372" s="1"/>
      <c r="BO1372" s="1"/>
      <c r="BP1372" s="1" t="s">
        <v>9609</v>
      </c>
      <c r="BQ1372" s="3"/>
      <c r="BR1372" s="3"/>
    </row>
    <row r="1373" spans="1:70">
      <c r="A1373" s="1" t="s">
        <v>70</v>
      </c>
      <c r="B1373" s="1" t="s">
        <v>13846</v>
      </c>
      <c r="C1373" s="1" t="s">
        <v>16426</v>
      </c>
      <c r="D1373" s="1"/>
      <c r="E1373" s="1"/>
      <c r="F1373" s="1"/>
      <c r="G1373" s="1"/>
      <c r="H1373" s="1" t="s">
        <v>16427</v>
      </c>
      <c r="I1373" s="1" t="s">
        <v>16427</v>
      </c>
      <c r="J1373" s="1"/>
      <c r="K1373" s="1"/>
      <c r="L1373" s="1"/>
      <c r="M1373" s="1"/>
      <c r="N1373" s="1"/>
      <c r="O1373" s="1"/>
      <c r="P1373" s="1"/>
      <c r="Q1373" s="1"/>
      <c r="R1373" s="1"/>
      <c r="S1373" s="1"/>
      <c r="T1373" s="1"/>
      <c r="U1373" s="1"/>
      <c r="V1373" s="1"/>
      <c r="W1373" s="1"/>
      <c r="X1373" s="1"/>
      <c r="Y1373" s="1"/>
      <c r="Z1373" s="1"/>
      <c r="AA1373" s="1"/>
      <c r="AB1373" s="1"/>
      <c r="AC1373" s="1"/>
      <c r="AD1373" s="1" t="s">
        <v>93</v>
      </c>
      <c r="AE1373" s="1" t="s">
        <v>93</v>
      </c>
      <c r="AF1373" s="1"/>
      <c r="AG1373" s="1"/>
      <c r="AH1373" s="1"/>
      <c r="AI1373" s="1"/>
      <c r="AJ1373" s="1"/>
      <c r="AK1373" s="1"/>
      <c r="AL1373" s="1"/>
      <c r="AM1373" s="1"/>
      <c r="AN1373" s="1"/>
      <c r="AO1373" s="1"/>
      <c r="AP1373" s="1"/>
      <c r="AQ1373" s="1"/>
      <c r="AR1373" s="1"/>
      <c r="AS1373" s="1"/>
      <c r="AT1373" s="1"/>
      <c r="AU1373" s="1"/>
      <c r="AV1373" s="1"/>
      <c r="AW1373" s="1"/>
      <c r="AX1373" s="1"/>
      <c r="AY1373" s="1"/>
      <c r="AZ1373" s="1"/>
      <c r="BA1373" s="1"/>
      <c r="BB1373" s="1"/>
      <c r="BC1373" s="1"/>
      <c r="BD1373" s="1"/>
      <c r="BE1373" s="1"/>
      <c r="BF1373" s="1"/>
      <c r="BG1373" s="1"/>
      <c r="BH1373" s="1"/>
      <c r="BI1373" s="1"/>
      <c r="BJ1373" s="1"/>
      <c r="BK1373" s="1"/>
      <c r="BL1373" s="1"/>
      <c r="BM1373" s="1"/>
      <c r="BN1373" s="1"/>
      <c r="BO1373" s="1"/>
      <c r="BP1373" s="1" t="s">
        <v>9609</v>
      </c>
      <c r="BQ1373" s="3"/>
      <c r="BR1373" s="3"/>
    </row>
    <row r="1374" spans="1:70">
      <c r="A1374" s="1" t="s">
        <v>70</v>
      </c>
      <c r="B1374" s="1" t="s">
        <v>13846</v>
      </c>
      <c r="C1374" s="1" t="s">
        <v>16428</v>
      </c>
      <c r="D1374" s="1"/>
      <c r="E1374" s="1"/>
      <c r="F1374" s="1"/>
      <c r="G1374" s="1"/>
      <c r="H1374" s="1" t="s">
        <v>16429</v>
      </c>
      <c r="I1374" s="1" t="s">
        <v>16429</v>
      </c>
      <c r="J1374" s="1"/>
      <c r="K1374" s="1"/>
      <c r="L1374" s="1"/>
      <c r="M1374" s="1"/>
      <c r="N1374" s="1"/>
      <c r="O1374" s="1"/>
      <c r="P1374" s="1"/>
      <c r="Q1374" s="1"/>
      <c r="R1374" s="1"/>
      <c r="S1374" s="1"/>
      <c r="T1374" s="1"/>
      <c r="U1374" s="1"/>
      <c r="V1374" s="1"/>
      <c r="W1374" s="1"/>
      <c r="X1374" s="1"/>
      <c r="Y1374" s="1"/>
      <c r="Z1374" s="1"/>
      <c r="AA1374" s="1"/>
      <c r="AB1374" s="1"/>
      <c r="AC1374" s="1"/>
      <c r="AD1374" s="1" t="s">
        <v>93</v>
      </c>
      <c r="AE1374" s="1" t="s">
        <v>93</v>
      </c>
      <c r="AF1374" s="1"/>
      <c r="AG1374" s="1"/>
      <c r="AH1374" s="1"/>
      <c r="AI1374" s="1"/>
      <c r="AJ1374" s="1"/>
      <c r="AK1374" s="1"/>
      <c r="AL1374" s="1"/>
      <c r="AM1374" s="1"/>
      <c r="AN1374" s="1"/>
      <c r="AO1374" s="1"/>
      <c r="AP1374" s="1"/>
      <c r="AQ1374" s="1"/>
      <c r="AR1374" s="1"/>
      <c r="AS1374" s="1"/>
      <c r="AT1374" s="1"/>
      <c r="AU1374" s="1"/>
      <c r="AV1374" s="1"/>
      <c r="AW1374" s="1"/>
      <c r="AX1374" s="1"/>
      <c r="AY1374" s="1"/>
      <c r="AZ1374" s="1"/>
      <c r="BA1374" s="1"/>
      <c r="BB1374" s="1"/>
      <c r="BC1374" s="1"/>
      <c r="BD1374" s="1"/>
      <c r="BE1374" s="1"/>
      <c r="BF1374" s="1"/>
      <c r="BG1374" s="1"/>
      <c r="BH1374" s="1"/>
      <c r="BI1374" s="1"/>
      <c r="BJ1374" s="1"/>
      <c r="BK1374" s="1"/>
      <c r="BL1374" s="1"/>
      <c r="BM1374" s="1"/>
      <c r="BN1374" s="1"/>
      <c r="BO1374" s="1"/>
      <c r="BP1374" s="1" t="s">
        <v>9609</v>
      </c>
      <c r="BQ1374" s="3"/>
      <c r="BR1374" s="3"/>
    </row>
    <row r="1375" spans="1:70">
      <c r="A1375" s="1" t="s">
        <v>70</v>
      </c>
      <c r="B1375" s="1" t="s">
        <v>13846</v>
      </c>
      <c r="C1375" s="1" t="s">
        <v>16430</v>
      </c>
      <c r="D1375" s="1"/>
      <c r="E1375" s="1"/>
      <c r="F1375" s="1"/>
      <c r="G1375" s="1"/>
      <c r="H1375" s="1" t="s">
        <v>16431</v>
      </c>
      <c r="I1375" s="1" t="s">
        <v>16431</v>
      </c>
      <c r="J1375" s="1"/>
      <c r="K1375" s="1"/>
      <c r="L1375" s="1"/>
      <c r="M1375" s="1"/>
      <c r="N1375" s="1"/>
      <c r="O1375" s="1"/>
      <c r="P1375" s="1"/>
      <c r="Q1375" s="1"/>
      <c r="R1375" s="1"/>
      <c r="S1375" s="1"/>
      <c r="T1375" s="1"/>
      <c r="U1375" s="1"/>
      <c r="V1375" s="1"/>
      <c r="W1375" s="1"/>
      <c r="X1375" s="1"/>
      <c r="Y1375" s="1"/>
      <c r="Z1375" s="1"/>
      <c r="AA1375" s="1"/>
      <c r="AB1375" s="1"/>
      <c r="AC1375" s="1"/>
      <c r="AD1375" s="1" t="s">
        <v>93</v>
      </c>
      <c r="AE1375" s="1" t="s">
        <v>93</v>
      </c>
      <c r="AF1375" s="1"/>
      <c r="AG1375" s="1"/>
      <c r="AH1375" s="1"/>
      <c r="AI1375" s="1"/>
      <c r="AJ1375" s="1"/>
      <c r="AK1375" s="1"/>
      <c r="AL1375" s="1"/>
      <c r="AM1375" s="1"/>
      <c r="AN1375" s="1"/>
      <c r="AO1375" s="1"/>
      <c r="AP1375" s="1"/>
      <c r="AQ1375" s="1"/>
      <c r="AR1375" s="1"/>
      <c r="AS1375" s="1"/>
      <c r="AT1375" s="1"/>
      <c r="AU1375" s="1"/>
      <c r="AV1375" s="1"/>
      <c r="AW1375" s="1"/>
      <c r="AX1375" s="1"/>
      <c r="AY1375" s="1"/>
      <c r="AZ1375" s="1"/>
      <c r="BA1375" s="1"/>
      <c r="BB1375" s="1"/>
      <c r="BC1375" s="1"/>
      <c r="BD1375" s="1"/>
      <c r="BE1375" s="1"/>
      <c r="BF1375" s="1"/>
      <c r="BG1375" s="1"/>
      <c r="BH1375" s="1"/>
      <c r="BI1375" s="1"/>
      <c r="BJ1375" s="1"/>
      <c r="BK1375" s="1"/>
      <c r="BL1375" s="1"/>
      <c r="BM1375" s="1"/>
      <c r="BN1375" s="1"/>
      <c r="BO1375" s="1"/>
      <c r="BP1375" s="1" t="s">
        <v>9609</v>
      </c>
      <c r="BQ1375" s="3"/>
      <c r="BR1375" s="3"/>
    </row>
    <row r="1376" spans="1:70">
      <c r="A1376" s="1" t="s">
        <v>70</v>
      </c>
      <c r="B1376" s="1" t="s">
        <v>13846</v>
      </c>
      <c r="C1376" s="1" t="s">
        <v>16432</v>
      </c>
      <c r="D1376" s="1"/>
      <c r="E1376" s="1"/>
      <c r="F1376" s="1"/>
      <c r="G1376" s="1"/>
      <c r="H1376" s="1" t="s">
        <v>16433</v>
      </c>
      <c r="I1376" s="1" t="s">
        <v>16433</v>
      </c>
      <c r="J1376" s="1"/>
      <c r="K1376" s="1"/>
      <c r="L1376" s="1"/>
      <c r="M1376" s="1"/>
      <c r="N1376" s="1"/>
      <c r="O1376" s="1"/>
      <c r="P1376" s="1"/>
      <c r="Q1376" s="1"/>
      <c r="R1376" s="1"/>
      <c r="S1376" s="1"/>
      <c r="T1376" s="1"/>
      <c r="U1376" s="1"/>
      <c r="V1376" s="1"/>
      <c r="W1376" s="1"/>
      <c r="X1376" s="1"/>
      <c r="Y1376" s="1"/>
      <c r="Z1376" s="1"/>
      <c r="AA1376" s="1"/>
      <c r="AB1376" s="1"/>
      <c r="AC1376" s="1"/>
      <c r="AD1376" s="1" t="s">
        <v>93</v>
      </c>
      <c r="AE1376" s="1" t="s">
        <v>93</v>
      </c>
      <c r="AF1376" s="1"/>
      <c r="AG1376" s="1"/>
      <c r="AH1376" s="1"/>
      <c r="AI1376" s="1"/>
      <c r="AJ1376" s="1"/>
      <c r="AK1376" s="1"/>
      <c r="AL1376" s="1"/>
      <c r="AM1376" s="1"/>
      <c r="AN1376" s="1"/>
      <c r="AO1376" s="1"/>
      <c r="AP1376" s="1"/>
      <c r="AQ1376" s="1"/>
      <c r="AR1376" s="1"/>
      <c r="AS1376" s="1"/>
      <c r="AT1376" s="1"/>
      <c r="AU1376" s="1"/>
      <c r="AV1376" s="1"/>
      <c r="AW1376" s="1"/>
      <c r="AX1376" s="1"/>
      <c r="AY1376" s="1"/>
      <c r="AZ1376" s="1"/>
      <c r="BA1376" s="1"/>
      <c r="BB1376" s="1"/>
      <c r="BC1376" s="1"/>
      <c r="BD1376" s="1"/>
      <c r="BE1376" s="1"/>
      <c r="BF1376" s="1"/>
      <c r="BG1376" s="1"/>
      <c r="BH1376" s="1"/>
      <c r="BI1376" s="1"/>
      <c r="BJ1376" s="1"/>
      <c r="BK1376" s="1"/>
      <c r="BL1376" s="1"/>
      <c r="BM1376" s="1"/>
      <c r="BN1376" s="1"/>
      <c r="BO1376" s="1"/>
      <c r="BP1376" s="1" t="s">
        <v>9609</v>
      </c>
      <c r="BQ1376" s="3"/>
      <c r="BR1376" s="3"/>
    </row>
    <row r="1377" spans="1:70">
      <c r="A1377" s="1" t="s">
        <v>70</v>
      </c>
      <c r="B1377" s="1" t="s">
        <v>13846</v>
      </c>
      <c r="C1377" s="1" t="s">
        <v>16434</v>
      </c>
      <c r="D1377" s="1"/>
      <c r="E1377" s="1"/>
      <c r="F1377" s="1"/>
      <c r="G1377" s="1"/>
      <c r="H1377" s="1" t="s">
        <v>16435</v>
      </c>
      <c r="I1377" s="1" t="s">
        <v>16435</v>
      </c>
      <c r="J1377" s="1"/>
      <c r="K1377" s="1"/>
      <c r="L1377" s="1"/>
      <c r="M1377" s="1"/>
      <c r="N1377" s="1"/>
      <c r="O1377" s="1"/>
      <c r="P1377" s="1"/>
      <c r="Q1377" s="1"/>
      <c r="R1377" s="1"/>
      <c r="S1377" s="1"/>
      <c r="T1377" s="1"/>
      <c r="U1377" s="1"/>
      <c r="V1377" s="1"/>
      <c r="W1377" s="1"/>
      <c r="X1377" s="1"/>
      <c r="Y1377" s="1"/>
      <c r="Z1377" s="1"/>
      <c r="AA1377" s="1"/>
      <c r="AB1377" s="1"/>
      <c r="AC1377" s="1"/>
      <c r="AD1377" s="1" t="s">
        <v>93</v>
      </c>
      <c r="AE1377" s="1" t="s">
        <v>93</v>
      </c>
      <c r="AF1377" s="1"/>
      <c r="AG1377" s="1"/>
      <c r="AH1377" s="1"/>
      <c r="AI1377" s="1"/>
      <c r="AJ1377" s="1"/>
      <c r="AK1377" s="1"/>
      <c r="AL1377" s="1"/>
      <c r="AM1377" s="1"/>
      <c r="AN1377" s="1"/>
      <c r="AO1377" s="1"/>
      <c r="AP1377" s="1"/>
      <c r="AQ1377" s="1"/>
      <c r="AR1377" s="1"/>
      <c r="AS1377" s="1"/>
      <c r="AT1377" s="1"/>
      <c r="AU1377" s="1"/>
      <c r="AV1377" s="1"/>
      <c r="AW1377" s="1"/>
      <c r="AX1377" s="1"/>
      <c r="AY1377" s="1"/>
      <c r="AZ1377" s="1"/>
      <c r="BA1377" s="1"/>
      <c r="BB1377" s="1"/>
      <c r="BC1377" s="1"/>
      <c r="BD1377" s="1"/>
      <c r="BE1377" s="1"/>
      <c r="BF1377" s="1"/>
      <c r="BG1377" s="1"/>
      <c r="BH1377" s="1"/>
      <c r="BI1377" s="1"/>
      <c r="BJ1377" s="1"/>
      <c r="BK1377" s="1"/>
      <c r="BL1377" s="1"/>
      <c r="BM1377" s="1"/>
      <c r="BN1377" s="1"/>
      <c r="BO1377" s="1"/>
      <c r="BP1377" s="1" t="s">
        <v>9609</v>
      </c>
      <c r="BQ1377" s="3"/>
      <c r="BR1377" s="3"/>
    </row>
    <row r="1378" spans="1:70">
      <c r="A1378" s="1" t="s">
        <v>70</v>
      </c>
      <c r="B1378" s="1" t="s">
        <v>13846</v>
      </c>
      <c r="C1378" s="1" t="s">
        <v>16436</v>
      </c>
      <c r="D1378" s="1"/>
      <c r="E1378" s="1"/>
      <c r="F1378" s="1"/>
      <c r="G1378" s="1"/>
      <c r="H1378" s="1" t="s">
        <v>16437</v>
      </c>
      <c r="I1378" s="1" t="s">
        <v>16437</v>
      </c>
      <c r="J1378" s="1"/>
      <c r="K1378" s="1"/>
      <c r="L1378" s="1"/>
      <c r="M1378" s="1"/>
      <c r="N1378" s="1"/>
      <c r="O1378" s="1"/>
      <c r="P1378" s="1"/>
      <c r="Q1378" s="1"/>
      <c r="R1378" s="1"/>
      <c r="S1378" s="1"/>
      <c r="T1378" s="1"/>
      <c r="U1378" s="1"/>
      <c r="V1378" s="1"/>
      <c r="W1378" s="1"/>
      <c r="X1378" s="1"/>
      <c r="Y1378" s="1"/>
      <c r="Z1378" s="1"/>
      <c r="AA1378" s="1"/>
      <c r="AB1378" s="1"/>
      <c r="AC1378" s="1"/>
      <c r="AD1378" s="1" t="s">
        <v>93</v>
      </c>
      <c r="AE1378" s="1" t="s">
        <v>93</v>
      </c>
      <c r="AF1378" s="1"/>
      <c r="AG1378" s="1"/>
      <c r="AH1378" s="1"/>
      <c r="AI1378" s="1"/>
      <c r="AJ1378" s="1"/>
      <c r="AK1378" s="1"/>
      <c r="AL1378" s="1"/>
      <c r="AM1378" s="1"/>
      <c r="AN1378" s="1"/>
      <c r="AO1378" s="1"/>
      <c r="AP1378" s="1"/>
      <c r="AQ1378" s="1"/>
      <c r="AR1378" s="1"/>
      <c r="AS1378" s="1"/>
      <c r="AT1378" s="1"/>
      <c r="AU1378" s="1"/>
      <c r="AV1378" s="1"/>
      <c r="AW1378" s="1"/>
      <c r="AX1378" s="1"/>
      <c r="AY1378" s="1"/>
      <c r="AZ1378" s="1"/>
      <c r="BA1378" s="1"/>
      <c r="BB1378" s="1"/>
      <c r="BC1378" s="1"/>
      <c r="BD1378" s="1"/>
      <c r="BE1378" s="1"/>
      <c r="BF1378" s="1"/>
      <c r="BG1378" s="1"/>
      <c r="BH1378" s="1"/>
      <c r="BI1378" s="1"/>
      <c r="BJ1378" s="1"/>
      <c r="BK1378" s="1"/>
      <c r="BL1378" s="1"/>
      <c r="BM1378" s="1"/>
      <c r="BN1378" s="1"/>
      <c r="BO1378" s="1"/>
      <c r="BP1378" s="1" t="s">
        <v>9609</v>
      </c>
      <c r="BQ1378" s="3"/>
      <c r="BR1378" s="3"/>
    </row>
    <row r="1379" spans="1:70">
      <c r="A1379" s="1" t="s">
        <v>70</v>
      </c>
      <c r="B1379" s="1" t="s">
        <v>13846</v>
      </c>
      <c r="C1379" s="1" t="s">
        <v>16438</v>
      </c>
      <c r="D1379" s="1"/>
      <c r="E1379" s="1"/>
      <c r="F1379" s="1"/>
      <c r="G1379" s="1"/>
      <c r="H1379" s="1" t="s">
        <v>16439</v>
      </c>
      <c r="I1379" s="1" t="s">
        <v>16439</v>
      </c>
      <c r="J1379" s="1"/>
      <c r="K1379" s="1"/>
      <c r="L1379" s="1"/>
      <c r="M1379" s="1"/>
      <c r="N1379" s="1"/>
      <c r="O1379" s="1"/>
      <c r="P1379" s="1"/>
      <c r="Q1379" s="1"/>
      <c r="R1379" s="1"/>
      <c r="S1379" s="1"/>
      <c r="T1379" s="1"/>
      <c r="U1379" s="1"/>
      <c r="V1379" s="1"/>
      <c r="W1379" s="1"/>
      <c r="X1379" s="1"/>
      <c r="Y1379" s="1"/>
      <c r="Z1379" s="1"/>
      <c r="AA1379" s="1"/>
      <c r="AB1379" s="1"/>
      <c r="AC1379" s="1"/>
      <c r="AD1379" s="1" t="s">
        <v>93</v>
      </c>
      <c r="AE1379" s="1" t="s">
        <v>93</v>
      </c>
      <c r="AF1379" s="1"/>
      <c r="AG1379" s="1"/>
      <c r="AH1379" s="1"/>
      <c r="AI1379" s="1"/>
      <c r="AJ1379" s="1"/>
      <c r="AK1379" s="1"/>
      <c r="AL1379" s="1"/>
      <c r="AM1379" s="1"/>
      <c r="AN1379" s="1"/>
      <c r="AO1379" s="1"/>
      <c r="AP1379" s="1"/>
      <c r="AQ1379" s="1"/>
      <c r="AR1379" s="1"/>
      <c r="AS1379" s="1"/>
      <c r="AT1379" s="1"/>
      <c r="AU1379" s="1"/>
      <c r="AV1379" s="1"/>
      <c r="AW1379" s="1"/>
      <c r="AX1379" s="1"/>
      <c r="AY1379" s="1"/>
      <c r="AZ1379" s="1"/>
      <c r="BA1379" s="1"/>
      <c r="BB1379" s="1"/>
      <c r="BC1379" s="1"/>
      <c r="BD1379" s="1"/>
      <c r="BE1379" s="1"/>
      <c r="BF1379" s="1"/>
      <c r="BG1379" s="1"/>
      <c r="BH1379" s="1"/>
      <c r="BI1379" s="1"/>
      <c r="BJ1379" s="1"/>
      <c r="BK1379" s="1"/>
      <c r="BL1379" s="1"/>
      <c r="BM1379" s="1"/>
      <c r="BN1379" s="1"/>
      <c r="BO1379" s="1"/>
      <c r="BP1379" s="1" t="s">
        <v>9609</v>
      </c>
      <c r="BQ1379" s="3"/>
      <c r="BR1379" s="3"/>
    </row>
    <row r="1380" spans="1:70">
      <c r="A1380" s="1" t="s">
        <v>70</v>
      </c>
      <c r="B1380" s="1" t="s">
        <v>13846</v>
      </c>
      <c r="C1380" s="1" t="s">
        <v>16440</v>
      </c>
      <c r="D1380" s="1"/>
      <c r="E1380" s="1"/>
      <c r="F1380" s="1"/>
      <c r="G1380" s="1"/>
      <c r="H1380" s="1" t="s">
        <v>16441</v>
      </c>
      <c r="I1380" s="1" t="s">
        <v>16441</v>
      </c>
      <c r="J1380" s="1"/>
      <c r="K1380" s="1"/>
      <c r="L1380" s="1"/>
      <c r="M1380" s="1"/>
      <c r="N1380" s="1"/>
      <c r="O1380" s="1"/>
      <c r="P1380" s="1"/>
      <c r="Q1380" s="1"/>
      <c r="R1380" s="1"/>
      <c r="S1380" s="1"/>
      <c r="T1380" s="1"/>
      <c r="U1380" s="1"/>
      <c r="V1380" s="1"/>
      <c r="W1380" s="1"/>
      <c r="X1380" s="1"/>
      <c r="Y1380" s="1"/>
      <c r="Z1380" s="1"/>
      <c r="AA1380" s="1"/>
      <c r="AB1380" s="1"/>
      <c r="AC1380" s="1"/>
      <c r="AD1380" s="1" t="s">
        <v>93</v>
      </c>
      <c r="AE1380" s="1" t="s">
        <v>93</v>
      </c>
      <c r="AF1380" s="1"/>
      <c r="AG1380" s="1"/>
      <c r="AH1380" s="1"/>
      <c r="AI1380" s="1"/>
      <c r="AJ1380" s="1"/>
      <c r="AK1380" s="1"/>
      <c r="AL1380" s="1"/>
      <c r="AM1380" s="1"/>
      <c r="AN1380" s="1"/>
      <c r="AO1380" s="1"/>
      <c r="AP1380" s="1"/>
      <c r="AQ1380" s="1"/>
      <c r="AR1380" s="1"/>
      <c r="AS1380" s="1"/>
      <c r="AT1380" s="1"/>
      <c r="AU1380" s="1"/>
      <c r="AV1380" s="1"/>
      <c r="AW1380" s="1"/>
      <c r="AX1380" s="1"/>
      <c r="AY1380" s="1"/>
      <c r="AZ1380" s="1"/>
      <c r="BA1380" s="1"/>
      <c r="BB1380" s="1"/>
      <c r="BC1380" s="1"/>
      <c r="BD1380" s="1"/>
      <c r="BE1380" s="1"/>
      <c r="BF1380" s="1"/>
      <c r="BG1380" s="1"/>
      <c r="BH1380" s="1"/>
      <c r="BI1380" s="1"/>
      <c r="BJ1380" s="1"/>
      <c r="BK1380" s="1"/>
      <c r="BL1380" s="1"/>
      <c r="BM1380" s="1"/>
      <c r="BN1380" s="1"/>
      <c r="BO1380" s="1"/>
      <c r="BP1380" s="1" t="s">
        <v>9609</v>
      </c>
      <c r="BQ1380" s="3"/>
      <c r="BR1380" s="3"/>
    </row>
    <row r="1381" spans="1:70">
      <c r="A1381" s="1" t="s">
        <v>70</v>
      </c>
      <c r="B1381" s="1" t="s">
        <v>13846</v>
      </c>
      <c r="C1381" s="1" t="s">
        <v>16442</v>
      </c>
      <c r="D1381" s="1"/>
      <c r="E1381" s="1"/>
      <c r="F1381" s="1"/>
      <c r="G1381" s="1"/>
      <c r="H1381" s="1" t="s">
        <v>16443</v>
      </c>
      <c r="I1381" s="1" t="s">
        <v>16443</v>
      </c>
      <c r="J1381" s="1"/>
      <c r="K1381" s="1"/>
      <c r="L1381" s="1"/>
      <c r="M1381" s="1"/>
      <c r="N1381" s="1"/>
      <c r="O1381" s="1"/>
      <c r="P1381" s="1"/>
      <c r="Q1381" s="1"/>
      <c r="R1381" s="1"/>
      <c r="S1381" s="1"/>
      <c r="T1381" s="1"/>
      <c r="U1381" s="1"/>
      <c r="V1381" s="1"/>
      <c r="W1381" s="1"/>
      <c r="X1381" s="1"/>
      <c r="Y1381" s="1"/>
      <c r="Z1381" s="1"/>
      <c r="AA1381" s="1"/>
      <c r="AB1381" s="1"/>
      <c r="AC1381" s="1"/>
      <c r="AD1381" s="1" t="s">
        <v>93</v>
      </c>
      <c r="AE1381" s="1" t="s">
        <v>93</v>
      </c>
      <c r="AF1381" s="1"/>
      <c r="AG1381" s="1"/>
      <c r="AH1381" s="1"/>
      <c r="AI1381" s="1"/>
      <c r="AJ1381" s="1"/>
      <c r="AK1381" s="1"/>
      <c r="AL1381" s="1"/>
      <c r="AM1381" s="1"/>
      <c r="AN1381" s="1"/>
      <c r="AO1381" s="1"/>
      <c r="AP1381" s="1"/>
      <c r="AQ1381" s="1"/>
      <c r="AR1381" s="1"/>
      <c r="AS1381" s="1"/>
      <c r="AT1381" s="1"/>
      <c r="AU1381" s="1"/>
      <c r="AV1381" s="1"/>
      <c r="AW1381" s="1"/>
      <c r="AX1381" s="1"/>
      <c r="AY1381" s="1"/>
      <c r="AZ1381" s="1"/>
      <c r="BA1381" s="1"/>
      <c r="BB1381" s="1"/>
      <c r="BC1381" s="1"/>
      <c r="BD1381" s="1"/>
      <c r="BE1381" s="1"/>
      <c r="BF1381" s="1"/>
      <c r="BG1381" s="1"/>
      <c r="BH1381" s="1"/>
      <c r="BI1381" s="1"/>
      <c r="BJ1381" s="1"/>
      <c r="BK1381" s="1"/>
      <c r="BL1381" s="1"/>
      <c r="BM1381" s="1"/>
      <c r="BN1381" s="1"/>
      <c r="BO1381" s="1"/>
      <c r="BP1381" s="1" t="s">
        <v>9609</v>
      </c>
      <c r="BQ1381" s="3"/>
      <c r="BR1381" s="3"/>
    </row>
    <row r="1382" spans="1:70">
      <c r="A1382" s="1" t="s">
        <v>70</v>
      </c>
      <c r="B1382" s="1" t="s">
        <v>13846</v>
      </c>
      <c r="C1382" s="1" t="s">
        <v>16444</v>
      </c>
      <c r="D1382" s="1"/>
      <c r="E1382" s="1"/>
      <c r="F1382" s="1"/>
      <c r="G1382" s="1"/>
      <c r="H1382" s="1" t="s">
        <v>16445</v>
      </c>
      <c r="I1382" s="1" t="s">
        <v>16445</v>
      </c>
      <c r="J1382" s="1"/>
      <c r="K1382" s="1"/>
      <c r="L1382" s="1"/>
      <c r="M1382" s="1"/>
      <c r="N1382" s="1"/>
      <c r="O1382" s="1"/>
      <c r="P1382" s="1"/>
      <c r="Q1382" s="1"/>
      <c r="R1382" s="1"/>
      <c r="S1382" s="1"/>
      <c r="T1382" s="1"/>
      <c r="U1382" s="1"/>
      <c r="V1382" s="1"/>
      <c r="W1382" s="1"/>
      <c r="X1382" s="1"/>
      <c r="Y1382" s="1"/>
      <c r="Z1382" s="1"/>
      <c r="AA1382" s="1"/>
      <c r="AB1382" s="1"/>
      <c r="AC1382" s="1"/>
      <c r="AD1382" s="1" t="s">
        <v>93</v>
      </c>
      <c r="AE1382" s="1" t="s">
        <v>93</v>
      </c>
      <c r="AF1382" s="1"/>
      <c r="AG1382" s="1"/>
      <c r="AH1382" s="1"/>
      <c r="AI1382" s="1"/>
      <c r="AJ1382" s="1"/>
      <c r="AK1382" s="1"/>
      <c r="AL1382" s="1"/>
      <c r="AM1382" s="1"/>
      <c r="AN1382" s="1"/>
      <c r="AO1382" s="1"/>
      <c r="AP1382" s="1"/>
      <c r="AQ1382" s="1"/>
      <c r="AR1382" s="1"/>
      <c r="AS1382" s="1"/>
      <c r="AT1382" s="1"/>
      <c r="AU1382" s="1"/>
      <c r="AV1382" s="1"/>
      <c r="AW1382" s="1"/>
      <c r="AX1382" s="1"/>
      <c r="AY1382" s="1"/>
      <c r="AZ1382" s="1"/>
      <c r="BA1382" s="1"/>
      <c r="BB1382" s="1"/>
      <c r="BC1382" s="1"/>
      <c r="BD1382" s="1"/>
      <c r="BE1382" s="1"/>
      <c r="BF1382" s="1"/>
      <c r="BG1382" s="1"/>
      <c r="BH1382" s="1"/>
      <c r="BI1382" s="1"/>
      <c r="BJ1382" s="1"/>
      <c r="BK1382" s="1"/>
      <c r="BL1382" s="1"/>
      <c r="BM1382" s="1"/>
      <c r="BN1382" s="1"/>
      <c r="BO1382" s="1"/>
      <c r="BP1382" s="1" t="s">
        <v>9609</v>
      </c>
      <c r="BQ1382" s="3"/>
      <c r="BR1382" s="3"/>
    </row>
    <row r="1383" spans="1:70">
      <c r="A1383" s="1" t="s">
        <v>70</v>
      </c>
      <c r="B1383" s="1" t="s">
        <v>13846</v>
      </c>
      <c r="C1383" s="1" t="s">
        <v>16446</v>
      </c>
      <c r="D1383" s="1"/>
      <c r="E1383" s="1"/>
      <c r="F1383" s="1"/>
      <c r="G1383" s="1"/>
      <c r="H1383" s="1" t="s">
        <v>16447</v>
      </c>
      <c r="I1383" s="1" t="s">
        <v>16447</v>
      </c>
      <c r="J1383" s="1"/>
      <c r="K1383" s="1"/>
      <c r="L1383" s="1"/>
      <c r="M1383" s="1"/>
      <c r="N1383" s="1"/>
      <c r="O1383" s="1"/>
      <c r="P1383" s="1"/>
      <c r="Q1383" s="1"/>
      <c r="R1383" s="1"/>
      <c r="S1383" s="1"/>
      <c r="T1383" s="1"/>
      <c r="U1383" s="1"/>
      <c r="V1383" s="1"/>
      <c r="W1383" s="1"/>
      <c r="X1383" s="1"/>
      <c r="Y1383" s="1"/>
      <c r="Z1383" s="1"/>
      <c r="AA1383" s="1"/>
      <c r="AB1383" s="1"/>
      <c r="AC1383" s="1"/>
      <c r="AD1383" s="1" t="s">
        <v>93</v>
      </c>
      <c r="AE1383" s="1" t="s">
        <v>93</v>
      </c>
      <c r="AF1383" s="1"/>
      <c r="AG1383" s="1"/>
      <c r="AH1383" s="1"/>
      <c r="AI1383" s="1"/>
      <c r="AJ1383" s="1"/>
      <c r="AK1383" s="1"/>
      <c r="AL1383" s="1"/>
      <c r="AM1383" s="1"/>
      <c r="AN1383" s="1"/>
      <c r="AO1383" s="1"/>
      <c r="AP1383" s="1"/>
      <c r="AQ1383" s="1"/>
      <c r="AR1383" s="1"/>
      <c r="AS1383" s="1"/>
      <c r="AT1383" s="1"/>
      <c r="AU1383" s="1"/>
      <c r="AV1383" s="1"/>
      <c r="AW1383" s="1"/>
      <c r="AX1383" s="1"/>
      <c r="AY1383" s="1"/>
      <c r="AZ1383" s="1"/>
      <c r="BA1383" s="1"/>
      <c r="BB1383" s="1"/>
      <c r="BC1383" s="1"/>
      <c r="BD1383" s="1"/>
      <c r="BE1383" s="1"/>
      <c r="BF1383" s="1"/>
      <c r="BG1383" s="1"/>
      <c r="BH1383" s="1"/>
      <c r="BI1383" s="1"/>
      <c r="BJ1383" s="1"/>
      <c r="BK1383" s="1"/>
      <c r="BL1383" s="1"/>
      <c r="BM1383" s="1"/>
      <c r="BN1383" s="1"/>
      <c r="BO1383" s="1"/>
      <c r="BP1383" s="1" t="s">
        <v>9609</v>
      </c>
      <c r="BQ1383" s="3"/>
      <c r="BR1383" s="3"/>
    </row>
    <row r="1384" spans="1:70">
      <c r="A1384" s="1" t="s">
        <v>70</v>
      </c>
      <c r="B1384" s="1" t="s">
        <v>13846</v>
      </c>
      <c r="C1384" s="1" t="s">
        <v>16448</v>
      </c>
      <c r="D1384" s="1"/>
      <c r="E1384" s="1"/>
      <c r="F1384" s="1"/>
      <c r="G1384" s="1"/>
      <c r="H1384" s="1" t="s">
        <v>16449</v>
      </c>
      <c r="I1384" s="1" t="s">
        <v>16449</v>
      </c>
      <c r="J1384" s="1"/>
      <c r="K1384" s="1"/>
      <c r="L1384" s="1"/>
      <c r="M1384" s="1"/>
      <c r="N1384" s="1"/>
      <c r="O1384" s="1"/>
      <c r="P1384" s="1"/>
      <c r="Q1384" s="1"/>
      <c r="R1384" s="1"/>
      <c r="S1384" s="1"/>
      <c r="T1384" s="1"/>
      <c r="U1384" s="1"/>
      <c r="V1384" s="1"/>
      <c r="W1384" s="1"/>
      <c r="X1384" s="1"/>
      <c r="Y1384" s="1"/>
      <c r="Z1384" s="1"/>
      <c r="AA1384" s="1"/>
      <c r="AB1384" s="1"/>
      <c r="AC1384" s="1"/>
      <c r="AD1384" s="1" t="s">
        <v>93</v>
      </c>
      <c r="AE1384" s="1" t="s">
        <v>93</v>
      </c>
      <c r="AF1384" s="1"/>
      <c r="AG1384" s="1"/>
      <c r="AH1384" s="1"/>
      <c r="AI1384" s="1"/>
      <c r="AJ1384" s="1"/>
      <c r="AK1384" s="1"/>
      <c r="AL1384" s="1"/>
      <c r="AM1384" s="1"/>
      <c r="AN1384" s="1"/>
      <c r="AO1384" s="1"/>
      <c r="AP1384" s="1"/>
      <c r="AQ1384" s="1"/>
      <c r="AR1384" s="1"/>
      <c r="AS1384" s="1"/>
      <c r="AT1384" s="1"/>
      <c r="AU1384" s="1"/>
      <c r="AV1384" s="1"/>
      <c r="AW1384" s="1"/>
      <c r="AX1384" s="1"/>
      <c r="AY1384" s="1"/>
      <c r="AZ1384" s="1"/>
      <c r="BA1384" s="1"/>
      <c r="BB1384" s="1"/>
      <c r="BC1384" s="1"/>
      <c r="BD1384" s="1"/>
      <c r="BE1384" s="1"/>
      <c r="BF1384" s="1"/>
      <c r="BG1384" s="1"/>
      <c r="BH1384" s="1"/>
      <c r="BI1384" s="1"/>
      <c r="BJ1384" s="1"/>
      <c r="BK1384" s="1"/>
      <c r="BL1384" s="1"/>
      <c r="BM1384" s="1"/>
      <c r="BN1384" s="1"/>
      <c r="BO1384" s="1"/>
      <c r="BP1384" s="1" t="s">
        <v>9609</v>
      </c>
      <c r="BQ1384" s="3"/>
      <c r="BR1384" s="3"/>
    </row>
    <row r="1385" spans="1:70">
      <c r="A1385" s="1" t="s">
        <v>70</v>
      </c>
      <c r="B1385" s="1" t="s">
        <v>13846</v>
      </c>
      <c r="C1385" s="1" t="s">
        <v>16450</v>
      </c>
      <c r="D1385" s="1"/>
      <c r="E1385" s="1"/>
      <c r="F1385" s="1"/>
      <c r="G1385" s="1"/>
      <c r="H1385" s="1" t="s">
        <v>16451</v>
      </c>
      <c r="I1385" s="1" t="s">
        <v>16451</v>
      </c>
      <c r="J1385" s="1"/>
      <c r="K1385" s="1"/>
      <c r="L1385" s="1"/>
      <c r="M1385" s="1"/>
      <c r="N1385" s="1"/>
      <c r="O1385" s="1"/>
      <c r="P1385" s="1"/>
      <c r="Q1385" s="1"/>
      <c r="R1385" s="1"/>
      <c r="S1385" s="1"/>
      <c r="T1385" s="1"/>
      <c r="U1385" s="1"/>
      <c r="V1385" s="1"/>
      <c r="W1385" s="1"/>
      <c r="X1385" s="1"/>
      <c r="Y1385" s="1"/>
      <c r="Z1385" s="1"/>
      <c r="AA1385" s="1"/>
      <c r="AB1385" s="1"/>
      <c r="AC1385" s="1"/>
      <c r="AD1385" s="1" t="s">
        <v>93</v>
      </c>
      <c r="AE1385" s="1" t="s">
        <v>93</v>
      </c>
      <c r="AF1385" s="1"/>
      <c r="AG1385" s="1"/>
      <c r="AH1385" s="1"/>
      <c r="AI1385" s="1"/>
      <c r="AJ1385" s="1"/>
      <c r="AK1385" s="1"/>
      <c r="AL1385" s="1"/>
      <c r="AM1385" s="1"/>
      <c r="AN1385" s="1"/>
      <c r="AO1385" s="1"/>
      <c r="AP1385" s="1"/>
      <c r="AQ1385" s="1"/>
      <c r="AR1385" s="1"/>
      <c r="AS1385" s="1"/>
      <c r="AT1385" s="1"/>
      <c r="AU1385" s="1"/>
      <c r="AV1385" s="1"/>
      <c r="AW1385" s="1"/>
      <c r="AX1385" s="1"/>
      <c r="AY1385" s="1"/>
      <c r="AZ1385" s="1"/>
      <c r="BA1385" s="1"/>
      <c r="BB1385" s="1"/>
      <c r="BC1385" s="1"/>
      <c r="BD1385" s="1"/>
      <c r="BE1385" s="1"/>
      <c r="BF1385" s="1"/>
      <c r="BG1385" s="1"/>
      <c r="BH1385" s="1"/>
      <c r="BI1385" s="1"/>
      <c r="BJ1385" s="1"/>
      <c r="BK1385" s="1"/>
      <c r="BL1385" s="1"/>
      <c r="BM1385" s="1"/>
      <c r="BN1385" s="1"/>
      <c r="BO1385" s="1"/>
      <c r="BP1385" s="1" t="s">
        <v>9609</v>
      </c>
      <c r="BQ1385" s="3"/>
      <c r="BR1385" s="3"/>
    </row>
    <row r="1386" spans="1:70">
      <c r="A1386" s="1" t="s">
        <v>70</v>
      </c>
      <c r="B1386" s="1" t="s">
        <v>13846</v>
      </c>
      <c r="C1386" s="1" t="s">
        <v>16452</v>
      </c>
      <c r="D1386" s="1"/>
      <c r="E1386" s="1"/>
      <c r="F1386" s="1"/>
      <c r="G1386" s="1"/>
      <c r="H1386" s="1" t="s">
        <v>16453</v>
      </c>
      <c r="I1386" s="1" t="s">
        <v>16453</v>
      </c>
      <c r="J1386" s="1"/>
      <c r="K1386" s="1"/>
      <c r="L1386" s="1"/>
      <c r="M1386" s="1"/>
      <c r="N1386" s="1"/>
      <c r="O1386" s="1"/>
      <c r="P1386" s="1"/>
      <c r="Q1386" s="1"/>
      <c r="R1386" s="1"/>
      <c r="S1386" s="1"/>
      <c r="T1386" s="1"/>
      <c r="U1386" s="1"/>
      <c r="V1386" s="1"/>
      <c r="W1386" s="1"/>
      <c r="X1386" s="1"/>
      <c r="Y1386" s="1"/>
      <c r="Z1386" s="1"/>
      <c r="AA1386" s="1"/>
      <c r="AB1386" s="1"/>
      <c r="AC1386" s="1"/>
      <c r="AD1386" s="1" t="s">
        <v>93</v>
      </c>
      <c r="AE1386" s="1" t="s">
        <v>93</v>
      </c>
      <c r="AF1386" s="1"/>
      <c r="AG1386" s="1"/>
      <c r="AH1386" s="1"/>
      <c r="AI1386" s="1"/>
      <c r="AJ1386" s="1"/>
      <c r="AK1386" s="1"/>
      <c r="AL1386" s="1"/>
      <c r="AM1386" s="1"/>
      <c r="AN1386" s="1"/>
      <c r="AO1386" s="1"/>
      <c r="AP1386" s="1"/>
      <c r="AQ1386" s="1"/>
      <c r="AR1386" s="1"/>
      <c r="AS1386" s="1"/>
      <c r="AT1386" s="1"/>
      <c r="AU1386" s="1"/>
      <c r="AV1386" s="1"/>
      <c r="AW1386" s="1"/>
      <c r="AX1386" s="1"/>
      <c r="AY1386" s="1"/>
      <c r="AZ1386" s="1"/>
      <c r="BA1386" s="1"/>
      <c r="BB1386" s="1"/>
      <c r="BC1386" s="1"/>
      <c r="BD1386" s="1"/>
      <c r="BE1386" s="1"/>
      <c r="BF1386" s="1"/>
      <c r="BG1386" s="1"/>
      <c r="BH1386" s="1"/>
      <c r="BI1386" s="1"/>
      <c r="BJ1386" s="1"/>
      <c r="BK1386" s="1"/>
      <c r="BL1386" s="1"/>
      <c r="BM1386" s="1"/>
      <c r="BN1386" s="1"/>
      <c r="BO1386" s="1"/>
      <c r="BP1386" s="1" t="s">
        <v>9609</v>
      </c>
      <c r="BQ1386" s="3"/>
      <c r="BR1386" s="3"/>
    </row>
    <row r="1387" spans="1:70">
      <c r="A1387" s="1" t="s">
        <v>70</v>
      </c>
      <c r="B1387" s="1" t="s">
        <v>13846</v>
      </c>
      <c r="C1387" s="1" t="s">
        <v>16454</v>
      </c>
      <c r="D1387" s="1"/>
      <c r="E1387" s="1"/>
      <c r="F1387" s="1"/>
      <c r="G1387" s="1"/>
      <c r="H1387" s="1" t="s">
        <v>16455</v>
      </c>
      <c r="I1387" s="1" t="s">
        <v>16455</v>
      </c>
      <c r="J1387" s="1"/>
      <c r="K1387" s="1"/>
      <c r="L1387" s="1"/>
      <c r="M1387" s="1"/>
      <c r="N1387" s="1"/>
      <c r="O1387" s="1"/>
      <c r="P1387" s="1"/>
      <c r="Q1387" s="1"/>
      <c r="R1387" s="1"/>
      <c r="S1387" s="1"/>
      <c r="T1387" s="1"/>
      <c r="U1387" s="1"/>
      <c r="V1387" s="1"/>
      <c r="W1387" s="1"/>
      <c r="X1387" s="1"/>
      <c r="Y1387" s="1"/>
      <c r="Z1387" s="1"/>
      <c r="AA1387" s="1"/>
      <c r="AB1387" s="1"/>
      <c r="AC1387" s="1"/>
      <c r="AD1387" s="1" t="s">
        <v>93</v>
      </c>
      <c r="AE1387" s="1" t="s">
        <v>93</v>
      </c>
      <c r="AF1387" s="1"/>
      <c r="AG1387" s="1"/>
      <c r="AH1387" s="1"/>
      <c r="AI1387" s="1"/>
      <c r="AJ1387" s="1"/>
      <c r="AK1387" s="1"/>
      <c r="AL1387" s="1"/>
      <c r="AM1387" s="1"/>
      <c r="AN1387" s="1"/>
      <c r="AO1387" s="1"/>
      <c r="AP1387" s="1"/>
      <c r="AQ1387" s="1"/>
      <c r="AR1387" s="1"/>
      <c r="AS1387" s="1"/>
      <c r="AT1387" s="1"/>
      <c r="AU1387" s="1"/>
      <c r="AV1387" s="1"/>
      <c r="AW1387" s="1"/>
      <c r="AX1387" s="1"/>
      <c r="AY1387" s="1"/>
      <c r="AZ1387" s="1"/>
      <c r="BA1387" s="1"/>
      <c r="BB1387" s="1"/>
      <c r="BC1387" s="1"/>
      <c r="BD1387" s="1"/>
      <c r="BE1387" s="1"/>
      <c r="BF1387" s="1"/>
      <c r="BG1387" s="1"/>
      <c r="BH1387" s="1"/>
      <c r="BI1387" s="1"/>
      <c r="BJ1387" s="1"/>
      <c r="BK1387" s="1"/>
      <c r="BL1387" s="1"/>
      <c r="BM1387" s="1"/>
      <c r="BN1387" s="1"/>
      <c r="BO1387" s="1"/>
      <c r="BP1387" s="1" t="s">
        <v>9609</v>
      </c>
      <c r="BQ1387" s="3"/>
      <c r="BR1387" s="3"/>
    </row>
    <row r="1388" spans="1:70">
      <c r="A1388" s="1" t="s">
        <v>70</v>
      </c>
      <c r="B1388" s="1" t="s">
        <v>13846</v>
      </c>
      <c r="C1388" s="1" t="s">
        <v>16456</v>
      </c>
      <c r="D1388" s="1"/>
      <c r="E1388" s="1"/>
      <c r="F1388" s="1"/>
      <c r="G1388" s="1"/>
      <c r="H1388" s="1" t="s">
        <v>16457</v>
      </c>
      <c r="I1388" s="1" t="s">
        <v>16457</v>
      </c>
      <c r="J1388" s="1"/>
      <c r="K1388" s="1"/>
      <c r="L1388" s="1"/>
      <c r="M1388" s="1"/>
      <c r="N1388" s="1"/>
      <c r="O1388" s="1"/>
      <c r="P1388" s="1"/>
      <c r="Q1388" s="1"/>
      <c r="R1388" s="1"/>
      <c r="S1388" s="1"/>
      <c r="T1388" s="1"/>
      <c r="U1388" s="1"/>
      <c r="V1388" s="1"/>
      <c r="W1388" s="1"/>
      <c r="X1388" s="1"/>
      <c r="Y1388" s="1"/>
      <c r="Z1388" s="1"/>
      <c r="AA1388" s="1"/>
      <c r="AB1388" s="1"/>
      <c r="AC1388" s="1"/>
      <c r="AD1388" s="1" t="s">
        <v>93</v>
      </c>
      <c r="AE1388" s="1" t="s">
        <v>93</v>
      </c>
      <c r="AF1388" s="1"/>
      <c r="AG1388" s="1"/>
      <c r="AH1388" s="1"/>
      <c r="AI1388" s="1"/>
      <c r="AJ1388" s="1"/>
      <c r="AK1388" s="1"/>
      <c r="AL1388" s="1"/>
      <c r="AM1388" s="1"/>
      <c r="AN1388" s="1"/>
      <c r="AO1388" s="1"/>
      <c r="AP1388" s="1"/>
      <c r="AQ1388" s="1"/>
      <c r="AR1388" s="1"/>
      <c r="AS1388" s="1"/>
      <c r="AT1388" s="1"/>
      <c r="AU1388" s="1"/>
      <c r="AV1388" s="1"/>
      <c r="AW1388" s="1"/>
      <c r="AX1388" s="1"/>
      <c r="AY1388" s="1"/>
      <c r="AZ1388" s="1"/>
      <c r="BA1388" s="1"/>
      <c r="BB1388" s="1"/>
      <c r="BC1388" s="1"/>
      <c r="BD1388" s="1"/>
      <c r="BE1388" s="1"/>
      <c r="BF1388" s="1"/>
      <c r="BG1388" s="1"/>
      <c r="BH1388" s="1"/>
      <c r="BI1388" s="1"/>
      <c r="BJ1388" s="1"/>
      <c r="BK1388" s="1"/>
      <c r="BL1388" s="1"/>
      <c r="BM1388" s="1"/>
      <c r="BN1388" s="1"/>
      <c r="BO1388" s="1"/>
      <c r="BP1388" s="1" t="s">
        <v>9609</v>
      </c>
      <c r="BQ1388" s="3"/>
      <c r="BR1388" s="3"/>
    </row>
    <row r="1389" spans="1:70">
      <c r="A1389" s="1" t="s">
        <v>70</v>
      </c>
      <c r="B1389" s="1" t="s">
        <v>13846</v>
      </c>
      <c r="C1389" s="1" t="s">
        <v>16458</v>
      </c>
      <c r="D1389" s="1"/>
      <c r="E1389" s="1"/>
      <c r="F1389" s="1"/>
      <c r="G1389" s="1"/>
      <c r="H1389" s="1" t="s">
        <v>16459</v>
      </c>
      <c r="I1389" s="1" t="s">
        <v>16459</v>
      </c>
      <c r="J1389" s="1"/>
      <c r="K1389" s="1"/>
      <c r="L1389" s="1"/>
      <c r="M1389" s="1"/>
      <c r="N1389" s="1"/>
      <c r="O1389" s="1"/>
      <c r="P1389" s="1"/>
      <c r="Q1389" s="1"/>
      <c r="R1389" s="1"/>
      <c r="S1389" s="1"/>
      <c r="T1389" s="1"/>
      <c r="U1389" s="1"/>
      <c r="V1389" s="1"/>
      <c r="W1389" s="1"/>
      <c r="X1389" s="1"/>
      <c r="Y1389" s="1"/>
      <c r="Z1389" s="1"/>
      <c r="AA1389" s="1"/>
      <c r="AB1389" s="1"/>
      <c r="AC1389" s="1"/>
      <c r="AD1389" s="1" t="s">
        <v>93</v>
      </c>
      <c r="AE1389" s="1" t="s">
        <v>93</v>
      </c>
      <c r="AF1389" s="1"/>
      <c r="AG1389" s="1"/>
      <c r="AH1389" s="1"/>
      <c r="AI1389" s="1"/>
      <c r="AJ1389" s="1"/>
      <c r="AK1389" s="1"/>
      <c r="AL1389" s="1"/>
      <c r="AM1389" s="1"/>
      <c r="AN1389" s="1"/>
      <c r="AO1389" s="1"/>
      <c r="AP1389" s="1"/>
      <c r="AQ1389" s="1"/>
      <c r="AR1389" s="1"/>
      <c r="AS1389" s="1"/>
      <c r="AT1389" s="1"/>
      <c r="AU1389" s="1"/>
      <c r="AV1389" s="1"/>
      <c r="AW1389" s="1"/>
      <c r="AX1389" s="1"/>
      <c r="AY1389" s="1"/>
      <c r="AZ1389" s="1"/>
      <c r="BA1389" s="1"/>
      <c r="BB1389" s="1"/>
      <c r="BC1389" s="1"/>
      <c r="BD1389" s="1"/>
      <c r="BE1389" s="1"/>
      <c r="BF1389" s="1"/>
      <c r="BG1389" s="1"/>
      <c r="BH1389" s="1"/>
      <c r="BI1389" s="1"/>
      <c r="BJ1389" s="1"/>
      <c r="BK1389" s="1"/>
      <c r="BL1389" s="1"/>
      <c r="BM1389" s="1"/>
      <c r="BN1389" s="1"/>
      <c r="BO1389" s="1"/>
      <c r="BP1389" s="1" t="s">
        <v>9609</v>
      </c>
      <c r="BQ1389" s="3"/>
      <c r="BR1389" s="3"/>
    </row>
    <row r="1390" spans="1:70">
      <c r="A1390" s="1" t="s">
        <v>70</v>
      </c>
      <c r="B1390" s="1" t="s">
        <v>13846</v>
      </c>
      <c r="C1390" s="1" t="s">
        <v>16460</v>
      </c>
      <c r="D1390" s="1"/>
      <c r="E1390" s="1"/>
      <c r="F1390" s="1"/>
      <c r="G1390" s="1"/>
      <c r="H1390" s="1" t="s">
        <v>16461</v>
      </c>
      <c r="I1390" s="1" t="s">
        <v>16461</v>
      </c>
      <c r="J1390" s="1"/>
      <c r="K1390" s="1"/>
      <c r="L1390" s="1"/>
      <c r="M1390" s="1"/>
      <c r="N1390" s="1"/>
      <c r="O1390" s="1"/>
      <c r="P1390" s="1"/>
      <c r="Q1390" s="1"/>
      <c r="R1390" s="1"/>
      <c r="S1390" s="1"/>
      <c r="T1390" s="1"/>
      <c r="U1390" s="1"/>
      <c r="V1390" s="1"/>
      <c r="W1390" s="1"/>
      <c r="X1390" s="1"/>
      <c r="Y1390" s="1"/>
      <c r="Z1390" s="1"/>
      <c r="AA1390" s="1"/>
      <c r="AB1390" s="1"/>
      <c r="AC1390" s="1"/>
      <c r="AD1390" s="1" t="s">
        <v>93</v>
      </c>
      <c r="AE1390" s="1" t="s">
        <v>93</v>
      </c>
      <c r="AF1390" s="1"/>
      <c r="AG1390" s="1"/>
      <c r="AH1390" s="1"/>
      <c r="AI1390" s="1"/>
      <c r="AJ1390" s="1"/>
      <c r="AK1390" s="1"/>
      <c r="AL1390" s="1"/>
      <c r="AM1390" s="1"/>
      <c r="AN1390" s="1"/>
      <c r="AO1390" s="1"/>
      <c r="AP1390" s="1"/>
      <c r="AQ1390" s="1"/>
      <c r="AR1390" s="1"/>
      <c r="AS1390" s="1"/>
      <c r="AT1390" s="1"/>
      <c r="AU1390" s="1"/>
      <c r="AV1390" s="1"/>
      <c r="AW1390" s="1"/>
      <c r="AX1390" s="1"/>
      <c r="AY1390" s="1"/>
      <c r="AZ1390" s="1"/>
      <c r="BA1390" s="1"/>
      <c r="BB1390" s="1"/>
      <c r="BC1390" s="1"/>
      <c r="BD1390" s="1"/>
      <c r="BE1390" s="1"/>
      <c r="BF1390" s="1"/>
      <c r="BG1390" s="1"/>
      <c r="BH1390" s="1"/>
      <c r="BI1390" s="1"/>
      <c r="BJ1390" s="1"/>
      <c r="BK1390" s="1"/>
      <c r="BL1390" s="1"/>
      <c r="BM1390" s="1"/>
      <c r="BN1390" s="1"/>
      <c r="BO1390" s="1"/>
      <c r="BP1390" s="1" t="s">
        <v>9609</v>
      </c>
      <c r="BQ1390" s="3"/>
      <c r="BR1390" s="3"/>
    </row>
    <row r="1391" spans="1:70">
      <c r="A1391" s="1" t="s">
        <v>70</v>
      </c>
      <c r="B1391" s="1" t="s">
        <v>13846</v>
      </c>
      <c r="C1391" s="1" t="s">
        <v>16462</v>
      </c>
      <c r="D1391" s="1"/>
      <c r="E1391" s="1"/>
      <c r="F1391" s="1"/>
      <c r="G1391" s="1"/>
      <c r="H1391" s="1" t="s">
        <v>16463</v>
      </c>
      <c r="I1391" s="1" t="s">
        <v>16463</v>
      </c>
      <c r="J1391" s="1"/>
      <c r="K1391" s="1"/>
      <c r="L1391" s="1"/>
      <c r="M1391" s="1"/>
      <c r="N1391" s="1"/>
      <c r="O1391" s="1"/>
      <c r="P1391" s="1"/>
      <c r="Q1391" s="1"/>
      <c r="R1391" s="1"/>
      <c r="S1391" s="1"/>
      <c r="T1391" s="1"/>
      <c r="U1391" s="1"/>
      <c r="V1391" s="1"/>
      <c r="W1391" s="1"/>
      <c r="X1391" s="1"/>
      <c r="Y1391" s="1"/>
      <c r="Z1391" s="1"/>
      <c r="AA1391" s="1"/>
      <c r="AB1391" s="1"/>
      <c r="AC1391" s="1"/>
      <c r="AD1391" s="1" t="s">
        <v>93</v>
      </c>
      <c r="AE1391" s="1" t="s">
        <v>93</v>
      </c>
      <c r="AF1391" s="1"/>
      <c r="AG1391" s="1"/>
      <c r="AH1391" s="1"/>
      <c r="AI1391" s="1"/>
      <c r="AJ1391" s="1"/>
      <c r="AK1391" s="1"/>
      <c r="AL1391" s="1"/>
      <c r="AM1391" s="1"/>
      <c r="AN1391" s="1"/>
      <c r="AO1391" s="1"/>
      <c r="AP1391" s="1"/>
      <c r="AQ1391" s="1"/>
      <c r="AR1391" s="1"/>
      <c r="AS1391" s="1"/>
      <c r="AT1391" s="1"/>
      <c r="AU1391" s="1"/>
      <c r="AV1391" s="1"/>
      <c r="AW1391" s="1"/>
      <c r="AX1391" s="1"/>
      <c r="AY1391" s="1"/>
      <c r="AZ1391" s="1"/>
      <c r="BA1391" s="1"/>
      <c r="BB1391" s="1"/>
      <c r="BC1391" s="1"/>
      <c r="BD1391" s="1"/>
      <c r="BE1391" s="1"/>
      <c r="BF1391" s="1"/>
      <c r="BG1391" s="1"/>
      <c r="BH1391" s="1"/>
      <c r="BI1391" s="1"/>
      <c r="BJ1391" s="1"/>
      <c r="BK1391" s="1"/>
      <c r="BL1391" s="1"/>
      <c r="BM1391" s="1"/>
      <c r="BN1391" s="1"/>
      <c r="BO1391" s="1"/>
      <c r="BP1391" s="1" t="s">
        <v>9609</v>
      </c>
      <c r="BQ1391" s="3"/>
      <c r="BR1391" s="3"/>
    </row>
    <row r="1392" spans="1:70">
      <c r="A1392" s="1" t="s">
        <v>70</v>
      </c>
      <c r="B1392" s="1" t="s">
        <v>13846</v>
      </c>
      <c r="C1392" s="1" t="s">
        <v>16464</v>
      </c>
      <c r="D1392" s="1"/>
      <c r="E1392" s="1"/>
      <c r="F1392" s="1"/>
      <c r="G1392" s="1"/>
      <c r="H1392" s="1" t="s">
        <v>16465</v>
      </c>
      <c r="I1392" s="1" t="s">
        <v>16465</v>
      </c>
      <c r="J1392" s="1"/>
      <c r="K1392" s="1"/>
      <c r="L1392" s="1"/>
      <c r="M1392" s="1"/>
      <c r="N1392" s="1"/>
      <c r="O1392" s="1"/>
      <c r="P1392" s="1"/>
      <c r="Q1392" s="1"/>
      <c r="R1392" s="1"/>
      <c r="S1392" s="1"/>
      <c r="T1392" s="1"/>
      <c r="U1392" s="1"/>
      <c r="V1392" s="1"/>
      <c r="W1392" s="1"/>
      <c r="X1392" s="1"/>
      <c r="Y1392" s="1"/>
      <c r="Z1392" s="1"/>
      <c r="AA1392" s="1"/>
      <c r="AB1392" s="1"/>
      <c r="AC1392" s="1"/>
      <c r="AD1392" s="1" t="s">
        <v>93</v>
      </c>
      <c r="AE1392" s="1" t="s">
        <v>93</v>
      </c>
      <c r="AF1392" s="1"/>
      <c r="AG1392" s="1"/>
      <c r="AH1392" s="1"/>
      <c r="AI1392" s="1"/>
      <c r="AJ1392" s="1"/>
      <c r="AK1392" s="1"/>
      <c r="AL1392" s="1"/>
      <c r="AM1392" s="1"/>
      <c r="AN1392" s="1"/>
      <c r="AO1392" s="1"/>
      <c r="AP1392" s="1"/>
      <c r="AQ1392" s="1"/>
      <c r="AR1392" s="1"/>
      <c r="AS1392" s="1"/>
      <c r="AT1392" s="1"/>
      <c r="AU1392" s="1"/>
      <c r="AV1392" s="1"/>
      <c r="AW1392" s="1"/>
      <c r="AX1392" s="1"/>
      <c r="AY1392" s="1"/>
      <c r="AZ1392" s="1"/>
      <c r="BA1392" s="1"/>
      <c r="BB1392" s="1"/>
      <c r="BC1392" s="1"/>
      <c r="BD1392" s="1"/>
      <c r="BE1392" s="1"/>
      <c r="BF1392" s="1"/>
      <c r="BG1392" s="1"/>
      <c r="BH1392" s="1"/>
      <c r="BI1392" s="1"/>
      <c r="BJ1392" s="1"/>
      <c r="BK1392" s="1"/>
      <c r="BL1392" s="1"/>
      <c r="BM1392" s="1"/>
      <c r="BN1392" s="1"/>
      <c r="BO1392" s="1"/>
      <c r="BP1392" s="1" t="s">
        <v>9609</v>
      </c>
      <c r="BQ1392" s="3"/>
      <c r="BR1392" s="3"/>
    </row>
    <row r="1393" spans="1:70">
      <c r="A1393" s="1" t="s">
        <v>70</v>
      </c>
      <c r="B1393" s="1" t="s">
        <v>13846</v>
      </c>
      <c r="C1393" s="1" t="s">
        <v>16466</v>
      </c>
      <c r="D1393" s="1"/>
      <c r="E1393" s="1"/>
      <c r="F1393" s="1"/>
      <c r="G1393" s="1"/>
      <c r="H1393" s="1" t="s">
        <v>16467</v>
      </c>
      <c r="I1393" s="1" t="s">
        <v>16467</v>
      </c>
      <c r="J1393" s="1"/>
      <c r="K1393" s="1"/>
      <c r="L1393" s="1"/>
      <c r="M1393" s="1"/>
      <c r="N1393" s="1"/>
      <c r="O1393" s="1"/>
      <c r="P1393" s="1"/>
      <c r="Q1393" s="1"/>
      <c r="R1393" s="1"/>
      <c r="S1393" s="1"/>
      <c r="T1393" s="1"/>
      <c r="U1393" s="1"/>
      <c r="V1393" s="1"/>
      <c r="W1393" s="1"/>
      <c r="X1393" s="1"/>
      <c r="Y1393" s="1"/>
      <c r="Z1393" s="1"/>
      <c r="AA1393" s="1"/>
      <c r="AB1393" s="1"/>
      <c r="AC1393" s="1"/>
      <c r="AD1393" s="1" t="s">
        <v>93</v>
      </c>
      <c r="AE1393" s="1" t="s">
        <v>93</v>
      </c>
      <c r="AF1393" s="1"/>
      <c r="AG1393" s="1"/>
      <c r="AH1393" s="1"/>
      <c r="AI1393" s="1"/>
      <c r="AJ1393" s="1"/>
      <c r="AK1393" s="1"/>
      <c r="AL1393" s="1"/>
      <c r="AM1393" s="1"/>
      <c r="AN1393" s="1"/>
      <c r="AO1393" s="1"/>
      <c r="AP1393" s="1"/>
      <c r="AQ1393" s="1"/>
      <c r="AR1393" s="1"/>
      <c r="AS1393" s="1"/>
      <c r="AT1393" s="1"/>
      <c r="AU1393" s="1"/>
      <c r="AV1393" s="1"/>
      <c r="AW1393" s="1"/>
      <c r="AX1393" s="1"/>
      <c r="AY1393" s="1"/>
      <c r="AZ1393" s="1"/>
      <c r="BA1393" s="1"/>
      <c r="BB1393" s="1"/>
      <c r="BC1393" s="1"/>
      <c r="BD1393" s="1"/>
      <c r="BE1393" s="1"/>
      <c r="BF1393" s="1"/>
      <c r="BG1393" s="1"/>
      <c r="BH1393" s="1"/>
      <c r="BI1393" s="1"/>
      <c r="BJ1393" s="1"/>
      <c r="BK1393" s="1"/>
      <c r="BL1393" s="1"/>
      <c r="BM1393" s="1"/>
      <c r="BN1393" s="1"/>
      <c r="BO1393" s="1"/>
      <c r="BP1393" s="1" t="s">
        <v>9609</v>
      </c>
      <c r="BQ1393" s="3"/>
      <c r="BR1393" s="3"/>
    </row>
    <row r="1394" spans="1:70">
      <c r="A1394" s="1" t="s">
        <v>70</v>
      </c>
      <c r="B1394" s="1" t="s">
        <v>13846</v>
      </c>
      <c r="C1394" s="1" t="s">
        <v>16468</v>
      </c>
      <c r="D1394" s="1"/>
      <c r="E1394" s="1"/>
      <c r="F1394" s="1"/>
      <c r="G1394" s="1"/>
      <c r="H1394" s="1" t="s">
        <v>16469</v>
      </c>
      <c r="I1394" s="1" t="s">
        <v>16469</v>
      </c>
      <c r="J1394" s="1"/>
      <c r="K1394" s="1"/>
      <c r="L1394" s="1"/>
      <c r="M1394" s="1"/>
      <c r="N1394" s="1"/>
      <c r="O1394" s="1"/>
      <c r="P1394" s="1"/>
      <c r="Q1394" s="1"/>
      <c r="R1394" s="1"/>
      <c r="S1394" s="1"/>
      <c r="T1394" s="1"/>
      <c r="U1394" s="1"/>
      <c r="V1394" s="1"/>
      <c r="W1394" s="1"/>
      <c r="X1394" s="1"/>
      <c r="Y1394" s="1"/>
      <c r="Z1394" s="1"/>
      <c r="AA1394" s="1"/>
      <c r="AB1394" s="1"/>
      <c r="AC1394" s="1"/>
      <c r="AD1394" s="1" t="s">
        <v>93</v>
      </c>
      <c r="AE1394" s="1" t="s">
        <v>93</v>
      </c>
      <c r="AF1394" s="1"/>
      <c r="AG1394" s="1"/>
      <c r="AH1394" s="1"/>
      <c r="AI1394" s="1"/>
      <c r="AJ1394" s="1"/>
      <c r="AK1394" s="1"/>
      <c r="AL1394" s="1"/>
      <c r="AM1394" s="1"/>
      <c r="AN1394" s="1"/>
      <c r="AO1394" s="1"/>
      <c r="AP1394" s="1"/>
      <c r="AQ1394" s="1"/>
      <c r="AR1394" s="1"/>
      <c r="AS1394" s="1"/>
      <c r="AT1394" s="1"/>
      <c r="AU1394" s="1"/>
      <c r="AV1394" s="1"/>
      <c r="AW1394" s="1"/>
      <c r="AX1394" s="1"/>
      <c r="AY1394" s="1"/>
      <c r="AZ1394" s="1"/>
      <c r="BA1394" s="1"/>
      <c r="BB1394" s="1"/>
      <c r="BC1394" s="1"/>
      <c r="BD1394" s="1"/>
      <c r="BE1394" s="1"/>
      <c r="BF1394" s="1"/>
      <c r="BG1394" s="1"/>
      <c r="BH1394" s="1"/>
      <c r="BI1394" s="1"/>
      <c r="BJ1394" s="1"/>
      <c r="BK1394" s="1"/>
      <c r="BL1394" s="1"/>
      <c r="BM1394" s="1"/>
      <c r="BN1394" s="1"/>
      <c r="BO1394" s="1"/>
      <c r="BP1394" s="1" t="s">
        <v>9609</v>
      </c>
      <c r="BQ1394" s="3"/>
      <c r="BR1394" s="3"/>
    </row>
    <row r="1395" spans="1:70">
      <c r="A1395" s="1" t="s">
        <v>70</v>
      </c>
      <c r="B1395" s="1" t="s">
        <v>13846</v>
      </c>
      <c r="C1395" s="1" t="s">
        <v>16470</v>
      </c>
      <c r="D1395" s="1"/>
      <c r="E1395" s="1"/>
      <c r="F1395" s="1"/>
      <c r="G1395" s="1"/>
      <c r="H1395" s="1" t="s">
        <v>16471</v>
      </c>
      <c r="I1395" s="1" t="s">
        <v>16471</v>
      </c>
      <c r="J1395" s="1"/>
      <c r="K1395" s="1"/>
      <c r="L1395" s="1"/>
      <c r="M1395" s="1"/>
      <c r="N1395" s="1"/>
      <c r="O1395" s="1"/>
      <c r="P1395" s="1"/>
      <c r="Q1395" s="1"/>
      <c r="R1395" s="1"/>
      <c r="S1395" s="1"/>
      <c r="T1395" s="1"/>
      <c r="U1395" s="1"/>
      <c r="V1395" s="1"/>
      <c r="W1395" s="1"/>
      <c r="X1395" s="1"/>
      <c r="Y1395" s="1"/>
      <c r="Z1395" s="1"/>
      <c r="AA1395" s="1"/>
      <c r="AB1395" s="1"/>
      <c r="AC1395" s="1"/>
      <c r="AD1395" s="1" t="s">
        <v>93</v>
      </c>
      <c r="AE1395" s="1" t="s">
        <v>93</v>
      </c>
      <c r="AF1395" s="1"/>
      <c r="AG1395" s="1"/>
      <c r="AH1395" s="1"/>
      <c r="AI1395" s="1"/>
      <c r="AJ1395" s="1"/>
      <c r="AK1395" s="1"/>
      <c r="AL1395" s="1"/>
      <c r="AM1395" s="1"/>
      <c r="AN1395" s="1"/>
      <c r="AO1395" s="1"/>
      <c r="AP1395" s="1"/>
      <c r="AQ1395" s="1"/>
      <c r="AR1395" s="1"/>
      <c r="AS1395" s="1"/>
      <c r="AT1395" s="1"/>
      <c r="AU1395" s="1"/>
      <c r="AV1395" s="1"/>
      <c r="AW1395" s="1"/>
      <c r="AX1395" s="1"/>
      <c r="AY1395" s="1"/>
      <c r="AZ1395" s="1"/>
      <c r="BA1395" s="1"/>
      <c r="BB1395" s="1"/>
      <c r="BC1395" s="1"/>
      <c r="BD1395" s="1"/>
      <c r="BE1395" s="1"/>
      <c r="BF1395" s="1"/>
      <c r="BG1395" s="1"/>
      <c r="BH1395" s="1"/>
      <c r="BI1395" s="1"/>
      <c r="BJ1395" s="1"/>
      <c r="BK1395" s="1"/>
      <c r="BL1395" s="1"/>
      <c r="BM1395" s="1"/>
      <c r="BN1395" s="1"/>
      <c r="BO1395" s="1"/>
      <c r="BP1395" s="1" t="s">
        <v>9609</v>
      </c>
      <c r="BQ1395" s="3"/>
      <c r="BR1395" s="3"/>
    </row>
    <row r="1396" spans="1:70">
      <c r="A1396" s="1" t="s">
        <v>70</v>
      </c>
      <c r="B1396" s="1" t="s">
        <v>13846</v>
      </c>
      <c r="C1396" s="1" t="s">
        <v>16472</v>
      </c>
      <c r="D1396" s="1"/>
      <c r="E1396" s="1"/>
      <c r="F1396" s="1"/>
      <c r="G1396" s="1"/>
      <c r="H1396" s="1" t="s">
        <v>16473</v>
      </c>
      <c r="I1396" s="1" t="s">
        <v>16473</v>
      </c>
      <c r="J1396" s="1"/>
      <c r="K1396" s="1"/>
      <c r="L1396" s="1"/>
      <c r="M1396" s="1"/>
      <c r="N1396" s="1"/>
      <c r="O1396" s="1"/>
      <c r="P1396" s="1"/>
      <c r="Q1396" s="1"/>
      <c r="R1396" s="1"/>
      <c r="S1396" s="1"/>
      <c r="T1396" s="1"/>
      <c r="U1396" s="1"/>
      <c r="V1396" s="1"/>
      <c r="W1396" s="1"/>
      <c r="X1396" s="1"/>
      <c r="Y1396" s="1"/>
      <c r="Z1396" s="1"/>
      <c r="AA1396" s="1"/>
      <c r="AB1396" s="1"/>
      <c r="AC1396" s="1"/>
      <c r="AD1396" s="1" t="s">
        <v>93</v>
      </c>
      <c r="AE1396" s="1" t="s">
        <v>93</v>
      </c>
      <c r="AF1396" s="1"/>
      <c r="AG1396" s="1"/>
      <c r="AH1396" s="1"/>
      <c r="AI1396" s="1"/>
      <c r="AJ1396" s="1"/>
      <c r="AK1396" s="1"/>
      <c r="AL1396" s="1"/>
      <c r="AM1396" s="1"/>
      <c r="AN1396" s="1"/>
      <c r="AO1396" s="1"/>
      <c r="AP1396" s="1"/>
      <c r="AQ1396" s="1"/>
      <c r="AR1396" s="1"/>
      <c r="AS1396" s="1"/>
      <c r="AT1396" s="1"/>
      <c r="AU1396" s="1"/>
      <c r="AV1396" s="1"/>
      <c r="AW1396" s="1"/>
      <c r="AX1396" s="1"/>
      <c r="AY1396" s="1"/>
      <c r="AZ1396" s="1"/>
      <c r="BA1396" s="1"/>
      <c r="BB1396" s="1"/>
      <c r="BC1396" s="1"/>
      <c r="BD1396" s="1"/>
      <c r="BE1396" s="1"/>
      <c r="BF1396" s="1"/>
      <c r="BG1396" s="1"/>
      <c r="BH1396" s="1"/>
      <c r="BI1396" s="1"/>
      <c r="BJ1396" s="1"/>
      <c r="BK1396" s="1"/>
      <c r="BL1396" s="1"/>
      <c r="BM1396" s="1"/>
      <c r="BN1396" s="1"/>
      <c r="BO1396" s="1"/>
      <c r="BP1396" s="1" t="s">
        <v>9609</v>
      </c>
      <c r="BQ1396" s="3"/>
      <c r="BR1396" s="3"/>
    </row>
    <row r="1397" spans="1:70">
      <c r="A1397" s="1" t="s">
        <v>70</v>
      </c>
      <c r="B1397" s="1" t="s">
        <v>13846</v>
      </c>
      <c r="C1397" s="1" t="s">
        <v>16474</v>
      </c>
      <c r="D1397" s="1"/>
      <c r="E1397" s="1"/>
      <c r="F1397" s="1"/>
      <c r="G1397" s="1"/>
      <c r="H1397" s="1" t="s">
        <v>16475</v>
      </c>
      <c r="I1397" s="1" t="s">
        <v>16475</v>
      </c>
      <c r="J1397" s="1"/>
      <c r="K1397" s="1"/>
      <c r="L1397" s="1"/>
      <c r="M1397" s="1"/>
      <c r="N1397" s="1"/>
      <c r="O1397" s="1"/>
      <c r="P1397" s="1"/>
      <c r="Q1397" s="1"/>
      <c r="R1397" s="1"/>
      <c r="S1397" s="1"/>
      <c r="T1397" s="1"/>
      <c r="U1397" s="1"/>
      <c r="V1397" s="1"/>
      <c r="W1397" s="1"/>
      <c r="X1397" s="1"/>
      <c r="Y1397" s="1"/>
      <c r="Z1397" s="1"/>
      <c r="AA1397" s="1"/>
      <c r="AB1397" s="1"/>
      <c r="AC1397" s="1"/>
      <c r="AD1397" s="1" t="s">
        <v>93</v>
      </c>
      <c r="AE1397" s="1" t="s">
        <v>93</v>
      </c>
      <c r="AF1397" s="1"/>
      <c r="AG1397" s="1"/>
      <c r="AH1397" s="1"/>
      <c r="AI1397" s="1"/>
      <c r="AJ1397" s="1"/>
      <c r="AK1397" s="1"/>
      <c r="AL1397" s="1"/>
      <c r="AM1397" s="1"/>
      <c r="AN1397" s="1"/>
      <c r="AO1397" s="1"/>
      <c r="AP1397" s="1"/>
      <c r="AQ1397" s="1"/>
      <c r="AR1397" s="1"/>
      <c r="AS1397" s="1"/>
      <c r="AT1397" s="1"/>
      <c r="AU1397" s="1"/>
      <c r="AV1397" s="1"/>
      <c r="AW1397" s="1"/>
      <c r="AX1397" s="1"/>
      <c r="AY1397" s="1"/>
      <c r="AZ1397" s="1"/>
      <c r="BA1397" s="1"/>
      <c r="BB1397" s="1"/>
      <c r="BC1397" s="1"/>
      <c r="BD1397" s="1"/>
      <c r="BE1397" s="1"/>
      <c r="BF1397" s="1"/>
      <c r="BG1397" s="1"/>
      <c r="BH1397" s="1"/>
      <c r="BI1397" s="1"/>
      <c r="BJ1397" s="1"/>
      <c r="BK1397" s="1"/>
      <c r="BL1397" s="1"/>
      <c r="BM1397" s="1"/>
      <c r="BN1397" s="1"/>
      <c r="BO1397" s="1"/>
      <c r="BP1397" s="1" t="s">
        <v>9609</v>
      </c>
      <c r="BQ1397" s="3"/>
      <c r="BR1397" s="3"/>
    </row>
    <row r="1398" spans="1:70">
      <c r="A1398" s="1" t="s">
        <v>70</v>
      </c>
      <c r="B1398" s="1" t="s">
        <v>13846</v>
      </c>
      <c r="C1398" s="1" t="s">
        <v>16476</v>
      </c>
      <c r="D1398" s="1"/>
      <c r="E1398" s="1"/>
      <c r="F1398" s="1"/>
      <c r="G1398" s="1"/>
      <c r="H1398" s="1" t="s">
        <v>16477</v>
      </c>
      <c r="I1398" s="1" t="s">
        <v>16477</v>
      </c>
      <c r="J1398" s="1"/>
      <c r="K1398" s="1"/>
      <c r="L1398" s="1"/>
      <c r="M1398" s="1"/>
      <c r="N1398" s="1"/>
      <c r="O1398" s="1"/>
      <c r="P1398" s="1"/>
      <c r="Q1398" s="1"/>
      <c r="R1398" s="1"/>
      <c r="S1398" s="1"/>
      <c r="T1398" s="1"/>
      <c r="U1398" s="1"/>
      <c r="V1398" s="1"/>
      <c r="W1398" s="1"/>
      <c r="X1398" s="1"/>
      <c r="Y1398" s="1"/>
      <c r="Z1398" s="1"/>
      <c r="AA1398" s="1"/>
      <c r="AB1398" s="1"/>
      <c r="AC1398" s="1"/>
      <c r="AD1398" s="1" t="s">
        <v>93</v>
      </c>
      <c r="AE1398" s="1" t="s">
        <v>93</v>
      </c>
      <c r="AF1398" s="1"/>
      <c r="AG1398" s="1"/>
      <c r="AH1398" s="1"/>
      <c r="AI1398" s="1"/>
      <c r="AJ1398" s="1"/>
      <c r="AK1398" s="1"/>
      <c r="AL1398" s="1"/>
      <c r="AM1398" s="1"/>
      <c r="AN1398" s="1"/>
      <c r="AO1398" s="1"/>
      <c r="AP1398" s="1"/>
      <c r="AQ1398" s="1"/>
      <c r="AR1398" s="1"/>
      <c r="AS1398" s="1"/>
      <c r="AT1398" s="1"/>
      <c r="AU1398" s="1"/>
      <c r="AV1398" s="1"/>
      <c r="AW1398" s="1"/>
      <c r="AX1398" s="1"/>
      <c r="AY1398" s="1"/>
      <c r="AZ1398" s="1"/>
      <c r="BA1398" s="1"/>
      <c r="BB1398" s="1"/>
      <c r="BC1398" s="1"/>
      <c r="BD1398" s="1"/>
      <c r="BE1398" s="1"/>
      <c r="BF1398" s="1"/>
      <c r="BG1398" s="1"/>
      <c r="BH1398" s="1"/>
      <c r="BI1398" s="1"/>
      <c r="BJ1398" s="1"/>
      <c r="BK1398" s="1"/>
      <c r="BL1398" s="1"/>
      <c r="BM1398" s="1"/>
      <c r="BN1398" s="1"/>
      <c r="BO1398" s="1"/>
      <c r="BP1398" s="1" t="s">
        <v>9609</v>
      </c>
      <c r="BQ1398" s="3"/>
      <c r="BR1398" s="3"/>
    </row>
    <row r="1399" spans="1:70">
      <c r="A1399" s="1" t="s">
        <v>70</v>
      </c>
      <c r="B1399" s="1" t="s">
        <v>13846</v>
      </c>
      <c r="C1399" s="1" t="s">
        <v>16478</v>
      </c>
      <c r="D1399" s="1"/>
      <c r="E1399" s="1"/>
      <c r="F1399" s="1"/>
      <c r="G1399" s="1"/>
      <c r="H1399" s="1" t="s">
        <v>16479</v>
      </c>
      <c r="I1399" s="1" t="s">
        <v>16479</v>
      </c>
      <c r="J1399" s="1"/>
      <c r="K1399" s="1"/>
      <c r="L1399" s="1"/>
      <c r="M1399" s="1"/>
      <c r="N1399" s="1"/>
      <c r="O1399" s="1"/>
      <c r="P1399" s="1"/>
      <c r="Q1399" s="1"/>
      <c r="R1399" s="1"/>
      <c r="S1399" s="1"/>
      <c r="T1399" s="1"/>
      <c r="U1399" s="1"/>
      <c r="V1399" s="1"/>
      <c r="W1399" s="1"/>
      <c r="X1399" s="1"/>
      <c r="Y1399" s="1"/>
      <c r="Z1399" s="1"/>
      <c r="AA1399" s="1"/>
      <c r="AB1399" s="1"/>
      <c r="AC1399" s="1"/>
      <c r="AD1399" s="1" t="s">
        <v>93</v>
      </c>
      <c r="AE1399" s="1" t="s">
        <v>93</v>
      </c>
      <c r="AF1399" s="1"/>
      <c r="AG1399" s="1"/>
      <c r="AH1399" s="1"/>
      <c r="AI1399" s="1"/>
      <c r="AJ1399" s="1"/>
      <c r="AK1399" s="1"/>
      <c r="AL1399" s="1"/>
      <c r="AM1399" s="1"/>
      <c r="AN1399" s="1"/>
      <c r="AO1399" s="1"/>
      <c r="AP1399" s="1"/>
      <c r="AQ1399" s="1"/>
      <c r="AR1399" s="1"/>
      <c r="AS1399" s="1"/>
      <c r="AT1399" s="1"/>
      <c r="AU1399" s="1"/>
      <c r="AV1399" s="1"/>
      <c r="AW1399" s="1"/>
      <c r="AX1399" s="1"/>
      <c r="AY1399" s="1"/>
      <c r="AZ1399" s="1"/>
      <c r="BA1399" s="1"/>
      <c r="BB1399" s="1"/>
      <c r="BC1399" s="1"/>
      <c r="BD1399" s="1"/>
      <c r="BE1399" s="1"/>
      <c r="BF1399" s="1"/>
      <c r="BG1399" s="1"/>
      <c r="BH1399" s="1"/>
      <c r="BI1399" s="1"/>
      <c r="BJ1399" s="1"/>
      <c r="BK1399" s="1"/>
      <c r="BL1399" s="1"/>
      <c r="BM1399" s="1"/>
      <c r="BN1399" s="1"/>
      <c r="BO1399" s="1"/>
      <c r="BP1399" s="1" t="s">
        <v>9609</v>
      </c>
      <c r="BQ1399" s="3"/>
      <c r="BR1399" s="3"/>
    </row>
    <row r="1400" spans="1:70">
      <c r="A1400" s="1" t="s">
        <v>70</v>
      </c>
      <c r="B1400" s="1" t="s">
        <v>13846</v>
      </c>
      <c r="C1400" s="1" t="s">
        <v>16480</v>
      </c>
      <c r="D1400" s="1"/>
      <c r="E1400" s="1"/>
      <c r="F1400" s="1"/>
      <c r="G1400" s="1"/>
      <c r="H1400" s="1" t="s">
        <v>16481</v>
      </c>
      <c r="I1400" s="1" t="s">
        <v>16481</v>
      </c>
      <c r="J1400" s="1"/>
      <c r="K1400" s="1"/>
      <c r="L1400" s="1"/>
      <c r="M1400" s="1"/>
      <c r="N1400" s="1"/>
      <c r="O1400" s="1"/>
      <c r="P1400" s="1"/>
      <c r="Q1400" s="1"/>
      <c r="R1400" s="1"/>
      <c r="S1400" s="1"/>
      <c r="T1400" s="1"/>
      <c r="U1400" s="1"/>
      <c r="V1400" s="1"/>
      <c r="W1400" s="1"/>
      <c r="X1400" s="1"/>
      <c r="Y1400" s="1"/>
      <c r="Z1400" s="1"/>
      <c r="AA1400" s="1"/>
      <c r="AB1400" s="1"/>
      <c r="AC1400" s="1"/>
      <c r="AD1400" s="1" t="s">
        <v>93</v>
      </c>
      <c r="AE1400" s="1" t="s">
        <v>93</v>
      </c>
      <c r="AF1400" s="1"/>
      <c r="AG1400" s="1"/>
      <c r="AH1400" s="1"/>
      <c r="AI1400" s="1"/>
      <c r="AJ1400" s="1"/>
      <c r="AK1400" s="1"/>
      <c r="AL1400" s="1"/>
      <c r="AM1400" s="1"/>
      <c r="AN1400" s="1"/>
      <c r="AO1400" s="1"/>
      <c r="AP1400" s="1"/>
      <c r="AQ1400" s="1"/>
      <c r="AR1400" s="1"/>
      <c r="AS1400" s="1"/>
      <c r="AT1400" s="1"/>
      <c r="AU1400" s="1"/>
      <c r="AV1400" s="1"/>
      <c r="AW1400" s="1"/>
      <c r="AX1400" s="1"/>
      <c r="AY1400" s="1"/>
      <c r="AZ1400" s="1"/>
      <c r="BA1400" s="1"/>
      <c r="BB1400" s="1"/>
      <c r="BC1400" s="1"/>
      <c r="BD1400" s="1"/>
      <c r="BE1400" s="1"/>
      <c r="BF1400" s="1"/>
      <c r="BG1400" s="1"/>
      <c r="BH1400" s="1"/>
      <c r="BI1400" s="1"/>
      <c r="BJ1400" s="1"/>
      <c r="BK1400" s="1"/>
      <c r="BL1400" s="1"/>
      <c r="BM1400" s="1"/>
      <c r="BN1400" s="1"/>
      <c r="BO1400" s="1"/>
      <c r="BP1400" s="1" t="s">
        <v>9609</v>
      </c>
      <c r="BQ1400" s="3"/>
      <c r="BR1400" s="3"/>
    </row>
    <row r="1401" spans="1:70">
      <c r="A1401" s="1" t="s">
        <v>70</v>
      </c>
      <c r="B1401" s="1" t="s">
        <v>13846</v>
      </c>
      <c r="C1401" s="1" t="s">
        <v>16482</v>
      </c>
      <c r="D1401" s="1"/>
      <c r="E1401" s="1"/>
      <c r="F1401" s="1"/>
      <c r="G1401" s="1"/>
      <c r="H1401" s="1" t="s">
        <v>16483</v>
      </c>
      <c r="I1401" s="1" t="s">
        <v>16483</v>
      </c>
      <c r="J1401" s="1"/>
      <c r="K1401" s="1"/>
      <c r="L1401" s="1"/>
      <c r="M1401" s="1"/>
      <c r="N1401" s="1"/>
      <c r="O1401" s="1"/>
      <c r="P1401" s="1"/>
      <c r="Q1401" s="1"/>
      <c r="R1401" s="1"/>
      <c r="S1401" s="1"/>
      <c r="T1401" s="1"/>
      <c r="U1401" s="1"/>
      <c r="V1401" s="1"/>
      <c r="W1401" s="1"/>
      <c r="X1401" s="1"/>
      <c r="Y1401" s="1"/>
      <c r="Z1401" s="1"/>
      <c r="AA1401" s="1"/>
      <c r="AB1401" s="1"/>
      <c r="AC1401" s="1"/>
      <c r="AD1401" s="1" t="s">
        <v>93</v>
      </c>
      <c r="AE1401" s="1" t="s">
        <v>93</v>
      </c>
      <c r="AF1401" s="1"/>
      <c r="AG1401" s="1"/>
      <c r="AH1401" s="1"/>
      <c r="AI1401" s="1"/>
      <c r="AJ1401" s="1"/>
      <c r="AK1401" s="1"/>
      <c r="AL1401" s="1"/>
      <c r="AM1401" s="1"/>
      <c r="AN1401" s="1"/>
      <c r="AO1401" s="1"/>
      <c r="AP1401" s="1"/>
      <c r="AQ1401" s="1"/>
      <c r="AR1401" s="1"/>
      <c r="AS1401" s="1"/>
      <c r="AT1401" s="1"/>
      <c r="AU1401" s="1"/>
      <c r="AV1401" s="1"/>
      <c r="AW1401" s="1"/>
      <c r="AX1401" s="1"/>
      <c r="AY1401" s="1"/>
      <c r="AZ1401" s="1"/>
      <c r="BA1401" s="1"/>
      <c r="BB1401" s="1"/>
      <c r="BC1401" s="1"/>
      <c r="BD1401" s="1"/>
      <c r="BE1401" s="1"/>
      <c r="BF1401" s="1"/>
      <c r="BG1401" s="1"/>
      <c r="BH1401" s="1"/>
      <c r="BI1401" s="1"/>
      <c r="BJ1401" s="1"/>
      <c r="BK1401" s="1"/>
      <c r="BL1401" s="1"/>
      <c r="BM1401" s="1"/>
      <c r="BN1401" s="1"/>
      <c r="BO1401" s="1"/>
      <c r="BP1401" s="1" t="s">
        <v>9609</v>
      </c>
      <c r="BQ1401" s="3"/>
      <c r="BR1401" s="3"/>
    </row>
    <row r="1402" spans="1:70">
      <c r="A1402" s="1" t="s">
        <v>70</v>
      </c>
      <c r="B1402" s="1" t="s">
        <v>13846</v>
      </c>
      <c r="C1402" s="1" t="s">
        <v>16484</v>
      </c>
      <c r="D1402" s="1"/>
      <c r="E1402" s="1"/>
      <c r="F1402" s="1"/>
      <c r="G1402" s="1"/>
      <c r="H1402" s="1" t="s">
        <v>16485</v>
      </c>
      <c r="I1402" s="1" t="s">
        <v>16485</v>
      </c>
      <c r="J1402" s="1"/>
      <c r="K1402" s="1"/>
      <c r="L1402" s="1"/>
      <c r="M1402" s="1"/>
      <c r="N1402" s="1"/>
      <c r="O1402" s="1"/>
      <c r="P1402" s="1"/>
      <c r="Q1402" s="1"/>
      <c r="R1402" s="1"/>
      <c r="S1402" s="1"/>
      <c r="T1402" s="1"/>
      <c r="U1402" s="1"/>
      <c r="V1402" s="1"/>
      <c r="W1402" s="1"/>
      <c r="X1402" s="1"/>
      <c r="Y1402" s="1"/>
      <c r="Z1402" s="1"/>
      <c r="AA1402" s="1"/>
      <c r="AB1402" s="1"/>
      <c r="AC1402" s="1"/>
      <c r="AD1402" s="1" t="s">
        <v>93</v>
      </c>
      <c r="AE1402" s="1" t="s">
        <v>93</v>
      </c>
      <c r="AF1402" s="1"/>
      <c r="AG1402" s="1"/>
      <c r="AH1402" s="1"/>
      <c r="AI1402" s="1"/>
      <c r="AJ1402" s="1"/>
      <c r="AK1402" s="1"/>
      <c r="AL1402" s="1"/>
      <c r="AM1402" s="1"/>
      <c r="AN1402" s="1"/>
      <c r="AO1402" s="1"/>
      <c r="AP1402" s="1"/>
      <c r="AQ1402" s="1"/>
      <c r="AR1402" s="1"/>
      <c r="AS1402" s="1"/>
      <c r="AT1402" s="1"/>
      <c r="AU1402" s="1"/>
      <c r="AV1402" s="1"/>
      <c r="AW1402" s="1"/>
      <c r="AX1402" s="1"/>
      <c r="AY1402" s="1"/>
      <c r="AZ1402" s="1"/>
      <c r="BA1402" s="1"/>
      <c r="BB1402" s="1"/>
      <c r="BC1402" s="1"/>
      <c r="BD1402" s="1"/>
      <c r="BE1402" s="1"/>
      <c r="BF1402" s="1"/>
      <c r="BG1402" s="1"/>
      <c r="BH1402" s="1"/>
      <c r="BI1402" s="1"/>
      <c r="BJ1402" s="1"/>
      <c r="BK1402" s="1"/>
      <c r="BL1402" s="1"/>
      <c r="BM1402" s="1"/>
      <c r="BN1402" s="1"/>
      <c r="BO1402" s="1"/>
      <c r="BP1402" s="1" t="s">
        <v>9609</v>
      </c>
      <c r="BQ1402" s="3"/>
      <c r="BR1402" s="3"/>
    </row>
    <row r="1403" spans="1:70">
      <c r="A1403" s="1" t="s">
        <v>70</v>
      </c>
      <c r="B1403" s="1" t="s">
        <v>13846</v>
      </c>
      <c r="C1403" s="1" t="s">
        <v>16486</v>
      </c>
      <c r="D1403" s="1"/>
      <c r="E1403" s="1"/>
      <c r="F1403" s="1"/>
      <c r="G1403" s="1"/>
      <c r="H1403" s="1" t="s">
        <v>16487</v>
      </c>
      <c r="I1403" s="1" t="s">
        <v>16487</v>
      </c>
      <c r="J1403" s="1"/>
      <c r="K1403" s="1"/>
      <c r="L1403" s="1"/>
      <c r="M1403" s="1"/>
      <c r="N1403" s="1"/>
      <c r="O1403" s="1"/>
      <c r="P1403" s="1"/>
      <c r="Q1403" s="1"/>
      <c r="R1403" s="1"/>
      <c r="S1403" s="1"/>
      <c r="T1403" s="1"/>
      <c r="U1403" s="1"/>
      <c r="V1403" s="1"/>
      <c r="W1403" s="1"/>
      <c r="X1403" s="1"/>
      <c r="Y1403" s="1"/>
      <c r="Z1403" s="1"/>
      <c r="AA1403" s="1"/>
      <c r="AB1403" s="1"/>
      <c r="AC1403" s="1"/>
      <c r="AD1403" s="1" t="s">
        <v>93</v>
      </c>
      <c r="AE1403" s="1" t="s">
        <v>93</v>
      </c>
      <c r="AF1403" s="1"/>
      <c r="AG1403" s="1"/>
      <c r="AH1403" s="1"/>
      <c r="AI1403" s="1"/>
      <c r="AJ1403" s="1"/>
      <c r="AK1403" s="1"/>
      <c r="AL1403" s="1"/>
      <c r="AM1403" s="1"/>
      <c r="AN1403" s="1"/>
      <c r="AO1403" s="1"/>
      <c r="AP1403" s="1"/>
      <c r="AQ1403" s="1"/>
      <c r="AR1403" s="1"/>
      <c r="AS1403" s="1"/>
      <c r="AT1403" s="1"/>
      <c r="AU1403" s="1"/>
      <c r="AV1403" s="1"/>
      <c r="AW1403" s="1"/>
      <c r="AX1403" s="1"/>
      <c r="AY1403" s="1"/>
      <c r="AZ1403" s="1"/>
      <c r="BA1403" s="1"/>
      <c r="BB1403" s="1"/>
      <c r="BC1403" s="1"/>
      <c r="BD1403" s="1"/>
      <c r="BE1403" s="1"/>
      <c r="BF1403" s="1"/>
      <c r="BG1403" s="1"/>
      <c r="BH1403" s="1"/>
      <c r="BI1403" s="1"/>
      <c r="BJ1403" s="1"/>
      <c r="BK1403" s="1"/>
      <c r="BL1403" s="1"/>
      <c r="BM1403" s="1"/>
      <c r="BN1403" s="1"/>
      <c r="BO1403" s="1"/>
      <c r="BP1403" s="1" t="s">
        <v>9609</v>
      </c>
      <c r="BQ1403" s="3"/>
      <c r="BR1403" s="3"/>
    </row>
    <row r="1404" spans="1:70">
      <c r="A1404" s="1" t="s">
        <v>70</v>
      </c>
      <c r="B1404" s="1" t="s">
        <v>13846</v>
      </c>
      <c r="C1404" s="1" t="s">
        <v>16488</v>
      </c>
      <c r="D1404" s="1"/>
      <c r="E1404" s="1"/>
      <c r="F1404" s="1"/>
      <c r="G1404" s="1"/>
      <c r="H1404" s="1" t="s">
        <v>16489</v>
      </c>
      <c r="I1404" s="1" t="s">
        <v>16489</v>
      </c>
      <c r="J1404" s="1"/>
      <c r="K1404" s="1"/>
      <c r="L1404" s="1"/>
      <c r="M1404" s="1"/>
      <c r="N1404" s="1"/>
      <c r="O1404" s="1"/>
      <c r="P1404" s="1"/>
      <c r="Q1404" s="1"/>
      <c r="R1404" s="1"/>
      <c r="S1404" s="1"/>
      <c r="T1404" s="1"/>
      <c r="U1404" s="1"/>
      <c r="V1404" s="1"/>
      <c r="W1404" s="1"/>
      <c r="X1404" s="1"/>
      <c r="Y1404" s="1"/>
      <c r="Z1404" s="1"/>
      <c r="AA1404" s="1"/>
      <c r="AB1404" s="1"/>
      <c r="AC1404" s="1"/>
      <c r="AD1404" s="1" t="s">
        <v>93</v>
      </c>
      <c r="AE1404" s="1" t="s">
        <v>93</v>
      </c>
      <c r="AF1404" s="1"/>
      <c r="AG1404" s="1"/>
      <c r="AH1404" s="1"/>
      <c r="AI1404" s="1"/>
      <c r="AJ1404" s="1"/>
      <c r="AK1404" s="1"/>
      <c r="AL1404" s="1"/>
      <c r="AM1404" s="1"/>
      <c r="AN1404" s="1"/>
      <c r="AO1404" s="1"/>
      <c r="AP1404" s="1"/>
      <c r="AQ1404" s="1"/>
      <c r="AR1404" s="1"/>
      <c r="AS1404" s="1"/>
      <c r="AT1404" s="1"/>
      <c r="AU1404" s="1"/>
      <c r="AV1404" s="1"/>
      <c r="AW1404" s="1"/>
      <c r="AX1404" s="1"/>
      <c r="AY1404" s="1"/>
      <c r="AZ1404" s="1"/>
      <c r="BA1404" s="1"/>
      <c r="BB1404" s="1"/>
      <c r="BC1404" s="1"/>
      <c r="BD1404" s="1"/>
      <c r="BE1404" s="1"/>
      <c r="BF1404" s="1"/>
      <c r="BG1404" s="1"/>
      <c r="BH1404" s="1"/>
      <c r="BI1404" s="1"/>
      <c r="BJ1404" s="1"/>
      <c r="BK1404" s="1"/>
      <c r="BL1404" s="1"/>
      <c r="BM1404" s="1"/>
      <c r="BN1404" s="1"/>
      <c r="BO1404" s="1"/>
      <c r="BP1404" s="1" t="s">
        <v>9609</v>
      </c>
      <c r="BQ1404" s="3"/>
      <c r="BR1404" s="3"/>
    </row>
    <row r="1405" spans="1:70">
      <c r="A1405" s="1" t="s">
        <v>70</v>
      </c>
      <c r="B1405" s="1" t="s">
        <v>13846</v>
      </c>
      <c r="C1405" s="1" t="s">
        <v>16490</v>
      </c>
      <c r="D1405" s="1"/>
      <c r="E1405" s="1"/>
      <c r="F1405" s="1"/>
      <c r="G1405" s="1"/>
      <c r="H1405" s="1" t="s">
        <v>16491</v>
      </c>
      <c r="I1405" s="1" t="s">
        <v>16491</v>
      </c>
      <c r="J1405" s="1"/>
      <c r="K1405" s="1"/>
      <c r="L1405" s="1"/>
      <c r="M1405" s="1"/>
      <c r="N1405" s="1"/>
      <c r="O1405" s="1"/>
      <c r="P1405" s="1"/>
      <c r="Q1405" s="1"/>
      <c r="R1405" s="1"/>
      <c r="S1405" s="1"/>
      <c r="T1405" s="1"/>
      <c r="U1405" s="1"/>
      <c r="V1405" s="1"/>
      <c r="W1405" s="1"/>
      <c r="X1405" s="1"/>
      <c r="Y1405" s="1"/>
      <c r="Z1405" s="1"/>
      <c r="AA1405" s="1"/>
      <c r="AB1405" s="1"/>
      <c r="AC1405" s="1"/>
      <c r="AD1405" s="1" t="s">
        <v>93</v>
      </c>
      <c r="AE1405" s="1" t="s">
        <v>93</v>
      </c>
      <c r="AF1405" s="1"/>
      <c r="AG1405" s="1"/>
      <c r="AH1405" s="1"/>
      <c r="AI1405" s="1"/>
      <c r="AJ1405" s="1"/>
      <c r="AK1405" s="1"/>
      <c r="AL1405" s="1"/>
      <c r="AM1405" s="1"/>
      <c r="AN1405" s="1"/>
      <c r="AO1405" s="1"/>
      <c r="AP1405" s="1"/>
      <c r="AQ1405" s="1"/>
      <c r="AR1405" s="1"/>
      <c r="AS1405" s="1"/>
      <c r="AT1405" s="1"/>
      <c r="AU1405" s="1"/>
      <c r="AV1405" s="1"/>
      <c r="AW1405" s="1"/>
      <c r="AX1405" s="1"/>
      <c r="AY1405" s="1"/>
      <c r="AZ1405" s="1"/>
      <c r="BA1405" s="1"/>
      <c r="BB1405" s="1"/>
      <c r="BC1405" s="1"/>
      <c r="BD1405" s="1"/>
      <c r="BE1405" s="1"/>
      <c r="BF1405" s="1"/>
      <c r="BG1405" s="1"/>
      <c r="BH1405" s="1"/>
      <c r="BI1405" s="1"/>
      <c r="BJ1405" s="1"/>
      <c r="BK1405" s="1"/>
      <c r="BL1405" s="1"/>
      <c r="BM1405" s="1"/>
      <c r="BN1405" s="1"/>
      <c r="BO1405" s="1"/>
      <c r="BP1405" s="1" t="s">
        <v>9609</v>
      </c>
      <c r="BQ1405" s="3"/>
      <c r="BR1405" s="3"/>
    </row>
    <row r="1406" spans="1:70">
      <c r="A1406" s="1" t="s">
        <v>70</v>
      </c>
      <c r="B1406" s="1" t="s">
        <v>13846</v>
      </c>
      <c r="C1406" s="1" t="s">
        <v>16492</v>
      </c>
      <c r="D1406" s="1"/>
      <c r="E1406" s="1"/>
      <c r="F1406" s="1"/>
      <c r="G1406" s="1"/>
      <c r="H1406" s="1" t="s">
        <v>16493</v>
      </c>
      <c r="I1406" s="1" t="s">
        <v>16493</v>
      </c>
      <c r="J1406" s="1"/>
      <c r="K1406" s="1"/>
      <c r="L1406" s="1"/>
      <c r="M1406" s="1"/>
      <c r="N1406" s="1"/>
      <c r="O1406" s="1"/>
      <c r="P1406" s="1"/>
      <c r="Q1406" s="1"/>
      <c r="R1406" s="1"/>
      <c r="S1406" s="1"/>
      <c r="T1406" s="1"/>
      <c r="U1406" s="1"/>
      <c r="V1406" s="1"/>
      <c r="W1406" s="1"/>
      <c r="X1406" s="1"/>
      <c r="Y1406" s="1"/>
      <c r="Z1406" s="1"/>
      <c r="AA1406" s="1"/>
      <c r="AB1406" s="1"/>
      <c r="AC1406" s="1"/>
      <c r="AD1406" s="1" t="s">
        <v>93</v>
      </c>
      <c r="AE1406" s="1" t="s">
        <v>93</v>
      </c>
      <c r="AF1406" s="1"/>
      <c r="AG1406" s="1"/>
      <c r="AH1406" s="1"/>
      <c r="AI1406" s="1"/>
      <c r="AJ1406" s="1"/>
      <c r="AK1406" s="1"/>
      <c r="AL1406" s="1"/>
      <c r="AM1406" s="1"/>
      <c r="AN1406" s="1"/>
      <c r="AO1406" s="1"/>
      <c r="AP1406" s="1"/>
      <c r="AQ1406" s="1"/>
      <c r="AR1406" s="1"/>
      <c r="AS1406" s="1"/>
      <c r="AT1406" s="1"/>
      <c r="AU1406" s="1"/>
      <c r="AV1406" s="1"/>
      <c r="AW1406" s="1"/>
      <c r="AX1406" s="1"/>
      <c r="AY1406" s="1"/>
      <c r="AZ1406" s="1"/>
      <c r="BA1406" s="1"/>
      <c r="BB1406" s="1"/>
      <c r="BC1406" s="1"/>
      <c r="BD1406" s="1"/>
      <c r="BE1406" s="1"/>
      <c r="BF1406" s="1"/>
      <c r="BG1406" s="1"/>
      <c r="BH1406" s="1"/>
      <c r="BI1406" s="1"/>
      <c r="BJ1406" s="1"/>
      <c r="BK1406" s="1"/>
      <c r="BL1406" s="1"/>
      <c r="BM1406" s="1"/>
      <c r="BN1406" s="1"/>
      <c r="BO1406" s="1"/>
      <c r="BP1406" s="1" t="s">
        <v>9609</v>
      </c>
      <c r="BQ1406" s="3"/>
      <c r="BR1406" s="3"/>
    </row>
    <row r="1407" spans="1:70">
      <c r="A1407" s="1" t="s">
        <v>70</v>
      </c>
      <c r="B1407" s="1" t="s">
        <v>13846</v>
      </c>
      <c r="C1407" s="1" t="s">
        <v>16494</v>
      </c>
      <c r="D1407" s="1"/>
      <c r="E1407" s="1"/>
      <c r="F1407" s="1"/>
      <c r="G1407" s="1"/>
      <c r="H1407" s="1" t="s">
        <v>16495</v>
      </c>
      <c r="I1407" s="1" t="s">
        <v>16495</v>
      </c>
      <c r="J1407" s="1"/>
      <c r="K1407" s="1"/>
      <c r="L1407" s="1"/>
      <c r="M1407" s="1"/>
      <c r="N1407" s="1"/>
      <c r="O1407" s="1"/>
      <c r="P1407" s="1"/>
      <c r="Q1407" s="1"/>
      <c r="R1407" s="1"/>
      <c r="S1407" s="1"/>
      <c r="T1407" s="1"/>
      <c r="U1407" s="1"/>
      <c r="V1407" s="1"/>
      <c r="W1407" s="1"/>
      <c r="X1407" s="1"/>
      <c r="Y1407" s="1"/>
      <c r="Z1407" s="1"/>
      <c r="AA1407" s="1"/>
      <c r="AB1407" s="1"/>
      <c r="AC1407" s="1"/>
      <c r="AD1407" s="1" t="s">
        <v>93</v>
      </c>
      <c r="AE1407" s="1" t="s">
        <v>93</v>
      </c>
      <c r="AF1407" s="1"/>
      <c r="AG1407" s="1"/>
      <c r="AH1407" s="1"/>
      <c r="AI1407" s="1"/>
      <c r="AJ1407" s="1"/>
      <c r="AK1407" s="1"/>
      <c r="AL1407" s="1"/>
      <c r="AM1407" s="1"/>
      <c r="AN1407" s="1"/>
      <c r="AO1407" s="1"/>
      <c r="AP1407" s="1"/>
      <c r="AQ1407" s="1"/>
      <c r="AR1407" s="1"/>
      <c r="AS1407" s="1"/>
      <c r="AT1407" s="1"/>
      <c r="AU1407" s="1"/>
      <c r="AV1407" s="1"/>
      <c r="AW1407" s="1"/>
      <c r="AX1407" s="1"/>
      <c r="AY1407" s="1"/>
      <c r="AZ1407" s="1"/>
      <c r="BA1407" s="1"/>
      <c r="BB1407" s="1"/>
      <c r="BC1407" s="1"/>
      <c r="BD1407" s="1"/>
      <c r="BE1407" s="1"/>
      <c r="BF1407" s="1"/>
      <c r="BG1407" s="1"/>
      <c r="BH1407" s="1"/>
      <c r="BI1407" s="1"/>
      <c r="BJ1407" s="1"/>
      <c r="BK1407" s="1"/>
      <c r="BL1407" s="1"/>
      <c r="BM1407" s="1"/>
      <c r="BN1407" s="1"/>
      <c r="BO1407" s="1"/>
      <c r="BP1407" s="1" t="s">
        <v>9609</v>
      </c>
      <c r="BQ1407" s="3"/>
      <c r="BR1407" s="3"/>
    </row>
    <row r="1408" spans="1:70">
      <c r="A1408" s="1" t="s">
        <v>70</v>
      </c>
      <c r="B1408" s="1" t="s">
        <v>13846</v>
      </c>
      <c r="C1408" s="1" t="s">
        <v>16496</v>
      </c>
      <c r="D1408" s="1"/>
      <c r="E1408" s="1"/>
      <c r="F1408" s="1"/>
      <c r="G1408" s="1"/>
      <c r="H1408" s="1" t="s">
        <v>16497</v>
      </c>
      <c r="I1408" s="1" t="s">
        <v>16497</v>
      </c>
      <c r="J1408" s="1"/>
      <c r="K1408" s="1"/>
      <c r="L1408" s="1"/>
      <c r="M1408" s="1"/>
      <c r="N1408" s="1"/>
      <c r="O1408" s="1"/>
      <c r="P1408" s="1"/>
      <c r="Q1408" s="1"/>
      <c r="R1408" s="1"/>
      <c r="S1408" s="1"/>
      <c r="T1408" s="1"/>
      <c r="U1408" s="1"/>
      <c r="V1408" s="1"/>
      <c r="W1408" s="1"/>
      <c r="X1408" s="1"/>
      <c r="Y1408" s="1"/>
      <c r="Z1408" s="1"/>
      <c r="AA1408" s="1"/>
      <c r="AB1408" s="1"/>
      <c r="AC1408" s="1"/>
      <c r="AD1408" s="1" t="s">
        <v>93</v>
      </c>
      <c r="AE1408" s="1" t="s">
        <v>93</v>
      </c>
      <c r="AF1408" s="1"/>
      <c r="AG1408" s="1"/>
      <c r="AH1408" s="1"/>
      <c r="AI1408" s="1"/>
      <c r="AJ1408" s="1"/>
      <c r="AK1408" s="1"/>
      <c r="AL1408" s="1"/>
      <c r="AM1408" s="1"/>
      <c r="AN1408" s="1"/>
      <c r="AO1408" s="1"/>
      <c r="AP1408" s="1"/>
      <c r="AQ1408" s="1"/>
      <c r="AR1408" s="1"/>
      <c r="AS1408" s="1"/>
      <c r="AT1408" s="1"/>
      <c r="AU1408" s="1"/>
      <c r="AV1408" s="1"/>
      <c r="AW1408" s="1"/>
      <c r="AX1408" s="1"/>
      <c r="AY1408" s="1"/>
      <c r="AZ1408" s="1"/>
      <c r="BA1408" s="1"/>
      <c r="BB1408" s="1"/>
      <c r="BC1408" s="1"/>
      <c r="BD1408" s="1"/>
      <c r="BE1408" s="1"/>
      <c r="BF1408" s="1"/>
      <c r="BG1408" s="1"/>
      <c r="BH1408" s="1"/>
      <c r="BI1408" s="1"/>
      <c r="BJ1408" s="1"/>
      <c r="BK1408" s="1"/>
      <c r="BL1408" s="1"/>
      <c r="BM1408" s="1"/>
      <c r="BN1408" s="1"/>
      <c r="BO1408" s="1"/>
      <c r="BP1408" s="1" t="s">
        <v>9609</v>
      </c>
      <c r="BQ1408" s="3"/>
      <c r="BR1408" s="3"/>
    </row>
    <row r="1409" spans="1:70">
      <c r="A1409" s="1" t="s">
        <v>70</v>
      </c>
      <c r="B1409" s="1" t="s">
        <v>13846</v>
      </c>
      <c r="C1409" s="1" t="s">
        <v>16498</v>
      </c>
      <c r="D1409" s="1"/>
      <c r="E1409" s="1"/>
      <c r="F1409" s="1"/>
      <c r="G1409" s="1"/>
      <c r="H1409" s="1" t="s">
        <v>16499</v>
      </c>
      <c r="I1409" s="1" t="s">
        <v>16499</v>
      </c>
      <c r="J1409" s="1"/>
      <c r="K1409" s="1"/>
      <c r="L1409" s="1"/>
      <c r="M1409" s="1"/>
      <c r="N1409" s="1"/>
      <c r="O1409" s="1"/>
      <c r="P1409" s="1"/>
      <c r="Q1409" s="1"/>
      <c r="R1409" s="1"/>
      <c r="S1409" s="1"/>
      <c r="T1409" s="1"/>
      <c r="U1409" s="1"/>
      <c r="V1409" s="1"/>
      <c r="W1409" s="1"/>
      <c r="X1409" s="1"/>
      <c r="Y1409" s="1"/>
      <c r="Z1409" s="1"/>
      <c r="AA1409" s="1"/>
      <c r="AB1409" s="1"/>
      <c r="AC1409" s="1"/>
      <c r="AD1409" s="1" t="s">
        <v>93</v>
      </c>
      <c r="AE1409" s="1" t="s">
        <v>93</v>
      </c>
      <c r="AF1409" s="1"/>
      <c r="AG1409" s="1"/>
      <c r="AH1409" s="1"/>
      <c r="AI1409" s="1"/>
      <c r="AJ1409" s="1"/>
      <c r="AK1409" s="1"/>
      <c r="AL1409" s="1"/>
      <c r="AM1409" s="1"/>
      <c r="AN1409" s="1"/>
      <c r="AO1409" s="1"/>
      <c r="AP1409" s="1"/>
      <c r="AQ1409" s="1"/>
      <c r="AR1409" s="1"/>
      <c r="AS1409" s="1"/>
      <c r="AT1409" s="1"/>
      <c r="AU1409" s="1"/>
      <c r="AV1409" s="1"/>
      <c r="AW1409" s="1"/>
      <c r="AX1409" s="1"/>
      <c r="AY1409" s="1"/>
      <c r="AZ1409" s="1"/>
      <c r="BA1409" s="1"/>
      <c r="BB1409" s="1"/>
      <c r="BC1409" s="1"/>
      <c r="BD1409" s="1"/>
      <c r="BE1409" s="1"/>
      <c r="BF1409" s="1"/>
      <c r="BG1409" s="1"/>
      <c r="BH1409" s="1"/>
      <c r="BI1409" s="1"/>
      <c r="BJ1409" s="1"/>
      <c r="BK1409" s="1"/>
      <c r="BL1409" s="1"/>
      <c r="BM1409" s="1"/>
      <c r="BN1409" s="1"/>
      <c r="BO1409" s="1"/>
      <c r="BP1409" s="1" t="s">
        <v>9609</v>
      </c>
      <c r="BQ1409" s="3"/>
      <c r="BR1409" s="3"/>
    </row>
    <row r="1410" spans="1:70">
      <c r="A1410" s="1" t="s">
        <v>70</v>
      </c>
      <c r="B1410" s="1" t="s">
        <v>13846</v>
      </c>
      <c r="C1410" s="1" t="s">
        <v>16500</v>
      </c>
      <c r="D1410" s="1"/>
      <c r="E1410" s="1"/>
      <c r="F1410" s="1"/>
      <c r="G1410" s="1"/>
      <c r="H1410" s="1" t="s">
        <v>16501</v>
      </c>
      <c r="I1410" s="1" t="s">
        <v>16501</v>
      </c>
      <c r="J1410" s="1"/>
      <c r="K1410" s="1"/>
      <c r="L1410" s="1"/>
      <c r="M1410" s="1"/>
      <c r="N1410" s="1"/>
      <c r="O1410" s="1"/>
      <c r="P1410" s="1"/>
      <c r="Q1410" s="1"/>
      <c r="R1410" s="1"/>
      <c r="S1410" s="1"/>
      <c r="T1410" s="1"/>
      <c r="U1410" s="1"/>
      <c r="V1410" s="1"/>
      <c r="W1410" s="1"/>
      <c r="X1410" s="1"/>
      <c r="Y1410" s="1"/>
      <c r="Z1410" s="1"/>
      <c r="AA1410" s="1"/>
      <c r="AB1410" s="1"/>
      <c r="AC1410" s="1"/>
      <c r="AD1410" s="1" t="s">
        <v>93</v>
      </c>
      <c r="AE1410" s="1" t="s">
        <v>93</v>
      </c>
      <c r="AF1410" s="1"/>
      <c r="AG1410" s="1"/>
      <c r="AH1410" s="1"/>
      <c r="AI1410" s="1"/>
      <c r="AJ1410" s="1"/>
      <c r="AK1410" s="1"/>
      <c r="AL1410" s="1"/>
      <c r="AM1410" s="1"/>
      <c r="AN1410" s="1"/>
      <c r="AO1410" s="1"/>
      <c r="AP1410" s="1"/>
      <c r="AQ1410" s="1"/>
      <c r="AR1410" s="1"/>
      <c r="AS1410" s="1"/>
      <c r="AT1410" s="1"/>
      <c r="AU1410" s="1"/>
      <c r="AV1410" s="1"/>
      <c r="AW1410" s="1"/>
      <c r="AX1410" s="1"/>
      <c r="AY1410" s="1"/>
      <c r="AZ1410" s="1"/>
      <c r="BA1410" s="1"/>
      <c r="BB1410" s="1"/>
      <c r="BC1410" s="1"/>
      <c r="BD1410" s="1"/>
      <c r="BE1410" s="1"/>
      <c r="BF1410" s="1"/>
      <c r="BG1410" s="1"/>
      <c r="BH1410" s="1"/>
      <c r="BI1410" s="1"/>
      <c r="BJ1410" s="1"/>
      <c r="BK1410" s="1"/>
      <c r="BL1410" s="1"/>
      <c r="BM1410" s="1"/>
      <c r="BN1410" s="1"/>
      <c r="BO1410" s="1"/>
      <c r="BP1410" s="1" t="s">
        <v>9609</v>
      </c>
      <c r="BQ1410" s="3"/>
      <c r="BR1410" s="3"/>
    </row>
    <row r="1411" spans="1:70">
      <c r="A1411" s="1" t="s">
        <v>70</v>
      </c>
      <c r="B1411" s="1" t="s">
        <v>13846</v>
      </c>
      <c r="C1411" s="1" t="s">
        <v>16502</v>
      </c>
      <c r="D1411" s="1"/>
      <c r="E1411" s="1"/>
      <c r="F1411" s="1"/>
      <c r="G1411" s="1"/>
      <c r="H1411" s="1" t="s">
        <v>16503</v>
      </c>
      <c r="I1411" s="1" t="s">
        <v>16503</v>
      </c>
      <c r="J1411" s="1"/>
      <c r="K1411" s="1"/>
      <c r="L1411" s="1"/>
      <c r="M1411" s="1"/>
      <c r="N1411" s="1"/>
      <c r="O1411" s="1"/>
      <c r="P1411" s="1"/>
      <c r="Q1411" s="1"/>
      <c r="R1411" s="1"/>
      <c r="S1411" s="1"/>
      <c r="T1411" s="1"/>
      <c r="U1411" s="1"/>
      <c r="V1411" s="1"/>
      <c r="W1411" s="1"/>
      <c r="X1411" s="1"/>
      <c r="Y1411" s="1"/>
      <c r="Z1411" s="1"/>
      <c r="AA1411" s="1"/>
      <c r="AB1411" s="1"/>
      <c r="AC1411" s="1"/>
      <c r="AD1411" s="1" t="s">
        <v>93</v>
      </c>
      <c r="AE1411" s="1" t="s">
        <v>93</v>
      </c>
      <c r="AF1411" s="1"/>
      <c r="AG1411" s="1"/>
      <c r="AH1411" s="1"/>
      <c r="AI1411" s="1"/>
      <c r="AJ1411" s="1"/>
      <c r="AK1411" s="1"/>
      <c r="AL1411" s="1"/>
      <c r="AM1411" s="1"/>
      <c r="AN1411" s="1"/>
      <c r="AO1411" s="1"/>
      <c r="AP1411" s="1"/>
      <c r="AQ1411" s="1"/>
      <c r="AR1411" s="1"/>
      <c r="AS1411" s="1"/>
      <c r="AT1411" s="1"/>
      <c r="AU1411" s="1"/>
      <c r="AV1411" s="1"/>
      <c r="AW1411" s="1"/>
      <c r="AX1411" s="1"/>
      <c r="AY1411" s="1"/>
      <c r="AZ1411" s="1"/>
      <c r="BA1411" s="1"/>
      <c r="BB1411" s="1"/>
      <c r="BC1411" s="1"/>
      <c r="BD1411" s="1"/>
      <c r="BE1411" s="1"/>
      <c r="BF1411" s="1"/>
      <c r="BG1411" s="1"/>
      <c r="BH1411" s="1"/>
      <c r="BI1411" s="1"/>
      <c r="BJ1411" s="1"/>
      <c r="BK1411" s="1"/>
      <c r="BL1411" s="1"/>
      <c r="BM1411" s="1"/>
      <c r="BN1411" s="1"/>
      <c r="BO1411" s="1"/>
      <c r="BP1411" s="1" t="s">
        <v>9609</v>
      </c>
      <c r="BQ1411" s="3"/>
      <c r="BR1411" s="3"/>
    </row>
    <row r="1412" spans="1:70">
      <c r="A1412" s="1" t="s">
        <v>70</v>
      </c>
      <c r="B1412" s="1" t="s">
        <v>13846</v>
      </c>
      <c r="C1412" s="1" t="s">
        <v>16504</v>
      </c>
      <c r="D1412" s="1"/>
      <c r="E1412" s="1"/>
      <c r="F1412" s="1"/>
      <c r="G1412" s="1"/>
      <c r="H1412" s="1" t="s">
        <v>16505</v>
      </c>
      <c r="I1412" s="1" t="s">
        <v>16505</v>
      </c>
      <c r="J1412" s="1"/>
      <c r="K1412" s="1"/>
      <c r="L1412" s="1"/>
      <c r="M1412" s="1"/>
      <c r="N1412" s="1"/>
      <c r="O1412" s="1"/>
      <c r="P1412" s="1"/>
      <c r="Q1412" s="1"/>
      <c r="R1412" s="1"/>
      <c r="S1412" s="1"/>
      <c r="T1412" s="1"/>
      <c r="U1412" s="1"/>
      <c r="V1412" s="1"/>
      <c r="W1412" s="1"/>
      <c r="X1412" s="1"/>
      <c r="Y1412" s="1"/>
      <c r="Z1412" s="1"/>
      <c r="AA1412" s="1"/>
      <c r="AB1412" s="1"/>
      <c r="AC1412" s="1"/>
      <c r="AD1412" s="1" t="s">
        <v>93</v>
      </c>
      <c r="AE1412" s="1" t="s">
        <v>93</v>
      </c>
      <c r="AF1412" s="1"/>
      <c r="AG1412" s="1"/>
      <c r="AH1412" s="1"/>
      <c r="AI1412" s="1"/>
      <c r="AJ1412" s="1"/>
      <c r="AK1412" s="1"/>
      <c r="AL1412" s="1"/>
      <c r="AM1412" s="1"/>
      <c r="AN1412" s="1"/>
      <c r="AO1412" s="1"/>
      <c r="AP1412" s="1"/>
      <c r="AQ1412" s="1"/>
      <c r="AR1412" s="1"/>
      <c r="AS1412" s="1"/>
      <c r="AT1412" s="1"/>
      <c r="AU1412" s="1"/>
      <c r="AV1412" s="1"/>
      <c r="AW1412" s="1"/>
      <c r="AX1412" s="1"/>
      <c r="AY1412" s="1"/>
      <c r="AZ1412" s="1"/>
      <c r="BA1412" s="1"/>
      <c r="BB1412" s="1"/>
      <c r="BC1412" s="1"/>
      <c r="BD1412" s="1"/>
      <c r="BE1412" s="1"/>
      <c r="BF1412" s="1"/>
      <c r="BG1412" s="1"/>
      <c r="BH1412" s="1"/>
      <c r="BI1412" s="1"/>
      <c r="BJ1412" s="1"/>
      <c r="BK1412" s="1"/>
      <c r="BL1412" s="1"/>
      <c r="BM1412" s="1"/>
      <c r="BN1412" s="1"/>
      <c r="BO1412" s="1"/>
      <c r="BP1412" s="1" t="s">
        <v>9609</v>
      </c>
      <c r="BQ1412" s="3"/>
      <c r="BR1412" s="3"/>
    </row>
    <row r="1413" spans="1:70">
      <c r="A1413" s="1" t="s">
        <v>70</v>
      </c>
      <c r="B1413" s="1" t="s">
        <v>13846</v>
      </c>
      <c r="C1413" s="1" t="s">
        <v>16506</v>
      </c>
      <c r="D1413" s="1"/>
      <c r="E1413" s="1"/>
      <c r="F1413" s="1"/>
      <c r="G1413" s="1"/>
      <c r="H1413" s="1" t="s">
        <v>16507</v>
      </c>
      <c r="I1413" s="1" t="s">
        <v>16507</v>
      </c>
      <c r="J1413" s="1"/>
      <c r="K1413" s="1"/>
      <c r="L1413" s="1"/>
      <c r="M1413" s="1"/>
      <c r="N1413" s="1"/>
      <c r="O1413" s="1"/>
      <c r="P1413" s="1"/>
      <c r="Q1413" s="1"/>
      <c r="R1413" s="1"/>
      <c r="S1413" s="1"/>
      <c r="T1413" s="1"/>
      <c r="U1413" s="1"/>
      <c r="V1413" s="1"/>
      <c r="W1413" s="1"/>
      <c r="X1413" s="1"/>
      <c r="Y1413" s="1"/>
      <c r="Z1413" s="1"/>
      <c r="AA1413" s="1"/>
      <c r="AB1413" s="1"/>
      <c r="AC1413" s="1"/>
      <c r="AD1413" s="1" t="s">
        <v>93</v>
      </c>
      <c r="AE1413" s="1" t="s">
        <v>93</v>
      </c>
      <c r="AF1413" s="1"/>
      <c r="AG1413" s="1"/>
      <c r="AH1413" s="1"/>
      <c r="AI1413" s="1"/>
      <c r="AJ1413" s="1"/>
      <c r="AK1413" s="1"/>
      <c r="AL1413" s="1"/>
      <c r="AM1413" s="1"/>
      <c r="AN1413" s="1"/>
      <c r="AO1413" s="1"/>
      <c r="AP1413" s="1"/>
      <c r="AQ1413" s="1"/>
      <c r="AR1413" s="1"/>
      <c r="AS1413" s="1"/>
      <c r="AT1413" s="1"/>
      <c r="AU1413" s="1"/>
      <c r="AV1413" s="1"/>
      <c r="AW1413" s="1"/>
      <c r="AX1413" s="1"/>
      <c r="AY1413" s="1"/>
      <c r="AZ1413" s="1"/>
      <c r="BA1413" s="1"/>
      <c r="BB1413" s="1"/>
      <c r="BC1413" s="1"/>
      <c r="BD1413" s="1"/>
      <c r="BE1413" s="1"/>
      <c r="BF1413" s="1"/>
      <c r="BG1413" s="1"/>
      <c r="BH1413" s="1"/>
      <c r="BI1413" s="1"/>
      <c r="BJ1413" s="1"/>
      <c r="BK1413" s="1"/>
      <c r="BL1413" s="1"/>
      <c r="BM1413" s="1"/>
      <c r="BN1413" s="1"/>
      <c r="BO1413" s="1"/>
      <c r="BP1413" s="1" t="s">
        <v>9609</v>
      </c>
      <c r="BQ1413" s="3"/>
      <c r="BR1413" s="3"/>
    </row>
    <row r="1414" spans="1:70">
      <c r="A1414" s="1" t="s">
        <v>70</v>
      </c>
      <c r="B1414" s="1" t="s">
        <v>13846</v>
      </c>
      <c r="C1414" s="1" t="s">
        <v>16508</v>
      </c>
      <c r="D1414" s="1"/>
      <c r="E1414" s="1"/>
      <c r="F1414" s="1"/>
      <c r="G1414" s="1"/>
      <c r="H1414" s="1" t="s">
        <v>16509</v>
      </c>
      <c r="I1414" s="1" t="s">
        <v>16509</v>
      </c>
      <c r="J1414" s="1"/>
      <c r="K1414" s="1"/>
      <c r="L1414" s="1"/>
      <c r="M1414" s="1"/>
      <c r="N1414" s="1"/>
      <c r="O1414" s="1"/>
      <c r="P1414" s="1"/>
      <c r="Q1414" s="1"/>
      <c r="R1414" s="1"/>
      <c r="S1414" s="1"/>
      <c r="T1414" s="1"/>
      <c r="U1414" s="1"/>
      <c r="V1414" s="1"/>
      <c r="W1414" s="1"/>
      <c r="X1414" s="1"/>
      <c r="Y1414" s="1"/>
      <c r="Z1414" s="1"/>
      <c r="AA1414" s="1"/>
      <c r="AB1414" s="1"/>
      <c r="AC1414" s="1"/>
      <c r="AD1414" s="1" t="s">
        <v>93</v>
      </c>
      <c r="AE1414" s="1" t="s">
        <v>93</v>
      </c>
      <c r="AF1414" s="1"/>
      <c r="AG1414" s="1"/>
      <c r="AH1414" s="1"/>
      <c r="AI1414" s="1"/>
      <c r="AJ1414" s="1"/>
      <c r="AK1414" s="1"/>
      <c r="AL1414" s="1"/>
      <c r="AM1414" s="1"/>
      <c r="AN1414" s="1"/>
      <c r="AO1414" s="1"/>
      <c r="AP1414" s="1"/>
      <c r="AQ1414" s="1"/>
      <c r="AR1414" s="1"/>
      <c r="AS1414" s="1"/>
      <c r="AT1414" s="1"/>
      <c r="AU1414" s="1"/>
      <c r="AV1414" s="1"/>
      <c r="AW1414" s="1"/>
      <c r="AX1414" s="1"/>
      <c r="AY1414" s="1"/>
      <c r="AZ1414" s="1"/>
      <c r="BA1414" s="1"/>
      <c r="BB1414" s="1"/>
      <c r="BC1414" s="1"/>
      <c r="BD1414" s="1"/>
      <c r="BE1414" s="1"/>
      <c r="BF1414" s="1"/>
      <c r="BG1414" s="1"/>
      <c r="BH1414" s="1"/>
      <c r="BI1414" s="1"/>
      <c r="BJ1414" s="1"/>
      <c r="BK1414" s="1"/>
      <c r="BL1414" s="1"/>
      <c r="BM1414" s="1"/>
      <c r="BN1414" s="1"/>
      <c r="BO1414" s="1"/>
      <c r="BP1414" s="1" t="s">
        <v>9609</v>
      </c>
      <c r="BQ1414" s="3"/>
      <c r="BR1414" s="3"/>
    </row>
    <row r="1415" spans="1:70">
      <c r="A1415" s="1" t="s">
        <v>70</v>
      </c>
      <c r="B1415" s="1" t="s">
        <v>13846</v>
      </c>
      <c r="C1415" s="1" t="s">
        <v>16510</v>
      </c>
      <c r="D1415" s="1"/>
      <c r="E1415" s="1"/>
      <c r="F1415" s="1"/>
      <c r="G1415" s="1"/>
      <c r="H1415" s="1" t="s">
        <v>16511</v>
      </c>
      <c r="I1415" s="1" t="s">
        <v>16511</v>
      </c>
      <c r="J1415" s="1"/>
      <c r="K1415" s="1"/>
      <c r="L1415" s="1"/>
      <c r="M1415" s="1"/>
      <c r="N1415" s="1"/>
      <c r="O1415" s="1"/>
      <c r="P1415" s="1"/>
      <c r="Q1415" s="1"/>
      <c r="R1415" s="1"/>
      <c r="S1415" s="1"/>
      <c r="T1415" s="1"/>
      <c r="U1415" s="1"/>
      <c r="V1415" s="1"/>
      <c r="W1415" s="1"/>
      <c r="X1415" s="1"/>
      <c r="Y1415" s="1"/>
      <c r="Z1415" s="1"/>
      <c r="AA1415" s="1"/>
      <c r="AB1415" s="1"/>
      <c r="AC1415" s="1"/>
      <c r="AD1415" s="1" t="s">
        <v>93</v>
      </c>
      <c r="AE1415" s="1" t="s">
        <v>93</v>
      </c>
      <c r="AF1415" s="1"/>
      <c r="AG1415" s="1"/>
      <c r="AH1415" s="1"/>
      <c r="AI1415" s="1"/>
      <c r="AJ1415" s="1"/>
      <c r="AK1415" s="1"/>
      <c r="AL1415" s="1"/>
      <c r="AM1415" s="1"/>
      <c r="AN1415" s="1"/>
      <c r="AO1415" s="1"/>
      <c r="AP1415" s="1"/>
      <c r="AQ1415" s="1"/>
      <c r="AR1415" s="1"/>
      <c r="AS1415" s="1"/>
      <c r="AT1415" s="1"/>
      <c r="AU1415" s="1"/>
      <c r="AV1415" s="1"/>
      <c r="AW1415" s="1"/>
      <c r="AX1415" s="1"/>
      <c r="AY1415" s="1"/>
      <c r="AZ1415" s="1"/>
      <c r="BA1415" s="1"/>
      <c r="BB1415" s="1"/>
      <c r="BC1415" s="1"/>
      <c r="BD1415" s="1"/>
      <c r="BE1415" s="1"/>
      <c r="BF1415" s="1"/>
      <c r="BG1415" s="1"/>
      <c r="BH1415" s="1"/>
      <c r="BI1415" s="1"/>
      <c r="BJ1415" s="1"/>
      <c r="BK1415" s="1"/>
      <c r="BL1415" s="1"/>
      <c r="BM1415" s="1"/>
      <c r="BN1415" s="1"/>
      <c r="BO1415" s="1"/>
      <c r="BP1415" s="1" t="s">
        <v>9609</v>
      </c>
      <c r="BQ1415" s="3"/>
      <c r="BR1415" s="3"/>
    </row>
    <row r="1416" spans="1:70">
      <c r="A1416" s="1" t="s">
        <v>70</v>
      </c>
      <c r="B1416" s="1" t="s">
        <v>13846</v>
      </c>
      <c r="C1416" s="1" t="s">
        <v>16512</v>
      </c>
      <c r="D1416" s="1"/>
      <c r="E1416" s="1"/>
      <c r="F1416" s="1"/>
      <c r="G1416" s="1"/>
      <c r="H1416" s="1" t="s">
        <v>16513</v>
      </c>
      <c r="I1416" s="1" t="s">
        <v>16513</v>
      </c>
      <c r="J1416" s="1"/>
      <c r="K1416" s="1"/>
      <c r="L1416" s="1"/>
      <c r="M1416" s="1"/>
      <c r="N1416" s="1"/>
      <c r="O1416" s="1"/>
      <c r="P1416" s="1"/>
      <c r="Q1416" s="1"/>
      <c r="R1416" s="1"/>
      <c r="S1416" s="1"/>
      <c r="T1416" s="1"/>
      <c r="U1416" s="1"/>
      <c r="V1416" s="1"/>
      <c r="W1416" s="1"/>
      <c r="X1416" s="1"/>
      <c r="Y1416" s="1"/>
      <c r="Z1416" s="1"/>
      <c r="AA1416" s="1"/>
      <c r="AB1416" s="1"/>
      <c r="AC1416" s="1"/>
      <c r="AD1416" s="1" t="s">
        <v>93</v>
      </c>
      <c r="AE1416" s="1" t="s">
        <v>93</v>
      </c>
      <c r="AF1416" s="1"/>
      <c r="AG1416" s="1"/>
      <c r="AH1416" s="1"/>
      <c r="AI1416" s="1"/>
      <c r="AJ1416" s="1"/>
      <c r="AK1416" s="1"/>
      <c r="AL1416" s="1"/>
      <c r="AM1416" s="1"/>
      <c r="AN1416" s="1"/>
      <c r="AO1416" s="1"/>
      <c r="AP1416" s="1"/>
      <c r="AQ1416" s="1"/>
      <c r="AR1416" s="1"/>
      <c r="AS1416" s="1"/>
      <c r="AT1416" s="1"/>
      <c r="AU1416" s="1"/>
      <c r="AV1416" s="1"/>
      <c r="AW1416" s="1"/>
      <c r="AX1416" s="1"/>
      <c r="AY1416" s="1"/>
      <c r="AZ1416" s="1"/>
      <c r="BA1416" s="1"/>
      <c r="BB1416" s="1"/>
      <c r="BC1416" s="1"/>
      <c r="BD1416" s="1"/>
      <c r="BE1416" s="1"/>
      <c r="BF1416" s="1"/>
      <c r="BG1416" s="1"/>
      <c r="BH1416" s="1"/>
      <c r="BI1416" s="1"/>
      <c r="BJ1416" s="1"/>
      <c r="BK1416" s="1"/>
      <c r="BL1416" s="1"/>
      <c r="BM1416" s="1"/>
      <c r="BN1416" s="1"/>
      <c r="BO1416" s="1"/>
      <c r="BP1416" s="1" t="s">
        <v>9609</v>
      </c>
      <c r="BQ1416" s="3"/>
      <c r="BR1416" s="3"/>
    </row>
    <row r="1417" spans="1:70">
      <c r="A1417" s="1" t="s">
        <v>70</v>
      </c>
      <c r="B1417" s="1" t="s">
        <v>13846</v>
      </c>
      <c r="C1417" s="1" t="s">
        <v>16514</v>
      </c>
      <c r="D1417" s="1"/>
      <c r="E1417" s="1"/>
      <c r="F1417" s="1"/>
      <c r="G1417" s="1"/>
      <c r="H1417" s="1" t="s">
        <v>16515</v>
      </c>
      <c r="I1417" s="1" t="s">
        <v>16515</v>
      </c>
      <c r="J1417" s="1"/>
      <c r="K1417" s="1"/>
      <c r="L1417" s="1"/>
      <c r="M1417" s="1"/>
      <c r="N1417" s="1"/>
      <c r="O1417" s="1"/>
      <c r="P1417" s="1"/>
      <c r="Q1417" s="1"/>
      <c r="R1417" s="1"/>
      <c r="S1417" s="1"/>
      <c r="T1417" s="1"/>
      <c r="U1417" s="1"/>
      <c r="V1417" s="1"/>
      <c r="W1417" s="1"/>
      <c r="X1417" s="1"/>
      <c r="Y1417" s="1"/>
      <c r="Z1417" s="1"/>
      <c r="AA1417" s="1"/>
      <c r="AB1417" s="1"/>
      <c r="AC1417" s="1"/>
      <c r="AD1417" s="1" t="s">
        <v>93</v>
      </c>
      <c r="AE1417" s="1" t="s">
        <v>93</v>
      </c>
      <c r="AF1417" s="1"/>
      <c r="AG1417" s="1"/>
      <c r="AH1417" s="1"/>
      <c r="AI1417" s="1"/>
      <c r="AJ1417" s="1"/>
      <c r="AK1417" s="1"/>
      <c r="AL1417" s="1"/>
      <c r="AM1417" s="1"/>
      <c r="AN1417" s="1"/>
      <c r="AO1417" s="1"/>
      <c r="AP1417" s="1"/>
      <c r="AQ1417" s="1"/>
      <c r="AR1417" s="1"/>
      <c r="AS1417" s="1"/>
      <c r="AT1417" s="1"/>
      <c r="AU1417" s="1"/>
      <c r="AV1417" s="1"/>
      <c r="AW1417" s="1"/>
      <c r="AX1417" s="1"/>
      <c r="AY1417" s="1"/>
      <c r="AZ1417" s="1"/>
      <c r="BA1417" s="1"/>
      <c r="BB1417" s="1"/>
      <c r="BC1417" s="1"/>
      <c r="BD1417" s="1"/>
      <c r="BE1417" s="1"/>
      <c r="BF1417" s="1"/>
      <c r="BG1417" s="1"/>
      <c r="BH1417" s="1"/>
      <c r="BI1417" s="1"/>
      <c r="BJ1417" s="1"/>
      <c r="BK1417" s="1"/>
      <c r="BL1417" s="1"/>
      <c r="BM1417" s="1"/>
      <c r="BN1417" s="1"/>
      <c r="BO1417" s="1"/>
      <c r="BP1417" s="1" t="s">
        <v>9609</v>
      </c>
      <c r="BQ1417" s="3"/>
      <c r="BR1417" s="3"/>
    </row>
    <row r="1418" spans="1:70">
      <c r="A1418" s="1" t="s">
        <v>70</v>
      </c>
      <c r="B1418" s="1" t="s">
        <v>13846</v>
      </c>
      <c r="C1418" s="1" t="s">
        <v>16516</v>
      </c>
      <c r="D1418" s="1"/>
      <c r="E1418" s="1"/>
      <c r="F1418" s="1"/>
      <c r="G1418" s="1"/>
      <c r="H1418" s="1" t="s">
        <v>16517</v>
      </c>
      <c r="I1418" s="1" t="s">
        <v>16517</v>
      </c>
      <c r="J1418" s="1"/>
      <c r="K1418" s="1"/>
      <c r="L1418" s="1"/>
      <c r="M1418" s="1"/>
      <c r="N1418" s="1"/>
      <c r="O1418" s="1"/>
      <c r="P1418" s="1"/>
      <c r="Q1418" s="1"/>
      <c r="R1418" s="1"/>
      <c r="S1418" s="1"/>
      <c r="T1418" s="1"/>
      <c r="U1418" s="1"/>
      <c r="V1418" s="1"/>
      <c r="W1418" s="1"/>
      <c r="X1418" s="1"/>
      <c r="Y1418" s="1"/>
      <c r="Z1418" s="1"/>
      <c r="AA1418" s="1"/>
      <c r="AB1418" s="1"/>
      <c r="AC1418" s="1"/>
      <c r="AD1418" s="1" t="s">
        <v>93</v>
      </c>
      <c r="AE1418" s="1" t="s">
        <v>93</v>
      </c>
      <c r="AF1418" s="1"/>
      <c r="AG1418" s="1"/>
      <c r="AH1418" s="1"/>
      <c r="AI1418" s="1"/>
      <c r="AJ1418" s="1"/>
      <c r="AK1418" s="1"/>
      <c r="AL1418" s="1"/>
      <c r="AM1418" s="1"/>
      <c r="AN1418" s="1"/>
      <c r="AO1418" s="1"/>
      <c r="AP1418" s="1"/>
      <c r="AQ1418" s="1"/>
      <c r="AR1418" s="1"/>
      <c r="AS1418" s="1"/>
      <c r="AT1418" s="1"/>
      <c r="AU1418" s="1"/>
      <c r="AV1418" s="1"/>
      <c r="AW1418" s="1"/>
      <c r="AX1418" s="1"/>
      <c r="AY1418" s="1"/>
      <c r="AZ1418" s="1"/>
      <c r="BA1418" s="1"/>
      <c r="BB1418" s="1"/>
      <c r="BC1418" s="1"/>
      <c r="BD1418" s="1"/>
      <c r="BE1418" s="1"/>
      <c r="BF1418" s="1"/>
      <c r="BG1418" s="1"/>
      <c r="BH1418" s="1"/>
      <c r="BI1418" s="1"/>
      <c r="BJ1418" s="1"/>
      <c r="BK1418" s="1"/>
      <c r="BL1418" s="1"/>
      <c r="BM1418" s="1"/>
      <c r="BN1418" s="1"/>
      <c r="BO1418" s="1"/>
      <c r="BP1418" s="1" t="s">
        <v>9609</v>
      </c>
      <c r="BQ1418" s="3"/>
      <c r="BR1418" s="3"/>
    </row>
    <row r="1419" spans="1:70">
      <c r="A1419" s="1" t="s">
        <v>70</v>
      </c>
      <c r="B1419" s="1" t="s">
        <v>13846</v>
      </c>
      <c r="C1419" s="1" t="s">
        <v>16518</v>
      </c>
      <c r="D1419" s="1"/>
      <c r="E1419" s="1"/>
      <c r="F1419" s="1"/>
      <c r="G1419" s="1"/>
      <c r="H1419" s="1" t="s">
        <v>16519</v>
      </c>
      <c r="I1419" s="1" t="s">
        <v>16519</v>
      </c>
      <c r="J1419" s="1"/>
      <c r="K1419" s="1"/>
      <c r="L1419" s="1"/>
      <c r="M1419" s="1"/>
      <c r="N1419" s="1"/>
      <c r="O1419" s="1"/>
      <c r="P1419" s="1"/>
      <c r="Q1419" s="1"/>
      <c r="R1419" s="1"/>
      <c r="S1419" s="1"/>
      <c r="T1419" s="1"/>
      <c r="U1419" s="1"/>
      <c r="V1419" s="1"/>
      <c r="W1419" s="1"/>
      <c r="X1419" s="1"/>
      <c r="Y1419" s="1"/>
      <c r="Z1419" s="1"/>
      <c r="AA1419" s="1"/>
      <c r="AB1419" s="1"/>
      <c r="AC1419" s="1"/>
      <c r="AD1419" s="1" t="s">
        <v>93</v>
      </c>
      <c r="AE1419" s="1" t="s">
        <v>93</v>
      </c>
      <c r="AF1419" s="1"/>
      <c r="AG1419" s="1"/>
      <c r="AH1419" s="1"/>
      <c r="AI1419" s="1"/>
      <c r="AJ1419" s="1"/>
      <c r="AK1419" s="1"/>
      <c r="AL1419" s="1"/>
      <c r="AM1419" s="1"/>
      <c r="AN1419" s="1"/>
      <c r="AO1419" s="1"/>
      <c r="AP1419" s="1"/>
      <c r="AQ1419" s="1"/>
      <c r="AR1419" s="1"/>
      <c r="AS1419" s="1"/>
      <c r="AT1419" s="1"/>
      <c r="AU1419" s="1"/>
      <c r="AV1419" s="1"/>
      <c r="AW1419" s="1"/>
      <c r="AX1419" s="1"/>
      <c r="AY1419" s="1"/>
      <c r="AZ1419" s="1"/>
      <c r="BA1419" s="1"/>
      <c r="BB1419" s="1"/>
      <c r="BC1419" s="1"/>
      <c r="BD1419" s="1"/>
      <c r="BE1419" s="1"/>
      <c r="BF1419" s="1"/>
      <c r="BG1419" s="1"/>
      <c r="BH1419" s="1"/>
      <c r="BI1419" s="1"/>
      <c r="BJ1419" s="1"/>
      <c r="BK1419" s="1"/>
      <c r="BL1419" s="1"/>
      <c r="BM1419" s="1"/>
      <c r="BN1419" s="1"/>
      <c r="BO1419" s="1"/>
      <c r="BP1419" s="1" t="s">
        <v>9609</v>
      </c>
      <c r="BQ1419" s="3"/>
      <c r="BR1419" s="3"/>
    </row>
    <row r="1420" spans="1:70">
      <c r="A1420" s="1" t="s">
        <v>70</v>
      </c>
      <c r="B1420" s="1" t="s">
        <v>13846</v>
      </c>
      <c r="C1420" s="1" t="s">
        <v>16520</v>
      </c>
      <c r="D1420" s="1"/>
      <c r="E1420" s="1"/>
      <c r="F1420" s="1"/>
      <c r="G1420" s="1"/>
      <c r="H1420" s="1" t="s">
        <v>16521</v>
      </c>
      <c r="I1420" s="1" t="s">
        <v>16521</v>
      </c>
      <c r="J1420" s="1"/>
      <c r="K1420" s="1"/>
      <c r="L1420" s="1"/>
      <c r="M1420" s="1"/>
      <c r="N1420" s="1"/>
      <c r="O1420" s="1"/>
      <c r="P1420" s="1"/>
      <c r="Q1420" s="1"/>
      <c r="R1420" s="1"/>
      <c r="S1420" s="1"/>
      <c r="T1420" s="1"/>
      <c r="U1420" s="1"/>
      <c r="V1420" s="1"/>
      <c r="W1420" s="1"/>
      <c r="X1420" s="1"/>
      <c r="Y1420" s="1"/>
      <c r="Z1420" s="1"/>
      <c r="AA1420" s="1"/>
      <c r="AB1420" s="1"/>
      <c r="AC1420" s="1"/>
      <c r="AD1420" s="1" t="s">
        <v>93</v>
      </c>
      <c r="AE1420" s="1" t="s">
        <v>93</v>
      </c>
      <c r="AF1420" s="1"/>
      <c r="AG1420" s="1"/>
      <c r="AH1420" s="1"/>
      <c r="AI1420" s="1"/>
      <c r="AJ1420" s="1"/>
      <c r="AK1420" s="1"/>
      <c r="AL1420" s="1"/>
      <c r="AM1420" s="1"/>
      <c r="AN1420" s="1"/>
      <c r="AO1420" s="1"/>
      <c r="AP1420" s="1"/>
      <c r="AQ1420" s="1"/>
      <c r="AR1420" s="1"/>
      <c r="AS1420" s="1"/>
      <c r="AT1420" s="1"/>
      <c r="AU1420" s="1"/>
      <c r="AV1420" s="1"/>
      <c r="AW1420" s="1"/>
      <c r="AX1420" s="1"/>
      <c r="AY1420" s="1"/>
      <c r="AZ1420" s="1"/>
      <c r="BA1420" s="1"/>
      <c r="BB1420" s="1"/>
      <c r="BC1420" s="1"/>
      <c r="BD1420" s="1"/>
      <c r="BE1420" s="1"/>
      <c r="BF1420" s="1"/>
      <c r="BG1420" s="1"/>
      <c r="BH1420" s="1"/>
      <c r="BI1420" s="1"/>
      <c r="BJ1420" s="1"/>
      <c r="BK1420" s="1"/>
      <c r="BL1420" s="1"/>
      <c r="BM1420" s="1"/>
      <c r="BN1420" s="1"/>
      <c r="BO1420" s="1"/>
      <c r="BP1420" s="1" t="s">
        <v>9609</v>
      </c>
      <c r="BQ1420" s="3"/>
      <c r="BR1420" s="3"/>
    </row>
    <row r="1421" spans="1:70">
      <c r="A1421" s="1" t="s">
        <v>70</v>
      </c>
      <c r="B1421" s="1" t="s">
        <v>13846</v>
      </c>
      <c r="C1421" s="1" t="s">
        <v>16522</v>
      </c>
      <c r="D1421" s="1"/>
      <c r="E1421" s="1"/>
      <c r="F1421" s="1"/>
      <c r="G1421" s="1"/>
      <c r="H1421" s="1" t="s">
        <v>16523</v>
      </c>
      <c r="I1421" s="1" t="s">
        <v>16523</v>
      </c>
      <c r="J1421" s="1"/>
      <c r="K1421" s="1"/>
      <c r="L1421" s="1"/>
      <c r="M1421" s="1"/>
      <c r="N1421" s="1"/>
      <c r="O1421" s="1"/>
      <c r="P1421" s="1"/>
      <c r="Q1421" s="1"/>
      <c r="R1421" s="1"/>
      <c r="S1421" s="1"/>
      <c r="T1421" s="1"/>
      <c r="U1421" s="1"/>
      <c r="V1421" s="1"/>
      <c r="W1421" s="1"/>
      <c r="X1421" s="1"/>
      <c r="Y1421" s="1"/>
      <c r="Z1421" s="1"/>
      <c r="AA1421" s="1"/>
      <c r="AB1421" s="1"/>
      <c r="AC1421" s="1"/>
      <c r="AD1421" s="1" t="s">
        <v>93</v>
      </c>
      <c r="AE1421" s="1" t="s">
        <v>93</v>
      </c>
      <c r="AF1421" s="1"/>
      <c r="AG1421" s="1"/>
      <c r="AH1421" s="1"/>
      <c r="AI1421" s="1"/>
      <c r="AJ1421" s="1"/>
      <c r="AK1421" s="1"/>
      <c r="AL1421" s="1"/>
      <c r="AM1421" s="1"/>
      <c r="AN1421" s="1"/>
      <c r="AO1421" s="1"/>
      <c r="AP1421" s="1"/>
      <c r="AQ1421" s="1"/>
      <c r="AR1421" s="1"/>
      <c r="AS1421" s="1"/>
      <c r="AT1421" s="1"/>
      <c r="AU1421" s="1"/>
      <c r="AV1421" s="1"/>
      <c r="AW1421" s="1"/>
      <c r="AX1421" s="1"/>
      <c r="AY1421" s="1"/>
      <c r="AZ1421" s="1"/>
      <c r="BA1421" s="1"/>
      <c r="BB1421" s="1"/>
      <c r="BC1421" s="1"/>
      <c r="BD1421" s="1"/>
      <c r="BE1421" s="1"/>
      <c r="BF1421" s="1"/>
      <c r="BG1421" s="1"/>
      <c r="BH1421" s="1"/>
      <c r="BI1421" s="1"/>
      <c r="BJ1421" s="1"/>
      <c r="BK1421" s="1"/>
      <c r="BL1421" s="1"/>
      <c r="BM1421" s="1"/>
      <c r="BN1421" s="1"/>
      <c r="BO1421" s="1"/>
      <c r="BP1421" s="1" t="s">
        <v>9609</v>
      </c>
      <c r="BQ1421" s="3"/>
      <c r="BR1421" s="3"/>
    </row>
    <row r="1422" spans="1:70">
      <c r="A1422" s="1" t="s">
        <v>70</v>
      </c>
      <c r="B1422" s="1" t="s">
        <v>13846</v>
      </c>
      <c r="C1422" s="1" t="s">
        <v>16524</v>
      </c>
      <c r="D1422" s="1"/>
      <c r="E1422" s="1"/>
      <c r="F1422" s="1"/>
      <c r="G1422" s="1"/>
      <c r="H1422" s="1" t="s">
        <v>16525</v>
      </c>
      <c r="I1422" s="1" t="s">
        <v>16525</v>
      </c>
      <c r="J1422" s="1"/>
      <c r="K1422" s="1"/>
      <c r="L1422" s="1"/>
      <c r="M1422" s="1"/>
      <c r="N1422" s="1"/>
      <c r="O1422" s="1"/>
      <c r="P1422" s="1"/>
      <c r="Q1422" s="1"/>
      <c r="R1422" s="1"/>
      <c r="S1422" s="1"/>
      <c r="T1422" s="1"/>
      <c r="U1422" s="1"/>
      <c r="V1422" s="1"/>
      <c r="W1422" s="1"/>
      <c r="X1422" s="1"/>
      <c r="Y1422" s="1"/>
      <c r="Z1422" s="1"/>
      <c r="AA1422" s="1"/>
      <c r="AB1422" s="1"/>
      <c r="AC1422" s="1"/>
      <c r="AD1422" s="1" t="s">
        <v>93</v>
      </c>
      <c r="AE1422" s="1" t="s">
        <v>93</v>
      </c>
      <c r="AF1422" s="1"/>
      <c r="AG1422" s="1"/>
      <c r="AH1422" s="1"/>
      <c r="AI1422" s="1"/>
      <c r="AJ1422" s="1"/>
      <c r="AK1422" s="1"/>
      <c r="AL1422" s="1"/>
      <c r="AM1422" s="1"/>
      <c r="AN1422" s="1"/>
      <c r="AO1422" s="1"/>
      <c r="AP1422" s="1"/>
      <c r="AQ1422" s="1"/>
      <c r="AR1422" s="1"/>
      <c r="AS1422" s="1"/>
      <c r="AT1422" s="1"/>
      <c r="AU1422" s="1"/>
      <c r="AV1422" s="1"/>
      <c r="AW1422" s="1"/>
      <c r="AX1422" s="1"/>
      <c r="AY1422" s="1"/>
      <c r="AZ1422" s="1"/>
      <c r="BA1422" s="1"/>
      <c r="BB1422" s="1"/>
      <c r="BC1422" s="1"/>
      <c r="BD1422" s="1"/>
      <c r="BE1422" s="1"/>
      <c r="BF1422" s="1"/>
      <c r="BG1422" s="1"/>
      <c r="BH1422" s="1"/>
      <c r="BI1422" s="1"/>
      <c r="BJ1422" s="1"/>
      <c r="BK1422" s="1"/>
      <c r="BL1422" s="1"/>
      <c r="BM1422" s="1"/>
      <c r="BN1422" s="1"/>
      <c r="BO1422" s="1"/>
      <c r="BP1422" s="1" t="s">
        <v>9609</v>
      </c>
      <c r="BQ1422" s="3"/>
      <c r="BR1422" s="3"/>
    </row>
    <row r="1423" spans="1:70">
      <c r="A1423" s="1" t="s">
        <v>70</v>
      </c>
      <c r="B1423" s="1" t="s">
        <v>13846</v>
      </c>
      <c r="C1423" s="1" t="s">
        <v>16526</v>
      </c>
      <c r="D1423" s="1"/>
      <c r="E1423" s="1"/>
      <c r="F1423" s="1"/>
      <c r="G1423" s="1"/>
      <c r="H1423" s="1" t="s">
        <v>16527</v>
      </c>
      <c r="I1423" s="1" t="s">
        <v>16527</v>
      </c>
      <c r="J1423" s="1"/>
      <c r="K1423" s="1"/>
      <c r="L1423" s="1"/>
      <c r="M1423" s="1"/>
      <c r="N1423" s="1"/>
      <c r="O1423" s="1"/>
      <c r="P1423" s="1"/>
      <c r="Q1423" s="1"/>
      <c r="R1423" s="1"/>
      <c r="S1423" s="1"/>
      <c r="T1423" s="1"/>
      <c r="U1423" s="1"/>
      <c r="V1423" s="1"/>
      <c r="W1423" s="1"/>
      <c r="X1423" s="1"/>
      <c r="Y1423" s="1"/>
      <c r="Z1423" s="1"/>
      <c r="AA1423" s="1"/>
      <c r="AB1423" s="1"/>
      <c r="AC1423" s="1"/>
      <c r="AD1423" s="1" t="s">
        <v>93</v>
      </c>
      <c r="AE1423" s="1" t="s">
        <v>93</v>
      </c>
      <c r="AF1423" s="1"/>
      <c r="AG1423" s="1"/>
      <c r="AH1423" s="1"/>
      <c r="AI1423" s="1"/>
      <c r="AJ1423" s="1"/>
      <c r="AK1423" s="1"/>
      <c r="AL1423" s="1"/>
      <c r="AM1423" s="1"/>
      <c r="AN1423" s="1"/>
      <c r="AO1423" s="1"/>
      <c r="AP1423" s="1"/>
      <c r="AQ1423" s="1"/>
      <c r="AR1423" s="1"/>
      <c r="AS1423" s="1"/>
      <c r="AT1423" s="1"/>
      <c r="AU1423" s="1"/>
      <c r="AV1423" s="1"/>
      <c r="AW1423" s="1"/>
      <c r="AX1423" s="1"/>
      <c r="AY1423" s="1"/>
      <c r="AZ1423" s="1"/>
      <c r="BA1423" s="1"/>
      <c r="BB1423" s="1"/>
      <c r="BC1423" s="1"/>
      <c r="BD1423" s="1"/>
      <c r="BE1423" s="1"/>
      <c r="BF1423" s="1"/>
      <c r="BG1423" s="1"/>
      <c r="BH1423" s="1"/>
      <c r="BI1423" s="1"/>
      <c r="BJ1423" s="1"/>
      <c r="BK1423" s="1"/>
      <c r="BL1423" s="1"/>
      <c r="BM1423" s="1"/>
      <c r="BN1423" s="1"/>
      <c r="BO1423" s="1"/>
      <c r="BP1423" s="1" t="s">
        <v>9609</v>
      </c>
      <c r="BQ1423" s="3"/>
      <c r="BR1423" s="3"/>
    </row>
    <row r="1424" spans="1:70">
      <c r="A1424" s="1" t="s">
        <v>70</v>
      </c>
      <c r="B1424" s="1" t="s">
        <v>13846</v>
      </c>
      <c r="C1424" s="1" t="s">
        <v>16528</v>
      </c>
      <c r="D1424" s="1"/>
      <c r="E1424" s="1"/>
      <c r="F1424" s="1"/>
      <c r="G1424" s="1"/>
      <c r="H1424" s="1" t="s">
        <v>16529</v>
      </c>
      <c r="I1424" s="1" t="s">
        <v>16529</v>
      </c>
      <c r="J1424" s="1"/>
      <c r="K1424" s="1"/>
      <c r="L1424" s="1"/>
      <c r="M1424" s="1"/>
      <c r="N1424" s="1"/>
      <c r="O1424" s="1"/>
      <c r="P1424" s="1"/>
      <c r="Q1424" s="1"/>
      <c r="R1424" s="1"/>
      <c r="S1424" s="1"/>
      <c r="T1424" s="1"/>
      <c r="U1424" s="1"/>
      <c r="V1424" s="1"/>
      <c r="W1424" s="1"/>
      <c r="X1424" s="1"/>
      <c r="Y1424" s="1"/>
      <c r="Z1424" s="1"/>
      <c r="AA1424" s="1"/>
      <c r="AB1424" s="1"/>
      <c r="AC1424" s="1"/>
      <c r="AD1424" s="1" t="s">
        <v>93</v>
      </c>
      <c r="AE1424" s="1" t="s">
        <v>93</v>
      </c>
      <c r="AF1424" s="1"/>
      <c r="AG1424" s="1"/>
      <c r="AH1424" s="1"/>
      <c r="AI1424" s="1"/>
      <c r="AJ1424" s="1"/>
      <c r="AK1424" s="1"/>
      <c r="AL1424" s="1"/>
      <c r="AM1424" s="1"/>
      <c r="AN1424" s="1"/>
      <c r="AO1424" s="1"/>
      <c r="AP1424" s="1"/>
      <c r="AQ1424" s="1"/>
      <c r="AR1424" s="1"/>
      <c r="AS1424" s="1"/>
      <c r="AT1424" s="1"/>
      <c r="AU1424" s="1"/>
      <c r="AV1424" s="1"/>
      <c r="AW1424" s="1"/>
      <c r="AX1424" s="1"/>
      <c r="AY1424" s="1"/>
      <c r="AZ1424" s="1"/>
      <c r="BA1424" s="1"/>
      <c r="BB1424" s="1"/>
      <c r="BC1424" s="1"/>
      <c r="BD1424" s="1"/>
      <c r="BE1424" s="1"/>
      <c r="BF1424" s="1"/>
      <c r="BG1424" s="1"/>
      <c r="BH1424" s="1"/>
      <c r="BI1424" s="1"/>
      <c r="BJ1424" s="1"/>
      <c r="BK1424" s="1"/>
      <c r="BL1424" s="1"/>
      <c r="BM1424" s="1"/>
      <c r="BN1424" s="1"/>
      <c r="BO1424" s="1"/>
      <c r="BP1424" s="1" t="s">
        <v>9609</v>
      </c>
      <c r="BQ1424" s="3"/>
      <c r="BR1424" s="3"/>
    </row>
    <row r="1425" spans="1:70">
      <c r="A1425" s="1" t="s">
        <v>70</v>
      </c>
      <c r="B1425" s="1" t="s">
        <v>13846</v>
      </c>
      <c r="C1425" s="1" t="s">
        <v>16530</v>
      </c>
      <c r="D1425" s="1"/>
      <c r="E1425" s="1"/>
      <c r="F1425" s="1"/>
      <c r="G1425" s="1"/>
      <c r="H1425" s="1" t="s">
        <v>16531</v>
      </c>
      <c r="I1425" s="1" t="s">
        <v>16531</v>
      </c>
      <c r="J1425" s="1"/>
      <c r="K1425" s="1"/>
      <c r="L1425" s="1"/>
      <c r="M1425" s="1"/>
      <c r="N1425" s="1"/>
      <c r="O1425" s="1"/>
      <c r="P1425" s="1"/>
      <c r="Q1425" s="1"/>
      <c r="R1425" s="1"/>
      <c r="S1425" s="1"/>
      <c r="T1425" s="1"/>
      <c r="U1425" s="1"/>
      <c r="V1425" s="1"/>
      <c r="W1425" s="1"/>
      <c r="X1425" s="1"/>
      <c r="Y1425" s="1"/>
      <c r="Z1425" s="1"/>
      <c r="AA1425" s="1"/>
      <c r="AB1425" s="1"/>
      <c r="AC1425" s="1"/>
      <c r="AD1425" s="1" t="s">
        <v>93</v>
      </c>
      <c r="AE1425" s="1" t="s">
        <v>93</v>
      </c>
      <c r="AF1425" s="1"/>
      <c r="AG1425" s="1"/>
      <c r="AH1425" s="1"/>
      <c r="AI1425" s="1"/>
      <c r="AJ1425" s="1"/>
      <c r="AK1425" s="1"/>
      <c r="AL1425" s="1"/>
      <c r="AM1425" s="1"/>
      <c r="AN1425" s="1"/>
      <c r="AO1425" s="1"/>
      <c r="AP1425" s="1"/>
      <c r="AQ1425" s="1"/>
      <c r="AR1425" s="1"/>
      <c r="AS1425" s="1"/>
      <c r="AT1425" s="1"/>
      <c r="AU1425" s="1"/>
      <c r="AV1425" s="1"/>
      <c r="AW1425" s="1"/>
      <c r="AX1425" s="1"/>
      <c r="AY1425" s="1"/>
      <c r="AZ1425" s="1"/>
      <c r="BA1425" s="1"/>
      <c r="BB1425" s="1"/>
      <c r="BC1425" s="1"/>
      <c r="BD1425" s="1"/>
      <c r="BE1425" s="1"/>
      <c r="BF1425" s="1"/>
      <c r="BG1425" s="1"/>
      <c r="BH1425" s="1"/>
      <c r="BI1425" s="1"/>
      <c r="BJ1425" s="1"/>
      <c r="BK1425" s="1"/>
      <c r="BL1425" s="1"/>
      <c r="BM1425" s="1"/>
      <c r="BN1425" s="1"/>
      <c r="BO1425" s="1"/>
      <c r="BP1425" s="1" t="s">
        <v>9609</v>
      </c>
      <c r="BQ1425" s="3"/>
      <c r="BR1425" s="3"/>
    </row>
    <row r="1426" spans="1:70">
      <c r="A1426" s="1" t="s">
        <v>70</v>
      </c>
      <c r="B1426" s="1" t="s">
        <v>13846</v>
      </c>
      <c r="C1426" s="1" t="s">
        <v>16532</v>
      </c>
      <c r="D1426" s="1"/>
      <c r="E1426" s="1"/>
      <c r="F1426" s="1"/>
      <c r="G1426" s="1"/>
      <c r="H1426" s="1" t="s">
        <v>16533</v>
      </c>
      <c r="I1426" s="1" t="s">
        <v>16533</v>
      </c>
      <c r="J1426" s="1"/>
      <c r="K1426" s="1"/>
      <c r="L1426" s="1"/>
      <c r="M1426" s="1"/>
      <c r="N1426" s="1"/>
      <c r="O1426" s="1"/>
      <c r="P1426" s="1"/>
      <c r="Q1426" s="1"/>
      <c r="R1426" s="1"/>
      <c r="S1426" s="1"/>
      <c r="T1426" s="1"/>
      <c r="U1426" s="1"/>
      <c r="V1426" s="1"/>
      <c r="W1426" s="1"/>
      <c r="X1426" s="1"/>
      <c r="Y1426" s="1"/>
      <c r="Z1426" s="1"/>
      <c r="AA1426" s="1"/>
      <c r="AB1426" s="1"/>
      <c r="AC1426" s="1"/>
      <c r="AD1426" s="1" t="s">
        <v>93</v>
      </c>
      <c r="AE1426" s="1" t="s">
        <v>93</v>
      </c>
      <c r="AF1426" s="1"/>
      <c r="AG1426" s="1"/>
      <c r="AH1426" s="1"/>
      <c r="AI1426" s="1"/>
      <c r="AJ1426" s="1"/>
      <c r="AK1426" s="1"/>
      <c r="AL1426" s="1"/>
      <c r="AM1426" s="1"/>
      <c r="AN1426" s="1"/>
      <c r="AO1426" s="1"/>
      <c r="AP1426" s="1"/>
      <c r="AQ1426" s="1"/>
      <c r="AR1426" s="1"/>
      <c r="AS1426" s="1"/>
      <c r="AT1426" s="1"/>
      <c r="AU1426" s="1"/>
      <c r="AV1426" s="1"/>
      <c r="AW1426" s="1"/>
      <c r="AX1426" s="1"/>
      <c r="AY1426" s="1"/>
      <c r="AZ1426" s="1"/>
      <c r="BA1426" s="1"/>
      <c r="BB1426" s="1"/>
      <c r="BC1426" s="1"/>
      <c r="BD1426" s="1"/>
      <c r="BE1426" s="1"/>
      <c r="BF1426" s="1"/>
      <c r="BG1426" s="1"/>
      <c r="BH1426" s="1"/>
      <c r="BI1426" s="1"/>
      <c r="BJ1426" s="1"/>
      <c r="BK1426" s="1"/>
      <c r="BL1426" s="1"/>
      <c r="BM1426" s="1"/>
      <c r="BN1426" s="1"/>
      <c r="BO1426" s="1"/>
      <c r="BP1426" s="1" t="s">
        <v>9609</v>
      </c>
      <c r="BQ1426" s="3"/>
      <c r="BR1426" s="3"/>
    </row>
    <row r="1427" spans="1:70">
      <c r="A1427" s="1" t="s">
        <v>70</v>
      </c>
      <c r="B1427" s="1" t="s">
        <v>13846</v>
      </c>
      <c r="C1427" s="1" t="s">
        <v>16534</v>
      </c>
      <c r="D1427" s="1"/>
      <c r="E1427" s="1"/>
      <c r="F1427" s="1"/>
      <c r="G1427" s="1"/>
      <c r="H1427" s="1" t="s">
        <v>16535</v>
      </c>
      <c r="I1427" s="1" t="s">
        <v>16535</v>
      </c>
      <c r="J1427" s="1"/>
      <c r="K1427" s="1"/>
      <c r="L1427" s="1"/>
      <c r="M1427" s="1"/>
      <c r="N1427" s="1"/>
      <c r="O1427" s="1"/>
      <c r="P1427" s="1"/>
      <c r="Q1427" s="1"/>
      <c r="R1427" s="1"/>
      <c r="S1427" s="1"/>
      <c r="T1427" s="1"/>
      <c r="U1427" s="1"/>
      <c r="V1427" s="1"/>
      <c r="W1427" s="1"/>
      <c r="X1427" s="1"/>
      <c r="Y1427" s="1"/>
      <c r="Z1427" s="1"/>
      <c r="AA1427" s="1"/>
      <c r="AB1427" s="1"/>
      <c r="AC1427" s="1"/>
      <c r="AD1427" s="1" t="s">
        <v>93</v>
      </c>
      <c r="AE1427" s="1" t="s">
        <v>93</v>
      </c>
      <c r="AF1427" s="1"/>
      <c r="AG1427" s="1"/>
      <c r="AH1427" s="1"/>
      <c r="AI1427" s="1"/>
      <c r="AJ1427" s="1"/>
      <c r="AK1427" s="1"/>
      <c r="AL1427" s="1"/>
      <c r="AM1427" s="1"/>
      <c r="AN1427" s="1"/>
      <c r="AO1427" s="1"/>
      <c r="AP1427" s="1"/>
      <c r="AQ1427" s="1"/>
      <c r="AR1427" s="1"/>
      <c r="AS1427" s="1"/>
      <c r="AT1427" s="1"/>
      <c r="AU1427" s="1"/>
      <c r="AV1427" s="1"/>
      <c r="AW1427" s="1"/>
      <c r="AX1427" s="1"/>
      <c r="AY1427" s="1"/>
      <c r="AZ1427" s="1"/>
      <c r="BA1427" s="1"/>
      <c r="BB1427" s="1"/>
      <c r="BC1427" s="1"/>
      <c r="BD1427" s="1"/>
      <c r="BE1427" s="1"/>
      <c r="BF1427" s="1"/>
      <c r="BG1427" s="1"/>
      <c r="BH1427" s="1"/>
      <c r="BI1427" s="1"/>
      <c r="BJ1427" s="1"/>
      <c r="BK1427" s="1"/>
      <c r="BL1427" s="1"/>
      <c r="BM1427" s="1"/>
      <c r="BN1427" s="1"/>
      <c r="BO1427" s="1"/>
      <c r="BP1427" s="1" t="s">
        <v>9609</v>
      </c>
      <c r="BQ1427" s="3"/>
      <c r="BR1427" s="3"/>
    </row>
    <row r="1428" spans="1:70">
      <c r="A1428" s="1" t="s">
        <v>70</v>
      </c>
      <c r="B1428" s="1" t="s">
        <v>13846</v>
      </c>
      <c r="C1428" s="1" t="s">
        <v>16536</v>
      </c>
      <c r="D1428" s="1"/>
      <c r="E1428" s="1"/>
      <c r="F1428" s="1"/>
      <c r="G1428" s="1"/>
      <c r="H1428" s="1" t="s">
        <v>16537</v>
      </c>
      <c r="I1428" s="1" t="s">
        <v>16537</v>
      </c>
      <c r="J1428" s="1"/>
      <c r="K1428" s="1"/>
      <c r="L1428" s="1"/>
      <c r="M1428" s="1"/>
      <c r="N1428" s="1"/>
      <c r="O1428" s="1"/>
      <c r="P1428" s="1"/>
      <c r="Q1428" s="1"/>
      <c r="R1428" s="1"/>
      <c r="S1428" s="1"/>
      <c r="T1428" s="1"/>
      <c r="U1428" s="1"/>
      <c r="V1428" s="1"/>
      <c r="W1428" s="1"/>
      <c r="X1428" s="1"/>
      <c r="Y1428" s="1"/>
      <c r="Z1428" s="1"/>
      <c r="AA1428" s="1"/>
      <c r="AB1428" s="1"/>
      <c r="AC1428" s="1"/>
      <c r="AD1428" s="1" t="s">
        <v>93</v>
      </c>
      <c r="AE1428" s="1" t="s">
        <v>93</v>
      </c>
      <c r="AF1428" s="1"/>
      <c r="AG1428" s="1"/>
      <c r="AH1428" s="1"/>
      <c r="AI1428" s="1"/>
      <c r="AJ1428" s="1"/>
      <c r="AK1428" s="1"/>
      <c r="AL1428" s="1"/>
      <c r="AM1428" s="1"/>
      <c r="AN1428" s="1"/>
      <c r="AO1428" s="1"/>
      <c r="AP1428" s="1"/>
      <c r="AQ1428" s="1"/>
      <c r="AR1428" s="1"/>
      <c r="AS1428" s="1"/>
      <c r="AT1428" s="1"/>
      <c r="AU1428" s="1"/>
      <c r="AV1428" s="1"/>
      <c r="AW1428" s="1"/>
      <c r="AX1428" s="1"/>
      <c r="AY1428" s="1"/>
      <c r="AZ1428" s="1"/>
      <c r="BA1428" s="1"/>
      <c r="BB1428" s="1"/>
      <c r="BC1428" s="1"/>
      <c r="BD1428" s="1"/>
      <c r="BE1428" s="1"/>
      <c r="BF1428" s="1"/>
      <c r="BG1428" s="1"/>
      <c r="BH1428" s="1"/>
      <c r="BI1428" s="1"/>
      <c r="BJ1428" s="1"/>
      <c r="BK1428" s="1"/>
      <c r="BL1428" s="1"/>
      <c r="BM1428" s="1"/>
      <c r="BN1428" s="1"/>
      <c r="BO1428" s="1"/>
      <c r="BP1428" s="1" t="s">
        <v>9609</v>
      </c>
      <c r="BQ1428" s="3"/>
      <c r="BR1428" s="3"/>
    </row>
    <row r="1429" spans="1:70">
      <c r="A1429" s="1" t="s">
        <v>70</v>
      </c>
      <c r="B1429" s="1" t="s">
        <v>13846</v>
      </c>
      <c r="C1429" s="1" t="s">
        <v>16538</v>
      </c>
      <c r="D1429" s="1"/>
      <c r="E1429" s="1"/>
      <c r="F1429" s="1"/>
      <c r="G1429" s="1"/>
      <c r="H1429" s="1" t="s">
        <v>16539</v>
      </c>
      <c r="I1429" s="1" t="s">
        <v>16539</v>
      </c>
      <c r="J1429" s="1"/>
      <c r="K1429" s="1"/>
      <c r="L1429" s="1"/>
      <c r="M1429" s="1"/>
      <c r="N1429" s="1"/>
      <c r="O1429" s="1"/>
      <c r="P1429" s="1"/>
      <c r="Q1429" s="1"/>
      <c r="R1429" s="1"/>
      <c r="S1429" s="1"/>
      <c r="T1429" s="1"/>
      <c r="U1429" s="1"/>
      <c r="V1429" s="1"/>
      <c r="W1429" s="1"/>
      <c r="X1429" s="1"/>
      <c r="Y1429" s="1"/>
      <c r="Z1429" s="1"/>
      <c r="AA1429" s="1"/>
      <c r="AB1429" s="1"/>
      <c r="AC1429" s="1"/>
      <c r="AD1429" s="1" t="s">
        <v>93</v>
      </c>
      <c r="AE1429" s="1" t="s">
        <v>93</v>
      </c>
      <c r="AF1429" s="1"/>
      <c r="AG1429" s="1"/>
      <c r="AH1429" s="1"/>
      <c r="AI1429" s="1"/>
      <c r="AJ1429" s="1"/>
      <c r="AK1429" s="1"/>
      <c r="AL1429" s="1"/>
      <c r="AM1429" s="1"/>
      <c r="AN1429" s="1"/>
      <c r="AO1429" s="1"/>
      <c r="AP1429" s="1"/>
      <c r="AQ1429" s="1"/>
      <c r="AR1429" s="1"/>
      <c r="AS1429" s="1"/>
      <c r="AT1429" s="1"/>
      <c r="AU1429" s="1"/>
      <c r="AV1429" s="1"/>
      <c r="AW1429" s="1"/>
      <c r="AX1429" s="1"/>
      <c r="AY1429" s="1"/>
      <c r="AZ1429" s="1"/>
      <c r="BA1429" s="1"/>
      <c r="BB1429" s="1"/>
      <c r="BC1429" s="1"/>
      <c r="BD1429" s="1"/>
      <c r="BE1429" s="1"/>
      <c r="BF1429" s="1"/>
      <c r="BG1429" s="1"/>
      <c r="BH1429" s="1"/>
      <c r="BI1429" s="1"/>
      <c r="BJ1429" s="1"/>
      <c r="BK1429" s="1"/>
      <c r="BL1429" s="1"/>
      <c r="BM1429" s="1"/>
      <c r="BN1429" s="1"/>
      <c r="BO1429" s="1"/>
      <c r="BP1429" s="1" t="s">
        <v>9609</v>
      </c>
      <c r="BQ1429" s="3"/>
      <c r="BR1429" s="3"/>
    </row>
    <row r="1430" spans="1:70">
      <c r="A1430" s="1" t="s">
        <v>70</v>
      </c>
      <c r="B1430" s="1" t="s">
        <v>13846</v>
      </c>
      <c r="C1430" s="1" t="s">
        <v>16540</v>
      </c>
      <c r="D1430" s="1"/>
      <c r="E1430" s="1"/>
      <c r="F1430" s="1"/>
      <c r="G1430" s="1"/>
      <c r="H1430" s="1" t="s">
        <v>16541</v>
      </c>
      <c r="I1430" s="1" t="s">
        <v>16541</v>
      </c>
      <c r="J1430" s="1"/>
      <c r="K1430" s="1"/>
      <c r="L1430" s="1"/>
      <c r="M1430" s="1"/>
      <c r="N1430" s="1"/>
      <c r="O1430" s="1"/>
      <c r="P1430" s="1"/>
      <c r="Q1430" s="1"/>
      <c r="R1430" s="1"/>
      <c r="S1430" s="1"/>
      <c r="T1430" s="1"/>
      <c r="U1430" s="1"/>
      <c r="V1430" s="1"/>
      <c r="W1430" s="1"/>
      <c r="X1430" s="1"/>
      <c r="Y1430" s="1"/>
      <c r="Z1430" s="1"/>
      <c r="AA1430" s="1"/>
      <c r="AB1430" s="1"/>
      <c r="AC1430" s="1"/>
      <c r="AD1430" s="1" t="s">
        <v>93</v>
      </c>
      <c r="AE1430" s="1" t="s">
        <v>93</v>
      </c>
      <c r="AF1430" s="1"/>
      <c r="AG1430" s="1"/>
      <c r="AH1430" s="1"/>
      <c r="AI1430" s="1"/>
      <c r="AJ1430" s="1"/>
      <c r="AK1430" s="1"/>
      <c r="AL1430" s="1"/>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t="s">
        <v>9609</v>
      </c>
      <c r="BQ1430" s="3"/>
      <c r="BR1430" s="3"/>
    </row>
    <row r="1431" spans="1:70">
      <c r="A1431" s="1" t="s">
        <v>70</v>
      </c>
      <c r="B1431" s="1" t="s">
        <v>13846</v>
      </c>
      <c r="C1431" s="1" t="s">
        <v>16542</v>
      </c>
      <c r="D1431" s="1"/>
      <c r="E1431" s="1"/>
      <c r="F1431" s="1"/>
      <c r="G1431" s="1"/>
      <c r="H1431" s="1" t="s">
        <v>16543</v>
      </c>
      <c r="I1431" s="1" t="s">
        <v>16543</v>
      </c>
      <c r="J1431" s="1"/>
      <c r="K1431" s="1"/>
      <c r="L1431" s="1"/>
      <c r="M1431" s="1"/>
      <c r="N1431" s="1"/>
      <c r="O1431" s="1"/>
      <c r="P1431" s="1"/>
      <c r="Q1431" s="1"/>
      <c r="R1431" s="1"/>
      <c r="S1431" s="1"/>
      <c r="T1431" s="1"/>
      <c r="U1431" s="1"/>
      <c r="V1431" s="1"/>
      <c r="W1431" s="1"/>
      <c r="X1431" s="1"/>
      <c r="Y1431" s="1"/>
      <c r="Z1431" s="1"/>
      <c r="AA1431" s="1"/>
      <c r="AB1431" s="1"/>
      <c r="AC1431" s="1"/>
      <c r="AD1431" s="1" t="s">
        <v>93</v>
      </c>
      <c r="AE1431" s="1" t="s">
        <v>93</v>
      </c>
      <c r="AF1431" s="1"/>
      <c r="AG1431" s="1"/>
      <c r="AH1431" s="1"/>
      <c r="AI1431" s="1"/>
      <c r="AJ1431" s="1"/>
      <c r="AK1431" s="1"/>
      <c r="AL1431" s="1"/>
      <c r="AM1431" s="1"/>
      <c r="AN1431" s="1"/>
      <c r="AO1431" s="1"/>
      <c r="AP1431" s="1"/>
      <c r="AQ1431" s="1"/>
      <c r="AR1431" s="1"/>
      <c r="AS1431" s="1"/>
      <c r="AT1431" s="1"/>
      <c r="AU1431" s="1"/>
      <c r="AV1431" s="1"/>
      <c r="AW1431" s="1"/>
      <c r="AX1431" s="1"/>
      <c r="AY1431" s="1"/>
      <c r="AZ1431" s="1"/>
      <c r="BA1431" s="1"/>
      <c r="BB1431" s="1"/>
      <c r="BC1431" s="1"/>
      <c r="BD1431" s="1"/>
      <c r="BE1431" s="1"/>
      <c r="BF1431" s="1"/>
      <c r="BG1431" s="1"/>
      <c r="BH1431" s="1"/>
      <c r="BI1431" s="1"/>
      <c r="BJ1431" s="1"/>
      <c r="BK1431" s="1"/>
      <c r="BL1431" s="1"/>
      <c r="BM1431" s="1"/>
      <c r="BN1431" s="1"/>
      <c r="BO1431" s="1"/>
      <c r="BP1431" s="1" t="s">
        <v>9609</v>
      </c>
      <c r="BQ1431" s="3"/>
      <c r="BR1431" s="3"/>
    </row>
    <row r="1432" spans="1:70">
      <c r="A1432" s="1" t="s">
        <v>70</v>
      </c>
      <c r="B1432" s="1" t="s">
        <v>13846</v>
      </c>
      <c r="C1432" s="1" t="s">
        <v>16544</v>
      </c>
      <c r="D1432" s="1"/>
      <c r="E1432" s="1"/>
      <c r="F1432" s="1"/>
      <c r="G1432" s="1"/>
      <c r="H1432" s="1" t="s">
        <v>16545</v>
      </c>
      <c r="I1432" s="1" t="s">
        <v>16545</v>
      </c>
      <c r="J1432" s="1"/>
      <c r="K1432" s="1"/>
      <c r="L1432" s="1"/>
      <c r="M1432" s="1"/>
      <c r="N1432" s="1"/>
      <c r="O1432" s="1"/>
      <c r="P1432" s="1"/>
      <c r="Q1432" s="1"/>
      <c r="R1432" s="1"/>
      <c r="S1432" s="1"/>
      <c r="T1432" s="1"/>
      <c r="U1432" s="1"/>
      <c r="V1432" s="1"/>
      <c r="W1432" s="1"/>
      <c r="X1432" s="1"/>
      <c r="Y1432" s="1"/>
      <c r="Z1432" s="1"/>
      <c r="AA1432" s="1"/>
      <c r="AB1432" s="1"/>
      <c r="AC1432" s="1"/>
      <c r="AD1432" s="1" t="s">
        <v>93</v>
      </c>
      <c r="AE1432" s="1" t="s">
        <v>93</v>
      </c>
      <c r="AF1432" s="1"/>
      <c r="AG1432" s="1"/>
      <c r="AH1432" s="1"/>
      <c r="AI1432" s="1"/>
      <c r="AJ1432" s="1"/>
      <c r="AK1432" s="1"/>
      <c r="AL1432" s="1"/>
      <c r="AM1432" s="1"/>
      <c r="AN1432" s="1"/>
      <c r="AO1432" s="1"/>
      <c r="AP1432" s="1"/>
      <c r="AQ1432" s="1"/>
      <c r="AR1432" s="1"/>
      <c r="AS1432" s="1"/>
      <c r="AT1432" s="1"/>
      <c r="AU1432" s="1"/>
      <c r="AV1432" s="1"/>
      <c r="AW1432" s="1"/>
      <c r="AX1432" s="1"/>
      <c r="AY1432" s="1"/>
      <c r="AZ1432" s="1"/>
      <c r="BA1432" s="1"/>
      <c r="BB1432" s="1"/>
      <c r="BC1432" s="1"/>
      <c r="BD1432" s="1"/>
      <c r="BE1432" s="1"/>
      <c r="BF1432" s="1"/>
      <c r="BG1432" s="1"/>
      <c r="BH1432" s="1"/>
      <c r="BI1432" s="1"/>
      <c r="BJ1432" s="1"/>
      <c r="BK1432" s="1"/>
      <c r="BL1432" s="1"/>
      <c r="BM1432" s="1"/>
      <c r="BN1432" s="1"/>
      <c r="BO1432" s="1"/>
      <c r="BP1432" s="1" t="s">
        <v>9609</v>
      </c>
      <c r="BQ1432" s="3"/>
      <c r="BR1432" s="3"/>
    </row>
    <row r="1433" spans="1:70">
      <c r="A1433" s="1" t="s">
        <v>70</v>
      </c>
      <c r="B1433" s="1" t="s">
        <v>13846</v>
      </c>
      <c r="C1433" s="1" t="s">
        <v>16546</v>
      </c>
      <c r="D1433" s="1"/>
      <c r="E1433" s="1"/>
      <c r="F1433" s="1"/>
      <c r="G1433" s="1"/>
      <c r="H1433" s="1" t="s">
        <v>16547</v>
      </c>
      <c r="I1433" s="1" t="s">
        <v>16547</v>
      </c>
      <c r="J1433" s="1"/>
      <c r="K1433" s="1"/>
      <c r="L1433" s="1"/>
      <c r="M1433" s="1"/>
      <c r="N1433" s="1"/>
      <c r="O1433" s="1"/>
      <c r="P1433" s="1"/>
      <c r="Q1433" s="1"/>
      <c r="R1433" s="1"/>
      <c r="S1433" s="1"/>
      <c r="T1433" s="1"/>
      <c r="U1433" s="1"/>
      <c r="V1433" s="1"/>
      <c r="W1433" s="1"/>
      <c r="X1433" s="1"/>
      <c r="Y1433" s="1"/>
      <c r="Z1433" s="1"/>
      <c r="AA1433" s="1"/>
      <c r="AB1433" s="1"/>
      <c r="AC1433" s="1"/>
      <c r="AD1433" s="1" t="s">
        <v>93</v>
      </c>
      <c r="AE1433" s="1" t="s">
        <v>93</v>
      </c>
      <c r="AF1433" s="1"/>
      <c r="AG1433" s="1"/>
      <c r="AH1433" s="1"/>
      <c r="AI1433" s="1"/>
      <c r="AJ1433" s="1"/>
      <c r="AK1433" s="1"/>
      <c r="AL1433" s="1"/>
      <c r="AM1433" s="1"/>
      <c r="AN1433" s="1"/>
      <c r="AO1433" s="1"/>
      <c r="AP1433" s="1"/>
      <c r="AQ1433" s="1"/>
      <c r="AR1433" s="1"/>
      <c r="AS1433" s="1"/>
      <c r="AT1433" s="1"/>
      <c r="AU1433" s="1"/>
      <c r="AV1433" s="1"/>
      <c r="AW1433" s="1"/>
      <c r="AX1433" s="1"/>
      <c r="AY1433" s="1"/>
      <c r="AZ1433" s="1"/>
      <c r="BA1433" s="1"/>
      <c r="BB1433" s="1"/>
      <c r="BC1433" s="1"/>
      <c r="BD1433" s="1"/>
      <c r="BE1433" s="1"/>
      <c r="BF1433" s="1"/>
      <c r="BG1433" s="1"/>
      <c r="BH1433" s="1"/>
      <c r="BI1433" s="1"/>
      <c r="BJ1433" s="1"/>
      <c r="BK1433" s="1"/>
      <c r="BL1433" s="1"/>
      <c r="BM1433" s="1"/>
      <c r="BN1433" s="1"/>
      <c r="BO1433" s="1"/>
      <c r="BP1433" s="1" t="s">
        <v>9609</v>
      </c>
      <c r="BQ1433" s="3"/>
      <c r="BR1433" s="3"/>
    </row>
    <row r="1434" spans="1:70">
      <c r="A1434" s="1" t="s">
        <v>70</v>
      </c>
      <c r="B1434" s="1" t="s">
        <v>13846</v>
      </c>
      <c r="C1434" s="1" t="s">
        <v>16548</v>
      </c>
      <c r="D1434" s="1"/>
      <c r="E1434" s="1"/>
      <c r="F1434" s="1"/>
      <c r="G1434" s="1"/>
      <c r="H1434" s="1" t="s">
        <v>16549</v>
      </c>
      <c r="I1434" s="1" t="s">
        <v>16549</v>
      </c>
      <c r="J1434" s="1"/>
      <c r="K1434" s="1"/>
      <c r="L1434" s="1"/>
      <c r="M1434" s="1"/>
      <c r="N1434" s="1"/>
      <c r="O1434" s="1"/>
      <c r="P1434" s="1"/>
      <c r="Q1434" s="1"/>
      <c r="R1434" s="1"/>
      <c r="S1434" s="1"/>
      <c r="T1434" s="1"/>
      <c r="U1434" s="1"/>
      <c r="V1434" s="1"/>
      <c r="W1434" s="1"/>
      <c r="X1434" s="1"/>
      <c r="Y1434" s="1"/>
      <c r="Z1434" s="1"/>
      <c r="AA1434" s="1"/>
      <c r="AB1434" s="1"/>
      <c r="AC1434" s="1"/>
      <c r="AD1434" s="1" t="s">
        <v>93</v>
      </c>
      <c r="AE1434" s="1" t="s">
        <v>93</v>
      </c>
      <c r="AF1434" s="1"/>
      <c r="AG1434" s="1"/>
      <c r="AH1434" s="1"/>
      <c r="AI1434" s="1"/>
      <c r="AJ1434" s="1"/>
      <c r="AK1434" s="1"/>
      <c r="AL1434" s="1"/>
      <c r="AM1434" s="1"/>
      <c r="AN1434" s="1"/>
      <c r="AO1434" s="1"/>
      <c r="AP1434" s="1"/>
      <c r="AQ1434" s="1"/>
      <c r="AR1434" s="1"/>
      <c r="AS1434" s="1"/>
      <c r="AT1434" s="1"/>
      <c r="AU1434" s="1"/>
      <c r="AV1434" s="1"/>
      <c r="AW1434" s="1"/>
      <c r="AX1434" s="1"/>
      <c r="AY1434" s="1"/>
      <c r="AZ1434" s="1"/>
      <c r="BA1434" s="1"/>
      <c r="BB1434" s="1"/>
      <c r="BC1434" s="1"/>
      <c r="BD1434" s="1"/>
      <c r="BE1434" s="1"/>
      <c r="BF1434" s="1"/>
      <c r="BG1434" s="1"/>
      <c r="BH1434" s="1"/>
      <c r="BI1434" s="1"/>
      <c r="BJ1434" s="1"/>
      <c r="BK1434" s="1"/>
      <c r="BL1434" s="1"/>
      <c r="BM1434" s="1"/>
      <c r="BN1434" s="1"/>
      <c r="BO1434" s="1"/>
      <c r="BP1434" s="1" t="s">
        <v>9609</v>
      </c>
      <c r="BQ1434" s="3"/>
      <c r="BR1434" s="3"/>
    </row>
    <row r="1435" spans="1:70">
      <c r="A1435" s="1" t="s">
        <v>70</v>
      </c>
      <c r="B1435" s="1" t="s">
        <v>13846</v>
      </c>
      <c r="C1435" s="1" t="s">
        <v>16550</v>
      </c>
      <c r="D1435" s="1"/>
      <c r="E1435" s="1"/>
      <c r="F1435" s="1"/>
      <c r="G1435" s="1"/>
      <c r="H1435" s="1" t="s">
        <v>16551</v>
      </c>
      <c r="I1435" s="1" t="s">
        <v>16551</v>
      </c>
      <c r="J1435" s="1"/>
      <c r="K1435" s="1"/>
      <c r="L1435" s="1"/>
      <c r="M1435" s="1"/>
      <c r="N1435" s="1"/>
      <c r="O1435" s="1"/>
      <c r="P1435" s="1"/>
      <c r="Q1435" s="1"/>
      <c r="R1435" s="1"/>
      <c r="S1435" s="1"/>
      <c r="T1435" s="1"/>
      <c r="U1435" s="1"/>
      <c r="V1435" s="1"/>
      <c r="W1435" s="1"/>
      <c r="X1435" s="1"/>
      <c r="Y1435" s="1"/>
      <c r="Z1435" s="1"/>
      <c r="AA1435" s="1"/>
      <c r="AB1435" s="1"/>
      <c r="AC1435" s="1"/>
      <c r="AD1435" s="1" t="s">
        <v>93</v>
      </c>
      <c r="AE1435" s="1" t="s">
        <v>93</v>
      </c>
      <c r="AF1435" s="1"/>
      <c r="AG1435" s="1"/>
      <c r="AH1435" s="1"/>
      <c r="AI1435" s="1"/>
      <c r="AJ1435" s="1"/>
      <c r="AK1435" s="1"/>
      <c r="AL1435" s="1"/>
      <c r="AM1435" s="1"/>
      <c r="AN1435" s="1"/>
      <c r="AO1435" s="1"/>
      <c r="AP1435" s="1"/>
      <c r="AQ1435" s="1"/>
      <c r="AR1435" s="1"/>
      <c r="AS1435" s="1"/>
      <c r="AT1435" s="1"/>
      <c r="AU1435" s="1"/>
      <c r="AV1435" s="1"/>
      <c r="AW1435" s="1"/>
      <c r="AX1435" s="1"/>
      <c r="AY1435" s="1"/>
      <c r="AZ1435" s="1"/>
      <c r="BA1435" s="1"/>
      <c r="BB1435" s="1"/>
      <c r="BC1435" s="1"/>
      <c r="BD1435" s="1"/>
      <c r="BE1435" s="1"/>
      <c r="BF1435" s="1"/>
      <c r="BG1435" s="1"/>
      <c r="BH1435" s="1"/>
      <c r="BI1435" s="1"/>
      <c r="BJ1435" s="1"/>
      <c r="BK1435" s="1"/>
      <c r="BL1435" s="1"/>
      <c r="BM1435" s="1"/>
      <c r="BN1435" s="1"/>
      <c r="BO1435" s="1"/>
      <c r="BP1435" s="1" t="s">
        <v>9609</v>
      </c>
      <c r="BQ1435" s="3"/>
      <c r="BR1435" s="3"/>
    </row>
    <row r="1436" spans="1:70">
      <c r="A1436" s="1" t="s">
        <v>70</v>
      </c>
      <c r="B1436" s="1" t="s">
        <v>13846</v>
      </c>
      <c r="C1436" s="1" t="s">
        <v>16552</v>
      </c>
      <c r="D1436" s="1"/>
      <c r="E1436" s="1"/>
      <c r="F1436" s="1"/>
      <c r="G1436" s="1"/>
      <c r="H1436" s="1" t="s">
        <v>16553</v>
      </c>
      <c r="I1436" s="1" t="s">
        <v>16553</v>
      </c>
      <c r="J1436" s="1"/>
      <c r="K1436" s="1"/>
      <c r="L1436" s="1"/>
      <c r="M1436" s="1"/>
      <c r="N1436" s="1"/>
      <c r="O1436" s="1"/>
      <c r="P1436" s="1"/>
      <c r="Q1436" s="1"/>
      <c r="R1436" s="1"/>
      <c r="S1436" s="1"/>
      <c r="T1436" s="1"/>
      <c r="U1436" s="1"/>
      <c r="V1436" s="1"/>
      <c r="W1436" s="1"/>
      <c r="X1436" s="1"/>
      <c r="Y1436" s="1"/>
      <c r="Z1436" s="1"/>
      <c r="AA1436" s="1"/>
      <c r="AB1436" s="1"/>
      <c r="AC1436" s="1"/>
      <c r="AD1436" s="1" t="s">
        <v>93</v>
      </c>
      <c r="AE1436" s="1" t="s">
        <v>93</v>
      </c>
      <c r="AF1436" s="1"/>
      <c r="AG1436" s="1"/>
      <c r="AH1436" s="1"/>
      <c r="AI1436" s="1"/>
      <c r="AJ1436" s="1"/>
      <c r="AK1436" s="1"/>
      <c r="AL1436" s="1"/>
      <c r="AM1436" s="1"/>
      <c r="AN1436" s="1"/>
      <c r="AO1436" s="1"/>
      <c r="AP1436" s="1"/>
      <c r="AQ1436" s="1"/>
      <c r="AR1436" s="1"/>
      <c r="AS1436" s="1"/>
      <c r="AT1436" s="1"/>
      <c r="AU1436" s="1"/>
      <c r="AV1436" s="1"/>
      <c r="AW1436" s="1"/>
      <c r="AX1436" s="1"/>
      <c r="AY1436" s="1"/>
      <c r="AZ1436" s="1"/>
      <c r="BA1436" s="1"/>
      <c r="BB1436" s="1"/>
      <c r="BC1436" s="1"/>
      <c r="BD1436" s="1"/>
      <c r="BE1436" s="1"/>
      <c r="BF1436" s="1"/>
      <c r="BG1436" s="1"/>
      <c r="BH1436" s="1"/>
      <c r="BI1436" s="1"/>
      <c r="BJ1436" s="1"/>
      <c r="BK1436" s="1"/>
      <c r="BL1436" s="1"/>
      <c r="BM1436" s="1"/>
      <c r="BN1436" s="1"/>
      <c r="BO1436" s="1"/>
      <c r="BP1436" s="1" t="s">
        <v>9609</v>
      </c>
      <c r="BQ1436" s="3"/>
      <c r="BR1436" s="3"/>
    </row>
    <row r="1437" spans="1:70">
      <c r="A1437" s="1" t="s">
        <v>70</v>
      </c>
      <c r="B1437" s="1" t="s">
        <v>13846</v>
      </c>
      <c r="C1437" s="1" t="s">
        <v>16554</v>
      </c>
      <c r="D1437" s="1"/>
      <c r="E1437" s="1"/>
      <c r="F1437" s="1"/>
      <c r="G1437" s="1"/>
      <c r="H1437" s="1" t="s">
        <v>16555</v>
      </c>
      <c r="I1437" s="1" t="s">
        <v>16555</v>
      </c>
      <c r="J1437" s="1"/>
      <c r="K1437" s="1"/>
      <c r="L1437" s="1"/>
      <c r="M1437" s="1"/>
      <c r="N1437" s="1"/>
      <c r="O1437" s="1"/>
      <c r="P1437" s="1"/>
      <c r="Q1437" s="1"/>
      <c r="R1437" s="1"/>
      <c r="S1437" s="1"/>
      <c r="T1437" s="1"/>
      <c r="U1437" s="1"/>
      <c r="V1437" s="1"/>
      <c r="W1437" s="1"/>
      <c r="X1437" s="1"/>
      <c r="Y1437" s="1"/>
      <c r="Z1437" s="1"/>
      <c r="AA1437" s="1"/>
      <c r="AB1437" s="1"/>
      <c r="AC1437" s="1"/>
      <c r="AD1437" s="1" t="s">
        <v>93</v>
      </c>
      <c r="AE1437" s="1" t="s">
        <v>93</v>
      </c>
      <c r="AF1437" s="1"/>
      <c r="AG1437" s="1"/>
      <c r="AH1437" s="1"/>
      <c r="AI1437" s="1"/>
      <c r="AJ1437" s="1"/>
      <c r="AK1437" s="1"/>
      <c r="AL1437" s="1"/>
      <c r="AM1437" s="1"/>
      <c r="AN1437" s="1"/>
      <c r="AO1437" s="1"/>
      <c r="AP1437" s="1"/>
      <c r="AQ1437" s="1"/>
      <c r="AR1437" s="1"/>
      <c r="AS1437" s="1"/>
      <c r="AT1437" s="1"/>
      <c r="AU1437" s="1"/>
      <c r="AV1437" s="1"/>
      <c r="AW1437" s="1"/>
      <c r="AX1437" s="1"/>
      <c r="AY1437" s="1"/>
      <c r="AZ1437" s="1"/>
      <c r="BA1437" s="1"/>
      <c r="BB1437" s="1"/>
      <c r="BC1437" s="1"/>
      <c r="BD1437" s="1"/>
      <c r="BE1437" s="1"/>
      <c r="BF1437" s="1"/>
      <c r="BG1437" s="1"/>
      <c r="BH1437" s="1"/>
      <c r="BI1437" s="1"/>
      <c r="BJ1437" s="1"/>
      <c r="BK1437" s="1"/>
      <c r="BL1437" s="1"/>
      <c r="BM1437" s="1"/>
      <c r="BN1437" s="1"/>
      <c r="BO1437" s="1"/>
      <c r="BP1437" s="1" t="s">
        <v>9609</v>
      </c>
      <c r="BQ1437" s="3"/>
      <c r="BR1437" s="3"/>
    </row>
    <row r="1438" spans="1:70">
      <c r="A1438" s="1" t="s">
        <v>70</v>
      </c>
      <c r="B1438" s="1" t="s">
        <v>13846</v>
      </c>
      <c r="C1438" s="1" t="s">
        <v>16556</v>
      </c>
      <c r="D1438" s="1"/>
      <c r="E1438" s="1"/>
      <c r="F1438" s="1"/>
      <c r="G1438" s="1"/>
      <c r="H1438" s="1" t="s">
        <v>16557</v>
      </c>
      <c r="I1438" s="1" t="s">
        <v>16557</v>
      </c>
      <c r="J1438" s="1"/>
      <c r="K1438" s="1"/>
      <c r="L1438" s="1"/>
      <c r="M1438" s="1"/>
      <c r="N1438" s="1"/>
      <c r="O1438" s="1"/>
      <c r="P1438" s="1"/>
      <c r="Q1438" s="1"/>
      <c r="R1438" s="1"/>
      <c r="S1438" s="1"/>
      <c r="T1438" s="1"/>
      <c r="U1438" s="1"/>
      <c r="V1438" s="1"/>
      <c r="W1438" s="1"/>
      <c r="X1438" s="1"/>
      <c r="Y1438" s="1"/>
      <c r="Z1438" s="1"/>
      <c r="AA1438" s="1"/>
      <c r="AB1438" s="1"/>
      <c r="AC1438" s="1"/>
      <c r="AD1438" s="1" t="s">
        <v>93</v>
      </c>
      <c r="AE1438" s="1" t="s">
        <v>93</v>
      </c>
      <c r="AF1438" s="1"/>
      <c r="AG1438" s="1"/>
      <c r="AH1438" s="1"/>
      <c r="AI1438" s="1"/>
      <c r="AJ1438" s="1"/>
      <c r="AK1438" s="1"/>
      <c r="AL1438" s="1"/>
      <c r="AM1438" s="1"/>
      <c r="AN1438" s="1"/>
      <c r="AO1438" s="1"/>
      <c r="AP1438" s="1"/>
      <c r="AQ1438" s="1"/>
      <c r="AR1438" s="1"/>
      <c r="AS1438" s="1"/>
      <c r="AT1438" s="1"/>
      <c r="AU1438" s="1"/>
      <c r="AV1438" s="1"/>
      <c r="AW1438" s="1"/>
      <c r="AX1438" s="1"/>
      <c r="AY1438" s="1"/>
      <c r="AZ1438" s="1"/>
      <c r="BA1438" s="1"/>
      <c r="BB1438" s="1"/>
      <c r="BC1438" s="1"/>
      <c r="BD1438" s="1"/>
      <c r="BE1438" s="1"/>
      <c r="BF1438" s="1"/>
      <c r="BG1438" s="1"/>
      <c r="BH1438" s="1"/>
      <c r="BI1438" s="1"/>
      <c r="BJ1438" s="1"/>
      <c r="BK1438" s="1"/>
      <c r="BL1438" s="1"/>
      <c r="BM1438" s="1"/>
      <c r="BN1438" s="1"/>
      <c r="BO1438" s="1"/>
      <c r="BP1438" s="1" t="s">
        <v>9609</v>
      </c>
      <c r="BQ1438" s="3"/>
      <c r="BR1438" s="3"/>
    </row>
    <row r="1439" spans="1:70">
      <c r="A1439" s="1" t="s">
        <v>70</v>
      </c>
      <c r="B1439" s="1" t="s">
        <v>13846</v>
      </c>
      <c r="C1439" s="1" t="s">
        <v>16558</v>
      </c>
      <c r="D1439" s="1"/>
      <c r="E1439" s="1"/>
      <c r="F1439" s="1"/>
      <c r="G1439" s="1"/>
      <c r="H1439" s="1" t="s">
        <v>16559</v>
      </c>
      <c r="I1439" s="1" t="s">
        <v>16559</v>
      </c>
      <c r="J1439" s="1"/>
      <c r="K1439" s="1"/>
      <c r="L1439" s="1"/>
      <c r="M1439" s="1"/>
      <c r="N1439" s="1"/>
      <c r="O1439" s="1"/>
      <c r="P1439" s="1"/>
      <c r="Q1439" s="1"/>
      <c r="R1439" s="1"/>
      <c r="S1439" s="1"/>
      <c r="T1439" s="1"/>
      <c r="U1439" s="1"/>
      <c r="V1439" s="1"/>
      <c r="W1439" s="1"/>
      <c r="X1439" s="1"/>
      <c r="Y1439" s="1"/>
      <c r="Z1439" s="1"/>
      <c r="AA1439" s="1"/>
      <c r="AB1439" s="1"/>
      <c r="AC1439" s="1"/>
      <c r="AD1439" s="1" t="s">
        <v>93</v>
      </c>
      <c r="AE1439" s="1" t="s">
        <v>93</v>
      </c>
      <c r="AF1439" s="1"/>
      <c r="AG1439" s="1"/>
      <c r="AH1439" s="1"/>
      <c r="AI1439" s="1"/>
      <c r="AJ1439" s="1"/>
      <c r="AK1439" s="1"/>
      <c r="AL1439" s="1"/>
      <c r="AM1439" s="1"/>
      <c r="AN1439" s="1"/>
      <c r="AO1439" s="1"/>
      <c r="AP1439" s="1"/>
      <c r="AQ1439" s="1"/>
      <c r="AR1439" s="1"/>
      <c r="AS1439" s="1"/>
      <c r="AT1439" s="1"/>
      <c r="AU1439" s="1"/>
      <c r="AV1439" s="1"/>
      <c r="AW1439" s="1"/>
      <c r="AX1439" s="1"/>
      <c r="AY1439" s="1"/>
      <c r="AZ1439" s="1"/>
      <c r="BA1439" s="1"/>
      <c r="BB1439" s="1"/>
      <c r="BC1439" s="1"/>
      <c r="BD1439" s="1"/>
      <c r="BE1439" s="1"/>
      <c r="BF1439" s="1"/>
      <c r="BG1439" s="1"/>
      <c r="BH1439" s="1"/>
      <c r="BI1439" s="1"/>
      <c r="BJ1439" s="1"/>
      <c r="BK1439" s="1"/>
      <c r="BL1439" s="1"/>
      <c r="BM1439" s="1"/>
      <c r="BN1439" s="1"/>
      <c r="BO1439" s="1"/>
      <c r="BP1439" s="1" t="s">
        <v>9609</v>
      </c>
      <c r="BQ1439" s="3"/>
      <c r="BR1439" s="3"/>
    </row>
    <row r="1440" spans="1:70">
      <c r="A1440" s="1" t="s">
        <v>70</v>
      </c>
      <c r="B1440" s="1" t="s">
        <v>13846</v>
      </c>
      <c r="C1440" s="1" t="s">
        <v>16560</v>
      </c>
      <c r="D1440" s="1"/>
      <c r="E1440" s="1"/>
      <c r="F1440" s="1"/>
      <c r="G1440" s="1"/>
      <c r="H1440" s="1" t="s">
        <v>16561</v>
      </c>
      <c r="I1440" s="1" t="s">
        <v>16561</v>
      </c>
      <c r="J1440" s="1"/>
      <c r="K1440" s="1"/>
      <c r="L1440" s="1"/>
      <c r="M1440" s="1"/>
      <c r="N1440" s="1"/>
      <c r="O1440" s="1"/>
      <c r="P1440" s="1"/>
      <c r="Q1440" s="1"/>
      <c r="R1440" s="1"/>
      <c r="S1440" s="1"/>
      <c r="T1440" s="1"/>
      <c r="U1440" s="1"/>
      <c r="V1440" s="1"/>
      <c r="W1440" s="1"/>
      <c r="X1440" s="1"/>
      <c r="Y1440" s="1"/>
      <c r="Z1440" s="1"/>
      <c r="AA1440" s="1"/>
      <c r="AB1440" s="1"/>
      <c r="AC1440" s="1"/>
      <c r="AD1440" s="1" t="s">
        <v>93</v>
      </c>
      <c r="AE1440" s="1" t="s">
        <v>93</v>
      </c>
      <c r="AF1440" s="1"/>
      <c r="AG1440" s="1"/>
      <c r="AH1440" s="1"/>
      <c r="AI1440" s="1"/>
      <c r="AJ1440" s="1"/>
      <c r="AK1440" s="1"/>
      <c r="AL1440" s="1"/>
      <c r="AM1440" s="1"/>
      <c r="AN1440" s="1"/>
      <c r="AO1440" s="1"/>
      <c r="AP1440" s="1"/>
      <c r="AQ1440" s="1"/>
      <c r="AR1440" s="1"/>
      <c r="AS1440" s="1"/>
      <c r="AT1440" s="1"/>
      <c r="AU1440" s="1"/>
      <c r="AV1440" s="1"/>
      <c r="AW1440" s="1"/>
      <c r="AX1440" s="1"/>
      <c r="AY1440" s="1"/>
      <c r="AZ1440" s="1"/>
      <c r="BA1440" s="1"/>
      <c r="BB1440" s="1"/>
      <c r="BC1440" s="1"/>
      <c r="BD1440" s="1"/>
      <c r="BE1440" s="1"/>
      <c r="BF1440" s="1"/>
      <c r="BG1440" s="1"/>
      <c r="BH1440" s="1"/>
      <c r="BI1440" s="1"/>
      <c r="BJ1440" s="1"/>
      <c r="BK1440" s="1"/>
      <c r="BL1440" s="1"/>
      <c r="BM1440" s="1"/>
      <c r="BN1440" s="1"/>
      <c r="BO1440" s="1"/>
      <c r="BP1440" s="1" t="s">
        <v>9609</v>
      </c>
      <c r="BQ1440" s="3"/>
      <c r="BR1440" s="3"/>
    </row>
    <row r="1441" spans="1:70">
      <c r="A1441" s="1" t="s">
        <v>70</v>
      </c>
      <c r="B1441" s="1" t="s">
        <v>13846</v>
      </c>
      <c r="C1441" s="1" t="s">
        <v>16562</v>
      </c>
      <c r="D1441" s="1"/>
      <c r="E1441" s="1"/>
      <c r="F1441" s="1"/>
      <c r="G1441" s="1"/>
      <c r="H1441" s="1" t="s">
        <v>16563</v>
      </c>
      <c r="I1441" s="1" t="s">
        <v>16563</v>
      </c>
      <c r="J1441" s="1"/>
      <c r="K1441" s="1"/>
      <c r="L1441" s="1"/>
      <c r="M1441" s="1"/>
      <c r="N1441" s="1"/>
      <c r="O1441" s="1"/>
      <c r="P1441" s="1"/>
      <c r="Q1441" s="1"/>
      <c r="R1441" s="1"/>
      <c r="S1441" s="1"/>
      <c r="T1441" s="1"/>
      <c r="U1441" s="1"/>
      <c r="V1441" s="1"/>
      <c r="W1441" s="1"/>
      <c r="X1441" s="1"/>
      <c r="Y1441" s="1"/>
      <c r="Z1441" s="1"/>
      <c r="AA1441" s="1"/>
      <c r="AB1441" s="1"/>
      <c r="AC1441" s="1"/>
      <c r="AD1441" s="1" t="s">
        <v>93</v>
      </c>
      <c r="AE1441" s="1" t="s">
        <v>93</v>
      </c>
      <c r="AF1441" s="1"/>
      <c r="AG1441" s="1"/>
      <c r="AH1441" s="1"/>
      <c r="AI1441" s="1"/>
      <c r="AJ1441" s="1"/>
      <c r="AK1441" s="1"/>
      <c r="AL1441" s="1"/>
      <c r="AM1441" s="1"/>
      <c r="AN1441" s="1"/>
      <c r="AO1441" s="1"/>
      <c r="AP1441" s="1"/>
      <c r="AQ1441" s="1"/>
      <c r="AR1441" s="1"/>
      <c r="AS1441" s="1"/>
      <c r="AT1441" s="1"/>
      <c r="AU1441" s="1"/>
      <c r="AV1441" s="1"/>
      <c r="AW1441" s="1"/>
      <c r="AX1441" s="1"/>
      <c r="AY1441" s="1"/>
      <c r="AZ1441" s="1"/>
      <c r="BA1441" s="1"/>
      <c r="BB1441" s="1"/>
      <c r="BC1441" s="1"/>
      <c r="BD1441" s="1"/>
      <c r="BE1441" s="1"/>
      <c r="BF1441" s="1"/>
      <c r="BG1441" s="1"/>
      <c r="BH1441" s="1"/>
      <c r="BI1441" s="1"/>
      <c r="BJ1441" s="1"/>
      <c r="BK1441" s="1"/>
      <c r="BL1441" s="1"/>
      <c r="BM1441" s="1"/>
      <c r="BN1441" s="1"/>
      <c r="BO1441" s="1"/>
      <c r="BP1441" s="1" t="s">
        <v>9609</v>
      </c>
      <c r="BQ1441" s="3"/>
      <c r="BR1441" s="3"/>
    </row>
    <row r="1442" spans="1:70">
      <c r="A1442" s="1" t="s">
        <v>70</v>
      </c>
      <c r="B1442" s="1" t="s">
        <v>13846</v>
      </c>
      <c r="C1442" s="1" t="s">
        <v>16564</v>
      </c>
      <c r="D1442" s="1" t="s">
        <v>16565</v>
      </c>
      <c r="E1442" s="1" t="s">
        <v>16566</v>
      </c>
      <c r="F1442" s="1" t="s">
        <v>16567</v>
      </c>
      <c r="G1442" s="1" t="s">
        <v>16568</v>
      </c>
      <c r="H1442" s="1" t="s">
        <v>16569</v>
      </c>
      <c r="I1442" s="1" t="s">
        <v>16569</v>
      </c>
      <c r="J1442" s="1">
        <v>7719090012</v>
      </c>
      <c r="K1442" s="1" t="s">
        <v>148</v>
      </c>
      <c r="L1442" s="1" t="s">
        <v>1787</v>
      </c>
      <c r="M1442" s="1" t="s">
        <v>81</v>
      </c>
      <c r="N1442" s="1" t="s">
        <v>6387</v>
      </c>
      <c r="O1442" s="1" t="s">
        <v>16570</v>
      </c>
      <c r="P1442" s="1" t="s">
        <v>84</v>
      </c>
      <c r="Q1442" s="1">
        <v>310303503630</v>
      </c>
      <c r="R1442" s="1" t="s">
        <v>16571</v>
      </c>
      <c r="S1442" s="1">
        <v>7768012302</v>
      </c>
      <c r="T1442" s="1" t="s">
        <v>16572</v>
      </c>
      <c r="U1442" s="1" t="s">
        <v>16573</v>
      </c>
      <c r="V1442" s="1">
        <v>8308054586</v>
      </c>
      <c r="W1442" s="1" t="s">
        <v>15805</v>
      </c>
      <c r="X1442" s="1" t="s">
        <v>16574</v>
      </c>
      <c r="Y1442" s="1" t="s">
        <v>405</v>
      </c>
      <c r="Z1442" s="1" t="s">
        <v>92</v>
      </c>
      <c r="AA1442" s="1" t="s">
        <v>16575</v>
      </c>
      <c r="AB1442" s="1" t="s">
        <v>405</v>
      </c>
      <c r="AC1442" s="1" t="s">
        <v>92</v>
      </c>
      <c r="AD1442" s="1" t="s">
        <v>93</v>
      </c>
      <c r="AE1442" s="1" t="s">
        <v>93</v>
      </c>
      <c r="AF1442" s="1"/>
      <c r="AG1442" s="1"/>
      <c r="AH1442" s="1"/>
      <c r="AI1442" s="1"/>
      <c r="AJ1442" s="1"/>
      <c r="AK1442" s="1"/>
      <c r="AL1442" s="1"/>
      <c r="AM1442" s="1"/>
      <c r="AN1442" s="1"/>
      <c r="AO1442" s="1"/>
      <c r="AP1442" s="1"/>
      <c r="AQ1442" s="1"/>
      <c r="AR1442" s="1"/>
      <c r="AS1442" s="1"/>
      <c r="AT1442" s="1"/>
      <c r="AU1442" s="1"/>
      <c r="AV1442" s="1"/>
      <c r="AW1442" s="1"/>
      <c r="AX1442" s="1"/>
      <c r="AY1442" s="1"/>
      <c r="AZ1442" s="1"/>
      <c r="BA1442" s="1"/>
      <c r="BB1442" s="1"/>
      <c r="BC1442" s="1"/>
      <c r="BD1442" s="1"/>
      <c r="BE1442" s="1"/>
      <c r="BF1442" s="1"/>
      <c r="BG1442" s="1"/>
      <c r="BH1442" s="1"/>
      <c r="BI1442" s="1"/>
      <c r="BJ1442" s="1"/>
      <c r="BK1442" s="1"/>
      <c r="BL1442" s="1"/>
      <c r="BM1442" s="1"/>
      <c r="BN1442" s="1"/>
      <c r="BO1442" s="1"/>
      <c r="BP1442" s="1" t="str">
        <f>HYPERLINK("https://nconnect.nicmar.ac.in/storage/profile/6a7ef38d1c234.png","Download")</f>
        <v>0</v>
      </c>
      <c r="BQ1442" s="3"/>
      <c r="BR1442" s="3"/>
    </row>
    <row r="1443" spans="1:70">
      <c r="A1443" s="1" t="s">
        <v>70</v>
      </c>
      <c r="B1443" s="1" t="s">
        <v>13846</v>
      </c>
      <c r="C1443" s="1" t="s">
        <v>16576</v>
      </c>
      <c r="D1443" s="1"/>
      <c r="E1443" s="1"/>
      <c r="F1443" s="1"/>
      <c r="G1443" s="1"/>
      <c r="H1443" s="1" t="s">
        <v>16577</v>
      </c>
      <c r="I1443" s="1" t="s">
        <v>16577</v>
      </c>
      <c r="J1443" s="1"/>
      <c r="K1443" s="1"/>
      <c r="L1443" s="1"/>
      <c r="M1443" s="1"/>
      <c r="N1443" s="1"/>
      <c r="O1443" s="1"/>
      <c r="P1443" s="1"/>
      <c r="Q1443" s="1"/>
      <c r="R1443" s="1"/>
      <c r="S1443" s="1"/>
      <c r="T1443" s="1"/>
      <c r="U1443" s="1"/>
      <c r="V1443" s="1"/>
      <c r="W1443" s="1"/>
      <c r="X1443" s="1"/>
      <c r="Y1443" s="1"/>
      <c r="Z1443" s="1"/>
      <c r="AA1443" s="1"/>
      <c r="AB1443" s="1"/>
      <c r="AC1443" s="1"/>
      <c r="AD1443" s="1" t="s">
        <v>93</v>
      </c>
      <c r="AE1443" s="1" t="s">
        <v>93</v>
      </c>
      <c r="AF1443" s="1"/>
      <c r="AG1443" s="1"/>
      <c r="AH1443" s="1"/>
      <c r="AI1443" s="1"/>
      <c r="AJ1443" s="1"/>
      <c r="AK1443" s="1"/>
      <c r="AL1443" s="1"/>
      <c r="AM1443" s="1"/>
      <c r="AN1443" s="1"/>
      <c r="AO1443" s="1"/>
      <c r="AP1443" s="1"/>
      <c r="AQ1443" s="1"/>
      <c r="AR1443" s="1"/>
      <c r="AS1443" s="1"/>
      <c r="AT1443" s="1"/>
      <c r="AU1443" s="1"/>
      <c r="AV1443" s="1"/>
      <c r="AW1443" s="1"/>
      <c r="AX1443" s="1"/>
      <c r="AY1443" s="1"/>
      <c r="AZ1443" s="1"/>
      <c r="BA1443" s="1"/>
      <c r="BB1443" s="1"/>
      <c r="BC1443" s="1"/>
      <c r="BD1443" s="1"/>
      <c r="BE1443" s="1"/>
      <c r="BF1443" s="1"/>
      <c r="BG1443" s="1"/>
      <c r="BH1443" s="1"/>
      <c r="BI1443" s="1"/>
      <c r="BJ1443" s="1"/>
      <c r="BK1443" s="1"/>
      <c r="BL1443" s="1"/>
      <c r="BM1443" s="1"/>
      <c r="BN1443" s="1"/>
      <c r="BO1443" s="1"/>
      <c r="BP1443" s="1" t="s">
        <v>9609</v>
      </c>
      <c r="BQ1443" s="3"/>
      <c r="BR1443" s="3"/>
    </row>
    <row r="1444" spans="1:70">
      <c r="A1444" s="1" t="s">
        <v>70</v>
      </c>
      <c r="B1444" s="1" t="s">
        <v>13846</v>
      </c>
      <c r="C1444" s="1" t="s">
        <v>16578</v>
      </c>
      <c r="D1444" s="1"/>
      <c r="E1444" s="1"/>
      <c r="F1444" s="1"/>
      <c r="G1444" s="1"/>
      <c r="H1444" s="1" t="s">
        <v>16579</v>
      </c>
      <c r="I1444" s="1" t="s">
        <v>16579</v>
      </c>
      <c r="J1444" s="1"/>
      <c r="K1444" s="1"/>
      <c r="L1444" s="1"/>
      <c r="M1444" s="1"/>
      <c r="N1444" s="1"/>
      <c r="O1444" s="1"/>
      <c r="P1444" s="1"/>
      <c r="Q1444" s="1"/>
      <c r="R1444" s="1"/>
      <c r="S1444" s="1"/>
      <c r="T1444" s="1"/>
      <c r="U1444" s="1"/>
      <c r="V1444" s="1"/>
      <c r="W1444" s="1"/>
      <c r="X1444" s="1"/>
      <c r="Y1444" s="1"/>
      <c r="Z1444" s="1"/>
      <c r="AA1444" s="1"/>
      <c r="AB1444" s="1"/>
      <c r="AC1444" s="1"/>
      <c r="AD1444" s="1" t="s">
        <v>93</v>
      </c>
      <c r="AE1444" s="1" t="s">
        <v>93</v>
      </c>
      <c r="AF1444" s="1"/>
      <c r="AG1444" s="1"/>
      <c r="AH1444" s="1"/>
      <c r="AI1444" s="1"/>
      <c r="AJ1444" s="1"/>
      <c r="AK1444" s="1"/>
      <c r="AL1444" s="1"/>
      <c r="AM1444" s="1"/>
      <c r="AN1444" s="1"/>
      <c r="AO1444" s="1"/>
      <c r="AP1444" s="1"/>
      <c r="AQ1444" s="1"/>
      <c r="AR1444" s="1"/>
      <c r="AS1444" s="1"/>
      <c r="AT1444" s="1"/>
      <c r="AU1444" s="1"/>
      <c r="AV1444" s="1"/>
      <c r="AW1444" s="1"/>
      <c r="AX1444" s="1"/>
      <c r="AY1444" s="1"/>
      <c r="AZ1444" s="1"/>
      <c r="BA1444" s="1"/>
      <c r="BB1444" s="1"/>
      <c r="BC1444" s="1"/>
      <c r="BD1444" s="1"/>
      <c r="BE1444" s="1"/>
      <c r="BF1444" s="1"/>
      <c r="BG1444" s="1"/>
      <c r="BH1444" s="1"/>
      <c r="BI1444" s="1"/>
      <c r="BJ1444" s="1"/>
      <c r="BK1444" s="1"/>
      <c r="BL1444" s="1"/>
      <c r="BM1444" s="1"/>
      <c r="BN1444" s="1"/>
      <c r="BO1444" s="1"/>
      <c r="BP1444" s="1" t="s">
        <v>9609</v>
      </c>
      <c r="BQ1444" s="3"/>
      <c r="BR1444" s="3"/>
    </row>
    <row r="1445" spans="1:70">
      <c r="A1445" s="1" t="s">
        <v>70</v>
      </c>
      <c r="B1445" s="1" t="s">
        <v>13846</v>
      </c>
      <c r="C1445" s="1" t="s">
        <v>16580</v>
      </c>
      <c r="D1445" s="1"/>
      <c r="E1445" s="1"/>
      <c r="F1445" s="1"/>
      <c r="G1445" s="1"/>
      <c r="H1445" s="1" t="s">
        <v>16581</v>
      </c>
      <c r="I1445" s="1" t="s">
        <v>16581</v>
      </c>
      <c r="J1445" s="1"/>
      <c r="K1445" s="1"/>
      <c r="L1445" s="1"/>
      <c r="M1445" s="1"/>
      <c r="N1445" s="1"/>
      <c r="O1445" s="1"/>
      <c r="P1445" s="1"/>
      <c r="Q1445" s="1"/>
      <c r="R1445" s="1"/>
      <c r="S1445" s="1"/>
      <c r="T1445" s="1"/>
      <c r="U1445" s="1"/>
      <c r="V1445" s="1"/>
      <c r="W1445" s="1"/>
      <c r="X1445" s="1"/>
      <c r="Y1445" s="1"/>
      <c r="Z1445" s="1"/>
      <c r="AA1445" s="1"/>
      <c r="AB1445" s="1"/>
      <c r="AC1445" s="1"/>
      <c r="AD1445" s="1" t="s">
        <v>93</v>
      </c>
      <c r="AE1445" s="1" t="s">
        <v>93</v>
      </c>
      <c r="AF1445" s="1"/>
      <c r="AG1445" s="1"/>
      <c r="AH1445" s="1"/>
      <c r="AI1445" s="1"/>
      <c r="AJ1445" s="1"/>
      <c r="AK1445" s="1"/>
      <c r="AL1445" s="1"/>
      <c r="AM1445" s="1"/>
      <c r="AN1445" s="1"/>
      <c r="AO1445" s="1"/>
      <c r="AP1445" s="1"/>
      <c r="AQ1445" s="1"/>
      <c r="AR1445" s="1"/>
      <c r="AS1445" s="1"/>
      <c r="AT1445" s="1"/>
      <c r="AU1445" s="1"/>
      <c r="AV1445" s="1"/>
      <c r="AW1445" s="1"/>
      <c r="AX1445" s="1"/>
      <c r="AY1445" s="1"/>
      <c r="AZ1445" s="1"/>
      <c r="BA1445" s="1"/>
      <c r="BB1445" s="1"/>
      <c r="BC1445" s="1"/>
      <c r="BD1445" s="1"/>
      <c r="BE1445" s="1"/>
      <c r="BF1445" s="1"/>
      <c r="BG1445" s="1"/>
      <c r="BH1445" s="1"/>
      <c r="BI1445" s="1"/>
      <c r="BJ1445" s="1"/>
      <c r="BK1445" s="1"/>
      <c r="BL1445" s="1"/>
      <c r="BM1445" s="1"/>
      <c r="BN1445" s="1"/>
      <c r="BO1445" s="1"/>
      <c r="BP1445" s="1" t="s">
        <v>9609</v>
      </c>
      <c r="BQ1445" s="3"/>
      <c r="BR1445" s="3"/>
    </row>
    <row r="1446" spans="1:70">
      <c r="A1446" s="1" t="s">
        <v>70</v>
      </c>
      <c r="B1446" s="1" t="s">
        <v>13846</v>
      </c>
      <c r="C1446" s="1" t="s">
        <v>16582</v>
      </c>
      <c r="D1446" s="1"/>
      <c r="E1446" s="1"/>
      <c r="F1446" s="1"/>
      <c r="G1446" s="1"/>
      <c r="H1446" s="1" t="s">
        <v>16583</v>
      </c>
      <c r="I1446" s="1" t="s">
        <v>16583</v>
      </c>
      <c r="J1446" s="1"/>
      <c r="K1446" s="1"/>
      <c r="L1446" s="1"/>
      <c r="M1446" s="1"/>
      <c r="N1446" s="1"/>
      <c r="O1446" s="1"/>
      <c r="P1446" s="1"/>
      <c r="Q1446" s="1"/>
      <c r="R1446" s="1"/>
      <c r="S1446" s="1"/>
      <c r="T1446" s="1"/>
      <c r="U1446" s="1"/>
      <c r="V1446" s="1"/>
      <c r="W1446" s="1"/>
      <c r="X1446" s="1"/>
      <c r="Y1446" s="1"/>
      <c r="Z1446" s="1"/>
      <c r="AA1446" s="1"/>
      <c r="AB1446" s="1"/>
      <c r="AC1446" s="1"/>
      <c r="AD1446" s="1" t="s">
        <v>93</v>
      </c>
      <c r="AE1446" s="1" t="s">
        <v>93</v>
      </c>
      <c r="AF1446" s="1"/>
      <c r="AG1446" s="1"/>
      <c r="AH1446" s="1"/>
      <c r="AI1446" s="1"/>
      <c r="AJ1446" s="1"/>
      <c r="AK1446" s="1"/>
      <c r="AL1446" s="1"/>
      <c r="AM1446" s="1"/>
      <c r="AN1446" s="1"/>
      <c r="AO1446" s="1"/>
      <c r="AP1446" s="1"/>
      <c r="AQ1446" s="1"/>
      <c r="AR1446" s="1"/>
      <c r="AS1446" s="1"/>
      <c r="AT1446" s="1"/>
      <c r="AU1446" s="1"/>
      <c r="AV1446" s="1"/>
      <c r="AW1446" s="1"/>
      <c r="AX1446" s="1"/>
      <c r="AY1446" s="1"/>
      <c r="AZ1446" s="1"/>
      <c r="BA1446" s="1"/>
      <c r="BB1446" s="1"/>
      <c r="BC1446" s="1"/>
      <c r="BD1446" s="1"/>
      <c r="BE1446" s="1"/>
      <c r="BF1446" s="1"/>
      <c r="BG1446" s="1"/>
      <c r="BH1446" s="1"/>
      <c r="BI1446" s="1"/>
      <c r="BJ1446" s="1"/>
      <c r="BK1446" s="1"/>
      <c r="BL1446" s="1"/>
      <c r="BM1446" s="1"/>
      <c r="BN1446" s="1"/>
      <c r="BO1446" s="1"/>
      <c r="BP1446" s="1" t="s">
        <v>9609</v>
      </c>
      <c r="BQ1446" s="3"/>
      <c r="BR1446" s="3"/>
    </row>
    <row r="1447" spans="1:70">
      <c r="A1447" s="1" t="s">
        <v>70</v>
      </c>
      <c r="B1447" s="1" t="s">
        <v>13846</v>
      </c>
      <c r="C1447" s="1" t="s">
        <v>16584</v>
      </c>
      <c r="D1447" s="1"/>
      <c r="E1447" s="1"/>
      <c r="F1447" s="1"/>
      <c r="G1447" s="1"/>
      <c r="H1447" s="1" t="s">
        <v>16585</v>
      </c>
      <c r="I1447" s="1" t="s">
        <v>16585</v>
      </c>
      <c r="J1447" s="1"/>
      <c r="K1447" s="1"/>
      <c r="L1447" s="1"/>
      <c r="M1447" s="1"/>
      <c r="N1447" s="1"/>
      <c r="O1447" s="1"/>
      <c r="P1447" s="1"/>
      <c r="Q1447" s="1"/>
      <c r="R1447" s="1"/>
      <c r="S1447" s="1"/>
      <c r="T1447" s="1"/>
      <c r="U1447" s="1"/>
      <c r="V1447" s="1"/>
      <c r="W1447" s="1"/>
      <c r="X1447" s="1"/>
      <c r="Y1447" s="1"/>
      <c r="Z1447" s="1"/>
      <c r="AA1447" s="1"/>
      <c r="AB1447" s="1"/>
      <c r="AC1447" s="1"/>
      <c r="AD1447" s="1" t="s">
        <v>93</v>
      </c>
      <c r="AE1447" s="1" t="s">
        <v>93</v>
      </c>
      <c r="AF1447" s="1"/>
      <c r="AG1447" s="1"/>
      <c r="AH1447" s="1"/>
      <c r="AI1447" s="1"/>
      <c r="AJ1447" s="1"/>
      <c r="AK1447" s="1"/>
      <c r="AL1447" s="1"/>
      <c r="AM1447" s="1"/>
      <c r="AN1447" s="1"/>
      <c r="AO1447" s="1"/>
      <c r="AP1447" s="1"/>
      <c r="AQ1447" s="1"/>
      <c r="AR1447" s="1"/>
      <c r="AS1447" s="1"/>
      <c r="AT1447" s="1"/>
      <c r="AU1447" s="1"/>
      <c r="AV1447" s="1"/>
      <c r="AW1447" s="1"/>
      <c r="AX1447" s="1"/>
      <c r="AY1447" s="1"/>
      <c r="AZ1447" s="1"/>
      <c r="BA1447" s="1"/>
      <c r="BB1447" s="1"/>
      <c r="BC1447" s="1"/>
      <c r="BD1447" s="1"/>
      <c r="BE1447" s="1"/>
      <c r="BF1447" s="1"/>
      <c r="BG1447" s="1"/>
      <c r="BH1447" s="1"/>
      <c r="BI1447" s="1"/>
      <c r="BJ1447" s="1"/>
      <c r="BK1447" s="1"/>
      <c r="BL1447" s="1"/>
      <c r="BM1447" s="1"/>
      <c r="BN1447" s="1"/>
      <c r="BO1447" s="1"/>
      <c r="BP1447" s="1" t="s">
        <v>9609</v>
      </c>
      <c r="BQ1447" s="3"/>
      <c r="BR1447" s="3"/>
    </row>
    <row r="1448" spans="1:70">
      <c r="A1448" s="1" t="s">
        <v>70</v>
      </c>
      <c r="B1448" s="1" t="s">
        <v>13846</v>
      </c>
      <c r="C1448" s="1" t="s">
        <v>16586</v>
      </c>
      <c r="D1448" s="1"/>
      <c r="E1448" s="1"/>
      <c r="F1448" s="1"/>
      <c r="G1448" s="1"/>
      <c r="H1448" s="1" t="s">
        <v>16587</v>
      </c>
      <c r="I1448" s="1" t="s">
        <v>16587</v>
      </c>
      <c r="J1448" s="1"/>
      <c r="K1448" s="1"/>
      <c r="L1448" s="1"/>
      <c r="M1448" s="1"/>
      <c r="N1448" s="1"/>
      <c r="O1448" s="1"/>
      <c r="P1448" s="1"/>
      <c r="Q1448" s="1"/>
      <c r="R1448" s="1"/>
      <c r="S1448" s="1"/>
      <c r="T1448" s="1"/>
      <c r="U1448" s="1"/>
      <c r="V1448" s="1"/>
      <c r="W1448" s="1"/>
      <c r="X1448" s="1"/>
      <c r="Y1448" s="1"/>
      <c r="Z1448" s="1"/>
      <c r="AA1448" s="1"/>
      <c r="AB1448" s="1"/>
      <c r="AC1448" s="1"/>
      <c r="AD1448" s="1" t="s">
        <v>93</v>
      </c>
      <c r="AE1448" s="1" t="s">
        <v>93</v>
      </c>
      <c r="AF1448" s="1"/>
      <c r="AG1448" s="1"/>
      <c r="AH1448" s="1"/>
      <c r="AI1448" s="1"/>
      <c r="AJ1448" s="1"/>
      <c r="AK1448" s="1"/>
      <c r="AL1448" s="1"/>
      <c r="AM1448" s="1"/>
      <c r="AN1448" s="1"/>
      <c r="AO1448" s="1"/>
      <c r="AP1448" s="1"/>
      <c r="AQ1448" s="1"/>
      <c r="AR1448" s="1"/>
      <c r="AS1448" s="1"/>
      <c r="AT1448" s="1"/>
      <c r="AU1448" s="1"/>
      <c r="AV1448" s="1"/>
      <c r="AW1448" s="1"/>
      <c r="AX1448" s="1"/>
      <c r="AY1448" s="1"/>
      <c r="AZ1448" s="1"/>
      <c r="BA1448" s="1"/>
      <c r="BB1448" s="1"/>
      <c r="BC1448" s="1"/>
      <c r="BD1448" s="1"/>
      <c r="BE1448" s="1"/>
      <c r="BF1448" s="1"/>
      <c r="BG1448" s="1"/>
      <c r="BH1448" s="1"/>
      <c r="BI1448" s="1"/>
      <c r="BJ1448" s="1"/>
      <c r="BK1448" s="1"/>
      <c r="BL1448" s="1"/>
      <c r="BM1448" s="1"/>
      <c r="BN1448" s="1"/>
      <c r="BO1448" s="1"/>
      <c r="BP1448" s="1" t="s">
        <v>9609</v>
      </c>
      <c r="BQ1448" s="3"/>
      <c r="BR1448" s="3"/>
    </row>
    <row r="1449" spans="1:70">
      <c r="A1449" s="1" t="s">
        <v>70</v>
      </c>
      <c r="B1449" s="1" t="s">
        <v>13846</v>
      </c>
      <c r="C1449" s="1" t="s">
        <v>16588</v>
      </c>
      <c r="D1449" s="1"/>
      <c r="E1449" s="1"/>
      <c r="F1449" s="1"/>
      <c r="G1449" s="1"/>
      <c r="H1449" s="1" t="s">
        <v>16589</v>
      </c>
      <c r="I1449" s="1" t="s">
        <v>16589</v>
      </c>
      <c r="J1449" s="1"/>
      <c r="K1449" s="1"/>
      <c r="L1449" s="1"/>
      <c r="M1449" s="1"/>
      <c r="N1449" s="1"/>
      <c r="O1449" s="1"/>
      <c r="P1449" s="1"/>
      <c r="Q1449" s="1"/>
      <c r="R1449" s="1"/>
      <c r="S1449" s="1"/>
      <c r="T1449" s="1"/>
      <c r="U1449" s="1"/>
      <c r="V1449" s="1"/>
      <c r="W1449" s="1"/>
      <c r="X1449" s="1"/>
      <c r="Y1449" s="1"/>
      <c r="Z1449" s="1"/>
      <c r="AA1449" s="1"/>
      <c r="AB1449" s="1"/>
      <c r="AC1449" s="1"/>
      <c r="AD1449" s="1" t="s">
        <v>93</v>
      </c>
      <c r="AE1449" s="1" t="s">
        <v>93</v>
      </c>
      <c r="AF1449" s="1"/>
      <c r="AG1449" s="1"/>
      <c r="AH1449" s="1"/>
      <c r="AI1449" s="1"/>
      <c r="AJ1449" s="1"/>
      <c r="AK1449" s="1"/>
      <c r="AL1449" s="1"/>
      <c r="AM1449" s="1"/>
      <c r="AN1449" s="1"/>
      <c r="AO1449" s="1"/>
      <c r="AP1449" s="1"/>
      <c r="AQ1449" s="1"/>
      <c r="AR1449" s="1"/>
      <c r="AS1449" s="1"/>
      <c r="AT1449" s="1"/>
      <c r="AU1449" s="1"/>
      <c r="AV1449" s="1"/>
      <c r="AW1449" s="1"/>
      <c r="AX1449" s="1"/>
      <c r="AY1449" s="1"/>
      <c r="AZ1449" s="1"/>
      <c r="BA1449" s="1"/>
      <c r="BB1449" s="1"/>
      <c r="BC1449" s="1"/>
      <c r="BD1449" s="1"/>
      <c r="BE1449" s="1"/>
      <c r="BF1449" s="1"/>
      <c r="BG1449" s="1"/>
      <c r="BH1449" s="1"/>
      <c r="BI1449" s="1"/>
      <c r="BJ1449" s="1"/>
      <c r="BK1449" s="1"/>
      <c r="BL1449" s="1"/>
      <c r="BM1449" s="1"/>
      <c r="BN1449" s="1"/>
      <c r="BO1449" s="1"/>
      <c r="BP1449" s="1" t="s">
        <v>9609</v>
      </c>
      <c r="BQ1449" s="3"/>
      <c r="BR1449" s="3"/>
    </row>
    <row r="1450" spans="1:70">
      <c r="A1450" s="1" t="s">
        <v>70</v>
      </c>
      <c r="B1450" s="1" t="s">
        <v>13846</v>
      </c>
      <c r="C1450" s="1" t="s">
        <v>16590</v>
      </c>
      <c r="D1450" s="1"/>
      <c r="E1450" s="1"/>
      <c r="F1450" s="1"/>
      <c r="G1450" s="1"/>
      <c r="H1450" s="1" t="s">
        <v>16591</v>
      </c>
      <c r="I1450" s="1" t="s">
        <v>16591</v>
      </c>
      <c r="J1450" s="1"/>
      <c r="K1450" s="1"/>
      <c r="L1450" s="1"/>
      <c r="M1450" s="1"/>
      <c r="N1450" s="1"/>
      <c r="O1450" s="1"/>
      <c r="P1450" s="1"/>
      <c r="Q1450" s="1"/>
      <c r="R1450" s="1"/>
      <c r="S1450" s="1"/>
      <c r="T1450" s="1"/>
      <c r="U1450" s="1"/>
      <c r="V1450" s="1"/>
      <c r="W1450" s="1"/>
      <c r="X1450" s="1"/>
      <c r="Y1450" s="1"/>
      <c r="Z1450" s="1"/>
      <c r="AA1450" s="1"/>
      <c r="AB1450" s="1"/>
      <c r="AC1450" s="1"/>
      <c r="AD1450" s="1" t="s">
        <v>93</v>
      </c>
      <c r="AE1450" s="1" t="s">
        <v>93</v>
      </c>
      <c r="AF1450" s="1"/>
      <c r="AG1450" s="1"/>
      <c r="AH1450" s="1"/>
      <c r="AI1450" s="1"/>
      <c r="AJ1450" s="1"/>
      <c r="AK1450" s="1"/>
      <c r="AL1450" s="1"/>
      <c r="AM1450" s="1"/>
      <c r="AN1450" s="1"/>
      <c r="AO1450" s="1"/>
      <c r="AP1450" s="1"/>
      <c r="AQ1450" s="1"/>
      <c r="AR1450" s="1"/>
      <c r="AS1450" s="1"/>
      <c r="AT1450" s="1"/>
      <c r="AU1450" s="1"/>
      <c r="AV1450" s="1"/>
      <c r="AW1450" s="1"/>
      <c r="AX1450" s="1"/>
      <c r="AY1450" s="1"/>
      <c r="AZ1450" s="1"/>
      <c r="BA1450" s="1"/>
      <c r="BB1450" s="1"/>
      <c r="BC1450" s="1"/>
      <c r="BD1450" s="1"/>
      <c r="BE1450" s="1"/>
      <c r="BF1450" s="1"/>
      <c r="BG1450" s="1"/>
      <c r="BH1450" s="1"/>
      <c r="BI1450" s="1"/>
      <c r="BJ1450" s="1"/>
      <c r="BK1450" s="1"/>
      <c r="BL1450" s="1"/>
      <c r="BM1450" s="1"/>
      <c r="BN1450" s="1"/>
      <c r="BO1450" s="1"/>
      <c r="BP1450" s="1" t="s">
        <v>9609</v>
      </c>
      <c r="BQ1450" s="3"/>
      <c r="BR1450" s="3"/>
    </row>
    <row r="1451" spans="1:70">
      <c r="A1451" s="1" t="s">
        <v>70</v>
      </c>
      <c r="B1451" s="1" t="s">
        <v>13846</v>
      </c>
      <c r="C1451" s="1" t="s">
        <v>16592</v>
      </c>
      <c r="D1451" s="1"/>
      <c r="E1451" s="1"/>
      <c r="F1451" s="1"/>
      <c r="G1451" s="1"/>
      <c r="H1451" s="1" t="s">
        <v>16593</v>
      </c>
      <c r="I1451" s="1" t="s">
        <v>16593</v>
      </c>
      <c r="J1451" s="1"/>
      <c r="K1451" s="1"/>
      <c r="L1451" s="1"/>
      <c r="M1451" s="1"/>
      <c r="N1451" s="1"/>
      <c r="O1451" s="1"/>
      <c r="P1451" s="1"/>
      <c r="Q1451" s="1"/>
      <c r="R1451" s="1"/>
      <c r="S1451" s="1"/>
      <c r="T1451" s="1"/>
      <c r="U1451" s="1"/>
      <c r="V1451" s="1"/>
      <c r="W1451" s="1"/>
      <c r="X1451" s="1"/>
      <c r="Y1451" s="1"/>
      <c r="Z1451" s="1"/>
      <c r="AA1451" s="1"/>
      <c r="AB1451" s="1"/>
      <c r="AC1451" s="1"/>
      <c r="AD1451" s="1" t="s">
        <v>93</v>
      </c>
      <c r="AE1451" s="1" t="s">
        <v>93</v>
      </c>
      <c r="AF1451" s="1"/>
      <c r="AG1451" s="1"/>
      <c r="AH1451" s="1"/>
      <c r="AI1451" s="1"/>
      <c r="AJ1451" s="1"/>
      <c r="AK1451" s="1"/>
      <c r="AL1451" s="1"/>
      <c r="AM1451" s="1"/>
      <c r="AN1451" s="1"/>
      <c r="AO1451" s="1"/>
      <c r="AP1451" s="1"/>
      <c r="AQ1451" s="1"/>
      <c r="AR1451" s="1"/>
      <c r="AS1451" s="1"/>
      <c r="AT1451" s="1"/>
      <c r="AU1451" s="1"/>
      <c r="AV1451" s="1"/>
      <c r="AW1451" s="1"/>
      <c r="AX1451" s="1"/>
      <c r="AY1451" s="1"/>
      <c r="AZ1451" s="1"/>
      <c r="BA1451" s="1"/>
      <c r="BB1451" s="1"/>
      <c r="BC1451" s="1"/>
      <c r="BD1451" s="1"/>
      <c r="BE1451" s="1"/>
      <c r="BF1451" s="1"/>
      <c r="BG1451" s="1"/>
      <c r="BH1451" s="1"/>
      <c r="BI1451" s="1"/>
      <c r="BJ1451" s="1"/>
      <c r="BK1451" s="1"/>
      <c r="BL1451" s="1"/>
      <c r="BM1451" s="1"/>
      <c r="BN1451" s="1"/>
      <c r="BO1451" s="1"/>
      <c r="BP1451" s="1" t="s">
        <v>9609</v>
      </c>
      <c r="BQ1451" s="3"/>
      <c r="BR1451" s="3"/>
    </row>
    <row r="1452" spans="1:70">
      <c r="A1452" s="1" t="s">
        <v>70</v>
      </c>
      <c r="B1452" s="1" t="s">
        <v>13846</v>
      </c>
      <c r="C1452" s="1" t="s">
        <v>16594</v>
      </c>
      <c r="D1452" s="1"/>
      <c r="E1452" s="1"/>
      <c r="F1452" s="1"/>
      <c r="G1452" s="1"/>
      <c r="H1452" s="1" t="s">
        <v>16595</v>
      </c>
      <c r="I1452" s="1" t="s">
        <v>16595</v>
      </c>
      <c r="J1452" s="1"/>
      <c r="K1452" s="1"/>
      <c r="L1452" s="1"/>
      <c r="M1452" s="1"/>
      <c r="N1452" s="1"/>
      <c r="O1452" s="1"/>
      <c r="P1452" s="1"/>
      <c r="Q1452" s="1"/>
      <c r="R1452" s="1"/>
      <c r="S1452" s="1"/>
      <c r="T1452" s="1"/>
      <c r="U1452" s="1"/>
      <c r="V1452" s="1"/>
      <c r="W1452" s="1"/>
      <c r="X1452" s="1"/>
      <c r="Y1452" s="1"/>
      <c r="Z1452" s="1"/>
      <c r="AA1452" s="1"/>
      <c r="AB1452" s="1"/>
      <c r="AC1452" s="1"/>
      <c r="AD1452" s="1" t="s">
        <v>93</v>
      </c>
      <c r="AE1452" s="1" t="s">
        <v>93</v>
      </c>
      <c r="AF1452" s="1"/>
      <c r="AG1452" s="1"/>
      <c r="AH1452" s="1"/>
      <c r="AI1452" s="1"/>
      <c r="AJ1452" s="1"/>
      <c r="AK1452" s="1"/>
      <c r="AL1452" s="1"/>
      <c r="AM1452" s="1"/>
      <c r="AN1452" s="1"/>
      <c r="AO1452" s="1"/>
      <c r="AP1452" s="1"/>
      <c r="AQ1452" s="1"/>
      <c r="AR1452" s="1"/>
      <c r="AS1452" s="1"/>
      <c r="AT1452" s="1"/>
      <c r="AU1452" s="1"/>
      <c r="AV1452" s="1"/>
      <c r="AW1452" s="1"/>
      <c r="AX1452" s="1"/>
      <c r="AY1452" s="1"/>
      <c r="AZ1452" s="1"/>
      <c r="BA1452" s="1"/>
      <c r="BB1452" s="1"/>
      <c r="BC1452" s="1"/>
      <c r="BD1452" s="1"/>
      <c r="BE1452" s="1"/>
      <c r="BF1452" s="1"/>
      <c r="BG1452" s="1"/>
      <c r="BH1452" s="1"/>
      <c r="BI1452" s="1"/>
      <c r="BJ1452" s="1"/>
      <c r="BK1452" s="1"/>
      <c r="BL1452" s="1"/>
      <c r="BM1452" s="1"/>
      <c r="BN1452" s="1"/>
      <c r="BO1452" s="1"/>
      <c r="BP1452" s="1" t="s">
        <v>9609</v>
      </c>
      <c r="BQ1452" s="3"/>
      <c r="BR1452" s="3"/>
    </row>
    <row r="1453" spans="1:70">
      <c r="A1453" s="1" t="s">
        <v>70</v>
      </c>
      <c r="B1453" s="1" t="s">
        <v>13846</v>
      </c>
      <c r="C1453" s="1" t="s">
        <v>16596</v>
      </c>
      <c r="D1453" s="1"/>
      <c r="E1453" s="1"/>
      <c r="F1453" s="1"/>
      <c r="G1453" s="1"/>
      <c r="H1453" s="1" t="s">
        <v>16597</v>
      </c>
      <c r="I1453" s="1" t="s">
        <v>16597</v>
      </c>
      <c r="J1453" s="1"/>
      <c r="K1453" s="1"/>
      <c r="L1453" s="1"/>
      <c r="M1453" s="1"/>
      <c r="N1453" s="1"/>
      <c r="O1453" s="1"/>
      <c r="P1453" s="1"/>
      <c r="Q1453" s="1"/>
      <c r="R1453" s="1"/>
      <c r="S1453" s="1"/>
      <c r="T1453" s="1"/>
      <c r="U1453" s="1"/>
      <c r="V1453" s="1"/>
      <c r="W1453" s="1"/>
      <c r="X1453" s="1"/>
      <c r="Y1453" s="1"/>
      <c r="Z1453" s="1"/>
      <c r="AA1453" s="1"/>
      <c r="AB1453" s="1"/>
      <c r="AC1453" s="1"/>
      <c r="AD1453" s="1" t="s">
        <v>93</v>
      </c>
      <c r="AE1453" s="1" t="s">
        <v>93</v>
      </c>
      <c r="AF1453" s="1"/>
      <c r="AG1453" s="1"/>
      <c r="AH1453" s="1"/>
      <c r="AI1453" s="1"/>
      <c r="AJ1453" s="1"/>
      <c r="AK1453" s="1"/>
      <c r="AL1453" s="1"/>
      <c r="AM1453" s="1"/>
      <c r="AN1453" s="1"/>
      <c r="AO1453" s="1"/>
      <c r="AP1453" s="1"/>
      <c r="AQ1453" s="1"/>
      <c r="AR1453" s="1"/>
      <c r="AS1453" s="1"/>
      <c r="AT1453" s="1"/>
      <c r="AU1453" s="1"/>
      <c r="AV1453" s="1"/>
      <c r="AW1453" s="1"/>
      <c r="AX1453" s="1"/>
      <c r="AY1453" s="1"/>
      <c r="AZ1453" s="1"/>
      <c r="BA1453" s="1"/>
      <c r="BB1453" s="1"/>
      <c r="BC1453" s="1"/>
      <c r="BD1453" s="1"/>
      <c r="BE1453" s="1"/>
      <c r="BF1453" s="1"/>
      <c r="BG1453" s="1"/>
      <c r="BH1453" s="1"/>
      <c r="BI1453" s="1"/>
      <c r="BJ1453" s="1"/>
      <c r="BK1453" s="1"/>
      <c r="BL1453" s="1"/>
      <c r="BM1453" s="1"/>
      <c r="BN1453" s="1"/>
      <c r="BO1453" s="1"/>
      <c r="BP1453" s="1" t="s">
        <v>9609</v>
      </c>
      <c r="BQ1453" s="3"/>
      <c r="BR1453" s="3"/>
    </row>
    <row r="1454" spans="1:70">
      <c r="A1454" s="1" t="s">
        <v>70</v>
      </c>
      <c r="B1454" s="1" t="s">
        <v>13846</v>
      </c>
      <c r="C1454" s="1" t="s">
        <v>16598</v>
      </c>
      <c r="D1454" s="1"/>
      <c r="E1454" s="1"/>
      <c r="F1454" s="1"/>
      <c r="G1454" s="1"/>
      <c r="H1454" s="1" t="s">
        <v>16599</v>
      </c>
      <c r="I1454" s="1" t="s">
        <v>16599</v>
      </c>
      <c r="J1454" s="1"/>
      <c r="K1454" s="1"/>
      <c r="L1454" s="1"/>
      <c r="M1454" s="1"/>
      <c r="N1454" s="1"/>
      <c r="O1454" s="1"/>
      <c r="P1454" s="1"/>
      <c r="Q1454" s="1"/>
      <c r="R1454" s="1"/>
      <c r="S1454" s="1"/>
      <c r="T1454" s="1"/>
      <c r="U1454" s="1"/>
      <c r="V1454" s="1"/>
      <c r="W1454" s="1"/>
      <c r="X1454" s="1"/>
      <c r="Y1454" s="1"/>
      <c r="Z1454" s="1"/>
      <c r="AA1454" s="1"/>
      <c r="AB1454" s="1"/>
      <c r="AC1454" s="1"/>
      <c r="AD1454" s="1" t="s">
        <v>93</v>
      </c>
      <c r="AE1454" s="1" t="s">
        <v>93</v>
      </c>
      <c r="AF1454" s="1"/>
      <c r="AG1454" s="1"/>
      <c r="AH1454" s="1"/>
      <c r="AI1454" s="1"/>
      <c r="AJ1454" s="1"/>
      <c r="AK1454" s="1"/>
      <c r="AL1454" s="1"/>
      <c r="AM1454" s="1"/>
      <c r="AN1454" s="1"/>
      <c r="AO1454" s="1"/>
      <c r="AP1454" s="1"/>
      <c r="AQ1454" s="1"/>
      <c r="AR1454" s="1"/>
      <c r="AS1454" s="1"/>
      <c r="AT1454" s="1"/>
      <c r="AU1454" s="1"/>
      <c r="AV1454" s="1"/>
      <c r="AW1454" s="1"/>
      <c r="AX1454" s="1"/>
      <c r="AY1454" s="1"/>
      <c r="AZ1454" s="1"/>
      <c r="BA1454" s="1"/>
      <c r="BB1454" s="1"/>
      <c r="BC1454" s="1"/>
      <c r="BD1454" s="1"/>
      <c r="BE1454" s="1"/>
      <c r="BF1454" s="1"/>
      <c r="BG1454" s="1"/>
      <c r="BH1454" s="1"/>
      <c r="BI1454" s="1"/>
      <c r="BJ1454" s="1"/>
      <c r="BK1454" s="1"/>
      <c r="BL1454" s="1"/>
      <c r="BM1454" s="1"/>
      <c r="BN1454" s="1"/>
      <c r="BO1454" s="1"/>
      <c r="BP1454" s="1" t="s">
        <v>9609</v>
      </c>
      <c r="BQ1454" s="3"/>
      <c r="BR1454" s="3"/>
    </row>
    <row r="1455" spans="1:70">
      <c r="A1455" s="1" t="s">
        <v>70</v>
      </c>
      <c r="B1455" s="1" t="s">
        <v>13846</v>
      </c>
      <c r="C1455" s="1" t="s">
        <v>16600</v>
      </c>
      <c r="D1455" s="1"/>
      <c r="E1455" s="1"/>
      <c r="F1455" s="1"/>
      <c r="G1455" s="1"/>
      <c r="H1455" s="1" t="s">
        <v>16601</v>
      </c>
      <c r="I1455" s="1" t="s">
        <v>16601</v>
      </c>
      <c r="J1455" s="1"/>
      <c r="K1455" s="1"/>
      <c r="L1455" s="1"/>
      <c r="M1455" s="1"/>
      <c r="N1455" s="1"/>
      <c r="O1455" s="1"/>
      <c r="P1455" s="1"/>
      <c r="Q1455" s="1"/>
      <c r="R1455" s="1"/>
      <c r="S1455" s="1"/>
      <c r="T1455" s="1"/>
      <c r="U1455" s="1"/>
      <c r="V1455" s="1"/>
      <c r="W1455" s="1"/>
      <c r="X1455" s="1"/>
      <c r="Y1455" s="1"/>
      <c r="Z1455" s="1"/>
      <c r="AA1455" s="1"/>
      <c r="AB1455" s="1"/>
      <c r="AC1455" s="1"/>
      <c r="AD1455" s="1" t="s">
        <v>93</v>
      </c>
      <c r="AE1455" s="1" t="s">
        <v>93</v>
      </c>
      <c r="AF1455" s="1"/>
      <c r="AG1455" s="1"/>
      <c r="AH1455" s="1"/>
      <c r="AI1455" s="1"/>
      <c r="AJ1455" s="1"/>
      <c r="AK1455" s="1"/>
      <c r="AL1455" s="1"/>
      <c r="AM1455" s="1"/>
      <c r="AN1455" s="1"/>
      <c r="AO1455" s="1"/>
      <c r="AP1455" s="1"/>
      <c r="AQ1455" s="1"/>
      <c r="AR1455" s="1"/>
      <c r="AS1455" s="1"/>
      <c r="AT1455" s="1"/>
      <c r="AU1455" s="1"/>
      <c r="AV1455" s="1"/>
      <c r="AW1455" s="1"/>
      <c r="AX1455" s="1"/>
      <c r="AY1455" s="1"/>
      <c r="AZ1455" s="1"/>
      <c r="BA1455" s="1"/>
      <c r="BB1455" s="1"/>
      <c r="BC1455" s="1"/>
      <c r="BD1455" s="1"/>
      <c r="BE1455" s="1"/>
      <c r="BF1455" s="1"/>
      <c r="BG1455" s="1"/>
      <c r="BH1455" s="1"/>
      <c r="BI1455" s="1"/>
      <c r="BJ1455" s="1"/>
      <c r="BK1455" s="1"/>
      <c r="BL1455" s="1"/>
      <c r="BM1455" s="1"/>
      <c r="BN1455" s="1"/>
      <c r="BO1455" s="1"/>
      <c r="BP1455" s="1" t="s">
        <v>9609</v>
      </c>
      <c r="BQ1455" s="3"/>
      <c r="BR1455" s="3"/>
    </row>
    <row r="1456" spans="1:70">
      <c r="A1456" s="1" t="s">
        <v>70</v>
      </c>
      <c r="B1456" s="1" t="s">
        <v>13846</v>
      </c>
      <c r="C1456" s="1" t="s">
        <v>16602</v>
      </c>
      <c r="D1456" s="1"/>
      <c r="E1456" s="1"/>
      <c r="F1456" s="1"/>
      <c r="G1456" s="1"/>
      <c r="H1456" s="1" t="s">
        <v>16603</v>
      </c>
      <c r="I1456" s="1" t="s">
        <v>16603</v>
      </c>
      <c r="J1456" s="1"/>
      <c r="K1456" s="1"/>
      <c r="L1456" s="1"/>
      <c r="M1456" s="1"/>
      <c r="N1456" s="1"/>
      <c r="O1456" s="1"/>
      <c r="P1456" s="1"/>
      <c r="Q1456" s="1"/>
      <c r="R1456" s="1"/>
      <c r="S1456" s="1"/>
      <c r="T1456" s="1"/>
      <c r="U1456" s="1"/>
      <c r="V1456" s="1"/>
      <c r="W1456" s="1"/>
      <c r="X1456" s="1"/>
      <c r="Y1456" s="1"/>
      <c r="Z1456" s="1"/>
      <c r="AA1456" s="1"/>
      <c r="AB1456" s="1"/>
      <c r="AC1456" s="1"/>
      <c r="AD1456" s="1" t="s">
        <v>93</v>
      </c>
      <c r="AE1456" s="1" t="s">
        <v>93</v>
      </c>
      <c r="AF1456" s="1"/>
      <c r="AG1456" s="1"/>
      <c r="AH1456" s="1"/>
      <c r="AI1456" s="1"/>
      <c r="AJ1456" s="1"/>
      <c r="AK1456" s="1"/>
      <c r="AL1456" s="1"/>
      <c r="AM1456" s="1"/>
      <c r="AN1456" s="1"/>
      <c r="AO1456" s="1"/>
      <c r="AP1456" s="1"/>
      <c r="AQ1456" s="1"/>
      <c r="AR1456" s="1"/>
      <c r="AS1456" s="1"/>
      <c r="AT1456" s="1"/>
      <c r="AU1456" s="1"/>
      <c r="AV1456" s="1"/>
      <c r="AW1456" s="1"/>
      <c r="AX1456" s="1"/>
      <c r="AY1456" s="1"/>
      <c r="AZ1456" s="1"/>
      <c r="BA1456" s="1"/>
      <c r="BB1456" s="1"/>
      <c r="BC1456" s="1"/>
      <c r="BD1456" s="1"/>
      <c r="BE1456" s="1"/>
      <c r="BF1456" s="1"/>
      <c r="BG1456" s="1"/>
      <c r="BH1456" s="1"/>
      <c r="BI1456" s="1"/>
      <c r="BJ1456" s="1"/>
      <c r="BK1456" s="1"/>
      <c r="BL1456" s="1"/>
      <c r="BM1456" s="1"/>
      <c r="BN1456" s="1"/>
      <c r="BO1456" s="1"/>
      <c r="BP1456" s="1" t="s">
        <v>9609</v>
      </c>
      <c r="BQ1456" s="3"/>
      <c r="BR1456" s="3"/>
    </row>
    <row r="1457" spans="1:70">
      <c r="A1457" s="1" t="s">
        <v>70</v>
      </c>
      <c r="B1457" s="1" t="s">
        <v>13846</v>
      </c>
      <c r="C1457" s="1" t="s">
        <v>16604</v>
      </c>
      <c r="D1457" s="1"/>
      <c r="E1457" s="1"/>
      <c r="F1457" s="1"/>
      <c r="G1457" s="1"/>
      <c r="H1457" s="1" t="s">
        <v>16605</v>
      </c>
      <c r="I1457" s="1" t="s">
        <v>16605</v>
      </c>
      <c r="J1457" s="1"/>
      <c r="K1457" s="1"/>
      <c r="L1457" s="1"/>
      <c r="M1457" s="1"/>
      <c r="N1457" s="1"/>
      <c r="O1457" s="1"/>
      <c r="P1457" s="1"/>
      <c r="Q1457" s="1"/>
      <c r="R1457" s="1"/>
      <c r="S1457" s="1"/>
      <c r="T1457" s="1"/>
      <c r="U1457" s="1"/>
      <c r="V1457" s="1"/>
      <c r="W1457" s="1"/>
      <c r="X1457" s="1"/>
      <c r="Y1457" s="1"/>
      <c r="Z1457" s="1"/>
      <c r="AA1457" s="1"/>
      <c r="AB1457" s="1"/>
      <c r="AC1457" s="1"/>
      <c r="AD1457" s="1" t="s">
        <v>93</v>
      </c>
      <c r="AE1457" s="1" t="s">
        <v>93</v>
      </c>
      <c r="AF1457" s="1"/>
      <c r="AG1457" s="1"/>
      <c r="AH1457" s="1"/>
      <c r="AI1457" s="1"/>
      <c r="AJ1457" s="1"/>
      <c r="AK1457" s="1"/>
      <c r="AL1457" s="1"/>
      <c r="AM1457" s="1"/>
      <c r="AN1457" s="1"/>
      <c r="AO1457" s="1"/>
      <c r="AP1457" s="1"/>
      <c r="AQ1457" s="1"/>
      <c r="AR1457" s="1"/>
      <c r="AS1457" s="1"/>
      <c r="AT1457" s="1"/>
      <c r="AU1457" s="1"/>
      <c r="AV1457" s="1"/>
      <c r="AW1457" s="1"/>
      <c r="AX1457" s="1"/>
      <c r="AY1457" s="1"/>
      <c r="AZ1457" s="1"/>
      <c r="BA1457" s="1"/>
      <c r="BB1457" s="1"/>
      <c r="BC1457" s="1"/>
      <c r="BD1457" s="1"/>
      <c r="BE1457" s="1"/>
      <c r="BF1457" s="1"/>
      <c r="BG1457" s="1"/>
      <c r="BH1457" s="1"/>
      <c r="BI1457" s="1"/>
      <c r="BJ1457" s="1"/>
      <c r="BK1457" s="1"/>
      <c r="BL1457" s="1"/>
      <c r="BM1457" s="1"/>
      <c r="BN1457" s="1"/>
      <c r="BO1457" s="1"/>
      <c r="BP1457" s="1" t="s">
        <v>9609</v>
      </c>
      <c r="BQ1457" s="3"/>
      <c r="BR1457" s="3"/>
    </row>
    <row r="1458" spans="1:70">
      <c r="A1458" s="1" t="s">
        <v>70</v>
      </c>
      <c r="B1458" s="1" t="s">
        <v>13846</v>
      </c>
      <c r="C1458" s="1" t="s">
        <v>16606</v>
      </c>
      <c r="D1458" s="1"/>
      <c r="E1458" s="1"/>
      <c r="F1458" s="1"/>
      <c r="G1458" s="1"/>
      <c r="H1458" s="1" t="s">
        <v>16607</v>
      </c>
      <c r="I1458" s="1" t="s">
        <v>16607</v>
      </c>
      <c r="J1458" s="1"/>
      <c r="K1458" s="1"/>
      <c r="L1458" s="1"/>
      <c r="M1458" s="1"/>
      <c r="N1458" s="1"/>
      <c r="O1458" s="1"/>
      <c r="P1458" s="1"/>
      <c r="Q1458" s="1"/>
      <c r="R1458" s="1"/>
      <c r="S1458" s="1"/>
      <c r="T1458" s="1"/>
      <c r="U1458" s="1"/>
      <c r="V1458" s="1"/>
      <c r="W1458" s="1"/>
      <c r="X1458" s="1"/>
      <c r="Y1458" s="1"/>
      <c r="Z1458" s="1"/>
      <c r="AA1458" s="1"/>
      <c r="AB1458" s="1"/>
      <c r="AC1458" s="1"/>
      <c r="AD1458" s="1" t="s">
        <v>93</v>
      </c>
      <c r="AE1458" s="1" t="s">
        <v>93</v>
      </c>
      <c r="AF1458" s="1"/>
      <c r="AG1458" s="1"/>
      <c r="AH1458" s="1"/>
      <c r="AI1458" s="1"/>
      <c r="AJ1458" s="1"/>
      <c r="AK1458" s="1"/>
      <c r="AL1458" s="1"/>
      <c r="AM1458" s="1"/>
      <c r="AN1458" s="1"/>
      <c r="AO1458" s="1"/>
      <c r="AP1458" s="1"/>
      <c r="AQ1458" s="1"/>
      <c r="AR1458" s="1"/>
      <c r="AS1458" s="1"/>
      <c r="AT1458" s="1"/>
      <c r="AU1458" s="1"/>
      <c r="AV1458" s="1"/>
      <c r="AW1458" s="1"/>
      <c r="AX1458" s="1"/>
      <c r="AY1458" s="1"/>
      <c r="AZ1458" s="1"/>
      <c r="BA1458" s="1"/>
      <c r="BB1458" s="1"/>
      <c r="BC1458" s="1"/>
      <c r="BD1458" s="1"/>
      <c r="BE1458" s="1"/>
      <c r="BF1458" s="1"/>
      <c r="BG1458" s="1"/>
      <c r="BH1458" s="1"/>
      <c r="BI1458" s="1"/>
      <c r="BJ1458" s="1"/>
      <c r="BK1458" s="1"/>
      <c r="BL1458" s="1"/>
      <c r="BM1458" s="1"/>
      <c r="BN1458" s="1"/>
      <c r="BO1458" s="1"/>
      <c r="BP1458" s="1" t="s">
        <v>9609</v>
      </c>
      <c r="BQ1458" s="3"/>
      <c r="BR1458" s="3"/>
    </row>
    <row r="1459" spans="1:70">
      <c r="A1459" s="1" t="s">
        <v>70</v>
      </c>
      <c r="B1459" s="1" t="s">
        <v>13846</v>
      </c>
      <c r="C1459" s="1" t="s">
        <v>16608</v>
      </c>
      <c r="D1459" s="1"/>
      <c r="E1459" s="1"/>
      <c r="F1459" s="1"/>
      <c r="G1459" s="1"/>
      <c r="H1459" s="1" t="s">
        <v>16609</v>
      </c>
      <c r="I1459" s="1" t="s">
        <v>16609</v>
      </c>
      <c r="J1459" s="1"/>
      <c r="K1459" s="1"/>
      <c r="L1459" s="1"/>
      <c r="M1459" s="1"/>
      <c r="N1459" s="1"/>
      <c r="O1459" s="1"/>
      <c r="P1459" s="1"/>
      <c r="Q1459" s="1"/>
      <c r="R1459" s="1"/>
      <c r="S1459" s="1"/>
      <c r="T1459" s="1"/>
      <c r="U1459" s="1"/>
      <c r="V1459" s="1"/>
      <c r="W1459" s="1"/>
      <c r="X1459" s="1"/>
      <c r="Y1459" s="1"/>
      <c r="Z1459" s="1"/>
      <c r="AA1459" s="1"/>
      <c r="AB1459" s="1"/>
      <c r="AC1459" s="1"/>
      <c r="AD1459" s="1" t="s">
        <v>93</v>
      </c>
      <c r="AE1459" s="1" t="s">
        <v>93</v>
      </c>
      <c r="AF1459" s="1"/>
      <c r="AG1459" s="1"/>
      <c r="AH1459" s="1"/>
      <c r="AI1459" s="1"/>
      <c r="AJ1459" s="1"/>
      <c r="AK1459" s="1"/>
      <c r="AL1459" s="1"/>
      <c r="AM1459" s="1"/>
      <c r="AN1459" s="1"/>
      <c r="AO1459" s="1"/>
      <c r="AP1459" s="1"/>
      <c r="AQ1459" s="1"/>
      <c r="AR1459" s="1"/>
      <c r="AS1459" s="1"/>
      <c r="AT1459" s="1"/>
      <c r="AU1459" s="1"/>
      <c r="AV1459" s="1"/>
      <c r="AW1459" s="1"/>
      <c r="AX1459" s="1"/>
      <c r="AY1459" s="1"/>
      <c r="AZ1459" s="1"/>
      <c r="BA1459" s="1"/>
      <c r="BB1459" s="1"/>
      <c r="BC1459" s="1"/>
      <c r="BD1459" s="1"/>
      <c r="BE1459" s="1"/>
      <c r="BF1459" s="1"/>
      <c r="BG1459" s="1"/>
      <c r="BH1459" s="1"/>
      <c r="BI1459" s="1"/>
      <c r="BJ1459" s="1"/>
      <c r="BK1459" s="1"/>
      <c r="BL1459" s="1"/>
      <c r="BM1459" s="1"/>
      <c r="BN1459" s="1"/>
      <c r="BO1459" s="1"/>
      <c r="BP1459" s="1" t="s">
        <v>9609</v>
      </c>
      <c r="BQ1459" s="3"/>
      <c r="BR1459" s="3"/>
    </row>
    <row r="1460" spans="1:70">
      <c r="A1460" s="1" t="s">
        <v>70</v>
      </c>
      <c r="B1460" s="1" t="s">
        <v>13846</v>
      </c>
      <c r="C1460" s="1" t="s">
        <v>16610</v>
      </c>
      <c r="D1460" s="1"/>
      <c r="E1460" s="1"/>
      <c r="F1460" s="1"/>
      <c r="G1460" s="1"/>
      <c r="H1460" s="1" t="s">
        <v>16611</v>
      </c>
      <c r="I1460" s="1" t="s">
        <v>16611</v>
      </c>
      <c r="J1460" s="1"/>
      <c r="K1460" s="1"/>
      <c r="L1460" s="1"/>
      <c r="M1460" s="1"/>
      <c r="N1460" s="1"/>
      <c r="O1460" s="1"/>
      <c r="P1460" s="1"/>
      <c r="Q1460" s="1"/>
      <c r="R1460" s="1"/>
      <c r="S1460" s="1"/>
      <c r="T1460" s="1"/>
      <c r="U1460" s="1"/>
      <c r="V1460" s="1"/>
      <c r="W1460" s="1"/>
      <c r="X1460" s="1"/>
      <c r="Y1460" s="1"/>
      <c r="Z1460" s="1"/>
      <c r="AA1460" s="1"/>
      <c r="AB1460" s="1"/>
      <c r="AC1460" s="1"/>
      <c r="AD1460" s="1" t="s">
        <v>93</v>
      </c>
      <c r="AE1460" s="1" t="s">
        <v>93</v>
      </c>
      <c r="AF1460" s="1"/>
      <c r="AG1460" s="1"/>
      <c r="AH1460" s="1"/>
      <c r="AI1460" s="1"/>
      <c r="AJ1460" s="1"/>
      <c r="AK1460" s="1"/>
      <c r="AL1460" s="1"/>
      <c r="AM1460" s="1"/>
      <c r="AN1460" s="1"/>
      <c r="AO1460" s="1"/>
      <c r="AP1460" s="1"/>
      <c r="AQ1460" s="1"/>
      <c r="AR1460" s="1"/>
      <c r="AS1460" s="1"/>
      <c r="AT1460" s="1"/>
      <c r="AU1460" s="1"/>
      <c r="AV1460" s="1"/>
      <c r="AW1460" s="1"/>
      <c r="AX1460" s="1"/>
      <c r="AY1460" s="1"/>
      <c r="AZ1460" s="1"/>
      <c r="BA1460" s="1"/>
      <c r="BB1460" s="1"/>
      <c r="BC1460" s="1"/>
      <c r="BD1460" s="1"/>
      <c r="BE1460" s="1"/>
      <c r="BF1460" s="1"/>
      <c r="BG1460" s="1"/>
      <c r="BH1460" s="1"/>
      <c r="BI1460" s="1"/>
      <c r="BJ1460" s="1"/>
      <c r="BK1460" s="1"/>
      <c r="BL1460" s="1"/>
      <c r="BM1460" s="1"/>
      <c r="BN1460" s="1"/>
      <c r="BO1460" s="1"/>
      <c r="BP1460" s="1" t="s">
        <v>9609</v>
      </c>
      <c r="BQ1460" s="3"/>
      <c r="BR1460" s="3"/>
    </row>
    <row r="1461" spans="1:70">
      <c r="A1461" s="1" t="s">
        <v>70</v>
      </c>
      <c r="B1461" s="1" t="s">
        <v>13846</v>
      </c>
      <c r="C1461" s="1" t="s">
        <v>16612</v>
      </c>
      <c r="D1461" s="1"/>
      <c r="E1461" s="1"/>
      <c r="F1461" s="1"/>
      <c r="G1461" s="1"/>
      <c r="H1461" s="1" t="s">
        <v>16613</v>
      </c>
      <c r="I1461" s="1" t="s">
        <v>16613</v>
      </c>
      <c r="J1461" s="1"/>
      <c r="K1461" s="1"/>
      <c r="L1461" s="1"/>
      <c r="M1461" s="1"/>
      <c r="N1461" s="1"/>
      <c r="O1461" s="1"/>
      <c r="P1461" s="1"/>
      <c r="Q1461" s="1"/>
      <c r="R1461" s="1"/>
      <c r="S1461" s="1"/>
      <c r="T1461" s="1"/>
      <c r="U1461" s="1"/>
      <c r="V1461" s="1"/>
      <c r="W1461" s="1"/>
      <c r="X1461" s="1"/>
      <c r="Y1461" s="1"/>
      <c r="Z1461" s="1"/>
      <c r="AA1461" s="1"/>
      <c r="AB1461" s="1"/>
      <c r="AC1461" s="1"/>
      <c r="AD1461" s="1" t="s">
        <v>93</v>
      </c>
      <c r="AE1461" s="1" t="s">
        <v>93</v>
      </c>
      <c r="AF1461" s="1"/>
      <c r="AG1461" s="1"/>
      <c r="AH1461" s="1"/>
      <c r="AI1461" s="1"/>
      <c r="AJ1461" s="1"/>
      <c r="AK1461" s="1"/>
      <c r="AL1461" s="1"/>
      <c r="AM1461" s="1"/>
      <c r="AN1461" s="1"/>
      <c r="AO1461" s="1"/>
      <c r="AP1461" s="1"/>
      <c r="AQ1461" s="1"/>
      <c r="AR1461" s="1"/>
      <c r="AS1461" s="1"/>
      <c r="AT1461" s="1"/>
      <c r="AU1461" s="1"/>
      <c r="AV1461" s="1"/>
      <c r="AW1461" s="1"/>
      <c r="AX1461" s="1"/>
      <c r="AY1461" s="1"/>
      <c r="AZ1461" s="1"/>
      <c r="BA1461" s="1"/>
      <c r="BB1461" s="1"/>
      <c r="BC1461" s="1"/>
      <c r="BD1461" s="1"/>
      <c r="BE1461" s="1"/>
      <c r="BF1461" s="1"/>
      <c r="BG1461" s="1"/>
      <c r="BH1461" s="1"/>
      <c r="BI1461" s="1"/>
      <c r="BJ1461" s="1"/>
      <c r="BK1461" s="1"/>
      <c r="BL1461" s="1"/>
      <c r="BM1461" s="1"/>
      <c r="BN1461" s="1"/>
      <c r="BO1461" s="1"/>
      <c r="BP1461" s="1" t="s">
        <v>9609</v>
      </c>
      <c r="BQ1461" s="3"/>
      <c r="BR1461" s="3"/>
    </row>
    <row r="1462" spans="1:70">
      <c r="A1462" s="1" t="s">
        <v>70</v>
      </c>
      <c r="B1462" s="1" t="s">
        <v>13846</v>
      </c>
      <c r="C1462" s="1" t="s">
        <v>16614</v>
      </c>
      <c r="D1462" s="1"/>
      <c r="E1462" s="1"/>
      <c r="F1462" s="1"/>
      <c r="G1462" s="1"/>
      <c r="H1462" s="1" t="s">
        <v>16615</v>
      </c>
      <c r="I1462" s="1" t="s">
        <v>16615</v>
      </c>
      <c r="J1462" s="1"/>
      <c r="K1462" s="1"/>
      <c r="L1462" s="1"/>
      <c r="M1462" s="1"/>
      <c r="N1462" s="1"/>
      <c r="O1462" s="1"/>
      <c r="P1462" s="1"/>
      <c r="Q1462" s="1"/>
      <c r="R1462" s="1"/>
      <c r="S1462" s="1"/>
      <c r="T1462" s="1"/>
      <c r="U1462" s="1"/>
      <c r="V1462" s="1"/>
      <c r="W1462" s="1"/>
      <c r="X1462" s="1"/>
      <c r="Y1462" s="1"/>
      <c r="Z1462" s="1"/>
      <c r="AA1462" s="1"/>
      <c r="AB1462" s="1"/>
      <c r="AC1462" s="1"/>
      <c r="AD1462" s="1" t="s">
        <v>93</v>
      </c>
      <c r="AE1462" s="1" t="s">
        <v>93</v>
      </c>
      <c r="AF1462" s="1"/>
      <c r="AG1462" s="1"/>
      <c r="AH1462" s="1"/>
      <c r="AI1462" s="1"/>
      <c r="AJ1462" s="1"/>
      <c r="AK1462" s="1"/>
      <c r="AL1462" s="1"/>
      <c r="AM1462" s="1"/>
      <c r="AN1462" s="1"/>
      <c r="AO1462" s="1"/>
      <c r="AP1462" s="1"/>
      <c r="AQ1462" s="1"/>
      <c r="AR1462" s="1"/>
      <c r="AS1462" s="1"/>
      <c r="AT1462" s="1"/>
      <c r="AU1462" s="1"/>
      <c r="AV1462" s="1"/>
      <c r="AW1462" s="1"/>
      <c r="AX1462" s="1"/>
      <c r="AY1462" s="1"/>
      <c r="AZ1462" s="1"/>
      <c r="BA1462" s="1"/>
      <c r="BB1462" s="1"/>
      <c r="BC1462" s="1"/>
      <c r="BD1462" s="1"/>
      <c r="BE1462" s="1"/>
      <c r="BF1462" s="1"/>
      <c r="BG1462" s="1"/>
      <c r="BH1462" s="1"/>
      <c r="BI1462" s="1"/>
      <c r="BJ1462" s="1"/>
      <c r="BK1462" s="1"/>
      <c r="BL1462" s="1"/>
      <c r="BM1462" s="1"/>
      <c r="BN1462" s="1"/>
      <c r="BO1462" s="1"/>
      <c r="BP1462" s="1" t="s">
        <v>9609</v>
      </c>
      <c r="BQ1462" s="3"/>
      <c r="BR1462" s="3"/>
    </row>
    <row r="1463" spans="1:70">
      <c r="A1463" s="1" t="s">
        <v>70</v>
      </c>
      <c r="B1463" s="1" t="s">
        <v>13846</v>
      </c>
      <c r="C1463" s="1" t="s">
        <v>16616</v>
      </c>
      <c r="D1463" s="1"/>
      <c r="E1463" s="1"/>
      <c r="F1463" s="1"/>
      <c r="G1463" s="1"/>
      <c r="H1463" s="1" t="s">
        <v>16617</v>
      </c>
      <c r="I1463" s="1" t="s">
        <v>16617</v>
      </c>
      <c r="J1463" s="1"/>
      <c r="K1463" s="1"/>
      <c r="L1463" s="1"/>
      <c r="M1463" s="1"/>
      <c r="N1463" s="1"/>
      <c r="O1463" s="1"/>
      <c r="P1463" s="1"/>
      <c r="Q1463" s="1"/>
      <c r="R1463" s="1"/>
      <c r="S1463" s="1"/>
      <c r="T1463" s="1"/>
      <c r="U1463" s="1"/>
      <c r="V1463" s="1"/>
      <c r="W1463" s="1"/>
      <c r="X1463" s="1"/>
      <c r="Y1463" s="1"/>
      <c r="Z1463" s="1"/>
      <c r="AA1463" s="1"/>
      <c r="AB1463" s="1"/>
      <c r="AC1463" s="1"/>
      <c r="AD1463" s="1" t="s">
        <v>93</v>
      </c>
      <c r="AE1463" s="1" t="s">
        <v>93</v>
      </c>
      <c r="AF1463" s="1"/>
      <c r="AG1463" s="1"/>
      <c r="AH1463" s="1"/>
      <c r="AI1463" s="1"/>
      <c r="AJ1463" s="1"/>
      <c r="AK1463" s="1"/>
      <c r="AL1463" s="1"/>
      <c r="AM1463" s="1"/>
      <c r="AN1463" s="1"/>
      <c r="AO1463" s="1"/>
      <c r="AP1463" s="1"/>
      <c r="AQ1463" s="1"/>
      <c r="AR1463" s="1"/>
      <c r="AS1463" s="1"/>
      <c r="AT1463" s="1"/>
      <c r="AU1463" s="1"/>
      <c r="AV1463" s="1"/>
      <c r="AW1463" s="1"/>
      <c r="AX1463" s="1"/>
      <c r="AY1463" s="1"/>
      <c r="AZ1463" s="1"/>
      <c r="BA1463" s="1"/>
      <c r="BB1463" s="1"/>
      <c r="BC1463" s="1"/>
      <c r="BD1463" s="1"/>
      <c r="BE1463" s="1"/>
      <c r="BF1463" s="1"/>
      <c r="BG1463" s="1"/>
      <c r="BH1463" s="1"/>
      <c r="BI1463" s="1"/>
      <c r="BJ1463" s="1"/>
      <c r="BK1463" s="1"/>
      <c r="BL1463" s="1"/>
      <c r="BM1463" s="1"/>
      <c r="BN1463" s="1"/>
      <c r="BO1463" s="1"/>
      <c r="BP1463" s="1" t="s">
        <v>9609</v>
      </c>
      <c r="BQ1463" s="3"/>
      <c r="BR1463" s="3"/>
    </row>
    <row r="1464" spans="1:70">
      <c r="A1464" s="1" t="s">
        <v>70</v>
      </c>
      <c r="B1464" s="1" t="s">
        <v>13846</v>
      </c>
      <c r="C1464" s="1" t="s">
        <v>16618</v>
      </c>
      <c r="D1464" s="1"/>
      <c r="E1464" s="1"/>
      <c r="F1464" s="1"/>
      <c r="G1464" s="1"/>
      <c r="H1464" s="1" t="s">
        <v>16619</v>
      </c>
      <c r="I1464" s="1" t="s">
        <v>16619</v>
      </c>
      <c r="J1464" s="1"/>
      <c r="K1464" s="1"/>
      <c r="L1464" s="1"/>
      <c r="M1464" s="1"/>
      <c r="N1464" s="1"/>
      <c r="O1464" s="1"/>
      <c r="P1464" s="1"/>
      <c r="Q1464" s="1"/>
      <c r="R1464" s="1"/>
      <c r="S1464" s="1"/>
      <c r="T1464" s="1"/>
      <c r="U1464" s="1"/>
      <c r="V1464" s="1"/>
      <c r="W1464" s="1"/>
      <c r="X1464" s="1"/>
      <c r="Y1464" s="1"/>
      <c r="Z1464" s="1"/>
      <c r="AA1464" s="1"/>
      <c r="AB1464" s="1"/>
      <c r="AC1464" s="1"/>
      <c r="AD1464" s="1" t="s">
        <v>93</v>
      </c>
      <c r="AE1464" s="1" t="s">
        <v>93</v>
      </c>
      <c r="AF1464" s="1"/>
      <c r="AG1464" s="1"/>
      <c r="AH1464" s="1"/>
      <c r="AI1464" s="1"/>
      <c r="AJ1464" s="1"/>
      <c r="AK1464" s="1"/>
      <c r="AL1464" s="1"/>
      <c r="AM1464" s="1"/>
      <c r="AN1464" s="1"/>
      <c r="AO1464" s="1"/>
      <c r="AP1464" s="1"/>
      <c r="AQ1464" s="1"/>
      <c r="AR1464" s="1"/>
      <c r="AS1464" s="1"/>
      <c r="AT1464" s="1"/>
      <c r="AU1464" s="1"/>
      <c r="AV1464" s="1"/>
      <c r="AW1464" s="1"/>
      <c r="AX1464" s="1"/>
      <c r="AY1464" s="1"/>
      <c r="AZ1464" s="1"/>
      <c r="BA1464" s="1"/>
      <c r="BB1464" s="1"/>
      <c r="BC1464" s="1"/>
      <c r="BD1464" s="1"/>
      <c r="BE1464" s="1"/>
      <c r="BF1464" s="1"/>
      <c r="BG1464" s="1"/>
      <c r="BH1464" s="1"/>
      <c r="BI1464" s="1"/>
      <c r="BJ1464" s="1"/>
      <c r="BK1464" s="1"/>
      <c r="BL1464" s="1"/>
      <c r="BM1464" s="1"/>
      <c r="BN1464" s="1"/>
      <c r="BO1464" s="1"/>
      <c r="BP1464" s="1" t="s">
        <v>9609</v>
      </c>
      <c r="BQ1464" s="3"/>
      <c r="BR1464" s="3"/>
    </row>
    <row r="1465" spans="1:70">
      <c r="A1465" s="1" t="s">
        <v>70</v>
      </c>
      <c r="B1465" s="1" t="s">
        <v>13846</v>
      </c>
      <c r="C1465" s="1" t="s">
        <v>16620</v>
      </c>
      <c r="D1465" s="1"/>
      <c r="E1465" s="1"/>
      <c r="F1465" s="1"/>
      <c r="G1465" s="1"/>
      <c r="H1465" s="1" t="s">
        <v>16621</v>
      </c>
      <c r="I1465" s="1" t="s">
        <v>16621</v>
      </c>
      <c r="J1465" s="1"/>
      <c r="K1465" s="1"/>
      <c r="L1465" s="1"/>
      <c r="M1465" s="1"/>
      <c r="N1465" s="1"/>
      <c r="O1465" s="1"/>
      <c r="P1465" s="1"/>
      <c r="Q1465" s="1"/>
      <c r="R1465" s="1"/>
      <c r="S1465" s="1"/>
      <c r="T1465" s="1"/>
      <c r="U1465" s="1"/>
      <c r="V1465" s="1"/>
      <c r="W1465" s="1"/>
      <c r="X1465" s="1"/>
      <c r="Y1465" s="1"/>
      <c r="Z1465" s="1"/>
      <c r="AA1465" s="1"/>
      <c r="AB1465" s="1"/>
      <c r="AC1465" s="1"/>
      <c r="AD1465" s="1" t="s">
        <v>93</v>
      </c>
      <c r="AE1465" s="1" t="s">
        <v>93</v>
      </c>
      <c r="AF1465" s="1"/>
      <c r="AG1465" s="1"/>
      <c r="AH1465" s="1"/>
      <c r="AI1465" s="1"/>
      <c r="AJ1465" s="1"/>
      <c r="AK1465" s="1"/>
      <c r="AL1465" s="1"/>
      <c r="AM1465" s="1"/>
      <c r="AN1465" s="1"/>
      <c r="AO1465" s="1"/>
      <c r="AP1465" s="1"/>
      <c r="AQ1465" s="1"/>
      <c r="AR1465" s="1"/>
      <c r="AS1465" s="1"/>
      <c r="AT1465" s="1"/>
      <c r="AU1465" s="1"/>
      <c r="AV1465" s="1"/>
      <c r="AW1465" s="1"/>
      <c r="AX1465" s="1"/>
      <c r="AY1465" s="1"/>
      <c r="AZ1465" s="1"/>
      <c r="BA1465" s="1"/>
      <c r="BB1465" s="1"/>
      <c r="BC1465" s="1"/>
      <c r="BD1465" s="1"/>
      <c r="BE1465" s="1"/>
      <c r="BF1465" s="1"/>
      <c r="BG1465" s="1"/>
      <c r="BH1465" s="1"/>
      <c r="BI1465" s="1"/>
      <c r="BJ1465" s="1"/>
      <c r="BK1465" s="1"/>
      <c r="BL1465" s="1"/>
      <c r="BM1465" s="1"/>
      <c r="BN1465" s="1"/>
      <c r="BO1465" s="1"/>
      <c r="BP1465" s="1" t="s">
        <v>9609</v>
      </c>
      <c r="BQ1465" s="3"/>
      <c r="BR1465" s="3"/>
    </row>
    <row r="1466" spans="1:70">
      <c r="A1466" s="1" t="s">
        <v>70</v>
      </c>
      <c r="B1466" s="1" t="s">
        <v>13846</v>
      </c>
      <c r="C1466" s="1" t="s">
        <v>16622</v>
      </c>
      <c r="D1466" s="1"/>
      <c r="E1466" s="1"/>
      <c r="F1466" s="1"/>
      <c r="G1466" s="1"/>
      <c r="H1466" s="1" t="s">
        <v>16623</v>
      </c>
      <c r="I1466" s="1" t="s">
        <v>16623</v>
      </c>
      <c r="J1466" s="1"/>
      <c r="K1466" s="1"/>
      <c r="L1466" s="1"/>
      <c r="M1466" s="1"/>
      <c r="N1466" s="1"/>
      <c r="O1466" s="1"/>
      <c r="P1466" s="1"/>
      <c r="Q1466" s="1"/>
      <c r="R1466" s="1"/>
      <c r="S1466" s="1"/>
      <c r="T1466" s="1"/>
      <c r="U1466" s="1"/>
      <c r="V1466" s="1"/>
      <c r="W1466" s="1"/>
      <c r="X1466" s="1"/>
      <c r="Y1466" s="1"/>
      <c r="Z1466" s="1"/>
      <c r="AA1466" s="1"/>
      <c r="AB1466" s="1"/>
      <c r="AC1466" s="1"/>
      <c r="AD1466" s="1" t="s">
        <v>93</v>
      </c>
      <c r="AE1466" s="1" t="s">
        <v>93</v>
      </c>
      <c r="AF1466" s="1"/>
      <c r="AG1466" s="1"/>
      <c r="AH1466" s="1"/>
      <c r="AI1466" s="1"/>
      <c r="AJ1466" s="1"/>
      <c r="AK1466" s="1"/>
      <c r="AL1466" s="1"/>
      <c r="AM1466" s="1"/>
      <c r="AN1466" s="1"/>
      <c r="AO1466" s="1"/>
      <c r="AP1466" s="1"/>
      <c r="AQ1466" s="1"/>
      <c r="AR1466" s="1"/>
      <c r="AS1466" s="1"/>
      <c r="AT1466" s="1"/>
      <c r="AU1466" s="1"/>
      <c r="AV1466" s="1"/>
      <c r="AW1466" s="1"/>
      <c r="AX1466" s="1"/>
      <c r="AY1466" s="1"/>
      <c r="AZ1466" s="1"/>
      <c r="BA1466" s="1"/>
      <c r="BB1466" s="1"/>
      <c r="BC1466" s="1"/>
      <c r="BD1466" s="1"/>
      <c r="BE1466" s="1"/>
      <c r="BF1466" s="1"/>
      <c r="BG1466" s="1"/>
      <c r="BH1466" s="1"/>
      <c r="BI1466" s="1"/>
      <c r="BJ1466" s="1"/>
      <c r="BK1466" s="1"/>
      <c r="BL1466" s="1"/>
      <c r="BM1466" s="1"/>
      <c r="BN1466" s="1"/>
      <c r="BO1466" s="1"/>
      <c r="BP1466" s="1" t="s">
        <v>9609</v>
      </c>
      <c r="BQ1466" s="3"/>
      <c r="BR1466" s="3"/>
    </row>
    <row r="1467" spans="1:70">
      <c r="A1467" s="1" t="s">
        <v>70</v>
      </c>
      <c r="B1467" s="1" t="s">
        <v>13846</v>
      </c>
      <c r="C1467" s="1" t="s">
        <v>16624</v>
      </c>
      <c r="D1467" s="1"/>
      <c r="E1467" s="1"/>
      <c r="F1467" s="1"/>
      <c r="G1467" s="1"/>
      <c r="H1467" s="1" t="s">
        <v>16625</v>
      </c>
      <c r="I1467" s="1" t="s">
        <v>16625</v>
      </c>
      <c r="J1467" s="1"/>
      <c r="K1467" s="1"/>
      <c r="L1467" s="1"/>
      <c r="M1467" s="1"/>
      <c r="N1467" s="1"/>
      <c r="O1467" s="1"/>
      <c r="P1467" s="1"/>
      <c r="Q1467" s="1"/>
      <c r="R1467" s="1"/>
      <c r="S1467" s="1"/>
      <c r="T1467" s="1"/>
      <c r="U1467" s="1"/>
      <c r="V1467" s="1"/>
      <c r="W1467" s="1"/>
      <c r="X1467" s="1"/>
      <c r="Y1467" s="1"/>
      <c r="Z1467" s="1"/>
      <c r="AA1467" s="1"/>
      <c r="AB1467" s="1"/>
      <c r="AC1467" s="1"/>
      <c r="AD1467" s="1" t="s">
        <v>93</v>
      </c>
      <c r="AE1467" s="1" t="s">
        <v>93</v>
      </c>
      <c r="AF1467" s="1"/>
      <c r="AG1467" s="1"/>
      <c r="AH1467" s="1"/>
      <c r="AI1467" s="1"/>
      <c r="AJ1467" s="1"/>
      <c r="AK1467" s="1"/>
      <c r="AL1467" s="1"/>
      <c r="AM1467" s="1"/>
      <c r="AN1467" s="1"/>
      <c r="AO1467" s="1"/>
      <c r="AP1467" s="1"/>
      <c r="AQ1467" s="1"/>
      <c r="AR1467" s="1"/>
      <c r="AS1467" s="1"/>
      <c r="AT1467" s="1"/>
      <c r="AU1467" s="1"/>
      <c r="AV1467" s="1"/>
      <c r="AW1467" s="1"/>
      <c r="AX1467" s="1"/>
      <c r="AY1467" s="1"/>
      <c r="AZ1467" s="1"/>
      <c r="BA1467" s="1"/>
      <c r="BB1467" s="1"/>
      <c r="BC1467" s="1"/>
      <c r="BD1467" s="1"/>
      <c r="BE1467" s="1"/>
      <c r="BF1467" s="1"/>
      <c r="BG1467" s="1"/>
      <c r="BH1467" s="1"/>
      <c r="BI1467" s="1"/>
      <c r="BJ1467" s="1"/>
      <c r="BK1467" s="1"/>
      <c r="BL1467" s="1"/>
      <c r="BM1467" s="1"/>
      <c r="BN1467" s="1"/>
      <c r="BO1467" s="1"/>
      <c r="BP1467" s="1" t="s">
        <v>9609</v>
      </c>
      <c r="BQ1467" s="3"/>
      <c r="BR1467" s="3"/>
    </row>
    <row r="1468" spans="1:70">
      <c r="A1468" s="1" t="s">
        <v>70</v>
      </c>
      <c r="B1468" s="1" t="s">
        <v>13846</v>
      </c>
      <c r="C1468" s="1" t="s">
        <v>16626</v>
      </c>
      <c r="D1468" s="1"/>
      <c r="E1468" s="1"/>
      <c r="F1468" s="1"/>
      <c r="G1468" s="1"/>
      <c r="H1468" s="1" t="s">
        <v>16627</v>
      </c>
      <c r="I1468" s="1" t="s">
        <v>16627</v>
      </c>
      <c r="J1468" s="1"/>
      <c r="K1468" s="1"/>
      <c r="L1468" s="1"/>
      <c r="M1468" s="1"/>
      <c r="N1468" s="1"/>
      <c r="O1468" s="1"/>
      <c r="P1468" s="1"/>
      <c r="Q1468" s="1"/>
      <c r="R1468" s="1"/>
      <c r="S1468" s="1"/>
      <c r="T1468" s="1"/>
      <c r="U1468" s="1"/>
      <c r="V1468" s="1"/>
      <c r="W1468" s="1"/>
      <c r="X1468" s="1"/>
      <c r="Y1468" s="1"/>
      <c r="Z1468" s="1"/>
      <c r="AA1468" s="1"/>
      <c r="AB1468" s="1"/>
      <c r="AC1468" s="1"/>
      <c r="AD1468" s="1" t="s">
        <v>93</v>
      </c>
      <c r="AE1468" s="1" t="s">
        <v>93</v>
      </c>
      <c r="AF1468" s="1"/>
      <c r="AG1468" s="1"/>
      <c r="AH1468" s="1"/>
      <c r="AI1468" s="1"/>
      <c r="AJ1468" s="1"/>
      <c r="AK1468" s="1"/>
      <c r="AL1468" s="1"/>
      <c r="AM1468" s="1"/>
      <c r="AN1468" s="1"/>
      <c r="AO1468" s="1"/>
      <c r="AP1468" s="1"/>
      <c r="AQ1468" s="1"/>
      <c r="AR1468" s="1"/>
      <c r="AS1468" s="1"/>
      <c r="AT1468" s="1"/>
      <c r="AU1468" s="1"/>
      <c r="AV1468" s="1"/>
      <c r="AW1468" s="1"/>
      <c r="AX1468" s="1"/>
      <c r="AY1468" s="1"/>
      <c r="AZ1468" s="1"/>
      <c r="BA1468" s="1"/>
      <c r="BB1468" s="1"/>
      <c r="BC1468" s="1"/>
      <c r="BD1468" s="1"/>
      <c r="BE1468" s="1"/>
      <c r="BF1468" s="1"/>
      <c r="BG1468" s="1"/>
      <c r="BH1468" s="1"/>
      <c r="BI1468" s="1"/>
      <c r="BJ1468" s="1"/>
      <c r="BK1468" s="1"/>
      <c r="BL1468" s="1"/>
      <c r="BM1468" s="1"/>
      <c r="BN1468" s="1"/>
      <c r="BO1468" s="1"/>
      <c r="BP1468" s="1" t="s">
        <v>9609</v>
      </c>
      <c r="BQ1468" s="3"/>
      <c r="BR1468" s="3"/>
    </row>
    <row r="1469" spans="1:70">
      <c r="A1469" s="1" t="s">
        <v>70</v>
      </c>
      <c r="B1469" s="1" t="s">
        <v>13846</v>
      </c>
      <c r="C1469" s="1" t="s">
        <v>16628</v>
      </c>
      <c r="D1469" s="1"/>
      <c r="E1469" s="1"/>
      <c r="F1469" s="1"/>
      <c r="G1469" s="1"/>
      <c r="H1469" s="1" t="s">
        <v>16629</v>
      </c>
      <c r="I1469" s="1" t="s">
        <v>16629</v>
      </c>
      <c r="J1469" s="1"/>
      <c r="K1469" s="1"/>
      <c r="L1469" s="1"/>
      <c r="M1469" s="1"/>
      <c r="N1469" s="1"/>
      <c r="O1469" s="1"/>
      <c r="P1469" s="1"/>
      <c r="Q1469" s="1"/>
      <c r="R1469" s="1"/>
      <c r="S1469" s="1"/>
      <c r="T1469" s="1"/>
      <c r="U1469" s="1"/>
      <c r="V1469" s="1"/>
      <c r="W1469" s="1"/>
      <c r="X1469" s="1"/>
      <c r="Y1469" s="1"/>
      <c r="Z1469" s="1"/>
      <c r="AA1469" s="1"/>
      <c r="AB1469" s="1"/>
      <c r="AC1469" s="1"/>
      <c r="AD1469" s="1" t="s">
        <v>93</v>
      </c>
      <c r="AE1469" s="1" t="s">
        <v>93</v>
      </c>
      <c r="AF1469" s="1"/>
      <c r="AG1469" s="1"/>
      <c r="AH1469" s="1"/>
      <c r="AI1469" s="1"/>
      <c r="AJ1469" s="1"/>
      <c r="AK1469" s="1"/>
      <c r="AL1469" s="1"/>
      <c r="AM1469" s="1"/>
      <c r="AN1469" s="1"/>
      <c r="AO1469" s="1"/>
      <c r="AP1469" s="1"/>
      <c r="AQ1469" s="1"/>
      <c r="AR1469" s="1"/>
      <c r="AS1469" s="1"/>
      <c r="AT1469" s="1"/>
      <c r="AU1469" s="1"/>
      <c r="AV1469" s="1"/>
      <c r="AW1469" s="1"/>
      <c r="AX1469" s="1"/>
      <c r="AY1469" s="1"/>
      <c r="AZ1469" s="1"/>
      <c r="BA1469" s="1"/>
      <c r="BB1469" s="1"/>
      <c r="BC1469" s="1"/>
      <c r="BD1469" s="1"/>
      <c r="BE1469" s="1"/>
      <c r="BF1469" s="1"/>
      <c r="BG1469" s="1"/>
      <c r="BH1469" s="1"/>
      <c r="BI1469" s="1"/>
      <c r="BJ1469" s="1"/>
      <c r="BK1469" s="1"/>
      <c r="BL1469" s="1"/>
      <c r="BM1469" s="1"/>
      <c r="BN1469" s="1"/>
      <c r="BO1469" s="1"/>
      <c r="BP1469" s="1" t="s">
        <v>9609</v>
      </c>
      <c r="BQ1469" s="3"/>
      <c r="BR1469" s="3"/>
    </row>
    <row r="1470" spans="1:70">
      <c r="A1470" s="1" t="s">
        <v>70</v>
      </c>
      <c r="B1470" s="1" t="s">
        <v>13846</v>
      </c>
      <c r="C1470" s="1" t="s">
        <v>16630</v>
      </c>
      <c r="D1470" s="1"/>
      <c r="E1470" s="1"/>
      <c r="F1470" s="1"/>
      <c r="G1470" s="1"/>
      <c r="H1470" s="1" t="s">
        <v>16631</v>
      </c>
      <c r="I1470" s="1" t="s">
        <v>16631</v>
      </c>
      <c r="J1470" s="1"/>
      <c r="K1470" s="1"/>
      <c r="L1470" s="1"/>
      <c r="M1470" s="1"/>
      <c r="N1470" s="1"/>
      <c r="O1470" s="1"/>
      <c r="P1470" s="1"/>
      <c r="Q1470" s="1"/>
      <c r="R1470" s="1"/>
      <c r="S1470" s="1"/>
      <c r="T1470" s="1"/>
      <c r="U1470" s="1"/>
      <c r="V1470" s="1"/>
      <c r="W1470" s="1"/>
      <c r="X1470" s="1"/>
      <c r="Y1470" s="1"/>
      <c r="Z1470" s="1"/>
      <c r="AA1470" s="1"/>
      <c r="AB1470" s="1"/>
      <c r="AC1470" s="1"/>
      <c r="AD1470" s="1" t="s">
        <v>93</v>
      </c>
      <c r="AE1470" s="1" t="s">
        <v>93</v>
      </c>
      <c r="AF1470" s="1"/>
      <c r="AG1470" s="1"/>
      <c r="AH1470" s="1"/>
      <c r="AI1470" s="1"/>
      <c r="AJ1470" s="1"/>
      <c r="AK1470" s="1"/>
      <c r="AL1470" s="1"/>
      <c r="AM1470" s="1"/>
      <c r="AN1470" s="1"/>
      <c r="AO1470" s="1"/>
      <c r="AP1470" s="1"/>
      <c r="AQ1470" s="1"/>
      <c r="AR1470" s="1"/>
      <c r="AS1470" s="1"/>
      <c r="AT1470" s="1"/>
      <c r="AU1470" s="1"/>
      <c r="AV1470" s="1"/>
      <c r="AW1470" s="1"/>
      <c r="AX1470" s="1"/>
      <c r="AY1470" s="1"/>
      <c r="AZ1470" s="1"/>
      <c r="BA1470" s="1"/>
      <c r="BB1470" s="1"/>
      <c r="BC1470" s="1"/>
      <c r="BD1470" s="1"/>
      <c r="BE1470" s="1"/>
      <c r="BF1470" s="1"/>
      <c r="BG1470" s="1"/>
      <c r="BH1470" s="1"/>
      <c r="BI1470" s="1"/>
      <c r="BJ1470" s="1"/>
      <c r="BK1470" s="1"/>
      <c r="BL1470" s="1"/>
      <c r="BM1470" s="1"/>
      <c r="BN1470" s="1"/>
      <c r="BO1470" s="1"/>
      <c r="BP1470" s="1" t="s">
        <v>9609</v>
      </c>
      <c r="BQ1470" s="3"/>
      <c r="BR1470" s="3"/>
    </row>
    <row r="1471" spans="1:70">
      <c r="A1471" s="1" t="s">
        <v>70</v>
      </c>
      <c r="B1471" s="1" t="s">
        <v>13846</v>
      </c>
      <c r="C1471" s="1" t="s">
        <v>16632</v>
      </c>
      <c r="D1471" s="1"/>
      <c r="E1471" s="1"/>
      <c r="F1471" s="1"/>
      <c r="G1471" s="1"/>
      <c r="H1471" s="1" t="s">
        <v>16633</v>
      </c>
      <c r="I1471" s="1" t="s">
        <v>16633</v>
      </c>
      <c r="J1471" s="1"/>
      <c r="K1471" s="1"/>
      <c r="L1471" s="1"/>
      <c r="M1471" s="1"/>
      <c r="N1471" s="1"/>
      <c r="O1471" s="1"/>
      <c r="P1471" s="1"/>
      <c r="Q1471" s="1"/>
      <c r="R1471" s="1"/>
      <c r="S1471" s="1"/>
      <c r="T1471" s="1"/>
      <c r="U1471" s="1"/>
      <c r="V1471" s="1"/>
      <c r="W1471" s="1"/>
      <c r="X1471" s="1"/>
      <c r="Y1471" s="1"/>
      <c r="Z1471" s="1"/>
      <c r="AA1471" s="1"/>
      <c r="AB1471" s="1"/>
      <c r="AC1471" s="1"/>
      <c r="AD1471" s="1" t="s">
        <v>93</v>
      </c>
      <c r="AE1471" s="1" t="s">
        <v>93</v>
      </c>
      <c r="AF1471" s="1"/>
      <c r="AG1471" s="1"/>
      <c r="AH1471" s="1"/>
      <c r="AI1471" s="1"/>
      <c r="AJ1471" s="1"/>
      <c r="AK1471" s="1"/>
      <c r="AL1471" s="1"/>
      <c r="AM1471" s="1"/>
      <c r="AN1471" s="1"/>
      <c r="AO1471" s="1"/>
      <c r="AP1471" s="1"/>
      <c r="AQ1471" s="1"/>
      <c r="AR1471" s="1"/>
      <c r="AS1471" s="1"/>
      <c r="AT1471" s="1"/>
      <c r="AU1471" s="1"/>
      <c r="AV1471" s="1"/>
      <c r="AW1471" s="1"/>
      <c r="AX1471" s="1"/>
      <c r="AY1471" s="1"/>
      <c r="AZ1471" s="1"/>
      <c r="BA1471" s="1"/>
      <c r="BB1471" s="1"/>
      <c r="BC1471" s="1"/>
      <c r="BD1471" s="1"/>
      <c r="BE1471" s="1"/>
      <c r="BF1471" s="1"/>
      <c r="BG1471" s="1"/>
      <c r="BH1471" s="1"/>
      <c r="BI1471" s="1"/>
      <c r="BJ1471" s="1"/>
      <c r="BK1471" s="1"/>
      <c r="BL1471" s="1"/>
      <c r="BM1471" s="1"/>
      <c r="BN1471" s="1"/>
      <c r="BO1471" s="1"/>
      <c r="BP1471" s="1" t="s">
        <v>9609</v>
      </c>
      <c r="BQ1471" s="3"/>
      <c r="BR1471" s="3"/>
    </row>
    <row r="1472" spans="1:70">
      <c r="A1472" s="1" t="s">
        <v>70</v>
      </c>
      <c r="B1472" s="1" t="s">
        <v>13846</v>
      </c>
      <c r="C1472" s="1" t="s">
        <v>16634</v>
      </c>
      <c r="D1472" s="1"/>
      <c r="E1472" s="1"/>
      <c r="F1472" s="1"/>
      <c r="G1472" s="1"/>
      <c r="H1472" s="1" t="s">
        <v>16635</v>
      </c>
      <c r="I1472" s="1" t="s">
        <v>16635</v>
      </c>
      <c r="J1472" s="1"/>
      <c r="K1472" s="1"/>
      <c r="L1472" s="1"/>
      <c r="M1472" s="1"/>
      <c r="N1472" s="1"/>
      <c r="O1472" s="1"/>
      <c r="P1472" s="1"/>
      <c r="Q1472" s="1"/>
      <c r="R1472" s="1"/>
      <c r="S1472" s="1"/>
      <c r="T1472" s="1"/>
      <c r="U1472" s="1"/>
      <c r="V1472" s="1"/>
      <c r="W1472" s="1"/>
      <c r="X1472" s="1"/>
      <c r="Y1472" s="1"/>
      <c r="Z1472" s="1"/>
      <c r="AA1472" s="1"/>
      <c r="AB1472" s="1"/>
      <c r="AC1472" s="1"/>
      <c r="AD1472" s="1" t="s">
        <v>93</v>
      </c>
      <c r="AE1472" s="1" t="s">
        <v>93</v>
      </c>
      <c r="AF1472" s="1"/>
      <c r="AG1472" s="1"/>
      <c r="AH1472" s="1"/>
      <c r="AI1472" s="1"/>
      <c r="AJ1472" s="1"/>
      <c r="AK1472" s="1"/>
      <c r="AL1472" s="1"/>
      <c r="AM1472" s="1"/>
      <c r="AN1472" s="1"/>
      <c r="AO1472" s="1"/>
      <c r="AP1472" s="1"/>
      <c r="AQ1472" s="1"/>
      <c r="AR1472" s="1"/>
      <c r="AS1472" s="1"/>
      <c r="AT1472" s="1"/>
      <c r="AU1472" s="1"/>
      <c r="AV1472" s="1"/>
      <c r="AW1472" s="1"/>
      <c r="AX1472" s="1"/>
      <c r="AY1472" s="1"/>
      <c r="AZ1472" s="1"/>
      <c r="BA1472" s="1"/>
      <c r="BB1472" s="1"/>
      <c r="BC1472" s="1"/>
      <c r="BD1472" s="1"/>
      <c r="BE1472" s="1"/>
      <c r="BF1472" s="1"/>
      <c r="BG1472" s="1"/>
      <c r="BH1472" s="1"/>
      <c r="BI1472" s="1"/>
      <c r="BJ1472" s="1"/>
      <c r="BK1472" s="1"/>
      <c r="BL1472" s="1"/>
      <c r="BM1472" s="1"/>
      <c r="BN1472" s="1"/>
      <c r="BO1472" s="1"/>
      <c r="BP1472" s="1" t="s">
        <v>9609</v>
      </c>
      <c r="BQ1472" s="3"/>
      <c r="BR1472" s="3"/>
    </row>
    <row r="1473" spans="1:70">
      <c r="A1473" s="1" t="s">
        <v>70</v>
      </c>
      <c r="B1473" s="1" t="s">
        <v>13846</v>
      </c>
      <c r="C1473" s="1" t="s">
        <v>16636</v>
      </c>
      <c r="D1473" s="1"/>
      <c r="E1473" s="1"/>
      <c r="F1473" s="1"/>
      <c r="G1473" s="1"/>
      <c r="H1473" s="1" t="s">
        <v>16637</v>
      </c>
      <c r="I1473" s="1" t="s">
        <v>16637</v>
      </c>
      <c r="J1473" s="1"/>
      <c r="K1473" s="1"/>
      <c r="L1473" s="1"/>
      <c r="M1473" s="1"/>
      <c r="N1473" s="1"/>
      <c r="O1473" s="1"/>
      <c r="P1473" s="1"/>
      <c r="Q1473" s="1"/>
      <c r="R1473" s="1"/>
      <c r="S1473" s="1"/>
      <c r="T1473" s="1"/>
      <c r="U1473" s="1"/>
      <c r="V1473" s="1"/>
      <c r="W1473" s="1"/>
      <c r="X1473" s="1"/>
      <c r="Y1473" s="1"/>
      <c r="Z1473" s="1"/>
      <c r="AA1473" s="1"/>
      <c r="AB1473" s="1"/>
      <c r="AC1473" s="1"/>
      <c r="AD1473" s="1" t="s">
        <v>93</v>
      </c>
      <c r="AE1473" s="1" t="s">
        <v>93</v>
      </c>
      <c r="AF1473" s="1"/>
      <c r="AG1473" s="1"/>
      <c r="AH1473" s="1"/>
      <c r="AI1473" s="1"/>
      <c r="AJ1473" s="1"/>
      <c r="AK1473" s="1"/>
      <c r="AL1473" s="1"/>
      <c r="AM1473" s="1"/>
      <c r="AN1473" s="1"/>
      <c r="AO1473" s="1"/>
      <c r="AP1473" s="1"/>
      <c r="AQ1473" s="1"/>
      <c r="AR1473" s="1"/>
      <c r="AS1473" s="1"/>
      <c r="AT1473" s="1"/>
      <c r="AU1473" s="1"/>
      <c r="AV1473" s="1"/>
      <c r="AW1473" s="1"/>
      <c r="AX1473" s="1"/>
      <c r="AY1473" s="1"/>
      <c r="AZ1473" s="1"/>
      <c r="BA1473" s="1"/>
      <c r="BB1473" s="1"/>
      <c r="BC1473" s="1"/>
      <c r="BD1473" s="1"/>
      <c r="BE1473" s="1"/>
      <c r="BF1473" s="1"/>
      <c r="BG1473" s="1"/>
      <c r="BH1473" s="1"/>
      <c r="BI1473" s="1"/>
      <c r="BJ1473" s="1"/>
      <c r="BK1473" s="1"/>
      <c r="BL1473" s="1"/>
      <c r="BM1473" s="1"/>
      <c r="BN1473" s="1"/>
      <c r="BO1473" s="1"/>
      <c r="BP1473" s="1" t="s">
        <v>9609</v>
      </c>
      <c r="BQ1473" s="3"/>
      <c r="BR1473" s="3"/>
    </row>
    <row r="1474" spans="1:70">
      <c r="A1474" s="1" t="s">
        <v>70</v>
      </c>
      <c r="B1474" s="1" t="s">
        <v>13846</v>
      </c>
      <c r="C1474" s="1" t="s">
        <v>16638</v>
      </c>
      <c r="D1474" s="1"/>
      <c r="E1474" s="1"/>
      <c r="F1474" s="1"/>
      <c r="G1474" s="1"/>
      <c r="H1474" s="1" t="s">
        <v>16639</v>
      </c>
      <c r="I1474" s="1" t="s">
        <v>16639</v>
      </c>
      <c r="J1474" s="1"/>
      <c r="K1474" s="1"/>
      <c r="L1474" s="1"/>
      <c r="M1474" s="1"/>
      <c r="N1474" s="1"/>
      <c r="O1474" s="1"/>
      <c r="P1474" s="1"/>
      <c r="Q1474" s="1"/>
      <c r="R1474" s="1"/>
      <c r="S1474" s="1"/>
      <c r="T1474" s="1"/>
      <c r="U1474" s="1"/>
      <c r="V1474" s="1"/>
      <c r="W1474" s="1"/>
      <c r="X1474" s="1"/>
      <c r="Y1474" s="1"/>
      <c r="Z1474" s="1"/>
      <c r="AA1474" s="1"/>
      <c r="AB1474" s="1"/>
      <c r="AC1474" s="1"/>
      <c r="AD1474" s="1" t="s">
        <v>93</v>
      </c>
      <c r="AE1474" s="1" t="s">
        <v>93</v>
      </c>
      <c r="AF1474" s="1"/>
      <c r="AG1474" s="1"/>
      <c r="AH1474" s="1"/>
      <c r="AI1474" s="1"/>
      <c r="AJ1474" s="1"/>
      <c r="AK1474" s="1"/>
      <c r="AL1474" s="1"/>
      <c r="AM1474" s="1"/>
      <c r="AN1474" s="1"/>
      <c r="AO1474" s="1"/>
      <c r="AP1474" s="1"/>
      <c r="AQ1474" s="1"/>
      <c r="AR1474" s="1"/>
      <c r="AS1474" s="1"/>
      <c r="AT1474" s="1"/>
      <c r="AU1474" s="1"/>
      <c r="AV1474" s="1"/>
      <c r="AW1474" s="1"/>
      <c r="AX1474" s="1"/>
      <c r="AY1474" s="1"/>
      <c r="AZ1474" s="1"/>
      <c r="BA1474" s="1"/>
      <c r="BB1474" s="1"/>
      <c r="BC1474" s="1"/>
      <c r="BD1474" s="1"/>
      <c r="BE1474" s="1"/>
      <c r="BF1474" s="1"/>
      <c r="BG1474" s="1"/>
      <c r="BH1474" s="1"/>
      <c r="BI1474" s="1"/>
      <c r="BJ1474" s="1"/>
      <c r="BK1474" s="1"/>
      <c r="BL1474" s="1"/>
      <c r="BM1474" s="1"/>
      <c r="BN1474" s="1"/>
      <c r="BO1474" s="1"/>
      <c r="BP1474" s="1" t="s">
        <v>9609</v>
      </c>
      <c r="BQ1474" s="3"/>
      <c r="BR1474" s="3"/>
    </row>
    <row r="1475" spans="1:70">
      <c r="A1475" s="1" t="s">
        <v>70</v>
      </c>
      <c r="B1475" s="1" t="s">
        <v>13846</v>
      </c>
      <c r="C1475" s="1" t="s">
        <v>16640</v>
      </c>
      <c r="D1475" s="1"/>
      <c r="E1475" s="1"/>
      <c r="F1475" s="1"/>
      <c r="G1475" s="1"/>
      <c r="H1475" s="1" t="s">
        <v>16641</v>
      </c>
      <c r="I1475" s="1" t="s">
        <v>16641</v>
      </c>
      <c r="J1475" s="1"/>
      <c r="K1475" s="1"/>
      <c r="L1475" s="1"/>
      <c r="M1475" s="1"/>
      <c r="N1475" s="1"/>
      <c r="O1475" s="1"/>
      <c r="P1475" s="1"/>
      <c r="Q1475" s="1"/>
      <c r="R1475" s="1"/>
      <c r="S1475" s="1"/>
      <c r="T1475" s="1"/>
      <c r="U1475" s="1"/>
      <c r="V1475" s="1"/>
      <c r="W1475" s="1"/>
      <c r="X1475" s="1"/>
      <c r="Y1475" s="1"/>
      <c r="Z1475" s="1"/>
      <c r="AA1475" s="1"/>
      <c r="AB1475" s="1"/>
      <c r="AC1475" s="1"/>
      <c r="AD1475" s="1" t="s">
        <v>93</v>
      </c>
      <c r="AE1475" s="1" t="s">
        <v>93</v>
      </c>
      <c r="AF1475" s="1"/>
      <c r="AG1475" s="1"/>
      <c r="AH1475" s="1"/>
      <c r="AI1475" s="1"/>
      <c r="AJ1475" s="1"/>
      <c r="AK1475" s="1"/>
      <c r="AL1475" s="1"/>
      <c r="AM1475" s="1"/>
      <c r="AN1475" s="1"/>
      <c r="AO1475" s="1"/>
      <c r="AP1475" s="1"/>
      <c r="AQ1475" s="1"/>
      <c r="AR1475" s="1"/>
      <c r="AS1475" s="1"/>
      <c r="AT1475" s="1"/>
      <c r="AU1475" s="1"/>
      <c r="AV1475" s="1"/>
      <c r="AW1475" s="1"/>
      <c r="AX1475" s="1"/>
      <c r="AY1475" s="1"/>
      <c r="AZ1475" s="1"/>
      <c r="BA1475" s="1"/>
      <c r="BB1475" s="1"/>
      <c r="BC1475" s="1"/>
      <c r="BD1475" s="1"/>
      <c r="BE1475" s="1"/>
      <c r="BF1475" s="1"/>
      <c r="BG1475" s="1"/>
      <c r="BH1475" s="1"/>
      <c r="BI1475" s="1"/>
      <c r="BJ1475" s="1"/>
      <c r="BK1475" s="1"/>
      <c r="BL1475" s="1"/>
      <c r="BM1475" s="1"/>
      <c r="BN1475" s="1"/>
      <c r="BO1475" s="1"/>
      <c r="BP1475" s="1" t="s">
        <v>9609</v>
      </c>
      <c r="BQ1475" s="3"/>
      <c r="BR1475" s="3"/>
    </row>
    <row r="1476" spans="1:70">
      <c r="A1476" s="1" t="s">
        <v>70</v>
      </c>
      <c r="B1476" s="1" t="s">
        <v>13846</v>
      </c>
      <c r="C1476" s="1" t="s">
        <v>16642</v>
      </c>
      <c r="D1476" s="1"/>
      <c r="E1476" s="1"/>
      <c r="F1476" s="1"/>
      <c r="G1476" s="1"/>
      <c r="H1476" s="1" t="s">
        <v>16643</v>
      </c>
      <c r="I1476" s="1" t="s">
        <v>16643</v>
      </c>
      <c r="J1476" s="1"/>
      <c r="K1476" s="1"/>
      <c r="L1476" s="1"/>
      <c r="M1476" s="1"/>
      <c r="N1476" s="1"/>
      <c r="O1476" s="1"/>
      <c r="P1476" s="1"/>
      <c r="Q1476" s="1"/>
      <c r="R1476" s="1"/>
      <c r="S1476" s="1"/>
      <c r="T1476" s="1"/>
      <c r="U1476" s="1"/>
      <c r="V1476" s="1"/>
      <c r="W1476" s="1"/>
      <c r="X1476" s="1"/>
      <c r="Y1476" s="1"/>
      <c r="Z1476" s="1"/>
      <c r="AA1476" s="1"/>
      <c r="AB1476" s="1"/>
      <c r="AC1476" s="1"/>
      <c r="AD1476" s="1" t="s">
        <v>93</v>
      </c>
      <c r="AE1476" s="1" t="s">
        <v>93</v>
      </c>
      <c r="AF1476" s="1"/>
      <c r="AG1476" s="1"/>
      <c r="AH1476" s="1"/>
      <c r="AI1476" s="1"/>
      <c r="AJ1476" s="1"/>
      <c r="AK1476" s="1"/>
      <c r="AL1476" s="1"/>
      <c r="AM1476" s="1"/>
      <c r="AN1476" s="1"/>
      <c r="AO1476" s="1"/>
      <c r="AP1476" s="1"/>
      <c r="AQ1476" s="1"/>
      <c r="AR1476" s="1"/>
      <c r="AS1476" s="1"/>
      <c r="AT1476" s="1"/>
      <c r="AU1476" s="1"/>
      <c r="AV1476" s="1"/>
      <c r="AW1476" s="1"/>
      <c r="AX1476" s="1"/>
      <c r="AY1476" s="1"/>
      <c r="AZ1476" s="1"/>
      <c r="BA1476" s="1"/>
      <c r="BB1476" s="1"/>
      <c r="BC1476" s="1"/>
      <c r="BD1476" s="1"/>
      <c r="BE1476" s="1"/>
      <c r="BF1476" s="1"/>
      <c r="BG1476" s="1"/>
      <c r="BH1476" s="1"/>
      <c r="BI1476" s="1"/>
      <c r="BJ1476" s="1"/>
      <c r="BK1476" s="1"/>
      <c r="BL1476" s="1"/>
      <c r="BM1476" s="1"/>
      <c r="BN1476" s="1"/>
      <c r="BO1476" s="1"/>
      <c r="BP1476" s="1" t="s">
        <v>9609</v>
      </c>
      <c r="BQ1476" s="3"/>
      <c r="BR1476" s="3"/>
    </row>
    <row r="1477" spans="1:70">
      <c r="A1477" s="1" t="s">
        <v>70</v>
      </c>
      <c r="B1477" s="1" t="s">
        <v>13846</v>
      </c>
      <c r="C1477" s="1" t="s">
        <v>16644</v>
      </c>
      <c r="D1477" s="1"/>
      <c r="E1477" s="1"/>
      <c r="F1477" s="1"/>
      <c r="G1477" s="1"/>
      <c r="H1477" s="1" t="s">
        <v>16645</v>
      </c>
      <c r="I1477" s="1" t="s">
        <v>16645</v>
      </c>
      <c r="J1477" s="1"/>
      <c r="K1477" s="1"/>
      <c r="L1477" s="1"/>
      <c r="M1477" s="1"/>
      <c r="N1477" s="1"/>
      <c r="O1477" s="1"/>
      <c r="P1477" s="1"/>
      <c r="Q1477" s="1"/>
      <c r="R1477" s="1"/>
      <c r="S1477" s="1"/>
      <c r="T1477" s="1"/>
      <c r="U1477" s="1"/>
      <c r="V1477" s="1"/>
      <c r="W1477" s="1"/>
      <c r="X1477" s="1"/>
      <c r="Y1477" s="1"/>
      <c r="Z1477" s="1"/>
      <c r="AA1477" s="1"/>
      <c r="AB1477" s="1"/>
      <c r="AC1477" s="1"/>
      <c r="AD1477" s="1" t="s">
        <v>93</v>
      </c>
      <c r="AE1477" s="1" t="s">
        <v>93</v>
      </c>
      <c r="AF1477" s="1"/>
      <c r="AG1477" s="1"/>
      <c r="AH1477" s="1"/>
      <c r="AI1477" s="1"/>
      <c r="AJ1477" s="1"/>
      <c r="AK1477" s="1"/>
      <c r="AL1477" s="1"/>
      <c r="AM1477" s="1"/>
      <c r="AN1477" s="1"/>
      <c r="AO1477" s="1"/>
      <c r="AP1477" s="1"/>
      <c r="AQ1477" s="1"/>
      <c r="AR1477" s="1"/>
      <c r="AS1477" s="1"/>
      <c r="AT1477" s="1"/>
      <c r="AU1477" s="1"/>
      <c r="AV1477" s="1"/>
      <c r="AW1477" s="1"/>
      <c r="AX1477" s="1"/>
      <c r="AY1477" s="1"/>
      <c r="AZ1477" s="1"/>
      <c r="BA1477" s="1"/>
      <c r="BB1477" s="1"/>
      <c r="BC1477" s="1"/>
      <c r="BD1477" s="1"/>
      <c r="BE1477" s="1"/>
      <c r="BF1477" s="1"/>
      <c r="BG1477" s="1"/>
      <c r="BH1477" s="1"/>
      <c r="BI1477" s="1"/>
      <c r="BJ1477" s="1"/>
      <c r="BK1477" s="1"/>
      <c r="BL1477" s="1"/>
      <c r="BM1477" s="1"/>
      <c r="BN1477" s="1"/>
      <c r="BO1477" s="1"/>
      <c r="BP1477" s="1" t="s">
        <v>9609</v>
      </c>
      <c r="BQ1477" s="3"/>
      <c r="BR1477" s="3"/>
    </row>
    <row r="1478" spans="1:70">
      <c r="A1478" s="1" t="s">
        <v>70</v>
      </c>
      <c r="B1478" s="1" t="s">
        <v>13846</v>
      </c>
      <c r="C1478" s="1" t="s">
        <v>16646</v>
      </c>
      <c r="D1478" s="1"/>
      <c r="E1478" s="1"/>
      <c r="F1478" s="1"/>
      <c r="G1478" s="1"/>
      <c r="H1478" s="1" t="s">
        <v>16647</v>
      </c>
      <c r="I1478" s="1" t="s">
        <v>16647</v>
      </c>
      <c r="J1478" s="1"/>
      <c r="K1478" s="1"/>
      <c r="L1478" s="1"/>
      <c r="M1478" s="1"/>
      <c r="N1478" s="1"/>
      <c r="O1478" s="1"/>
      <c r="P1478" s="1"/>
      <c r="Q1478" s="1"/>
      <c r="R1478" s="1"/>
      <c r="S1478" s="1"/>
      <c r="T1478" s="1"/>
      <c r="U1478" s="1"/>
      <c r="V1478" s="1"/>
      <c r="W1478" s="1"/>
      <c r="X1478" s="1"/>
      <c r="Y1478" s="1"/>
      <c r="Z1478" s="1"/>
      <c r="AA1478" s="1"/>
      <c r="AB1478" s="1"/>
      <c r="AC1478" s="1"/>
      <c r="AD1478" s="1" t="s">
        <v>93</v>
      </c>
      <c r="AE1478" s="1" t="s">
        <v>93</v>
      </c>
      <c r="AF1478" s="1"/>
      <c r="AG1478" s="1"/>
      <c r="AH1478" s="1"/>
      <c r="AI1478" s="1"/>
      <c r="AJ1478" s="1"/>
      <c r="AK1478" s="1"/>
      <c r="AL1478" s="1"/>
      <c r="AM1478" s="1"/>
      <c r="AN1478" s="1"/>
      <c r="AO1478" s="1"/>
      <c r="AP1478" s="1"/>
      <c r="AQ1478" s="1"/>
      <c r="AR1478" s="1"/>
      <c r="AS1478" s="1"/>
      <c r="AT1478" s="1"/>
      <c r="AU1478" s="1"/>
      <c r="AV1478" s="1"/>
      <c r="AW1478" s="1"/>
      <c r="AX1478" s="1"/>
      <c r="AY1478" s="1"/>
      <c r="AZ1478" s="1"/>
      <c r="BA1478" s="1"/>
      <c r="BB1478" s="1"/>
      <c r="BC1478" s="1"/>
      <c r="BD1478" s="1"/>
      <c r="BE1478" s="1"/>
      <c r="BF1478" s="1"/>
      <c r="BG1478" s="1"/>
      <c r="BH1478" s="1"/>
      <c r="BI1478" s="1"/>
      <c r="BJ1478" s="1"/>
      <c r="BK1478" s="1"/>
      <c r="BL1478" s="1"/>
      <c r="BM1478" s="1"/>
      <c r="BN1478" s="1"/>
      <c r="BO1478" s="1"/>
      <c r="BP1478" s="1" t="s">
        <v>9609</v>
      </c>
      <c r="BQ1478" s="3"/>
      <c r="BR1478" s="3"/>
    </row>
    <row r="1479" spans="1:70">
      <c r="A1479" s="1" t="s">
        <v>70</v>
      </c>
      <c r="B1479" s="1" t="s">
        <v>13846</v>
      </c>
      <c r="C1479" s="1" t="s">
        <v>16648</v>
      </c>
      <c r="D1479" s="1"/>
      <c r="E1479" s="1"/>
      <c r="F1479" s="1"/>
      <c r="G1479" s="1"/>
      <c r="H1479" s="1" t="s">
        <v>16649</v>
      </c>
      <c r="I1479" s="1" t="s">
        <v>16649</v>
      </c>
      <c r="J1479" s="1"/>
      <c r="K1479" s="1"/>
      <c r="L1479" s="1"/>
      <c r="M1479" s="1"/>
      <c r="N1479" s="1"/>
      <c r="O1479" s="1"/>
      <c r="P1479" s="1"/>
      <c r="Q1479" s="1"/>
      <c r="R1479" s="1"/>
      <c r="S1479" s="1"/>
      <c r="T1479" s="1"/>
      <c r="U1479" s="1"/>
      <c r="V1479" s="1"/>
      <c r="W1479" s="1"/>
      <c r="X1479" s="1"/>
      <c r="Y1479" s="1"/>
      <c r="Z1479" s="1"/>
      <c r="AA1479" s="1"/>
      <c r="AB1479" s="1"/>
      <c r="AC1479" s="1"/>
      <c r="AD1479" s="1" t="s">
        <v>93</v>
      </c>
      <c r="AE1479" s="1" t="s">
        <v>93</v>
      </c>
      <c r="AF1479" s="1"/>
      <c r="AG1479" s="1"/>
      <c r="AH1479" s="1"/>
      <c r="AI1479" s="1"/>
      <c r="AJ1479" s="1"/>
      <c r="AK1479" s="1"/>
      <c r="AL1479" s="1"/>
      <c r="AM1479" s="1"/>
      <c r="AN1479" s="1"/>
      <c r="AO1479" s="1"/>
      <c r="AP1479" s="1"/>
      <c r="AQ1479" s="1"/>
      <c r="AR1479" s="1"/>
      <c r="AS1479" s="1"/>
      <c r="AT1479" s="1"/>
      <c r="AU1479" s="1"/>
      <c r="AV1479" s="1"/>
      <c r="AW1479" s="1"/>
      <c r="AX1479" s="1"/>
      <c r="AY1479" s="1"/>
      <c r="AZ1479" s="1"/>
      <c r="BA1479" s="1"/>
      <c r="BB1479" s="1"/>
      <c r="BC1479" s="1"/>
      <c r="BD1479" s="1"/>
      <c r="BE1479" s="1"/>
      <c r="BF1479" s="1"/>
      <c r="BG1479" s="1"/>
      <c r="BH1479" s="1"/>
      <c r="BI1479" s="1"/>
      <c r="BJ1479" s="1"/>
      <c r="BK1479" s="1"/>
      <c r="BL1479" s="1"/>
      <c r="BM1479" s="1"/>
      <c r="BN1479" s="1"/>
      <c r="BO1479" s="1"/>
      <c r="BP1479" s="1" t="s">
        <v>9609</v>
      </c>
      <c r="BQ1479" s="3"/>
      <c r="BR1479" s="3"/>
    </row>
    <row r="1480" spans="1:70">
      <c r="A1480" s="1" t="s">
        <v>70</v>
      </c>
      <c r="B1480" s="1" t="s">
        <v>13846</v>
      </c>
      <c r="C1480" s="1" t="s">
        <v>16650</v>
      </c>
      <c r="D1480" s="1" t="s">
        <v>16651</v>
      </c>
      <c r="E1480" s="1"/>
      <c r="F1480" s="1" t="s">
        <v>16652</v>
      </c>
      <c r="G1480" s="1" t="s">
        <v>16653</v>
      </c>
      <c r="H1480" s="1" t="s">
        <v>16654</v>
      </c>
      <c r="I1480" s="1" t="s">
        <v>16655</v>
      </c>
      <c r="J1480" s="1">
        <v>9654608187</v>
      </c>
      <c r="K1480" s="1" t="s">
        <v>148</v>
      </c>
      <c r="L1480" s="1" t="s">
        <v>16656</v>
      </c>
      <c r="M1480" s="1" t="s">
        <v>81</v>
      </c>
      <c r="N1480" s="1" t="s">
        <v>4289</v>
      </c>
      <c r="O1480" s="1" t="s">
        <v>16657</v>
      </c>
      <c r="P1480" s="1" t="s">
        <v>117</v>
      </c>
      <c r="Q1480" s="1">
        <v>374335080654</v>
      </c>
      <c r="R1480" s="1" t="s">
        <v>16658</v>
      </c>
      <c r="S1480" s="1">
        <v>7011719967</v>
      </c>
      <c r="T1480" s="1" t="s">
        <v>16659</v>
      </c>
      <c r="U1480" s="1" t="s">
        <v>16660</v>
      </c>
      <c r="V1480" s="1">
        <v>9910940457</v>
      </c>
      <c r="W1480" s="1" t="s">
        <v>10212</v>
      </c>
      <c r="X1480" s="1" t="s">
        <v>16661</v>
      </c>
      <c r="Y1480" s="1" t="s">
        <v>6845</v>
      </c>
      <c r="Z1480" s="1" t="s">
        <v>1714</v>
      </c>
      <c r="AA1480" s="1" t="s">
        <v>16661</v>
      </c>
      <c r="AB1480" s="1" t="s">
        <v>6845</v>
      </c>
      <c r="AC1480" s="1" t="s">
        <v>1714</v>
      </c>
      <c r="AD1480" s="1" t="s">
        <v>93</v>
      </c>
      <c r="AE1480" s="1" t="s">
        <v>93</v>
      </c>
      <c r="AF1480" s="1" t="s">
        <v>16662</v>
      </c>
      <c r="AG1480" s="1" t="s">
        <v>16663</v>
      </c>
      <c r="AH1480" s="1" t="s">
        <v>1088</v>
      </c>
      <c r="AI1480" s="1" t="s">
        <v>614</v>
      </c>
      <c r="AJ1480" s="1">
        <v>85.5</v>
      </c>
      <c r="AK1480" s="1">
        <v>9</v>
      </c>
      <c r="AL1480" s="1" t="s">
        <v>16662</v>
      </c>
      <c r="AM1480" s="1" t="s">
        <v>16663</v>
      </c>
      <c r="AN1480" s="1" t="s">
        <v>689</v>
      </c>
      <c r="AO1480" s="1" t="s">
        <v>166</v>
      </c>
      <c r="AP1480" s="1">
        <v>82</v>
      </c>
      <c r="AQ1480" s="1"/>
      <c r="AR1480" s="1"/>
      <c r="AS1480" s="1"/>
      <c r="AT1480" s="1"/>
      <c r="AU1480" s="1"/>
      <c r="AV1480" s="1"/>
      <c r="AW1480" s="1"/>
      <c r="AX1480" s="1" t="s">
        <v>16664</v>
      </c>
      <c r="AY1480" s="1" t="s">
        <v>16665</v>
      </c>
      <c r="AZ1480" s="1" t="s">
        <v>201</v>
      </c>
      <c r="BA1480" s="1" t="s">
        <v>202</v>
      </c>
      <c r="BB1480" s="1">
        <v>84.6</v>
      </c>
      <c r="BC1480" s="1">
        <v>8.46</v>
      </c>
      <c r="BD1480" s="1" t="s">
        <v>13285</v>
      </c>
      <c r="BE1480" s="1" t="s">
        <v>16666</v>
      </c>
      <c r="BF1480" s="1" t="s">
        <v>1067</v>
      </c>
      <c r="BG1480" s="1" t="s">
        <v>16667</v>
      </c>
      <c r="BH1480" s="1">
        <v>80</v>
      </c>
      <c r="BI1480" s="1">
        <v>8.0</v>
      </c>
      <c r="BJ1480" s="1" t="s">
        <v>16668</v>
      </c>
      <c r="BK1480" s="1"/>
      <c r="BL1480" s="1"/>
      <c r="BM1480" s="1"/>
      <c r="BN1480" s="1"/>
      <c r="BO1480" s="1"/>
      <c r="BP1480" s="1" t="s">
        <v>9609</v>
      </c>
      <c r="BQ1480" s="3"/>
      <c r="BR1480" s="3"/>
    </row>
    <row r="1481" spans="1:70">
      <c r="A1481" s="1" t="s">
        <v>70</v>
      </c>
      <c r="B1481" s="1" t="s">
        <v>13846</v>
      </c>
      <c r="C1481" s="1" t="s">
        <v>16669</v>
      </c>
      <c r="D1481" s="1"/>
      <c r="E1481" s="1"/>
      <c r="F1481" s="1"/>
      <c r="G1481" s="1"/>
      <c r="H1481" s="1" t="s">
        <v>16670</v>
      </c>
      <c r="I1481" s="1" t="s">
        <v>16670</v>
      </c>
      <c r="J1481" s="1"/>
      <c r="K1481" s="1"/>
      <c r="L1481" s="1"/>
      <c r="M1481" s="1"/>
      <c r="N1481" s="1"/>
      <c r="O1481" s="1"/>
      <c r="P1481" s="1"/>
      <c r="Q1481" s="1"/>
      <c r="R1481" s="1"/>
      <c r="S1481" s="1"/>
      <c r="T1481" s="1"/>
      <c r="U1481" s="1"/>
      <c r="V1481" s="1"/>
      <c r="W1481" s="1"/>
      <c r="X1481" s="1"/>
      <c r="Y1481" s="1"/>
      <c r="Z1481" s="1"/>
      <c r="AA1481" s="1"/>
      <c r="AB1481" s="1"/>
      <c r="AC1481" s="1"/>
      <c r="AD1481" s="1" t="s">
        <v>93</v>
      </c>
      <c r="AE1481" s="1" t="s">
        <v>93</v>
      </c>
      <c r="AF1481" s="1"/>
      <c r="AG1481" s="1"/>
      <c r="AH1481" s="1"/>
      <c r="AI1481" s="1"/>
      <c r="AJ1481" s="1"/>
      <c r="AK1481" s="1"/>
      <c r="AL1481" s="1"/>
      <c r="AM1481" s="1"/>
      <c r="AN1481" s="1"/>
      <c r="AO1481" s="1"/>
      <c r="AP1481" s="1"/>
      <c r="AQ1481" s="1"/>
      <c r="AR1481" s="1"/>
      <c r="AS1481" s="1"/>
      <c r="AT1481" s="1"/>
      <c r="AU1481" s="1"/>
      <c r="AV1481" s="1"/>
      <c r="AW1481" s="1"/>
      <c r="AX1481" s="1"/>
      <c r="AY1481" s="1"/>
      <c r="AZ1481" s="1"/>
      <c r="BA1481" s="1"/>
      <c r="BB1481" s="1"/>
      <c r="BC1481" s="1"/>
      <c r="BD1481" s="1"/>
      <c r="BE1481" s="1"/>
      <c r="BF1481" s="1"/>
      <c r="BG1481" s="1"/>
      <c r="BH1481" s="1"/>
      <c r="BI1481" s="1"/>
      <c r="BJ1481" s="1"/>
      <c r="BK1481" s="1"/>
      <c r="BL1481" s="1"/>
      <c r="BM1481" s="1"/>
      <c r="BN1481" s="1"/>
      <c r="BO1481" s="1"/>
      <c r="BP1481" s="1" t="s">
        <v>9609</v>
      </c>
      <c r="BQ1481" s="3"/>
      <c r="BR1481" s="3"/>
    </row>
    <row r="1482" spans="1:70">
      <c r="A1482" s="1" t="s">
        <v>70</v>
      </c>
      <c r="B1482" s="1" t="s">
        <v>13846</v>
      </c>
      <c r="C1482" s="1" t="s">
        <v>16671</v>
      </c>
      <c r="D1482" s="1"/>
      <c r="E1482" s="1"/>
      <c r="F1482" s="1"/>
      <c r="G1482" s="1"/>
      <c r="H1482" s="1" t="s">
        <v>16672</v>
      </c>
      <c r="I1482" s="1" t="s">
        <v>16672</v>
      </c>
      <c r="J1482" s="1"/>
      <c r="K1482" s="1"/>
      <c r="L1482" s="1"/>
      <c r="M1482" s="1"/>
      <c r="N1482" s="1"/>
      <c r="O1482" s="1"/>
      <c r="P1482" s="1"/>
      <c r="Q1482" s="1"/>
      <c r="R1482" s="1"/>
      <c r="S1482" s="1"/>
      <c r="T1482" s="1"/>
      <c r="U1482" s="1"/>
      <c r="V1482" s="1"/>
      <c r="W1482" s="1"/>
      <c r="X1482" s="1"/>
      <c r="Y1482" s="1"/>
      <c r="Z1482" s="1"/>
      <c r="AA1482" s="1"/>
      <c r="AB1482" s="1"/>
      <c r="AC1482" s="1"/>
      <c r="AD1482" s="1" t="s">
        <v>93</v>
      </c>
      <c r="AE1482" s="1" t="s">
        <v>93</v>
      </c>
      <c r="AF1482" s="1"/>
      <c r="AG1482" s="1"/>
      <c r="AH1482" s="1"/>
      <c r="AI1482" s="1"/>
      <c r="AJ1482" s="1"/>
      <c r="AK1482" s="1"/>
      <c r="AL1482" s="1"/>
      <c r="AM1482" s="1"/>
      <c r="AN1482" s="1"/>
      <c r="AO1482" s="1"/>
      <c r="AP1482" s="1"/>
      <c r="AQ1482" s="1"/>
      <c r="AR1482" s="1"/>
      <c r="AS1482" s="1"/>
      <c r="AT1482" s="1"/>
      <c r="AU1482" s="1"/>
      <c r="AV1482" s="1"/>
      <c r="AW1482" s="1"/>
      <c r="AX1482" s="1"/>
      <c r="AY1482" s="1"/>
      <c r="AZ1482" s="1"/>
      <c r="BA1482" s="1"/>
      <c r="BB1482" s="1"/>
      <c r="BC1482" s="1"/>
      <c r="BD1482" s="1"/>
      <c r="BE1482" s="1"/>
      <c r="BF1482" s="1"/>
      <c r="BG1482" s="1"/>
      <c r="BH1482" s="1"/>
      <c r="BI1482" s="1"/>
      <c r="BJ1482" s="1"/>
      <c r="BK1482" s="1"/>
      <c r="BL1482" s="1"/>
      <c r="BM1482" s="1"/>
      <c r="BN1482" s="1"/>
      <c r="BO1482" s="1"/>
      <c r="BP1482" s="1" t="s">
        <v>9609</v>
      </c>
      <c r="BQ1482" s="3"/>
      <c r="BR1482" s="3"/>
    </row>
    <row r="1483" spans="1:70">
      <c r="A1483" s="1" t="s">
        <v>70</v>
      </c>
      <c r="B1483" s="1" t="s">
        <v>13846</v>
      </c>
      <c r="C1483" s="1" t="s">
        <v>16673</v>
      </c>
      <c r="D1483" s="1"/>
      <c r="E1483" s="1"/>
      <c r="F1483" s="1"/>
      <c r="G1483" s="1"/>
      <c r="H1483" s="1" t="s">
        <v>16674</v>
      </c>
      <c r="I1483" s="1" t="s">
        <v>16674</v>
      </c>
      <c r="J1483" s="1"/>
      <c r="K1483" s="1"/>
      <c r="L1483" s="1"/>
      <c r="M1483" s="1"/>
      <c r="N1483" s="1"/>
      <c r="O1483" s="1"/>
      <c r="P1483" s="1"/>
      <c r="Q1483" s="1"/>
      <c r="R1483" s="1"/>
      <c r="S1483" s="1"/>
      <c r="T1483" s="1"/>
      <c r="U1483" s="1"/>
      <c r="V1483" s="1"/>
      <c r="W1483" s="1"/>
      <c r="X1483" s="1"/>
      <c r="Y1483" s="1"/>
      <c r="Z1483" s="1"/>
      <c r="AA1483" s="1"/>
      <c r="AB1483" s="1"/>
      <c r="AC1483" s="1"/>
      <c r="AD1483" s="1" t="s">
        <v>93</v>
      </c>
      <c r="AE1483" s="1" t="s">
        <v>93</v>
      </c>
      <c r="AF1483" s="1"/>
      <c r="AG1483" s="1"/>
      <c r="AH1483" s="1"/>
      <c r="AI1483" s="1"/>
      <c r="AJ1483" s="1"/>
      <c r="AK1483" s="1"/>
      <c r="AL1483" s="1"/>
      <c r="AM1483" s="1"/>
      <c r="AN1483" s="1"/>
      <c r="AO1483" s="1"/>
      <c r="AP1483" s="1"/>
      <c r="AQ1483" s="1"/>
      <c r="AR1483" s="1"/>
      <c r="AS1483" s="1"/>
      <c r="AT1483" s="1"/>
      <c r="AU1483" s="1"/>
      <c r="AV1483" s="1"/>
      <c r="AW1483" s="1"/>
      <c r="AX1483" s="1"/>
      <c r="AY1483" s="1"/>
      <c r="AZ1483" s="1"/>
      <c r="BA1483" s="1"/>
      <c r="BB1483" s="1"/>
      <c r="BC1483" s="1"/>
      <c r="BD1483" s="1"/>
      <c r="BE1483" s="1"/>
      <c r="BF1483" s="1"/>
      <c r="BG1483" s="1"/>
      <c r="BH1483" s="1"/>
      <c r="BI1483" s="1"/>
      <c r="BJ1483" s="1"/>
      <c r="BK1483" s="1"/>
      <c r="BL1483" s="1"/>
      <c r="BM1483" s="1"/>
      <c r="BN1483" s="1"/>
      <c r="BO1483" s="1"/>
      <c r="BP1483" s="1" t="s">
        <v>9609</v>
      </c>
      <c r="BQ1483" s="3"/>
      <c r="BR1483" s="3"/>
    </row>
    <row r="1484" spans="1:70">
      <c r="A1484" s="1" t="s">
        <v>70</v>
      </c>
      <c r="B1484" s="1" t="s">
        <v>13846</v>
      </c>
      <c r="C1484" s="1" t="s">
        <v>16675</v>
      </c>
      <c r="D1484" s="1"/>
      <c r="E1484" s="1"/>
      <c r="F1484" s="1"/>
      <c r="G1484" s="1"/>
      <c r="H1484" s="1" t="s">
        <v>16676</v>
      </c>
      <c r="I1484" s="1" t="s">
        <v>16676</v>
      </c>
      <c r="J1484" s="1"/>
      <c r="K1484" s="1"/>
      <c r="L1484" s="1"/>
      <c r="M1484" s="1"/>
      <c r="N1484" s="1"/>
      <c r="O1484" s="1"/>
      <c r="P1484" s="1"/>
      <c r="Q1484" s="1"/>
      <c r="R1484" s="1"/>
      <c r="S1484" s="1"/>
      <c r="T1484" s="1"/>
      <c r="U1484" s="1"/>
      <c r="V1484" s="1"/>
      <c r="W1484" s="1"/>
      <c r="X1484" s="1"/>
      <c r="Y1484" s="1"/>
      <c r="Z1484" s="1"/>
      <c r="AA1484" s="1"/>
      <c r="AB1484" s="1"/>
      <c r="AC1484" s="1"/>
      <c r="AD1484" s="1" t="s">
        <v>93</v>
      </c>
      <c r="AE1484" s="1" t="s">
        <v>93</v>
      </c>
      <c r="AF1484" s="1"/>
      <c r="AG1484" s="1"/>
      <c r="AH1484" s="1"/>
      <c r="AI1484" s="1"/>
      <c r="AJ1484" s="1"/>
      <c r="AK1484" s="1"/>
      <c r="AL1484" s="1"/>
      <c r="AM1484" s="1"/>
      <c r="AN1484" s="1"/>
      <c r="AO1484" s="1"/>
      <c r="AP1484" s="1"/>
      <c r="AQ1484" s="1"/>
      <c r="AR1484" s="1"/>
      <c r="AS1484" s="1"/>
      <c r="AT1484" s="1"/>
      <c r="AU1484" s="1"/>
      <c r="AV1484" s="1"/>
      <c r="AW1484" s="1"/>
      <c r="AX1484" s="1"/>
      <c r="AY1484" s="1"/>
      <c r="AZ1484" s="1"/>
      <c r="BA1484" s="1"/>
      <c r="BB1484" s="1"/>
      <c r="BC1484" s="1"/>
      <c r="BD1484" s="1"/>
      <c r="BE1484" s="1"/>
      <c r="BF1484" s="1"/>
      <c r="BG1484" s="1"/>
      <c r="BH1484" s="1"/>
      <c r="BI1484" s="1"/>
      <c r="BJ1484" s="1"/>
      <c r="BK1484" s="1"/>
      <c r="BL1484" s="1"/>
      <c r="BM1484" s="1"/>
      <c r="BN1484" s="1"/>
      <c r="BO1484" s="1"/>
      <c r="BP1484" s="1" t="s">
        <v>9609</v>
      </c>
      <c r="BQ1484" s="3"/>
      <c r="BR1484" s="3"/>
    </row>
    <row r="1485" spans="1:70">
      <c r="A1485" s="1" t="s">
        <v>70</v>
      </c>
      <c r="B1485" s="1" t="s">
        <v>13846</v>
      </c>
      <c r="C1485" s="1" t="s">
        <v>16677</v>
      </c>
      <c r="D1485" s="1"/>
      <c r="E1485" s="1"/>
      <c r="F1485" s="1"/>
      <c r="G1485" s="1"/>
      <c r="H1485" s="1" t="s">
        <v>16678</v>
      </c>
      <c r="I1485" s="1" t="s">
        <v>16678</v>
      </c>
      <c r="J1485" s="1"/>
      <c r="K1485" s="1"/>
      <c r="L1485" s="1"/>
      <c r="M1485" s="1"/>
      <c r="N1485" s="1"/>
      <c r="O1485" s="1"/>
      <c r="P1485" s="1"/>
      <c r="Q1485" s="1"/>
      <c r="R1485" s="1"/>
      <c r="S1485" s="1"/>
      <c r="T1485" s="1"/>
      <c r="U1485" s="1"/>
      <c r="V1485" s="1"/>
      <c r="W1485" s="1"/>
      <c r="X1485" s="1"/>
      <c r="Y1485" s="1"/>
      <c r="Z1485" s="1"/>
      <c r="AA1485" s="1"/>
      <c r="AB1485" s="1"/>
      <c r="AC1485" s="1"/>
      <c r="AD1485" s="1" t="s">
        <v>93</v>
      </c>
      <c r="AE1485" s="1" t="s">
        <v>93</v>
      </c>
      <c r="AF1485" s="1"/>
      <c r="AG1485" s="1"/>
      <c r="AH1485" s="1"/>
      <c r="AI1485" s="1"/>
      <c r="AJ1485" s="1"/>
      <c r="AK1485" s="1"/>
      <c r="AL1485" s="1"/>
      <c r="AM1485" s="1"/>
      <c r="AN1485" s="1"/>
      <c r="AO1485" s="1"/>
      <c r="AP1485" s="1"/>
      <c r="AQ1485" s="1"/>
      <c r="AR1485" s="1"/>
      <c r="AS1485" s="1"/>
      <c r="AT1485" s="1"/>
      <c r="AU1485" s="1"/>
      <c r="AV1485" s="1"/>
      <c r="AW1485" s="1"/>
      <c r="AX1485" s="1"/>
      <c r="AY1485" s="1"/>
      <c r="AZ1485" s="1"/>
      <c r="BA1485" s="1"/>
      <c r="BB1485" s="1"/>
      <c r="BC1485" s="1"/>
      <c r="BD1485" s="1"/>
      <c r="BE1485" s="1"/>
      <c r="BF1485" s="1"/>
      <c r="BG1485" s="1"/>
      <c r="BH1485" s="1"/>
      <c r="BI1485" s="1"/>
      <c r="BJ1485" s="1"/>
      <c r="BK1485" s="1"/>
      <c r="BL1485" s="1"/>
      <c r="BM1485" s="1"/>
      <c r="BN1485" s="1"/>
      <c r="BO1485" s="1"/>
      <c r="BP1485" s="1" t="s">
        <v>9609</v>
      </c>
      <c r="BQ1485" s="3"/>
      <c r="BR1485" s="3"/>
    </row>
    <row r="1486" spans="1:70">
      <c r="A1486" s="1" t="s">
        <v>70</v>
      </c>
      <c r="B1486" s="1" t="s">
        <v>13846</v>
      </c>
      <c r="C1486" s="1" t="s">
        <v>16679</v>
      </c>
      <c r="D1486" s="1"/>
      <c r="E1486" s="1"/>
      <c r="F1486" s="1"/>
      <c r="G1486" s="1"/>
      <c r="H1486" s="1" t="s">
        <v>16680</v>
      </c>
      <c r="I1486" s="1" t="s">
        <v>16680</v>
      </c>
      <c r="J1486" s="1"/>
      <c r="K1486" s="1"/>
      <c r="L1486" s="1"/>
      <c r="M1486" s="1"/>
      <c r="N1486" s="1"/>
      <c r="O1486" s="1"/>
      <c r="P1486" s="1"/>
      <c r="Q1486" s="1"/>
      <c r="R1486" s="1"/>
      <c r="S1486" s="1"/>
      <c r="T1486" s="1"/>
      <c r="U1486" s="1"/>
      <c r="V1486" s="1"/>
      <c r="W1486" s="1"/>
      <c r="X1486" s="1"/>
      <c r="Y1486" s="1"/>
      <c r="Z1486" s="1"/>
      <c r="AA1486" s="1"/>
      <c r="AB1486" s="1"/>
      <c r="AC1486" s="1"/>
      <c r="AD1486" s="1" t="s">
        <v>93</v>
      </c>
      <c r="AE1486" s="1" t="s">
        <v>93</v>
      </c>
      <c r="AF1486" s="1"/>
      <c r="AG1486" s="1"/>
      <c r="AH1486" s="1"/>
      <c r="AI1486" s="1"/>
      <c r="AJ1486" s="1"/>
      <c r="AK1486" s="1"/>
      <c r="AL1486" s="1"/>
      <c r="AM1486" s="1"/>
      <c r="AN1486" s="1"/>
      <c r="AO1486" s="1"/>
      <c r="AP1486" s="1"/>
      <c r="AQ1486" s="1"/>
      <c r="AR1486" s="1"/>
      <c r="AS1486" s="1"/>
      <c r="AT1486" s="1"/>
      <c r="AU1486" s="1"/>
      <c r="AV1486" s="1"/>
      <c r="AW1486" s="1"/>
      <c r="AX1486" s="1"/>
      <c r="AY1486" s="1"/>
      <c r="AZ1486" s="1"/>
      <c r="BA1486" s="1"/>
      <c r="BB1486" s="1"/>
      <c r="BC1486" s="1"/>
      <c r="BD1486" s="1"/>
      <c r="BE1486" s="1"/>
      <c r="BF1486" s="1"/>
      <c r="BG1486" s="1"/>
      <c r="BH1486" s="1"/>
      <c r="BI1486" s="1"/>
      <c r="BJ1486" s="1"/>
      <c r="BK1486" s="1"/>
      <c r="BL1486" s="1"/>
      <c r="BM1486" s="1"/>
      <c r="BN1486" s="1"/>
      <c r="BO1486" s="1"/>
      <c r="BP1486" s="1" t="s">
        <v>9609</v>
      </c>
      <c r="BQ1486" s="3"/>
      <c r="BR1486" s="3"/>
    </row>
    <row r="1487" spans="1:70">
      <c r="A1487" s="1" t="s">
        <v>70</v>
      </c>
      <c r="B1487" s="1" t="s">
        <v>13846</v>
      </c>
      <c r="C1487" s="1" t="s">
        <v>16681</v>
      </c>
      <c r="D1487" s="1"/>
      <c r="E1487" s="1"/>
      <c r="F1487" s="1"/>
      <c r="G1487" s="1"/>
      <c r="H1487" s="1" t="s">
        <v>16682</v>
      </c>
      <c r="I1487" s="1" t="s">
        <v>16682</v>
      </c>
      <c r="J1487" s="1"/>
      <c r="K1487" s="1"/>
      <c r="L1487" s="1"/>
      <c r="M1487" s="1"/>
      <c r="N1487" s="1"/>
      <c r="O1487" s="1"/>
      <c r="P1487" s="1"/>
      <c r="Q1487" s="1"/>
      <c r="R1487" s="1"/>
      <c r="S1487" s="1"/>
      <c r="T1487" s="1"/>
      <c r="U1487" s="1"/>
      <c r="V1487" s="1"/>
      <c r="W1487" s="1"/>
      <c r="X1487" s="1"/>
      <c r="Y1487" s="1"/>
      <c r="Z1487" s="1"/>
      <c r="AA1487" s="1"/>
      <c r="AB1487" s="1"/>
      <c r="AC1487" s="1"/>
      <c r="AD1487" s="1" t="s">
        <v>93</v>
      </c>
      <c r="AE1487" s="1" t="s">
        <v>93</v>
      </c>
      <c r="AF1487" s="1"/>
      <c r="AG1487" s="1"/>
      <c r="AH1487" s="1"/>
      <c r="AI1487" s="1"/>
      <c r="AJ1487" s="1"/>
      <c r="AK1487" s="1"/>
      <c r="AL1487" s="1"/>
      <c r="AM1487" s="1"/>
      <c r="AN1487" s="1"/>
      <c r="AO1487" s="1"/>
      <c r="AP1487" s="1"/>
      <c r="AQ1487" s="1"/>
      <c r="AR1487" s="1"/>
      <c r="AS1487" s="1"/>
      <c r="AT1487" s="1"/>
      <c r="AU1487" s="1"/>
      <c r="AV1487" s="1"/>
      <c r="AW1487" s="1"/>
      <c r="AX1487" s="1"/>
      <c r="AY1487" s="1"/>
      <c r="AZ1487" s="1"/>
      <c r="BA1487" s="1"/>
      <c r="BB1487" s="1"/>
      <c r="BC1487" s="1"/>
      <c r="BD1487" s="1"/>
      <c r="BE1487" s="1"/>
      <c r="BF1487" s="1"/>
      <c r="BG1487" s="1"/>
      <c r="BH1487" s="1"/>
      <c r="BI1487" s="1"/>
      <c r="BJ1487" s="1"/>
      <c r="BK1487" s="1"/>
      <c r="BL1487" s="1"/>
      <c r="BM1487" s="1"/>
      <c r="BN1487" s="1"/>
      <c r="BO1487" s="1"/>
      <c r="BP1487" s="1" t="s">
        <v>9609</v>
      </c>
      <c r="BQ1487" s="3"/>
      <c r="BR1487" s="3"/>
    </row>
    <row r="1488" spans="1:70">
      <c r="A1488" s="1" t="s">
        <v>70</v>
      </c>
      <c r="B1488" s="1" t="s">
        <v>13846</v>
      </c>
      <c r="C1488" s="1" t="s">
        <v>16683</v>
      </c>
      <c r="D1488" s="1"/>
      <c r="E1488" s="1"/>
      <c r="F1488" s="1"/>
      <c r="G1488" s="1"/>
      <c r="H1488" s="1" t="s">
        <v>16684</v>
      </c>
      <c r="I1488" s="1" t="s">
        <v>16684</v>
      </c>
      <c r="J1488" s="1"/>
      <c r="K1488" s="1"/>
      <c r="L1488" s="1"/>
      <c r="M1488" s="1"/>
      <c r="N1488" s="1"/>
      <c r="O1488" s="1"/>
      <c r="P1488" s="1"/>
      <c r="Q1488" s="1"/>
      <c r="R1488" s="1"/>
      <c r="S1488" s="1"/>
      <c r="T1488" s="1"/>
      <c r="U1488" s="1"/>
      <c r="V1488" s="1"/>
      <c r="W1488" s="1"/>
      <c r="X1488" s="1"/>
      <c r="Y1488" s="1"/>
      <c r="Z1488" s="1"/>
      <c r="AA1488" s="1"/>
      <c r="AB1488" s="1"/>
      <c r="AC1488" s="1"/>
      <c r="AD1488" s="1" t="s">
        <v>93</v>
      </c>
      <c r="AE1488" s="1" t="s">
        <v>93</v>
      </c>
      <c r="AF1488" s="1"/>
      <c r="AG1488" s="1"/>
      <c r="AH1488" s="1"/>
      <c r="AI1488" s="1"/>
      <c r="AJ1488" s="1"/>
      <c r="AK1488" s="1"/>
      <c r="AL1488" s="1"/>
      <c r="AM1488" s="1"/>
      <c r="AN1488" s="1"/>
      <c r="AO1488" s="1"/>
      <c r="AP1488" s="1"/>
      <c r="AQ1488" s="1"/>
      <c r="AR1488" s="1"/>
      <c r="AS1488" s="1"/>
      <c r="AT1488" s="1"/>
      <c r="AU1488" s="1"/>
      <c r="AV1488" s="1"/>
      <c r="AW1488" s="1"/>
      <c r="AX1488" s="1"/>
      <c r="AY1488" s="1"/>
      <c r="AZ1488" s="1"/>
      <c r="BA1488" s="1"/>
      <c r="BB1488" s="1"/>
      <c r="BC1488" s="1"/>
      <c r="BD1488" s="1"/>
      <c r="BE1488" s="1"/>
      <c r="BF1488" s="1"/>
      <c r="BG1488" s="1"/>
      <c r="BH1488" s="1"/>
      <c r="BI1488" s="1"/>
      <c r="BJ1488" s="1"/>
      <c r="BK1488" s="1"/>
      <c r="BL1488" s="1"/>
      <c r="BM1488" s="1"/>
      <c r="BN1488" s="1"/>
      <c r="BO1488" s="1"/>
      <c r="BP1488" s="1" t="s">
        <v>9609</v>
      </c>
      <c r="BQ1488" s="3"/>
      <c r="BR1488" s="3"/>
    </row>
    <row r="1489" spans="1:70">
      <c r="A1489" s="1" t="s">
        <v>70</v>
      </c>
      <c r="B1489" s="1" t="s">
        <v>13846</v>
      </c>
      <c r="C1489" s="1" t="s">
        <v>16685</v>
      </c>
      <c r="D1489" s="1"/>
      <c r="E1489" s="1"/>
      <c r="F1489" s="1"/>
      <c r="G1489" s="1"/>
      <c r="H1489" s="1" t="s">
        <v>16686</v>
      </c>
      <c r="I1489" s="1" t="s">
        <v>16686</v>
      </c>
      <c r="J1489" s="1"/>
      <c r="K1489" s="1"/>
      <c r="L1489" s="1"/>
      <c r="M1489" s="1"/>
      <c r="N1489" s="1"/>
      <c r="O1489" s="1"/>
      <c r="P1489" s="1"/>
      <c r="Q1489" s="1"/>
      <c r="R1489" s="1"/>
      <c r="S1489" s="1"/>
      <c r="T1489" s="1"/>
      <c r="U1489" s="1"/>
      <c r="V1489" s="1"/>
      <c r="W1489" s="1"/>
      <c r="X1489" s="1"/>
      <c r="Y1489" s="1"/>
      <c r="Z1489" s="1"/>
      <c r="AA1489" s="1"/>
      <c r="AB1489" s="1"/>
      <c r="AC1489" s="1"/>
      <c r="AD1489" s="1" t="s">
        <v>93</v>
      </c>
      <c r="AE1489" s="1" t="s">
        <v>93</v>
      </c>
      <c r="AF1489" s="1"/>
      <c r="AG1489" s="1"/>
      <c r="AH1489" s="1"/>
      <c r="AI1489" s="1"/>
      <c r="AJ1489" s="1"/>
      <c r="AK1489" s="1"/>
      <c r="AL1489" s="1"/>
      <c r="AM1489" s="1"/>
      <c r="AN1489" s="1"/>
      <c r="AO1489" s="1"/>
      <c r="AP1489" s="1"/>
      <c r="AQ1489" s="1"/>
      <c r="AR1489" s="1"/>
      <c r="AS1489" s="1"/>
      <c r="AT1489" s="1"/>
      <c r="AU1489" s="1"/>
      <c r="AV1489" s="1"/>
      <c r="AW1489" s="1"/>
      <c r="AX1489" s="1"/>
      <c r="AY1489" s="1"/>
      <c r="AZ1489" s="1"/>
      <c r="BA1489" s="1"/>
      <c r="BB1489" s="1"/>
      <c r="BC1489" s="1"/>
      <c r="BD1489" s="1"/>
      <c r="BE1489" s="1"/>
      <c r="BF1489" s="1"/>
      <c r="BG1489" s="1"/>
      <c r="BH1489" s="1"/>
      <c r="BI1489" s="1"/>
      <c r="BJ1489" s="1"/>
      <c r="BK1489" s="1"/>
      <c r="BL1489" s="1"/>
      <c r="BM1489" s="1"/>
      <c r="BN1489" s="1"/>
      <c r="BO1489" s="1"/>
      <c r="BP1489" s="1" t="s">
        <v>9609</v>
      </c>
      <c r="BQ1489" s="3"/>
      <c r="BR1489" s="3"/>
    </row>
    <row r="1490" spans="1:70">
      <c r="A1490" s="1" t="s">
        <v>70</v>
      </c>
      <c r="B1490" s="1" t="s">
        <v>13846</v>
      </c>
      <c r="C1490" s="1" t="s">
        <v>16687</v>
      </c>
      <c r="D1490" s="1"/>
      <c r="E1490" s="1"/>
      <c r="F1490" s="1"/>
      <c r="G1490" s="1"/>
      <c r="H1490" s="1" t="s">
        <v>16688</v>
      </c>
      <c r="I1490" s="1" t="s">
        <v>16688</v>
      </c>
      <c r="J1490" s="1"/>
      <c r="K1490" s="1"/>
      <c r="L1490" s="1"/>
      <c r="M1490" s="1"/>
      <c r="N1490" s="1"/>
      <c r="O1490" s="1"/>
      <c r="P1490" s="1"/>
      <c r="Q1490" s="1"/>
      <c r="R1490" s="1"/>
      <c r="S1490" s="1"/>
      <c r="T1490" s="1"/>
      <c r="U1490" s="1"/>
      <c r="V1490" s="1"/>
      <c r="W1490" s="1"/>
      <c r="X1490" s="1"/>
      <c r="Y1490" s="1"/>
      <c r="Z1490" s="1"/>
      <c r="AA1490" s="1"/>
      <c r="AB1490" s="1"/>
      <c r="AC1490" s="1"/>
      <c r="AD1490" s="1" t="s">
        <v>93</v>
      </c>
      <c r="AE1490" s="1" t="s">
        <v>93</v>
      </c>
      <c r="AF1490" s="1"/>
      <c r="AG1490" s="1"/>
      <c r="AH1490" s="1"/>
      <c r="AI1490" s="1"/>
      <c r="AJ1490" s="1"/>
      <c r="AK1490" s="1"/>
      <c r="AL1490" s="1"/>
      <c r="AM1490" s="1"/>
      <c r="AN1490" s="1"/>
      <c r="AO1490" s="1"/>
      <c r="AP1490" s="1"/>
      <c r="AQ1490" s="1"/>
      <c r="AR1490" s="1"/>
      <c r="AS1490" s="1"/>
      <c r="AT1490" s="1"/>
      <c r="AU1490" s="1"/>
      <c r="AV1490" s="1"/>
      <c r="AW1490" s="1"/>
      <c r="AX1490" s="1"/>
      <c r="AY1490" s="1"/>
      <c r="AZ1490" s="1"/>
      <c r="BA1490" s="1"/>
      <c r="BB1490" s="1"/>
      <c r="BC1490" s="1"/>
      <c r="BD1490" s="1"/>
      <c r="BE1490" s="1"/>
      <c r="BF1490" s="1"/>
      <c r="BG1490" s="1"/>
      <c r="BH1490" s="1"/>
      <c r="BI1490" s="1"/>
      <c r="BJ1490" s="1"/>
      <c r="BK1490" s="1"/>
      <c r="BL1490" s="1"/>
      <c r="BM1490" s="1"/>
      <c r="BN1490" s="1"/>
      <c r="BO1490" s="1"/>
      <c r="BP1490" s="1" t="s">
        <v>9609</v>
      </c>
      <c r="BQ1490" s="3"/>
      <c r="BR1490" s="3"/>
    </row>
    <row r="1491" spans="1:70">
      <c r="A1491" s="1" t="s">
        <v>70</v>
      </c>
      <c r="B1491" s="1" t="s">
        <v>13846</v>
      </c>
      <c r="C1491" s="1" t="s">
        <v>16689</v>
      </c>
      <c r="D1491" s="1"/>
      <c r="E1491" s="1"/>
      <c r="F1491" s="1"/>
      <c r="G1491" s="1"/>
      <c r="H1491" s="1" t="s">
        <v>16690</v>
      </c>
      <c r="I1491" s="1" t="s">
        <v>16690</v>
      </c>
      <c r="J1491" s="1"/>
      <c r="K1491" s="1"/>
      <c r="L1491" s="1"/>
      <c r="M1491" s="1"/>
      <c r="N1491" s="1"/>
      <c r="O1491" s="1"/>
      <c r="P1491" s="1"/>
      <c r="Q1491" s="1"/>
      <c r="R1491" s="1"/>
      <c r="S1491" s="1"/>
      <c r="T1491" s="1"/>
      <c r="U1491" s="1"/>
      <c r="V1491" s="1"/>
      <c r="W1491" s="1"/>
      <c r="X1491" s="1"/>
      <c r="Y1491" s="1"/>
      <c r="Z1491" s="1"/>
      <c r="AA1491" s="1"/>
      <c r="AB1491" s="1"/>
      <c r="AC1491" s="1"/>
      <c r="AD1491" s="1" t="s">
        <v>93</v>
      </c>
      <c r="AE1491" s="1" t="s">
        <v>93</v>
      </c>
      <c r="AF1491" s="1"/>
      <c r="AG1491" s="1"/>
      <c r="AH1491" s="1"/>
      <c r="AI1491" s="1"/>
      <c r="AJ1491" s="1"/>
      <c r="AK1491" s="1"/>
      <c r="AL1491" s="1"/>
      <c r="AM1491" s="1"/>
      <c r="AN1491" s="1"/>
      <c r="AO1491" s="1"/>
      <c r="AP1491" s="1"/>
      <c r="AQ1491" s="1"/>
      <c r="AR1491" s="1"/>
      <c r="AS1491" s="1"/>
      <c r="AT1491" s="1"/>
      <c r="AU1491" s="1"/>
      <c r="AV1491" s="1"/>
      <c r="AW1491" s="1"/>
      <c r="AX1491" s="1"/>
      <c r="AY1491" s="1"/>
      <c r="AZ1491" s="1"/>
      <c r="BA1491" s="1"/>
      <c r="BB1491" s="1"/>
      <c r="BC1491" s="1"/>
      <c r="BD1491" s="1"/>
      <c r="BE1491" s="1"/>
      <c r="BF1491" s="1"/>
      <c r="BG1491" s="1"/>
      <c r="BH1491" s="1"/>
      <c r="BI1491" s="1"/>
      <c r="BJ1491" s="1"/>
      <c r="BK1491" s="1"/>
      <c r="BL1491" s="1"/>
      <c r="BM1491" s="1"/>
      <c r="BN1491" s="1"/>
      <c r="BO1491" s="1"/>
      <c r="BP1491" s="1" t="s">
        <v>9609</v>
      </c>
      <c r="BQ1491" s="3"/>
      <c r="BR1491" s="3"/>
    </row>
    <row r="1492" spans="1:70">
      <c r="A1492" s="1" t="s">
        <v>70</v>
      </c>
      <c r="B1492" s="1" t="s">
        <v>13846</v>
      </c>
      <c r="C1492" s="1" t="s">
        <v>16691</v>
      </c>
      <c r="D1492" s="1"/>
      <c r="E1492" s="1"/>
      <c r="F1492" s="1"/>
      <c r="G1492" s="1"/>
      <c r="H1492" s="1" t="s">
        <v>16692</v>
      </c>
      <c r="I1492" s="1" t="s">
        <v>16692</v>
      </c>
      <c r="J1492" s="1"/>
      <c r="K1492" s="1"/>
      <c r="L1492" s="1"/>
      <c r="M1492" s="1"/>
      <c r="N1492" s="1"/>
      <c r="O1492" s="1"/>
      <c r="P1492" s="1"/>
      <c r="Q1492" s="1"/>
      <c r="R1492" s="1"/>
      <c r="S1492" s="1"/>
      <c r="T1492" s="1"/>
      <c r="U1492" s="1"/>
      <c r="V1492" s="1"/>
      <c r="W1492" s="1"/>
      <c r="X1492" s="1"/>
      <c r="Y1492" s="1"/>
      <c r="Z1492" s="1"/>
      <c r="AA1492" s="1"/>
      <c r="AB1492" s="1"/>
      <c r="AC1492" s="1"/>
      <c r="AD1492" s="1" t="s">
        <v>93</v>
      </c>
      <c r="AE1492" s="1" t="s">
        <v>93</v>
      </c>
      <c r="AF1492" s="1"/>
      <c r="AG1492" s="1"/>
      <c r="AH1492" s="1"/>
      <c r="AI1492" s="1"/>
      <c r="AJ1492" s="1"/>
      <c r="AK1492" s="1"/>
      <c r="AL1492" s="1"/>
      <c r="AM1492" s="1"/>
      <c r="AN1492" s="1"/>
      <c r="AO1492" s="1"/>
      <c r="AP1492" s="1"/>
      <c r="AQ1492" s="1"/>
      <c r="AR1492" s="1"/>
      <c r="AS1492" s="1"/>
      <c r="AT1492" s="1"/>
      <c r="AU1492" s="1"/>
      <c r="AV1492" s="1"/>
      <c r="AW1492" s="1"/>
      <c r="AX1492" s="1"/>
      <c r="AY1492" s="1"/>
      <c r="AZ1492" s="1"/>
      <c r="BA1492" s="1"/>
      <c r="BB1492" s="1"/>
      <c r="BC1492" s="1"/>
      <c r="BD1492" s="1"/>
      <c r="BE1492" s="1"/>
      <c r="BF1492" s="1"/>
      <c r="BG1492" s="1"/>
      <c r="BH1492" s="1"/>
      <c r="BI1492" s="1"/>
      <c r="BJ1492" s="1"/>
      <c r="BK1492" s="1"/>
      <c r="BL1492" s="1"/>
      <c r="BM1492" s="1"/>
      <c r="BN1492" s="1"/>
      <c r="BO1492" s="1"/>
      <c r="BP1492" s="1" t="s">
        <v>9609</v>
      </c>
      <c r="BQ1492" s="3"/>
      <c r="BR1492" s="3"/>
    </row>
    <row r="1493" spans="1:70">
      <c r="A1493" s="1" t="s">
        <v>70</v>
      </c>
      <c r="B1493" s="1" t="s">
        <v>13846</v>
      </c>
      <c r="C1493" s="1" t="s">
        <v>16693</v>
      </c>
      <c r="D1493" s="1"/>
      <c r="E1493" s="1"/>
      <c r="F1493" s="1"/>
      <c r="G1493" s="1"/>
      <c r="H1493" s="1" t="s">
        <v>16694</v>
      </c>
      <c r="I1493" s="1" t="s">
        <v>16694</v>
      </c>
      <c r="J1493" s="1"/>
      <c r="K1493" s="1"/>
      <c r="L1493" s="1"/>
      <c r="M1493" s="1"/>
      <c r="N1493" s="1"/>
      <c r="O1493" s="1"/>
      <c r="P1493" s="1"/>
      <c r="Q1493" s="1"/>
      <c r="R1493" s="1"/>
      <c r="S1493" s="1"/>
      <c r="T1493" s="1"/>
      <c r="U1493" s="1"/>
      <c r="V1493" s="1"/>
      <c r="W1493" s="1"/>
      <c r="X1493" s="1"/>
      <c r="Y1493" s="1"/>
      <c r="Z1493" s="1"/>
      <c r="AA1493" s="1"/>
      <c r="AB1493" s="1"/>
      <c r="AC1493" s="1"/>
      <c r="AD1493" s="1" t="s">
        <v>93</v>
      </c>
      <c r="AE1493" s="1" t="s">
        <v>93</v>
      </c>
      <c r="AF1493" s="1"/>
      <c r="AG1493" s="1"/>
      <c r="AH1493" s="1"/>
      <c r="AI1493" s="1"/>
      <c r="AJ1493" s="1"/>
      <c r="AK1493" s="1"/>
      <c r="AL1493" s="1"/>
      <c r="AM1493" s="1"/>
      <c r="AN1493" s="1"/>
      <c r="AO1493" s="1"/>
      <c r="AP1493" s="1"/>
      <c r="AQ1493" s="1"/>
      <c r="AR1493" s="1"/>
      <c r="AS1493" s="1"/>
      <c r="AT1493" s="1"/>
      <c r="AU1493" s="1"/>
      <c r="AV1493" s="1"/>
      <c r="AW1493" s="1"/>
      <c r="AX1493" s="1"/>
      <c r="AY1493" s="1"/>
      <c r="AZ1493" s="1"/>
      <c r="BA1493" s="1"/>
      <c r="BB1493" s="1"/>
      <c r="BC1493" s="1"/>
      <c r="BD1493" s="1"/>
      <c r="BE1493" s="1"/>
      <c r="BF1493" s="1"/>
      <c r="BG1493" s="1"/>
      <c r="BH1493" s="1"/>
      <c r="BI1493" s="1"/>
      <c r="BJ1493" s="1"/>
      <c r="BK1493" s="1"/>
      <c r="BL1493" s="1"/>
      <c r="BM1493" s="1"/>
      <c r="BN1493" s="1"/>
      <c r="BO1493" s="1"/>
      <c r="BP1493" s="1" t="s">
        <v>9609</v>
      </c>
      <c r="BQ1493" s="3"/>
      <c r="BR1493" s="3"/>
    </row>
    <row r="1494" spans="1:70">
      <c r="A1494" s="1" t="s">
        <v>70</v>
      </c>
      <c r="B1494" s="1" t="s">
        <v>13846</v>
      </c>
      <c r="C1494" s="1" t="s">
        <v>16695</v>
      </c>
      <c r="D1494" s="1"/>
      <c r="E1494" s="1"/>
      <c r="F1494" s="1"/>
      <c r="G1494" s="1"/>
      <c r="H1494" s="1" t="s">
        <v>16696</v>
      </c>
      <c r="I1494" s="1" t="s">
        <v>16696</v>
      </c>
      <c r="J1494" s="1"/>
      <c r="K1494" s="1"/>
      <c r="L1494" s="1"/>
      <c r="M1494" s="1"/>
      <c r="N1494" s="1"/>
      <c r="O1494" s="1"/>
      <c r="P1494" s="1"/>
      <c r="Q1494" s="1"/>
      <c r="R1494" s="1"/>
      <c r="S1494" s="1"/>
      <c r="T1494" s="1"/>
      <c r="U1494" s="1"/>
      <c r="V1494" s="1"/>
      <c r="W1494" s="1"/>
      <c r="X1494" s="1"/>
      <c r="Y1494" s="1"/>
      <c r="Z1494" s="1"/>
      <c r="AA1494" s="1"/>
      <c r="AB1494" s="1"/>
      <c r="AC1494" s="1"/>
      <c r="AD1494" s="1" t="s">
        <v>93</v>
      </c>
      <c r="AE1494" s="1" t="s">
        <v>93</v>
      </c>
      <c r="AF1494" s="1"/>
      <c r="AG1494" s="1"/>
      <c r="AH1494" s="1"/>
      <c r="AI1494" s="1"/>
      <c r="AJ1494" s="1"/>
      <c r="AK1494" s="1"/>
      <c r="AL1494" s="1"/>
      <c r="AM1494" s="1"/>
      <c r="AN1494" s="1"/>
      <c r="AO1494" s="1"/>
      <c r="AP1494" s="1"/>
      <c r="AQ1494" s="1"/>
      <c r="AR1494" s="1"/>
      <c r="AS1494" s="1"/>
      <c r="AT1494" s="1"/>
      <c r="AU1494" s="1"/>
      <c r="AV1494" s="1"/>
      <c r="AW1494" s="1"/>
      <c r="AX1494" s="1"/>
      <c r="AY1494" s="1"/>
      <c r="AZ1494" s="1"/>
      <c r="BA1494" s="1"/>
      <c r="BB1494" s="1"/>
      <c r="BC1494" s="1"/>
      <c r="BD1494" s="1"/>
      <c r="BE1494" s="1"/>
      <c r="BF1494" s="1"/>
      <c r="BG1494" s="1"/>
      <c r="BH1494" s="1"/>
      <c r="BI1494" s="1"/>
      <c r="BJ1494" s="1"/>
      <c r="BK1494" s="1"/>
      <c r="BL1494" s="1"/>
      <c r="BM1494" s="1"/>
      <c r="BN1494" s="1"/>
      <c r="BO1494" s="1"/>
      <c r="BP1494" s="1" t="s">
        <v>9609</v>
      </c>
      <c r="BQ1494" s="3"/>
      <c r="BR1494" s="3"/>
    </row>
    <row r="1495" spans="1:70">
      <c r="A1495" s="1" t="s">
        <v>70</v>
      </c>
      <c r="B1495" s="1" t="s">
        <v>13846</v>
      </c>
      <c r="C1495" s="1" t="s">
        <v>16697</v>
      </c>
      <c r="D1495" s="1"/>
      <c r="E1495" s="1"/>
      <c r="F1495" s="1"/>
      <c r="G1495" s="1"/>
      <c r="H1495" s="1" t="s">
        <v>16698</v>
      </c>
      <c r="I1495" s="1" t="s">
        <v>16698</v>
      </c>
      <c r="J1495" s="1"/>
      <c r="K1495" s="1"/>
      <c r="L1495" s="1"/>
      <c r="M1495" s="1"/>
      <c r="N1495" s="1"/>
      <c r="O1495" s="1"/>
      <c r="P1495" s="1"/>
      <c r="Q1495" s="1"/>
      <c r="R1495" s="1"/>
      <c r="S1495" s="1"/>
      <c r="T1495" s="1"/>
      <c r="U1495" s="1"/>
      <c r="V1495" s="1"/>
      <c r="W1495" s="1"/>
      <c r="X1495" s="1"/>
      <c r="Y1495" s="1"/>
      <c r="Z1495" s="1"/>
      <c r="AA1495" s="1"/>
      <c r="AB1495" s="1"/>
      <c r="AC1495" s="1"/>
      <c r="AD1495" s="1" t="s">
        <v>93</v>
      </c>
      <c r="AE1495" s="1" t="s">
        <v>93</v>
      </c>
      <c r="AF1495" s="1"/>
      <c r="AG1495" s="1"/>
      <c r="AH1495" s="1"/>
      <c r="AI1495" s="1"/>
      <c r="AJ1495" s="1"/>
      <c r="AK1495" s="1"/>
      <c r="AL1495" s="1"/>
      <c r="AM1495" s="1"/>
      <c r="AN1495" s="1"/>
      <c r="AO1495" s="1"/>
      <c r="AP1495" s="1"/>
      <c r="AQ1495" s="1"/>
      <c r="AR1495" s="1"/>
      <c r="AS1495" s="1"/>
      <c r="AT1495" s="1"/>
      <c r="AU1495" s="1"/>
      <c r="AV1495" s="1"/>
      <c r="AW1495" s="1"/>
      <c r="AX1495" s="1"/>
      <c r="AY1495" s="1"/>
      <c r="AZ1495" s="1"/>
      <c r="BA1495" s="1"/>
      <c r="BB1495" s="1"/>
      <c r="BC1495" s="1"/>
      <c r="BD1495" s="1"/>
      <c r="BE1495" s="1"/>
      <c r="BF1495" s="1"/>
      <c r="BG1495" s="1"/>
      <c r="BH1495" s="1"/>
      <c r="BI1495" s="1"/>
      <c r="BJ1495" s="1"/>
      <c r="BK1495" s="1"/>
      <c r="BL1495" s="1"/>
      <c r="BM1495" s="1"/>
      <c r="BN1495" s="1"/>
      <c r="BO1495" s="1"/>
      <c r="BP1495" s="1" t="s">
        <v>9609</v>
      </c>
      <c r="BQ1495" s="3"/>
      <c r="BR1495" s="3"/>
    </row>
    <row r="1496" spans="1:70">
      <c r="A1496" s="1" t="s">
        <v>70</v>
      </c>
      <c r="B1496" s="1" t="s">
        <v>13846</v>
      </c>
      <c r="C1496" s="1" t="s">
        <v>16699</v>
      </c>
      <c r="D1496" s="1"/>
      <c r="E1496" s="1"/>
      <c r="F1496" s="1"/>
      <c r="G1496" s="1"/>
      <c r="H1496" s="1" t="s">
        <v>16700</v>
      </c>
      <c r="I1496" s="1" t="s">
        <v>16700</v>
      </c>
      <c r="J1496" s="1"/>
      <c r="K1496" s="1"/>
      <c r="L1496" s="1"/>
      <c r="M1496" s="1"/>
      <c r="N1496" s="1"/>
      <c r="O1496" s="1"/>
      <c r="P1496" s="1"/>
      <c r="Q1496" s="1"/>
      <c r="R1496" s="1"/>
      <c r="S1496" s="1"/>
      <c r="T1496" s="1"/>
      <c r="U1496" s="1"/>
      <c r="V1496" s="1"/>
      <c r="W1496" s="1"/>
      <c r="X1496" s="1"/>
      <c r="Y1496" s="1"/>
      <c r="Z1496" s="1"/>
      <c r="AA1496" s="1"/>
      <c r="AB1496" s="1"/>
      <c r="AC1496" s="1"/>
      <c r="AD1496" s="1" t="s">
        <v>93</v>
      </c>
      <c r="AE1496" s="1" t="s">
        <v>93</v>
      </c>
      <c r="AF1496" s="1"/>
      <c r="AG1496" s="1"/>
      <c r="AH1496" s="1"/>
      <c r="AI1496" s="1"/>
      <c r="AJ1496" s="1"/>
      <c r="AK1496" s="1"/>
      <c r="AL1496" s="1"/>
      <c r="AM1496" s="1"/>
      <c r="AN1496" s="1"/>
      <c r="AO1496" s="1"/>
      <c r="AP1496" s="1"/>
      <c r="AQ1496" s="1"/>
      <c r="AR1496" s="1"/>
      <c r="AS1496" s="1"/>
      <c r="AT1496" s="1"/>
      <c r="AU1496" s="1"/>
      <c r="AV1496" s="1"/>
      <c r="AW1496" s="1"/>
      <c r="AX1496" s="1"/>
      <c r="AY1496" s="1"/>
      <c r="AZ1496" s="1"/>
      <c r="BA1496" s="1"/>
      <c r="BB1496" s="1"/>
      <c r="BC1496" s="1"/>
      <c r="BD1496" s="1"/>
      <c r="BE1496" s="1"/>
      <c r="BF1496" s="1"/>
      <c r="BG1496" s="1"/>
      <c r="BH1496" s="1"/>
      <c r="BI1496" s="1"/>
      <c r="BJ1496" s="1"/>
      <c r="BK1496" s="1"/>
      <c r="BL1496" s="1"/>
      <c r="BM1496" s="1"/>
      <c r="BN1496" s="1"/>
      <c r="BO1496" s="1"/>
      <c r="BP1496" s="1" t="s">
        <v>9609</v>
      </c>
      <c r="BQ1496" s="3"/>
      <c r="BR1496" s="3"/>
    </row>
    <row r="1497" spans="1:70">
      <c r="A1497" s="1" t="s">
        <v>70</v>
      </c>
      <c r="B1497" s="1" t="s">
        <v>13846</v>
      </c>
      <c r="C1497" s="1" t="s">
        <v>16701</v>
      </c>
      <c r="D1497" s="1"/>
      <c r="E1497" s="1"/>
      <c r="F1497" s="1"/>
      <c r="G1497" s="1"/>
      <c r="H1497" s="1" t="s">
        <v>16702</v>
      </c>
      <c r="I1497" s="1" t="s">
        <v>16702</v>
      </c>
      <c r="J1497" s="1"/>
      <c r="K1497" s="1"/>
      <c r="L1497" s="1"/>
      <c r="M1497" s="1"/>
      <c r="N1497" s="1"/>
      <c r="O1497" s="1"/>
      <c r="P1497" s="1"/>
      <c r="Q1497" s="1"/>
      <c r="R1497" s="1"/>
      <c r="S1497" s="1"/>
      <c r="T1497" s="1"/>
      <c r="U1497" s="1"/>
      <c r="V1497" s="1"/>
      <c r="W1497" s="1"/>
      <c r="X1497" s="1"/>
      <c r="Y1497" s="1"/>
      <c r="Z1497" s="1"/>
      <c r="AA1497" s="1"/>
      <c r="AB1497" s="1"/>
      <c r="AC1497" s="1"/>
      <c r="AD1497" s="1" t="s">
        <v>93</v>
      </c>
      <c r="AE1497" s="1" t="s">
        <v>93</v>
      </c>
      <c r="AF1497" s="1"/>
      <c r="AG1497" s="1"/>
      <c r="AH1497" s="1"/>
      <c r="AI1497" s="1"/>
      <c r="AJ1497" s="1"/>
      <c r="AK1497" s="1"/>
      <c r="AL1497" s="1"/>
      <c r="AM1497" s="1"/>
      <c r="AN1497" s="1"/>
      <c r="AO1497" s="1"/>
      <c r="AP1497" s="1"/>
      <c r="AQ1497" s="1"/>
      <c r="AR1497" s="1"/>
      <c r="AS1497" s="1"/>
      <c r="AT1497" s="1"/>
      <c r="AU1497" s="1"/>
      <c r="AV1497" s="1"/>
      <c r="AW1497" s="1"/>
      <c r="AX1497" s="1"/>
      <c r="AY1497" s="1"/>
      <c r="AZ1497" s="1"/>
      <c r="BA1497" s="1"/>
      <c r="BB1497" s="1"/>
      <c r="BC1497" s="1"/>
      <c r="BD1497" s="1"/>
      <c r="BE1497" s="1"/>
      <c r="BF1497" s="1"/>
      <c r="BG1497" s="1"/>
      <c r="BH1497" s="1"/>
      <c r="BI1497" s="1"/>
      <c r="BJ1497" s="1"/>
      <c r="BK1497" s="1"/>
      <c r="BL1497" s="1"/>
      <c r="BM1497" s="1"/>
      <c r="BN1497" s="1"/>
      <c r="BO1497" s="1"/>
      <c r="BP1497" s="1" t="s">
        <v>9609</v>
      </c>
      <c r="BQ1497" s="3"/>
      <c r="BR1497" s="3"/>
    </row>
    <row r="1498" spans="1:70">
      <c r="A1498" s="1" t="s">
        <v>70</v>
      </c>
      <c r="B1498" s="1" t="s">
        <v>13846</v>
      </c>
      <c r="C1498" s="1" t="s">
        <v>16703</v>
      </c>
      <c r="D1498" s="1"/>
      <c r="E1498" s="1"/>
      <c r="F1498" s="1"/>
      <c r="G1498" s="1"/>
      <c r="H1498" s="1" t="s">
        <v>16704</v>
      </c>
      <c r="I1498" s="1" t="s">
        <v>16704</v>
      </c>
      <c r="J1498" s="1"/>
      <c r="K1498" s="1"/>
      <c r="L1498" s="1"/>
      <c r="M1498" s="1"/>
      <c r="N1498" s="1"/>
      <c r="O1498" s="1"/>
      <c r="P1498" s="1"/>
      <c r="Q1498" s="1"/>
      <c r="R1498" s="1"/>
      <c r="S1498" s="1"/>
      <c r="T1498" s="1"/>
      <c r="U1498" s="1"/>
      <c r="V1498" s="1"/>
      <c r="W1498" s="1"/>
      <c r="X1498" s="1"/>
      <c r="Y1498" s="1"/>
      <c r="Z1498" s="1"/>
      <c r="AA1498" s="1"/>
      <c r="AB1498" s="1"/>
      <c r="AC1498" s="1"/>
      <c r="AD1498" s="1" t="s">
        <v>93</v>
      </c>
      <c r="AE1498" s="1" t="s">
        <v>93</v>
      </c>
      <c r="AF1498" s="1"/>
      <c r="AG1498" s="1"/>
      <c r="AH1498" s="1"/>
      <c r="AI1498" s="1"/>
      <c r="AJ1498" s="1"/>
      <c r="AK1498" s="1"/>
      <c r="AL1498" s="1"/>
      <c r="AM1498" s="1"/>
      <c r="AN1498" s="1"/>
      <c r="AO1498" s="1"/>
      <c r="AP1498" s="1"/>
      <c r="AQ1498" s="1"/>
      <c r="AR1498" s="1"/>
      <c r="AS1498" s="1"/>
      <c r="AT1498" s="1"/>
      <c r="AU1498" s="1"/>
      <c r="AV1498" s="1"/>
      <c r="AW1498" s="1"/>
      <c r="AX1498" s="1"/>
      <c r="AY1498" s="1"/>
      <c r="AZ1498" s="1"/>
      <c r="BA1498" s="1"/>
      <c r="BB1498" s="1"/>
      <c r="BC1498" s="1"/>
      <c r="BD1498" s="1"/>
      <c r="BE1498" s="1"/>
      <c r="BF1498" s="1"/>
      <c r="BG1498" s="1"/>
      <c r="BH1498" s="1"/>
      <c r="BI1498" s="1"/>
      <c r="BJ1498" s="1"/>
      <c r="BK1498" s="1"/>
      <c r="BL1498" s="1"/>
      <c r="BM1498" s="1"/>
      <c r="BN1498" s="1"/>
      <c r="BO1498" s="1"/>
      <c r="BP1498" s="1" t="s">
        <v>9609</v>
      </c>
      <c r="BQ1498" s="3"/>
      <c r="BR1498" s="3"/>
    </row>
    <row r="1499" spans="1:70">
      <c r="A1499" s="1" t="s">
        <v>70</v>
      </c>
      <c r="B1499" s="1" t="s">
        <v>13846</v>
      </c>
      <c r="C1499" s="1" t="s">
        <v>16705</v>
      </c>
      <c r="D1499" s="1"/>
      <c r="E1499" s="1"/>
      <c r="F1499" s="1"/>
      <c r="G1499" s="1"/>
      <c r="H1499" s="1" t="s">
        <v>16706</v>
      </c>
      <c r="I1499" s="1" t="s">
        <v>16706</v>
      </c>
      <c r="J1499" s="1"/>
      <c r="K1499" s="1"/>
      <c r="L1499" s="1"/>
      <c r="M1499" s="1"/>
      <c r="N1499" s="1"/>
      <c r="O1499" s="1"/>
      <c r="P1499" s="1"/>
      <c r="Q1499" s="1"/>
      <c r="R1499" s="1"/>
      <c r="S1499" s="1"/>
      <c r="T1499" s="1"/>
      <c r="U1499" s="1"/>
      <c r="V1499" s="1"/>
      <c r="W1499" s="1"/>
      <c r="X1499" s="1"/>
      <c r="Y1499" s="1"/>
      <c r="Z1499" s="1"/>
      <c r="AA1499" s="1"/>
      <c r="AB1499" s="1"/>
      <c r="AC1499" s="1"/>
      <c r="AD1499" s="1" t="s">
        <v>93</v>
      </c>
      <c r="AE1499" s="1" t="s">
        <v>93</v>
      </c>
      <c r="AF1499" s="1"/>
      <c r="AG1499" s="1"/>
      <c r="AH1499" s="1"/>
      <c r="AI1499" s="1"/>
      <c r="AJ1499" s="1"/>
      <c r="AK1499" s="1"/>
      <c r="AL1499" s="1"/>
      <c r="AM1499" s="1"/>
      <c r="AN1499" s="1"/>
      <c r="AO1499" s="1"/>
      <c r="AP1499" s="1"/>
      <c r="AQ1499" s="1"/>
      <c r="AR1499" s="1"/>
      <c r="AS1499" s="1"/>
      <c r="AT1499" s="1"/>
      <c r="AU1499" s="1"/>
      <c r="AV1499" s="1"/>
      <c r="AW1499" s="1"/>
      <c r="AX1499" s="1"/>
      <c r="AY1499" s="1"/>
      <c r="AZ1499" s="1"/>
      <c r="BA1499" s="1"/>
      <c r="BB1499" s="1"/>
      <c r="BC1499" s="1"/>
      <c r="BD1499" s="1"/>
      <c r="BE1499" s="1"/>
      <c r="BF1499" s="1"/>
      <c r="BG1499" s="1"/>
      <c r="BH1499" s="1"/>
      <c r="BI1499" s="1"/>
      <c r="BJ1499" s="1"/>
      <c r="BK1499" s="1"/>
      <c r="BL1499" s="1"/>
      <c r="BM1499" s="1"/>
      <c r="BN1499" s="1"/>
      <c r="BO1499" s="1"/>
      <c r="BP1499" s="1" t="s">
        <v>9609</v>
      </c>
      <c r="BQ1499" s="3"/>
      <c r="BR1499" s="3"/>
    </row>
    <row r="1500" spans="1:70">
      <c r="A1500" s="1" t="s">
        <v>70</v>
      </c>
      <c r="B1500" s="1" t="s">
        <v>13846</v>
      </c>
      <c r="C1500" s="1" t="s">
        <v>16707</v>
      </c>
      <c r="D1500" s="1"/>
      <c r="E1500" s="1"/>
      <c r="F1500" s="1"/>
      <c r="G1500" s="1"/>
      <c r="H1500" s="1" t="s">
        <v>16708</v>
      </c>
      <c r="I1500" s="1" t="s">
        <v>16708</v>
      </c>
      <c r="J1500" s="1"/>
      <c r="K1500" s="1"/>
      <c r="L1500" s="1"/>
      <c r="M1500" s="1"/>
      <c r="N1500" s="1"/>
      <c r="O1500" s="1"/>
      <c r="P1500" s="1"/>
      <c r="Q1500" s="1"/>
      <c r="R1500" s="1"/>
      <c r="S1500" s="1"/>
      <c r="T1500" s="1"/>
      <c r="U1500" s="1"/>
      <c r="V1500" s="1"/>
      <c r="W1500" s="1"/>
      <c r="X1500" s="1"/>
      <c r="Y1500" s="1"/>
      <c r="Z1500" s="1"/>
      <c r="AA1500" s="1"/>
      <c r="AB1500" s="1"/>
      <c r="AC1500" s="1"/>
      <c r="AD1500" s="1" t="s">
        <v>93</v>
      </c>
      <c r="AE1500" s="1" t="s">
        <v>93</v>
      </c>
      <c r="AF1500" s="1"/>
      <c r="AG1500" s="1"/>
      <c r="AH1500" s="1"/>
      <c r="AI1500" s="1"/>
      <c r="AJ1500" s="1"/>
      <c r="AK1500" s="1"/>
      <c r="AL1500" s="1"/>
      <c r="AM1500" s="1"/>
      <c r="AN1500" s="1"/>
      <c r="AO1500" s="1"/>
      <c r="AP1500" s="1"/>
      <c r="AQ1500" s="1"/>
      <c r="AR1500" s="1"/>
      <c r="AS1500" s="1"/>
      <c r="AT1500" s="1"/>
      <c r="AU1500" s="1"/>
      <c r="AV1500" s="1"/>
      <c r="AW1500" s="1"/>
      <c r="AX1500" s="1"/>
      <c r="AY1500" s="1"/>
      <c r="AZ1500" s="1"/>
      <c r="BA1500" s="1"/>
      <c r="BB1500" s="1"/>
      <c r="BC1500" s="1"/>
      <c r="BD1500" s="1"/>
      <c r="BE1500" s="1"/>
      <c r="BF1500" s="1"/>
      <c r="BG1500" s="1"/>
      <c r="BH1500" s="1"/>
      <c r="BI1500" s="1"/>
      <c r="BJ1500" s="1"/>
      <c r="BK1500" s="1"/>
      <c r="BL1500" s="1"/>
      <c r="BM1500" s="1"/>
      <c r="BN1500" s="1"/>
      <c r="BO1500" s="1"/>
      <c r="BP1500" s="1" t="s">
        <v>9609</v>
      </c>
      <c r="BQ1500" s="3"/>
      <c r="BR1500" s="3"/>
    </row>
    <row r="1501" spans="1:70">
      <c r="A1501" s="1" t="s">
        <v>70</v>
      </c>
      <c r="B1501" s="1" t="s">
        <v>13846</v>
      </c>
      <c r="C1501" s="1" t="s">
        <v>16709</v>
      </c>
      <c r="D1501" s="1"/>
      <c r="E1501" s="1"/>
      <c r="F1501" s="1"/>
      <c r="G1501" s="1"/>
      <c r="H1501" s="1" t="s">
        <v>16710</v>
      </c>
      <c r="I1501" s="1" t="s">
        <v>16710</v>
      </c>
      <c r="J1501" s="1"/>
      <c r="K1501" s="1"/>
      <c r="L1501" s="1"/>
      <c r="M1501" s="1"/>
      <c r="N1501" s="1"/>
      <c r="O1501" s="1"/>
      <c r="P1501" s="1"/>
      <c r="Q1501" s="1"/>
      <c r="R1501" s="1"/>
      <c r="S1501" s="1"/>
      <c r="T1501" s="1"/>
      <c r="U1501" s="1"/>
      <c r="V1501" s="1"/>
      <c r="W1501" s="1"/>
      <c r="X1501" s="1"/>
      <c r="Y1501" s="1"/>
      <c r="Z1501" s="1"/>
      <c r="AA1501" s="1"/>
      <c r="AB1501" s="1"/>
      <c r="AC1501" s="1"/>
      <c r="AD1501" s="1" t="s">
        <v>93</v>
      </c>
      <c r="AE1501" s="1" t="s">
        <v>93</v>
      </c>
      <c r="AF1501" s="1"/>
      <c r="AG1501" s="1"/>
      <c r="AH1501" s="1"/>
      <c r="AI1501" s="1"/>
      <c r="AJ1501" s="1"/>
      <c r="AK1501" s="1"/>
      <c r="AL1501" s="1"/>
      <c r="AM1501" s="1"/>
      <c r="AN1501" s="1"/>
      <c r="AO1501" s="1"/>
      <c r="AP1501" s="1"/>
      <c r="AQ1501" s="1"/>
      <c r="AR1501" s="1"/>
      <c r="AS1501" s="1"/>
      <c r="AT1501" s="1"/>
      <c r="AU1501" s="1"/>
      <c r="AV1501" s="1"/>
      <c r="AW1501" s="1"/>
      <c r="AX1501" s="1"/>
      <c r="AY1501" s="1"/>
      <c r="AZ1501" s="1"/>
      <c r="BA1501" s="1"/>
      <c r="BB1501" s="1"/>
      <c r="BC1501" s="1"/>
      <c r="BD1501" s="1"/>
      <c r="BE1501" s="1"/>
      <c r="BF1501" s="1"/>
      <c r="BG1501" s="1"/>
      <c r="BH1501" s="1"/>
      <c r="BI1501" s="1"/>
      <c r="BJ1501" s="1"/>
      <c r="BK1501" s="1"/>
      <c r="BL1501" s="1"/>
      <c r="BM1501" s="1"/>
      <c r="BN1501" s="1"/>
      <c r="BO1501" s="1"/>
      <c r="BP1501" s="1" t="s">
        <v>9609</v>
      </c>
      <c r="BQ1501" s="3"/>
      <c r="BR1501" s="3"/>
    </row>
    <row r="1502" spans="1:70">
      <c r="A1502" s="1" t="s">
        <v>16711</v>
      </c>
      <c r="B1502" s="1" t="s">
        <v>71</v>
      </c>
      <c r="C1502" s="1" t="s">
        <v>16712</v>
      </c>
      <c r="D1502" s="1" t="s">
        <v>9113</v>
      </c>
      <c r="E1502" s="1" t="s">
        <v>16713</v>
      </c>
      <c r="F1502" s="1" t="s">
        <v>16714</v>
      </c>
      <c r="G1502" s="1" t="s">
        <v>16715</v>
      </c>
      <c r="H1502" s="1" t="s">
        <v>16716</v>
      </c>
      <c r="I1502" s="1" t="s">
        <v>16717</v>
      </c>
      <c r="J1502" s="1">
        <v>9359660562</v>
      </c>
      <c r="K1502" s="1" t="s">
        <v>79</v>
      </c>
      <c r="L1502" s="1" t="s">
        <v>16718</v>
      </c>
      <c r="M1502" s="1" t="s">
        <v>81</v>
      </c>
      <c r="N1502" s="1" t="s">
        <v>151</v>
      </c>
      <c r="O1502" s="1" t="s">
        <v>16719</v>
      </c>
      <c r="P1502" s="1" t="s">
        <v>84</v>
      </c>
      <c r="Q1502" s="1" t="s">
        <v>16720</v>
      </c>
      <c r="R1502" s="1" t="s">
        <v>16721</v>
      </c>
      <c r="S1502" s="1">
        <v>7972815434</v>
      </c>
      <c r="T1502" s="1" t="s">
        <v>16722</v>
      </c>
      <c r="U1502" s="1" t="s">
        <v>16723</v>
      </c>
      <c r="V1502" s="1">
        <v>7083865742</v>
      </c>
      <c r="W1502" s="1" t="s">
        <v>156</v>
      </c>
      <c r="X1502" s="1" t="s">
        <v>16724</v>
      </c>
      <c r="Y1502" s="1" t="s">
        <v>5588</v>
      </c>
      <c r="Z1502" s="1" t="s">
        <v>92</v>
      </c>
      <c r="AA1502" s="1" t="s">
        <v>16725</v>
      </c>
      <c r="AB1502" s="1" t="s">
        <v>5588</v>
      </c>
      <c r="AC1502" s="1" t="s">
        <v>92</v>
      </c>
      <c r="AD1502" s="1" t="s">
        <v>93</v>
      </c>
      <c r="AE1502" s="1" t="s">
        <v>93</v>
      </c>
      <c r="AF1502" s="1" t="s">
        <v>16726</v>
      </c>
      <c r="AG1502" s="1" t="s">
        <v>16727</v>
      </c>
      <c r="AH1502" s="1" t="s">
        <v>337</v>
      </c>
      <c r="AI1502" s="1" t="s">
        <v>1089</v>
      </c>
      <c r="AJ1502" s="1">
        <v>84.4</v>
      </c>
      <c r="AK1502" s="1"/>
      <c r="AL1502" s="1" t="s">
        <v>16728</v>
      </c>
      <c r="AM1502" s="1" t="s">
        <v>16729</v>
      </c>
      <c r="AN1502" s="1" t="s">
        <v>225</v>
      </c>
      <c r="AO1502" s="1" t="s">
        <v>101</v>
      </c>
      <c r="AP1502" s="1">
        <v>64.77</v>
      </c>
      <c r="AQ1502" s="1"/>
      <c r="AR1502" s="1"/>
      <c r="AS1502" s="1"/>
      <c r="AT1502" s="1"/>
      <c r="AU1502" s="1"/>
      <c r="AV1502" s="1"/>
      <c r="AW1502" s="1"/>
      <c r="AX1502" s="1" t="s">
        <v>410</v>
      </c>
      <c r="AY1502" s="1" t="s">
        <v>16730</v>
      </c>
      <c r="AZ1502" s="1" t="s">
        <v>16731</v>
      </c>
      <c r="BA1502" s="1" t="s">
        <v>511</v>
      </c>
      <c r="BB1502" s="1">
        <v>81.2</v>
      </c>
      <c r="BC1502" s="1">
        <v>8.87</v>
      </c>
      <c r="BD1502" s="1"/>
      <c r="BE1502" s="1"/>
      <c r="BF1502" s="1"/>
      <c r="BG1502" s="1"/>
      <c r="BH1502" s="1"/>
      <c r="BI1502" s="1"/>
      <c r="BJ1502" s="1" t="s">
        <v>16732</v>
      </c>
      <c r="BK1502" s="1"/>
      <c r="BL1502" s="1"/>
      <c r="BM1502" s="1" t="s">
        <v>16733</v>
      </c>
      <c r="BN1502" s="1">
        <v>7</v>
      </c>
      <c r="BO1502" s="1"/>
      <c r="BP1502" s="1" t="str">
        <f>HYPERLINK("https://nconnect.nicmar.ac.in/storage/profile/6a1ff84bd9c64.png","Download")</f>
        <v>0</v>
      </c>
      <c r="BQ1502" s="3"/>
      <c r="BR1502" s="3"/>
    </row>
    <row r="1503" spans="1:70">
      <c r="A1503" s="1" t="s">
        <v>16711</v>
      </c>
      <c r="B1503" s="1" t="s">
        <v>71</v>
      </c>
      <c r="C1503" s="1" t="s">
        <v>16734</v>
      </c>
      <c r="D1503" s="1" t="s">
        <v>16735</v>
      </c>
      <c r="E1503" s="1" t="s">
        <v>11142</v>
      </c>
      <c r="F1503" s="1" t="s">
        <v>181</v>
      </c>
      <c r="G1503" s="1" t="s">
        <v>16736</v>
      </c>
      <c r="H1503" s="1" t="s">
        <v>16737</v>
      </c>
      <c r="I1503" s="1" t="s">
        <v>16737</v>
      </c>
      <c r="J1503" s="1">
        <v>7709412149</v>
      </c>
      <c r="K1503" s="1" t="s">
        <v>79</v>
      </c>
      <c r="L1503" s="1" t="s">
        <v>15521</v>
      </c>
      <c r="M1503" s="1" t="s">
        <v>81</v>
      </c>
      <c r="N1503" s="1" t="s">
        <v>4861</v>
      </c>
      <c r="O1503" s="1" t="s">
        <v>83</v>
      </c>
      <c r="P1503" s="1" t="s">
        <v>117</v>
      </c>
      <c r="Q1503" s="1" t="s">
        <v>16738</v>
      </c>
      <c r="R1503" s="1" t="s">
        <v>181</v>
      </c>
      <c r="S1503" s="1">
        <v>9421586137</v>
      </c>
      <c r="T1503" s="1" t="s">
        <v>120</v>
      </c>
      <c r="U1503" s="1" t="s">
        <v>301</v>
      </c>
      <c r="V1503" s="1">
        <v>7756878059</v>
      </c>
      <c r="W1503" s="1" t="s">
        <v>89</v>
      </c>
      <c r="X1503" s="1" t="s">
        <v>16739</v>
      </c>
      <c r="Y1503" s="1" t="s">
        <v>158</v>
      </c>
      <c r="Z1503" s="1" t="s">
        <v>92</v>
      </c>
      <c r="AA1503" s="1" t="s">
        <v>16739</v>
      </c>
      <c r="AB1503" s="1" t="s">
        <v>158</v>
      </c>
      <c r="AC1503" s="1" t="s">
        <v>92</v>
      </c>
      <c r="AD1503" s="1" t="s">
        <v>93</v>
      </c>
      <c r="AE1503" s="1" t="s">
        <v>93</v>
      </c>
      <c r="AF1503" s="1" t="s">
        <v>16740</v>
      </c>
      <c r="AG1503" s="1" t="s">
        <v>16741</v>
      </c>
      <c r="AH1503" s="1" t="s">
        <v>165</v>
      </c>
      <c r="AI1503" s="1" t="s">
        <v>281</v>
      </c>
      <c r="AJ1503" s="1">
        <v>90.2</v>
      </c>
      <c r="AK1503" s="1"/>
      <c r="AL1503" s="1" t="s">
        <v>16742</v>
      </c>
      <c r="AM1503" s="1" t="s">
        <v>160</v>
      </c>
      <c r="AN1503" s="1" t="s">
        <v>101</v>
      </c>
      <c r="AO1503" s="1" t="s">
        <v>360</v>
      </c>
      <c r="AP1503" s="1">
        <v>81.23</v>
      </c>
      <c r="AQ1503" s="1"/>
      <c r="AR1503" s="1"/>
      <c r="AS1503" s="1"/>
      <c r="AT1503" s="1"/>
      <c r="AU1503" s="1"/>
      <c r="AV1503" s="1"/>
      <c r="AW1503" s="1"/>
      <c r="AX1503" s="1" t="s">
        <v>361</v>
      </c>
      <c r="AY1503" s="1" t="s">
        <v>16743</v>
      </c>
      <c r="AZ1503" s="1" t="s">
        <v>173</v>
      </c>
      <c r="BA1503" s="1" t="s">
        <v>566</v>
      </c>
      <c r="BB1503" s="1">
        <v>78.08</v>
      </c>
      <c r="BC1503" s="1">
        <v>8.59</v>
      </c>
      <c r="BD1503" s="1"/>
      <c r="BE1503" s="1"/>
      <c r="BF1503" s="1"/>
      <c r="BG1503" s="1"/>
      <c r="BH1503" s="1"/>
      <c r="BI1503" s="1"/>
      <c r="BJ1503" s="1" t="s">
        <v>16744</v>
      </c>
      <c r="BK1503" s="1"/>
      <c r="BL1503" s="1"/>
      <c r="BM1503" s="1" t="s">
        <v>16745</v>
      </c>
      <c r="BN1503" s="1">
        <v>8</v>
      </c>
      <c r="BO1503" s="1" t="s">
        <v>16746</v>
      </c>
      <c r="BP1503" s="1" t="str">
        <f>HYPERLINK("https://nconnect.nicmar.ac.in/storage/profile/6a20f9c0b49b0.png","Download")</f>
        <v>0</v>
      </c>
      <c r="BQ1503" s="3"/>
      <c r="BR1503" s="3"/>
    </row>
    <row r="1504" spans="1:70">
      <c r="A1504" s="1" t="s">
        <v>16711</v>
      </c>
      <c r="B1504" s="1" t="s">
        <v>71</v>
      </c>
      <c r="C1504" s="1" t="s">
        <v>16747</v>
      </c>
      <c r="D1504" s="1" t="s">
        <v>2631</v>
      </c>
      <c r="E1504" s="1" t="s">
        <v>1298</v>
      </c>
      <c r="F1504" s="1" t="s">
        <v>16748</v>
      </c>
      <c r="G1504" s="1" t="s">
        <v>16749</v>
      </c>
      <c r="H1504" s="1" t="s">
        <v>16750</v>
      </c>
      <c r="I1504" s="1" t="s">
        <v>16750</v>
      </c>
      <c r="J1504" s="1">
        <v>8185867804</v>
      </c>
      <c r="K1504" s="1" t="s">
        <v>79</v>
      </c>
      <c r="L1504" s="1" t="s">
        <v>16751</v>
      </c>
      <c r="M1504" s="1" t="s">
        <v>81</v>
      </c>
      <c r="N1504" s="1" t="s">
        <v>16752</v>
      </c>
      <c r="O1504" s="1" t="s">
        <v>83</v>
      </c>
      <c r="P1504" s="1" t="s">
        <v>351</v>
      </c>
      <c r="Q1504" s="1" t="s">
        <v>16753</v>
      </c>
      <c r="R1504" s="1" t="s">
        <v>16754</v>
      </c>
      <c r="S1504" s="1">
        <v>9603826815</v>
      </c>
      <c r="T1504" s="1" t="s">
        <v>16755</v>
      </c>
      <c r="U1504" s="1" t="s">
        <v>16756</v>
      </c>
      <c r="V1504" s="1">
        <v>8897219955</v>
      </c>
      <c r="W1504" s="1" t="s">
        <v>16757</v>
      </c>
      <c r="X1504" s="1" t="s">
        <v>16758</v>
      </c>
      <c r="Y1504" s="1" t="s">
        <v>3050</v>
      </c>
      <c r="Z1504" s="1" t="s">
        <v>456</v>
      </c>
      <c r="AA1504" s="1" t="s">
        <v>16758</v>
      </c>
      <c r="AB1504" s="1" t="s">
        <v>3050</v>
      </c>
      <c r="AC1504" s="1" t="s">
        <v>456</v>
      </c>
      <c r="AD1504" s="1" t="s">
        <v>93</v>
      </c>
      <c r="AE1504" s="1" t="s">
        <v>93</v>
      </c>
      <c r="AF1504" s="1" t="s">
        <v>16759</v>
      </c>
      <c r="AG1504" s="1" t="s">
        <v>2645</v>
      </c>
      <c r="AH1504" s="1" t="s">
        <v>97</v>
      </c>
      <c r="AI1504" s="1" t="s">
        <v>1089</v>
      </c>
      <c r="AJ1504" s="1">
        <v>85</v>
      </c>
      <c r="AK1504" s="1">
        <v>8.5</v>
      </c>
      <c r="AL1504" s="1" t="s">
        <v>3052</v>
      </c>
      <c r="AM1504" s="1" t="s">
        <v>3053</v>
      </c>
      <c r="AN1504" s="1" t="s">
        <v>162</v>
      </c>
      <c r="AO1504" s="1" t="s">
        <v>281</v>
      </c>
      <c r="AP1504" s="1">
        <v>83.8</v>
      </c>
      <c r="AQ1504" s="1"/>
      <c r="AR1504" s="1"/>
      <c r="AS1504" s="1"/>
      <c r="AT1504" s="1"/>
      <c r="AU1504" s="1"/>
      <c r="AV1504" s="1"/>
      <c r="AW1504" s="1"/>
      <c r="AX1504" s="1" t="s">
        <v>1798</v>
      </c>
      <c r="AY1504" s="1" t="s">
        <v>16760</v>
      </c>
      <c r="AZ1504" s="1" t="s">
        <v>101</v>
      </c>
      <c r="BA1504" s="1" t="s">
        <v>2775</v>
      </c>
      <c r="BB1504" s="1">
        <v>57</v>
      </c>
      <c r="BC1504" s="1">
        <v>6.2</v>
      </c>
      <c r="BD1504" s="1"/>
      <c r="BE1504" s="1"/>
      <c r="BF1504" s="1"/>
      <c r="BG1504" s="1"/>
      <c r="BH1504" s="1"/>
      <c r="BI1504" s="1"/>
      <c r="BJ1504" s="1" t="s">
        <v>16761</v>
      </c>
      <c r="BK1504" s="1" t="s">
        <v>16762</v>
      </c>
      <c r="BL1504" s="1" t="s">
        <v>9384</v>
      </c>
      <c r="BM1504" s="1" t="s">
        <v>16763</v>
      </c>
      <c r="BN1504" s="1">
        <v>8</v>
      </c>
      <c r="BO1504" s="1" t="s">
        <v>16764</v>
      </c>
      <c r="BP1504" s="1" t="str">
        <f>HYPERLINK("https://nconnect.nicmar.ac.in/storage/profile/6a2103f0b6786.png","Download")</f>
        <v>0</v>
      </c>
      <c r="BQ1504" s="3"/>
      <c r="BR1504" s="3"/>
    </row>
    <row r="1505" spans="1:70">
      <c r="A1505" s="1" t="s">
        <v>16711</v>
      </c>
      <c r="B1505" s="1" t="s">
        <v>71</v>
      </c>
      <c r="C1505" s="1" t="s">
        <v>16765</v>
      </c>
      <c r="D1505" s="1" t="s">
        <v>16766</v>
      </c>
      <c r="E1505" s="1" t="s">
        <v>234</v>
      </c>
      <c r="F1505" s="1" t="s">
        <v>16767</v>
      </c>
      <c r="G1505" s="1" t="s">
        <v>16768</v>
      </c>
      <c r="H1505" s="1" t="s">
        <v>16769</v>
      </c>
      <c r="I1505" s="1" t="s">
        <v>16769</v>
      </c>
      <c r="J1505" s="1">
        <v>9028775607</v>
      </c>
      <c r="K1505" s="1" t="s">
        <v>79</v>
      </c>
      <c r="L1505" s="1" t="s">
        <v>16770</v>
      </c>
      <c r="M1505" s="1" t="s">
        <v>81</v>
      </c>
      <c r="N1505" s="1" t="s">
        <v>16771</v>
      </c>
      <c r="O1505" s="1" t="s">
        <v>83</v>
      </c>
      <c r="P1505" s="1" t="s">
        <v>117</v>
      </c>
      <c r="Q1505" s="1" t="s">
        <v>16772</v>
      </c>
      <c r="R1505" s="1" t="s">
        <v>16773</v>
      </c>
      <c r="S1505" s="1">
        <v>9850891727</v>
      </c>
      <c r="T1505" s="1" t="s">
        <v>820</v>
      </c>
      <c r="U1505" s="1" t="s">
        <v>16774</v>
      </c>
      <c r="V1505" s="1">
        <v>9637694763</v>
      </c>
      <c r="W1505" s="1" t="s">
        <v>122</v>
      </c>
      <c r="X1505" s="1" t="s">
        <v>16775</v>
      </c>
      <c r="Y1505" s="1" t="s">
        <v>191</v>
      </c>
      <c r="Z1505" s="1" t="s">
        <v>92</v>
      </c>
      <c r="AA1505" s="1" t="s">
        <v>16775</v>
      </c>
      <c r="AB1505" s="1" t="s">
        <v>191</v>
      </c>
      <c r="AC1505" s="1" t="s">
        <v>92</v>
      </c>
      <c r="AD1505" s="1" t="s">
        <v>93</v>
      </c>
      <c r="AE1505" s="1" t="s">
        <v>93</v>
      </c>
      <c r="AF1505" s="1" t="s">
        <v>16776</v>
      </c>
      <c r="AG1505" s="1" t="s">
        <v>194</v>
      </c>
      <c r="AH1505" s="1" t="s">
        <v>161</v>
      </c>
      <c r="AI1505" s="1" t="s">
        <v>1089</v>
      </c>
      <c r="AJ1505" s="1">
        <v>86.4</v>
      </c>
      <c r="AK1505" s="1"/>
      <c r="AL1505" s="1" t="s">
        <v>16777</v>
      </c>
      <c r="AM1505" s="1" t="s">
        <v>197</v>
      </c>
      <c r="AN1505" s="1" t="s">
        <v>383</v>
      </c>
      <c r="AO1505" s="1" t="s">
        <v>166</v>
      </c>
      <c r="AP1505" s="1">
        <v>64.31</v>
      </c>
      <c r="AQ1505" s="1"/>
      <c r="AR1505" s="1"/>
      <c r="AS1505" s="1"/>
      <c r="AT1505" s="1"/>
      <c r="AU1505" s="1"/>
      <c r="AV1505" s="1"/>
      <c r="AW1505" s="1"/>
      <c r="AX1505" s="1" t="s">
        <v>361</v>
      </c>
      <c r="AY1505" s="1" t="s">
        <v>16778</v>
      </c>
      <c r="AZ1505" s="1" t="s">
        <v>1043</v>
      </c>
      <c r="BA1505" s="1" t="s">
        <v>229</v>
      </c>
      <c r="BB1505" s="1">
        <v>68.2</v>
      </c>
      <c r="BC1505" s="1">
        <v>7.57</v>
      </c>
      <c r="BD1505" s="1"/>
      <c r="BE1505" s="1"/>
      <c r="BF1505" s="1"/>
      <c r="BG1505" s="1"/>
      <c r="BH1505" s="1"/>
      <c r="BI1505" s="1"/>
      <c r="BJ1505" s="1" t="s">
        <v>16779</v>
      </c>
      <c r="BK1505" s="1" t="s">
        <v>16780</v>
      </c>
      <c r="BL1505" s="1" t="s">
        <v>2569</v>
      </c>
      <c r="BM1505" s="1" t="s">
        <v>16781</v>
      </c>
      <c r="BN1505" s="1">
        <v>8</v>
      </c>
      <c r="BO1505" s="1" t="s">
        <v>16782</v>
      </c>
      <c r="BP1505" s="1" t="str">
        <f>HYPERLINK("https://nconnect.nicmar.ac.in/storage/profile/6a210ba0cac18.png","Download")</f>
        <v>0</v>
      </c>
      <c r="BQ1505" s="3"/>
      <c r="BR1505" s="3"/>
    </row>
    <row r="1506" spans="1:70">
      <c r="A1506" s="1" t="s">
        <v>16711</v>
      </c>
      <c r="B1506" s="1" t="s">
        <v>71</v>
      </c>
      <c r="C1506" s="1" t="s">
        <v>16783</v>
      </c>
      <c r="D1506" s="1" t="s">
        <v>3511</v>
      </c>
      <c r="E1506" s="1" t="s">
        <v>392</v>
      </c>
      <c r="F1506" s="1" t="s">
        <v>16784</v>
      </c>
      <c r="G1506" s="1" t="s">
        <v>16785</v>
      </c>
      <c r="H1506" s="1" t="s">
        <v>16786</v>
      </c>
      <c r="I1506" s="1" t="s">
        <v>16786</v>
      </c>
      <c r="J1506" s="1">
        <v>8657223200</v>
      </c>
      <c r="K1506" s="1" t="s">
        <v>79</v>
      </c>
      <c r="L1506" s="1" t="s">
        <v>16787</v>
      </c>
      <c r="M1506" s="1" t="s">
        <v>81</v>
      </c>
      <c r="N1506" s="1" t="s">
        <v>4861</v>
      </c>
      <c r="O1506" s="1" t="s">
        <v>83</v>
      </c>
      <c r="P1506" s="1" t="s">
        <v>214</v>
      </c>
      <c r="Q1506" s="1" t="s">
        <v>16788</v>
      </c>
      <c r="R1506" s="1" t="s">
        <v>392</v>
      </c>
      <c r="S1506" s="1">
        <v>8087526200</v>
      </c>
      <c r="T1506" s="1" t="s">
        <v>16789</v>
      </c>
      <c r="U1506" s="1" t="s">
        <v>1724</v>
      </c>
      <c r="V1506" s="1">
        <v>9960104200</v>
      </c>
      <c r="W1506" s="1" t="s">
        <v>531</v>
      </c>
      <c r="X1506" s="1" t="s">
        <v>16790</v>
      </c>
      <c r="Y1506" s="1" t="s">
        <v>1754</v>
      </c>
      <c r="Z1506" s="1" t="s">
        <v>92</v>
      </c>
      <c r="AA1506" s="1" t="s">
        <v>16790</v>
      </c>
      <c r="AB1506" s="1" t="s">
        <v>1754</v>
      </c>
      <c r="AC1506" s="1" t="s">
        <v>92</v>
      </c>
      <c r="AD1506" s="1" t="s">
        <v>93</v>
      </c>
      <c r="AE1506" s="1" t="s">
        <v>93</v>
      </c>
      <c r="AF1506" s="1" t="s">
        <v>16791</v>
      </c>
      <c r="AG1506" s="1" t="s">
        <v>16792</v>
      </c>
      <c r="AH1506" s="1" t="s">
        <v>10479</v>
      </c>
      <c r="AI1506" s="1" t="s">
        <v>331</v>
      </c>
      <c r="AJ1506" s="1">
        <v>77.9</v>
      </c>
      <c r="AK1506" s="1">
        <v>8.2</v>
      </c>
      <c r="AL1506" s="1" t="s">
        <v>16793</v>
      </c>
      <c r="AM1506" s="1" t="s">
        <v>16792</v>
      </c>
      <c r="AN1506" s="1" t="s">
        <v>3303</v>
      </c>
      <c r="AO1506" s="1" t="s">
        <v>2736</v>
      </c>
      <c r="AP1506" s="1">
        <v>69.0</v>
      </c>
      <c r="AQ1506" s="1">
        <v>0.0</v>
      </c>
      <c r="AR1506" s="1"/>
      <c r="AS1506" s="1"/>
      <c r="AT1506" s="1"/>
      <c r="AU1506" s="1"/>
      <c r="AV1506" s="1"/>
      <c r="AW1506" s="1"/>
      <c r="AX1506" s="1" t="s">
        <v>16794</v>
      </c>
      <c r="AY1506" s="1" t="s">
        <v>16795</v>
      </c>
      <c r="AZ1506" s="1" t="s">
        <v>16796</v>
      </c>
      <c r="BA1506" s="1" t="s">
        <v>100</v>
      </c>
      <c r="BB1506" s="1">
        <v>70.24</v>
      </c>
      <c r="BC1506" s="1">
        <v>0.0</v>
      </c>
      <c r="BD1506" s="1"/>
      <c r="BE1506" s="1"/>
      <c r="BF1506" s="1"/>
      <c r="BG1506" s="1"/>
      <c r="BH1506" s="1"/>
      <c r="BI1506" s="1"/>
      <c r="BJ1506" s="1" t="s">
        <v>16797</v>
      </c>
      <c r="BK1506" s="1" t="s">
        <v>16798</v>
      </c>
      <c r="BL1506" s="1" t="s">
        <v>16799</v>
      </c>
      <c r="BM1506" s="1"/>
      <c r="BN1506" s="1"/>
      <c r="BO1506" s="1" t="s">
        <v>16800</v>
      </c>
      <c r="BP1506" s="1" t="str">
        <f>HYPERLINK("https://nconnect.nicmar.ac.in/storage/profile/6a21173ac4788.png","Download")</f>
        <v>0</v>
      </c>
      <c r="BQ1506" s="3"/>
      <c r="BR1506" s="3"/>
    </row>
    <row r="1507" spans="1:70">
      <c r="A1507" s="1" t="s">
        <v>16711</v>
      </c>
      <c r="B1507" s="1" t="s">
        <v>71</v>
      </c>
      <c r="C1507" s="1" t="s">
        <v>16801</v>
      </c>
      <c r="D1507" s="1" t="s">
        <v>16802</v>
      </c>
      <c r="E1507" s="1" t="s">
        <v>16803</v>
      </c>
      <c r="F1507" s="1" t="s">
        <v>16804</v>
      </c>
      <c r="G1507" s="1" t="s">
        <v>16805</v>
      </c>
      <c r="H1507" s="1" t="s">
        <v>16806</v>
      </c>
      <c r="I1507" s="1" t="s">
        <v>16806</v>
      </c>
      <c r="J1507" s="1">
        <v>9850877662</v>
      </c>
      <c r="K1507" s="1" t="s">
        <v>79</v>
      </c>
      <c r="L1507" s="1" t="s">
        <v>12149</v>
      </c>
      <c r="M1507" s="1" t="s">
        <v>81</v>
      </c>
      <c r="N1507" s="1" t="s">
        <v>8278</v>
      </c>
      <c r="O1507" s="1" t="s">
        <v>83</v>
      </c>
      <c r="P1507" s="1" t="s">
        <v>84</v>
      </c>
      <c r="Q1507" s="1" t="s">
        <v>16807</v>
      </c>
      <c r="R1507" s="1" t="s">
        <v>16803</v>
      </c>
      <c r="S1507" s="1">
        <v>9822189385</v>
      </c>
      <c r="T1507" s="1" t="s">
        <v>1529</v>
      </c>
      <c r="U1507" s="1" t="s">
        <v>16808</v>
      </c>
      <c r="V1507" s="1">
        <v>8483099147</v>
      </c>
      <c r="W1507" s="1" t="s">
        <v>156</v>
      </c>
      <c r="X1507" s="1" t="s">
        <v>16809</v>
      </c>
      <c r="Y1507" s="1" t="s">
        <v>1754</v>
      </c>
      <c r="Z1507" s="1" t="s">
        <v>92</v>
      </c>
      <c r="AA1507" s="1" t="s">
        <v>16809</v>
      </c>
      <c r="AB1507" s="1" t="s">
        <v>1754</v>
      </c>
      <c r="AC1507" s="1" t="s">
        <v>92</v>
      </c>
      <c r="AD1507" s="1" t="s">
        <v>93</v>
      </c>
      <c r="AE1507" s="1" t="s">
        <v>93</v>
      </c>
      <c r="AF1507" s="1" t="s">
        <v>16810</v>
      </c>
      <c r="AG1507" s="1" t="s">
        <v>1942</v>
      </c>
      <c r="AH1507" s="1" t="s">
        <v>689</v>
      </c>
      <c r="AI1507" s="1" t="s">
        <v>281</v>
      </c>
      <c r="AJ1507" s="1">
        <v>66.8</v>
      </c>
      <c r="AK1507" s="1">
        <v>0.0</v>
      </c>
      <c r="AL1507" s="1" t="s">
        <v>16811</v>
      </c>
      <c r="AM1507" s="1" t="s">
        <v>1942</v>
      </c>
      <c r="AN1507" s="1" t="s">
        <v>409</v>
      </c>
      <c r="AO1507" s="1" t="s">
        <v>360</v>
      </c>
      <c r="AP1507" s="1">
        <v>54.46</v>
      </c>
      <c r="AQ1507" s="1"/>
      <c r="AR1507" s="1"/>
      <c r="AS1507" s="1"/>
      <c r="AT1507" s="1"/>
      <c r="AU1507" s="1"/>
      <c r="AV1507" s="1"/>
      <c r="AW1507" s="1"/>
      <c r="AX1507" s="1" t="s">
        <v>16812</v>
      </c>
      <c r="AY1507" s="1" t="s">
        <v>16812</v>
      </c>
      <c r="AZ1507" s="1" t="s">
        <v>1019</v>
      </c>
      <c r="BA1507" s="1" t="s">
        <v>935</v>
      </c>
      <c r="BB1507" s="1">
        <v>77.9</v>
      </c>
      <c r="BC1507" s="1"/>
      <c r="BD1507" s="1"/>
      <c r="BE1507" s="1"/>
      <c r="BF1507" s="1"/>
      <c r="BG1507" s="1"/>
      <c r="BH1507" s="1"/>
      <c r="BI1507" s="1"/>
      <c r="BJ1507" s="1" t="s">
        <v>16813</v>
      </c>
      <c r="BK1507" s="1"/>
      <c r="BL1507" s="1"/>
      <c r="BM1507" s="1" t="s">
        <v>16814</v>
      </c>
      <c r="BN1507" s="1">
        <v>16</v>
      </c>
      <c r="BO1507" s="1"/>
      <c r="BP1507" s="1" t="str">
        <f>HYPERLINK("https://nconnect.nicmar.ac.in/storage/profile/6a211eb83dc01.png","Download")</f>
        <v>0</v>
      </c>
      <c r="BQ1507" s="3"/>
      <c r="BR1507" s="3"/>
    </row>
    <row r="1508" spans="1:70">
      <c r="A1508" s="1" t="s">
        <v>16711</v>
      </c>
      <c r="B1508" s="1" t="s">
        <v>71</v>
      </c>
      <c r="C1508" s="1" t="s">
        <v>16815</v>
      </c>
      <c r="D1508" s="1" t="s">
        <v>16816</v>
      </c>
      <c r="E1508" s="1"/>
      <c r="F1508" s="1" t="s">
        <v>16817</v>
      </c>
      <c r="G1508" s="1" t="s">
        <v>16818</v>
      </c>
      <c r="H1508" s="1" t="s">
        <v>16819</v>
      </c>
      <c r="I1508" s="1" t="s">
        <v>16819</v>
      </c>
      <c r="J1508" s="1">
        <v>9960999913</v>
      </c>
      <c r="K1508" s="1" t="s">
        <v>79</v>
      </c>
      <c r="L1508" s="1" t="s">
        <v>15074</v>
      </c>
      <c r="M1508" s="1" t="s">
        <v>81</v>
      </c>
      <c r="N1508" s="1" t="s">
        <v>4861</v>
      </c>
      <c r="O1508" s="1" t="s">
        <v>83</v>
      </c>
      <c r="P1508" s="1" t="s">
        <v>214</v>
      </c>
      <c r="Q1508" s="1" t="s">
        <v>16820</v>
      </c>
      <c r="R1508" s="1" t="s">
        <v>16821</v>
      </c>
      <c r="S1508" s="1">
        <v>9890841349</v>
      </c>
      <c r="T1508" s="1" t="s">
        <v>154</v>
      </c>
      <c r="U1508" s="1" t="s">
        <v>1103</v>
      </c>
      <c r="V1508" s="1">
        <v>7686868181</v>
      </c>
      <c r="W1508" s="1" t="s">
        <v>89</v>
      </c>
      <c r="X1508" s="1" t="s">
        <v>16822</v>
      </c>
      <c r="Y1508" s="1" t="s">
        <v>1754</v>
      </c>
      <c r="Z1508" s="1" t="s">
        <v>92</v>
      </c>
      <c r="AA1508" s="1" t="s">
        <v>16822</v>
      </c>
      <c r="AB1508" s="1" t="s">
        <v>1754</v>
      </c>
      <c r="AC1508" s="1" t="s">
        <v>92</v>
      </c>
      <c r="AD1508" s="1" t="s">
        <v>93</v>
      </c>
      <c r="AE1508" s="1" t="s">
        <v>93</v>
      </c>
      <c r="AF1508" s="1" t="s">
        <v>16823</v>
      </c>
      <c r="AG1508" s="1" t="s">
        <v>16824</v>
      </c>
      <c r="AH1508" s="1" t="s">
        <v>225</v>
      </c>
      <c r="AI1508" s="1" t="s">
        <v>101</v>
      </c>
      <c r="AJ1508" s="1">
        <v>73.8</v>
      </c>
      <c r="AK1508" s="1"/>
      <c r="AL1508" s="1" t="s">
        <v>16825</v>
      </c>
      <c r="AM1508" s="1" t="s">
        <v>16826</v>
      </c>
      <c r="AN1508" s="1" t="s">
        <v>433</v>
      </c>
      <c r="AO1508" s="1" t="s">
        <v>460</v>
      </c>
      <c r="AP1508" s="1">
        <v>55.08</v>
      </c>
      <c r="AQ1508" s="1"/>
      <c r="AR1508" s="1"/>
      <c r="AS1508" s="1"/>
      <c r="AT1508" s="1"/>
      <c r="AU1508" s="1"/>
      <c r="AV1508" s="1"/>
      <c r="AW1508" s="1"/>
      <c r="AX1508" s="1" t="s">
        <v>16827</v>
      </c>
      <c r="AY1508" s="1" t="s">
        <v>16828</v>
      </c>
      <c r="AZ1508" s="1" t="s">
        <v>1019</v>
      </c>
      <c r="BA1508" s="1" t="s">
        <v>1292</v>
      </c>
      <c r="BB1508" s="1">
        <v>66.57</v>
      </c>
      <c r="BC1508" s="1">
        <v>7.48</v>
      </c>
      <c r="BD1508" s="1"/>
      <c r="BE1508" s="1"/>
      <c r="BF1508" s="1"/>
      <c r="BG1508" s="1"/>
      <c r="BH1508" s="1"/>
      <c r="BI1508" s="1"/>
      <c r="BJ1508" s="1" t="s">
        <v>16829</v>
      </c>
      <c r="BK1508" s="1"/>
      <c r="BL1508" s="1"/>
      <c r="BM1508" s="1" t="s">
        <v>16830</v>
      </c>
      <c r="BN1508" s="1">
        <v>32</v>
      </c>
      <c r="BO1508" s="1" t="s">
        <v>16831</v>
      </c>
      <c r="BP1508" s="1" t="str">
        <f>HYPERLINK("https://nconnect.nicmar.ac.in/storage/profile/6a21248d96303.png","Download")</f>
        <v>0</v>
      </c>
      <c r="BQ1508" s="3"/>
      <c r="BR1508" s="3"/>
    </row>
    <row r="1509" spans="1:70">
      <c r="A1509" s="1" t="s">
        <v>16711</v>
      </c>
      <c r="B1509" s="1" t="s">
        <v>71</v>
      </c>
      <c r="C1509" s="1" t="s">
        <v>16832</v>
      </c>
      <c r="D1509" s="1" t="s">
        <v>3684</v>
      </c>
      <c r="E1509" s="1"/>
      <c r="F1509" s="1" t="s">
        <v>345</v>
      </c>
      <c r="G1509" s="1" t="s">
        <v>16833</v>
      </c>
      <c r="H1509" s="1" t="s">
        <v>16834</v>
      </c>
      <c r="I1509" s="1" t="s">
        <v>16834</v>
      </c>
      <c r="J1509" s="1">
        <v>7982962539</v>
      </c>
      <c r="K1509" s="1" t="s">
        <v>79</v>
      </c>
      <c r="L1509" s="1" t="s">
        <v>16835</v>
      </c>
      <c r="M1509" s="1" t="s">
        <v>81</v>
      </c>
      <c r="N1509" s="1" t="s">
        <v>4861</v>
      </c>
      <c r="O1509" s="1" t="s">
        <v>16836</v>
      </c>
      <c r="P1509" s="1" t="s">
        <v>117</v>
      </c>
      <c r="Q1509" s="1" t="s">
        <v>16837</v>
      </c>
      <c r="R1509" s="1" t="s">
        <v>15148</v>
      </c>
      <c r="S1509" s="1">
        <v>8447881811</v>
      </c>
      <c r="T1509" s="1" t="s">
        <v>16838</v>
      </c>
      <c r="U1509" s="1" t="s">
        <v>16839</v>
      </c>
      <c r="V1509" s="1">
        <v>7827282098</v>
      </c>
      <c r="W1509" s="1" t="s">
        <v>4700</v>
      </c>
      <c r="X1509" s="1" t="s">
        <v>16840</v>
      </c>
      <c r="Y1509" s="1" t="s">
        <v>2541</v>
      </c>
      <c r="Z1509" s="1" t="s">
        <v>1675</v>
      </c>
      <c r="AA1509" s="1" t="s">
        <v>16841</v>
      </c>
      <c r="AB1509" s="1" t="s">
        <v>9205</v>
      </c>
      <c r="AC1509" s="1" t="s">
        <v>1714</v>
      </c>
      <c r="AD1509" s="1" t="s">
        <v>93</v>
      </c>
      <c r="AE1509" s="1" t="s">
        <v>93</v>
      </c>
      <c r="AF1509" s="1" t="s">
        <v>1039</v>
      </c>
      <c r="AG1509" s="1" t="s">
        <v>307</v>
      </c>
      <c r="AH1509" s="1" t="s">
        <v>16842</v>
      </c>
      <c r="AI1509" s="1" t="s">
        <v>16843</v>
      </c>
      <c r="AJ1509" s="1">
        <v>64.6</v>
      </c>
      <c r="AK1509" s="1"/>
      <c r="AL1509" s="1" t="s">
        <v>1039</v>
      </c>
      <c r="AM1509" s="1" t="s">
        <v>307</v>
      </c>
      <c r="AN1509" s="1" t="s">
        <v>16844</v>
      </c>
      <c r="AO1509" s="1" t="s">
        <v>3981</v>
      </c>
      <c r="AP1509" s="1">
        <v>68.5</v>
      </c>
      <c r="AQ1509" s="1"/>
      <c r="AR1509" s="1"/>
      <c r="AS1509" s="1"/>
      <c r="AT1509" s="1"/>
      <c r="AU1509" s="1"/>
      <c r="AV1509" s="1"/>
      <c r="AW1509" s="1"/>
      <c r="AX1509" s="1" t="s">
        <v>16845</v>
      </c>
      <c r="AY1509" s="1" t="s">
        <v>16846</v>
      </c>
      <c r="AZ1509" s="1" t="s">
        <v>249</v>
      </c>
      <c r="BA1509" s="1" t="s">
        <v>16847</v>
      </c>
      <c r="BB1509" s="1">
        <v>55.2</v>
      </c>
      <c r="BC1509" s="1"/>
      <c r="BD1509" s="1" t="s">
        <v>16848</v>
      </c>
      <c r="BE1509" s="1" t="s">
        <v>16849</v>
      </c>
      <c r="BF1509" s="1" t="s">
        <v>1374</v>
      </c>
      <c r="BG1509" s="1" t="s">
        <v>101</v>
      </c>
      <c r="BH1509" s="1">
        <v>60.88</v>
      </c>
      <c r="BI1509" s="1"/>
      <c r="BJ1509" s="1" t="s">
        <v>1822</v>
      </c>
      <c r="BK1509" s="1" t="s">
        <v>16850</v>
      </c>
      <c r="BL1509" s="1" t="s">
        <v>4399</v>
      </c>
      <c r="BM1509" s="1" t="s">
        <v>16851</v>
      </c>
      <c r="BN1509" s="1">
        <v>10</v>
      </c>
      <c r="BO1509" s="1" t="s">
        <v>16852</v>
      </c>
      <c r="BP1509" s="1" t="str">
        <f>HYPERLINK("https://nconnect.nicmar.ac.in/storage/profile/6a213e6b214b4.png","Download")</f>
        <v>0</v>
      </c>
      <c r="BQ1509" s="3"/>
      <c r="BR1509" s="3"/>
    </row>
    <row r="1510" spans="1:70">
      <c r="A1510" s="1" t="s">
        <v>16711</v>
      </c>
      <c r="B1510" s="1" t="s">
        <v>71</v>
      </c>
      <c r="C1510" s="1" t="s">
        <v>16853</v>
      </c>
      <c r="D1510" s="1" t="s">
        <v>16854</v>
      </c>
      <c r="E1510" s="1"/>
      <c r="F1510" s="1" t="s">
        <v>16855</v>
      </c>
      <c r="G1510" s="1" t="s">
        <v>16856</v>
      </c>
      <c r="H1510" s="1" t="s">
        <v>16857</v>
      </c>
      <c r="I1510" s="1" t="s">
        <v>16857</v>
      </c>
      <c r="J1510" s="1">
        <v>9623930761</v>
      </c>
      <c r="K1510" s="1" t="s">
        <v>79</v>
      </c>
      <c r="L1510" s="1" t="s">
        <v>2557</v>
      </c>
      <c r="M1510" s="1" t="s">
        <v>81</v>
      </c>
      <c r="N1510" s="1" t="s">
        <v>4861</v>
      </c>
      <c r="O1510" s="1" t="s">
        <v>152</v>
      </c>
      <c r="P1510" s="1" t="s">
        <v>214</v>
      </c>
      <c r="Q1510" s="1" t="s">
        <v>16858</v>
      </c>
      <c r="R1510" s="1" t="s">
        <v>11915</v>
      </c>
      <c r="S1510" s="1">
        <v>9975643041</v>
      </c>
      <c r="T1510" s="1" t="s">
        <v>120</v>
      </c>
      <c r="U1510" s="1" t="s">
        <v>301</v>
      </c>
      <c r="V1510" s="1">
        <v>9637643041</v>
      </c>
      <c r="W1510" s="1" t="s">
        <v>89</v>
      </c>
      <c r="X1510" s="1" t="s">
        <v>16859</v>
      </c>
      <c r="Y1510" s="1" t="s">
        <v>405</v>
      </c>
      <c r="Z1510" s="1" t="s">
        <v>92</v>
      </c>
      <c r="AA1510" s="1" t="s">
        <v>16859</v>
      </c>
      <c r="AB1510" s="1" t="s">
        <v>405</v>
      </c>
      <c r="AC1510" s="1" t="s">
        <v>92</v>
      </c>
      <c r="AD1510" s="1" t="s">
        <v>93</v>
      </c>
      <c r="AE1510" s="1" t="s">
        <v>93</v>
      </c>
      <c r="AF1510" s="1" t="s">
        <v>16860</v>
      </c>
      <c r="AG1510" s="1" t="s">
        <v>307</v>
      </c>
      <c r="AH1510" s="1" t="s">
        <v>1374</v>
      </c>
      <c r="AI1510" s="1" t="s">
        <v>165</v>
      </c>
      <c r="AJ1510" s="1">
        <v>79.8</v>
      </c>
      <c r="AK1510" s="1">
        <v>8.4</v>
      </c>
      <c r="AL1510" s="1" t="s">
        <v>16861</v>
      </c>
      <c r="AM1510" s="1" t="s">
        <v>1576</v>
      </c>
      <c r="AN1510" s="1" t="s">
        <v>169</v>
      </c>
      <c r="AO1510" s="1" t="s">
        <v>308</v>
      </c>
      <c r="AP1510" s="1">
        <v>54.15</v>
      </c>
      <c r="AQ1510" s="1"/>
      <c r="AR1510" s="1"/>
      <c r="AS1510" s="1"/>
      <c r="AT1510" s="1"/>
      <c r="AU1510" s="1"/>
      <c r="AV1510" s="1"/>
      <c r="AW1510" s="1"/>
      <c r="AX1510" s="1" t="s">
        <v>410</v>
      </c>
      <c r="AY1510" s="1" t="s">
        <v>16862</v>
      </c>
      <c r="AZ1510" s="1" t="s">
        <v>173</v>
      </c>
      <c r="BA1510" s="1" t="s">
        <v>229</v>
      </c>
      <c r="BB1510" s="1">
        <v>78.1</v>
      </c>
      <c r="BC1510" s="1"/>
      <c r="BD1510" s="1"/>
      <c r="BE1510" s="1"/>
      <c r="BF1510" s="1"/>
      <c r="BG1510" s="1"/>
      <c r="BH1510" s="1"/>
      <c r="BI1510" s="1"/>
      <c r="BJ1510" s="1" t="s">
        <v>1822</v>
      </c>
      <c r="BK1510" s="1"/>
      <c r="BL1510" s="1"/>
      <c r="BM1510" s="1" t="s">
        <v>16863</v>
      </c>
      <c r="BN1510" s="1">
        <v>8</v>
      </c>
      <c r="BO1510" s="1" t="s">
        <v>16864</v>
      </c>
      <c r="BP1510" s="1" t="str">
        <f>HYPERLINK("https://nconnect.nicmar.ac.in/storage/profile/6a2144da8acc0.png","Download")</f>
        <v>0</v>
      </c>
      <c r="BQ1510" s="3"/>
      <c r="BR1510" s="3"/>
    </row>
    <row r="1511" spans="1:70">
      <c r="A1511" s="1" t="s">
        <v>16711</v>
      </c>
      <c r="B1511" s="1" t="s">
        <v>71</v>
      </c>
      <c r="C1511" s="1" t="s">
        <v>16865</v>
      </c>
      <c r="D1511" s="1" t="s">
        <v>7879</v>
      </c>
      <c r="E1511" s="1" t="s">
        <v>4970</v>
      </c>
      <c r="F1511" s="1" t="s">
        <v>16866</v>
      </c>
      <c r="G1511" s="1" t="s">
        <v>16867</v>
      </c>
      <c r="H1511" s="1" t="s">
        <v>16868</v>
      </c>
      <c r="I1511" s="1" t="s">
        <v>16868</v>
      </c>
      <c r="J1511" s="1">
        <v>9372626547</v>
      </c>
      <c r="K1511" s="1" t="s">
        <v>79</v>
      </c>
      <c r="L1511" s="1" t="s">
        <v>16869</v>
      </c>
      <c r="M1511" s="1" t="s">
        <v>81</v>
      </c>
      <c r="N1511" s="1" t="s">
        <v>16870</v>
      </c>
      <c r="O1511" s="1" t="s">
        <v>152</v>
      </c>
      <c r="P1511" s="1" t="s">
        <v>84</v>
      </c>
      <c r="Q1511" s="1" t="s">
        <v>16871</v>
      </c>
      <c r="R1511" s="1" t="s">
        <v>4970</v>
      </c>
      <c r="S1511" s="1">
        <v>7977916384</v>
      </c>
      <c r="T1511" s="1" t="s">
        <v>632</v>
      </c>
      <c r="U1511" s="1" t="s">
        <v>16872</v>
      </c>
      <c r="V1511" s="1">
        <v>9082010533</v>
      </c>
      <c r="W1511" s="1" t="s">
        <v>531</v>
      </c>
      <c r="X1511" s="1" t="s">
        <v>16873</v>
      </c>
      <c r="Y1511" s="1" t="s">
        <v>991</v>
      </c>
      <c r="Z1511" s="1" t="s">
        <v>92</v>
      </c>
      <c r="AA1511" s="1" t="s">
        <v>16873</v>
      </c>
      <c r="AB1511" s="1" t="s">
        <v>991</v>
      </c>
      <c r="AC1511" s="1" t="s">
        <v>92</v>
      </c>
      <c r="AD1511" s="1" t="s">
        <v>93</v>
      </c>
      <c r="AE1511" s="1" t="s">
        <v>93</v>
      </c>
      <c r="AF1511" s="1" t="s">
        <v>16874</v>
      </c>
      <c r="AG1511" s="1" t="s">
        <v>160</v>
      </c>
      <c r="AH1511" s="1" t="s">
        <v>162</v>
      </c>
      <c r="AI1511" s="1" t="s">
        <v>562</v>
      </c>
      <c r="AJ1511" s="1">
        <v>75.4</v>
      </c>
      <c r="AK1511" s="1"/>
      <c r="AL1511" s="1" t="s">
        <v>16875</v>
      </c>
      <c r="AM1511" s="1" t="s">
        <v>160</v>
      </c>
      <c r="AN1511" s="1" t="s">
        <v>562</v>
      </c>
      <c r="AO1511" s="1" t="s">
        <v>308</v>
      </c>
      <c r="AP1511" s="1">
        <v>57.38</v>
      </c>
      <c r="AQ1511" s="1"/>
      <c r="AR1511" s="1"/>
      <c r="AS1511" s="1"/>
      <c r="AT1511" s="1"/>
      <c r="AU1511" s="1"/>
      <c r="AV1511" s="1"/>
      <c r="AW1511" s="1"/>
      <c r="AX1511" s="1" t="s">
        <v>253</v>
      </c>
      <c r="AY1511" s="1" t="s">
        <v>16876</v>
      </c>
      <c r="AZ1511" s="1" t="s">
        <v>201</v>
      </c>
      <c r="BA1511" s="1" t="s">
        <v>935</v>
      </c>
      <c r="BB1511" s="1">
        <v>69.62</v>
      </c>
      <c r="BC1511" s="1">
        <v>7.92</v>
      </c>
      <c r="BD1511" s="1"/>
      <c r="BE1511" s="1"/>
      <c r="BF1511" s="1"/>
      <c r="BG1511" s="1"/>
      <c r="BH1511" s="1"/>
      <c r="BI1511" s="1"/>
      <c r="BJ1511" s="1" t="s">
        <v>255</v>
      </c>
      <c r="BK1511" s="1"/>
      <c r="BL1511" s="1"/>
      <c r="BM1511" s="1" t="s">
        <v>16877</v>
      </c>
      <c r="BN1511" s="1">
        <v>35</v>
      </c>
      <c r="BO1511" s="1" t="s">
        <v>16878</v>
      </c>
      <c r="BP1511" s="1" t="str">
        <f>HYPERLINK("https://nconnect.nicmar.ac.in/storage/profile/6a215333ef911.png","Download")</f>
        <v>0</v>
      </c>
      <c r="BQ1511" s="3"/>
      <c r="BR1511" s="3"/>
    </row>
    <row r="1512" spans="1:70">
      <c r="A1512" s="1" t="s">
        <v>16711</v>
      </c>
      <c r="B1512" s="1" t="s">
        <v>71</v>
      </c>
      <c r="C1512" s="1" t="s">
        <v>16879</v>
      </c>
      <c r="D1512" s="1" t="s">
        <v>16880</v>
      </c>
      <c r="E1512" s="1"/>
      <c r="F1512" s="1" t="s">
        <v>16881</v>
      </c>
      <c r="G1512" s="1" t="s">
        <v>16882</v>
      </c>
      <c r="H1512" s="1" t="s">
        <v>16883</v>
      </c>
      <c r="I1512" s="1" t="s">
        <v>16883</v>
      </c>
      <c r="J1512" s="1">
        <v>6297795289</v>
      </c>
      <c r="K1512" s="1" t="s">
        <v>79</v>
      </c>
      <c r="L1512" s="1" t="s">
        <v>16884</v>
      </c>
      <c r="M1512" s="1" t="s">
        <v>81</v>
      </c>
      <c r="N1512" s="1" t="s">
        <v>4861</v>
      </c>
      <c r="O1512" s="1" t="s">
        <v>152</v>
      </c>
      <c r="P1512" s="1" t="s">
        <v>84</v>
      </c>
      <c r="Q1512" s="1" t="s">
        <v>16885</v>
      </c>
      <c r="R1512" s="1" t="s">
        <v>16886</v>
      </c>
      <c r="S1512" s="1">
        <v>9732668113</v>
      </c>
      <c r="T1512" s="1" t="s">
        <v>820</v>
      </c>
      <c r="U1512" s="1" t="s">
        <v>16887</v>
      </c>
      <c r="V1512" s="1">
        <v>7479093287</v>
      </c>
      <c r="W1512" s="1" t="s">
        <v>273</v>
      </c>
      <c r="X1512" s="1" t="s">
        <v>16888</v>
      </c>
      <c r="Y1512" s="1" t="s">
        <v>10778</v>
      </c>
      <c r="Z1512" s="1" t="s">
        <v>1211</v>
      </c>
      <c r="AA1512" s="1" t="s">
        <v>16888</v>
      </c>
      <c r="AB1512" s="1" t="s">
        <v>10778</v>
      </c>
      <c r="AC1512" s="1" t="s">
        <v>1211</v>
      </c>
      <c r="AD1512" s="1" t="s">
        <v>93</v>
      </c>
      <c r="AE1512" s="1" t="s">
        <v>93</v>
      </c>
      <c r="AF1512" s="1" t="s">
        <v>16889</v>
      </c>
      <c r="AG1512" s="1" t="s">
        <v>3302</v>
      </c>
      <c r="AH1512" s="1" t="s">
        <v>2388</v>
      </c>
      <c r="AI1512" s="1" t="s">
        <v>562</v>
      </c>
      <c r="AJ1512" s="1">
        <v>72.57</v>
      </c>
      <c r="AK1512" s="1"/>
      <c r="AL1512" s="1" t="s">
        <v>16889</v>
      </c>
      <c r="AM1512" s="1" t="s">
        <v>16890</v>
      </c>
      <c r="AN1512" s="1" t="s">
        <v>281</v>
      </c>
      <c r="AO1512" s="1" t="s">
        <v>308</v>
      </c>
      <c r="AP1512" s="1">
        <v>74.33</v>
      </c>
      <c r="AQ1512" s="1"/>
      <c r="AR1512" s="1"/>
      <c r="AS1512" s="1"/>
      <c r="AT1512" s="1"/>
      <c r="AU1512" s="1"/>
      <c r="AV1512" s="1"/>
      <c r="AW1512" s="1"/>
      <c r="AX1512" s="1" t="s">
        <v>16891</v>
      </c>
      <c r="AY1512" s="1" t="s">
        <v>16892</v>
      </c>
      <c r="AZ1512" s="1" t="s">
        <v>433</v>
      </c>
      <c r="BA1512" s="1" t="s">
        <v>1378</v>
      </c>
      <c r="BB1512" s="1">
        <v>74.4</v>
      </c>
      <c r="BC1512" s="1">
        <v>7.94</v>
      </c>
      <c r="BD1512" s="1"/>
      <c r="BE1512" s="1"/>
      <c r="BF1512" s="1"/>
      <c r="BG1512" s="1"/>
      <c r="BH1512" s="1"/>
      <c r="BI1512" s="1"/>
      <c r="BJ1512" s="1" t="s">
        <v>16893</v>
      </c>
      <c r="BK1512" s="1"/>
      <c r="BL1512" s="1"/>
      <c r="BM1512" s="1" t="s">
        <v>16894</v>
      </c>
      <c r="BN1512" s="1">
        <v>7</v>
      </c>
      <c r="BO1512" s="1"/>
      <c r="BP1512" s="1" t="str">
        <f>HYPERLINK("https://nconnect.nicmar.ac.in/storage/profile/6a215af3bfa89.png","Download")</f>
        <v>0</v>
      </c>
      <c r="BQ1512" s="3"/>
      <c r="BR1512" s="3"/>
    </row>
    <row r="1513" spans="1:70">
      <c r="A1513" s="1" t="s">
        <v>16711</v>
      </c>
      <c r="B1513" s="1" t="s">
        <v>71</v>
      </c>
      <c r="C1513" s="1" t="s">
        <v>16895</v>
      </c>
      <c r="D1513" s="1" t="s">
        <v>6936</v>
      </c>
      <c r="E1513" s="1" t="s">
        <v>16896</v>
      </c>
      <c r="F1513" s="1" t="s">
        <v>5654</v>
      </c>
      <c r="G1513" s="1" t="s">
        <v>16897</v>
      </c>
      <c r="H1513" s="1" t="s">
        <v>16898</v>
      </c>
      <c r="I1513" s="1" t="s">
        <v>16899</v>
      </c>
      <c r="J1513" s="1">
        <v>8830674430</v>
      </c>
      <c r="K1513" s="1" t="s">
        <v>79</v>
      </c>
      <c r="L1513" s="1" t="s">
        <v>16900</v>
      </c>
      <c r="M1513" s="1" t="s">
        <v>81</v>
      </c>
      <c r="N1513" s="1" t="s">
        <v>16901</v>
      </c>
      <c r="O1513" s="1" t="s">
        <v>16902</v>
      </c>
      <c r="P1513" s="1" t="s">
        <v>117</v>
      </c>
      <c r="Q1513" s="1" t="s">
        <v>16903</v>
      </c>
      <c r="R1513" s="1" t="s">
        <v>16904</v>
      </c>
      <c r="S1513" s="1">
        <v>9421678197</v>
      </c>
      <c r="T1513" s="1" t="s">
        <v>16905</v>
      </c>
      <c r="U1513" s="1" t="s">
        <v>16906</v>
      </c>
      <c r="V1513" s="1">
        <v>9422291492</v>
      </c>
      <c r="W1513" s="1" t="s">
        <v>16907</v>
      </c>
      <c r="X1513" s="1" t="s">
        <v>16908</v>
      </c>
      <c r="Y1513" s="1" t="s">
        <v>91</v>
      </c>
      <c r="Z1513" s="1" t="s">
        <v>92</v>
      </c>
      <c r="AA1513" s="1" t="s">
        <v>16908</v>
      </c>
      <c r="AB1513" s="1" t="s">
        <v>91</v>
      </c>
      <c r="AC1513" s="1" t="s">
        <v>92</v>
      </c>
      <c r="AD1513" s="1" t="s">
        <v>93</v>
      </c>
      <c r="AE1513" s="1" t="s">
        <v>93</v>
      </c>
      <c r="AF1513" s="1" t="s">
        <v>16909</v>
      </c>
      <c r="AG1513" s="1" t="s">
        <v>16910</v>
      </c>
      <c r="AH1513" s="1" t="s">
        <v>96</v>
      </c>
      <c r="AI1513" s="1" t="s">
        <v>97</v>
      </c>
      <c r="AJ1513" s="1">
        <v>70.2</v>
      </c>
      <c r="AK1513" s="1"/>
      <c r="AL1513" s="1" t="s">
        <v>16911</v>
      </c>
      <c r="AM1513" s="1" t="s">
        <v>160</v>
      </c>
      <c r="AN1513" s="1" t="s">
        <v>165</v>
      </c>
      <c r="AO1513" s="1" t="s">
        <v>101</v>
      </c>
      <c r="AP1513" s="1">
        <v>64.31</v>
      </c>
      <c r="AQ1513" s="1"/>
      <c r="AR1513" s="1"/>
      <c r="AS1513" s="1"/>
      <c r="AT1513" s="1"/>
      <c r="AU1513" s="1"/>
      <c r="AV1513" s="1"/>
      <c r="AW1513" s="1"/>
      <c r="AX1513" s="1" t="s">
        <v>3054</v>
      </c>
      <c r="AY1513" s="1" t="s">
        <v>16912</v>
      </c>
      <c r="AZ1513" s="1" t="s">
        <v>169</v>
      </c>
      <c r="BA1513" s="1" t="s">
        <v>229</v>
      </c>
      <c r="BB1513" s="1">
        <v>54.99</v>
      </c>
      <c r="BC1513" s="1">
        <v>7.03</v>
      </c>
      <c r="BD1513" s="1"/>
      <c r="BE1513" s="1"/>
      <c r="BF1513" s="1"/>
      <c r="BG1513" s="1"/>
      <c r="BH1513" s="1"/>
      <c r="BI1513" s="1"/>
      <c r="BJ1513" s="1" t="s">
        <v>16913</v>
      </c>
      <c r="BK1513" s="1"/>
      <c r="BL1513" s="1"/>
      <c r="BM1513" s="1" t="s">
        <v>16914</v>
      </c>
      <c r="BN1513" s="1">
        <v>7</v>
      </c>
      <c r="BO1513" s="1"/>
      <c r="BP1513" s="1" t="str">
        <f>HYPERLINK("https://nconnect.nicmar.ac.in/storage/profile/6a2151e4b96fb.png","Download")</f>
        <v>0</v>
      </c>
      <c r="BQ1513" s="3"/>
      <c r="BR1513" s="3"/>
    </row>
    <row r="1514" spans="1:70">
      <c r="A1514" s="1" t="s">
        <v>16711</v>
      </c>
      <c r="B1514" s="1" t="s">
        <v>71</v>
      </c>
      <c r="C1514" s="1" t="s">
        <v>16915</v>
      </c>
      <c r="D1514" s="1" t="s">
        <v>6135</v>
      </c>
      <c r="E1514" s="1"/>
      <c r="F1514" s="1" t="s">
        <v>236</v>
      </c>
      <c r="G1514" s="1" t="s">
        <v>16916</v>
      </c>
      <c r="H1514" s="1" t="s">
        <v>16917</v>
      </c>
      <c r="I1514" s="1" t="s">
        <v>16918</v>
      </c>
      <c r="J1514" s="1">
        <v>7038306695</v>
      </c>
      <c r="K1514" s="1" t="s">
        <v>79</v>
      </c>
      <c r="L1514" s="1" t="s">
        <v>16919</v>
      </c>
      <c r="M1514" s="1" t="s">
        <v>81</v>
      </c>
      <c r="N1514" s="1" t="s">
        <v>16920</v>
      </c>
      <c r="O1514" s="1" t="s">
        <v>16921</v>
      </c>
      <c r="P1514" s="1" t="s">
        <v>214</v>
      </c>
      <c r="Q1514" s="1" t="s">
        <v>16922</v>
      </c>
      <c r="R1514" s="1" t="s">
        <v>16923</v>
      </c>
      <c r="S1514" s="1">
        <v>9822616855</v>
      </c>
      <c r="T1514" s="1" t="s">
        <v>87</v>
      </c>
      <c r="U1514" s="1" t="s">
        <v>16924</v>
      </c>
      <c r="V1514" s="1">
        <v>9850107466</v>
      </c>
      <c r="W1514" s="1" t="s">
        <v>89</v>
      </c>
      <c r="X1514" s="1" t="s">
        <v>16925</v>
      </c>
      <c r="Y1514" s="1" t="s">
        <v>191</v>
      </c>
      <c r="Z1514" s="1" t="s">
        <v>92</v>
      </c>
      <c r="AA1514" s="1" t="s">
        <v>16925</v>
      </c>
      <c r="AB1514" s="1" t="s">
        <v>191</v>
      </c>
      <c r="AC1514" s="1" t="s">
        <v>92</v>
      </c>
      <c r="AD1514" s="1" t="s">
        <v>93</v>
      </c>
      <c r="AE1514" s="1" t="s">
        <v>93</v>
      </c>
      <c r="AF1514" s="1" t="s">
        <v>16926</v>
      </c>
      <c r="AG1514" s="1" t="s">
        <v>307</v>
      </c>
      <c r="AH1514" s="1" t="s">
        <v>689</v>
      </c>
      <c r="AI1514" s="1" t="s">
        <v>166</v>
      </c>
      <c r="AJ1514" s="1">
        <v>64</v>
      </c>
      <c r="AK1514" s="1"/>
      <c r="AL1514" s="1" t="s">
        <v>16927</v>
      </c>
      <c r="AM1514" s="1" t="s">
        <v>16928</v>
      </c>
      <c r="AN1514" s="1" t="s">
        <v>433</v>
      </c>
      <c r="AO1514" s="1" t="s">
        <v>360</v>
      </c>
      <c r="AP1514" s="1">
        <v>60</v>
      </c>
      <c r="AQ1514" s="1"/>
      <c r="AR1514" s="1"/>
      <c r="AS1514" s="1"/>
      <c r="AT1514" s="1"/>
      <c r="AU1514" s="1"/>
      <c r="AV1514" s="1"/>
      <c r="AW1514" s="1"/>
      <c r="AX1514" s="1" t="s">
        <v>16929</v>
      </c>
      <c r="AY1514" s="1" t="s">
        <v>16929</v>
      </c>
      <c r="AZ1514" s="1" t="s">
        <v>1019</v>
      </c>
      <c r="BA1514" s="1" t="s">
        <v>566</v>
      </c>
      <c r="BB1514" s="1">
        <v>77.4</v>
      </c>
      <c r="BC1514" s="1">
        <v>8.49</v>
      </c>
      <c r="BD1514" s="1"/>
      <c r="BE1514" s="1"/>
      <c r="BF1514" s="1"/>
      <c r="BG1514" s="1"/>
      <c r="BH1514" s="1"/>
      <c r="BI1514" s="1"/>
      <c r="BJ1514" s="1" t="s">
        <v>16930</v>
      </c>
      <c r="BK1514" s="1"/>
      <c r="BL1514" s="1"/>
      <c r="BM1514" s="1" t="s">
        <v>16931</v>
      </c>
      <c r="BN1514" s="1">
        <v>18</v>
      </c>
      <c r="BO1514" s="1"/>
      <c r="BP1514" s="1" t="str">
        <f>HYPERLINK("https://nconnect.nicmar.ac.in/storage/profile/6a213db498d95.png","Download")</f>
        <v>0</v>
      </c>
      <c r="BQ1514" s="3"/>
      <c r="BR1514" s="3"/>
    </row>
    <row r="1515" spans="1:70">
      <c r="A1515" s="1" t="s">
        <v>16711</v>
      </c>
      <c r="B1515" s="1" t="s">
        <v>71</v>
      </c>
      <c r="C1515" s="1" t="s">
        <v>16932</v>
      </c>
      <c r="D1515" s="1" t="s">
        <v>4930</v>
      </c>
      <c r="E1515" s="1"/>
      <c r="F1515" s="1" t="s">
        <v>520</v>
      </c>
      <c r="G1515" s="1" t="s">
        <v>16933</v>
      </c>
      <c r="H1515" s="1" t="s">
        <v>16934</v>
      </c>
      <c r="I1515" s="1" t="s">
        <v>16935</v>
      </c>
      <c r="J1515" s="1">
        <v>6299309410</v>
      </c>
      <c r="K1515" s="1" t="s">
        <v>148</v>
      </c>
      <c r="L1515" s="1" t="s">
        <v>14755</v>
      </c>
      <c r="M1515" s="1" t="s">
        <v>81</v>
      </c>
      <c r="N1515" s="1" t="s">
        <v>4861</v>
      </c>
      <c r="O1515" s="1" t="s">
        <v>16921</v>
      </c>
      <c r="P1515" s="1" t="s">
        <v>214</v>
      </c>
      <c r="Q1515" s="1" t="s">
        <v>16936</v>
      </c>
      <c r="R1515" s="1" t="s">
        <v>8872</v>
      </c>
      <c r="S1515" s="1">
        <v>9262353433</v>
      </c>
      <c r="T1515" s="1" t="s">
        <v>906</v>
      </c>
      <c r="U1515" s="1" t="s">
        <v>13778</v>
      </c>
      <c r="V1515" s="1">
        <v>7070780503</v>
      </c>
      <c r="W1515" s="1" t="s">
        <v>156</v>
      </c>
      <c r="X1515" s="1" t="s">
        <v>16937</v>
      </c>
      <c r="Y1515" s="1" t="s">
        <v>635</v>
      </c>
      <c r="Z1515" s="1" t="s">
        <v>636</v>
      </c>
      <c r="AA1515" s="1" t="s">
        <v>16937</v>
      </c>
      <c r="AB1515" s="1" t="s">
        <v>635</v>
      </c>
      <c r="AC1515" s="1" t="s">
        <v>636</v>
      </c>
      <c r="AD1515" s="1" t="s">
        <v>93</v>
      </c>
      <c r="AE1515" s="1" t="s">
        <v>93</v>
      </c>
      <c r="AF1515" s="1" t="s">
        <v>16938</v>
      </c>
      <c r="AG1515" s="1" t="s">
        <v>16939</v>
      </c>
      <c r="AH1515" s="1" t="s">
        <v>1088</v>
      </c>
      <c r="AI1515" s="1" t="s">
        <v>614</v>
      </c>
      <c r="AJ1515" s="1">
        <v>81.7</v>
      </c>
      <c r="AK1515" s="1">
        <v>8.6</v>
      </c>
      <c r="AL1515" s="1" t="s">
        <v>16940</v>
      </c>
      <c r="AM1515" s="1" t="s">
        <v>16939</v>
      </c>
      <c r="AN1515" s="1" t="s">
        <v>689</v>
      </c>
      <c r="AO1515" s="1" t="s">
        <v>166</v>
      </c>
      <c r="AP1515" s="1">
        <v>72.8</v>
      </c>
      <c r="AQ1515" s="1"/>
      <c r="AR1515" s="1"/>
      <c r="AS1515" s="1"/>
      <c r="AT1515" s="1"/>
      <c r="AU1515" s="1"/>
      <c r="AV1515" s="1"/>
      <c r="AW1515" s="1"/>
      <c r="AX1515" s="1" t="s">
        <v>16941</v>
      </c>
      <c r="AY1515" s="1" t="s">
        <v>16942</v>
      </c>
      <c r="AZ1515" s="1" t="s">
        <v>201</v>
      </c>
      <c r="BA1515" s="1" t="s">
        <v>436</v>
      </c>
      <c r="BB1515" s="1">
        <v>75.84</v>
      </c>
      <c r="BC1515" s="1">
        <v>7.53</v>
      </c>
      <c r="BD1515" s="1"/>
      <c r="BE1515" s="1"/>
      <c r="BF1515" s="1"/>
      <c r="BG1515" s="1"/>
      <c r="BH1515" s="1"/>
      <c r="BI1515" s="1"/>
      <c r="BJ1515" s="1" t="s">
        <v>16744</v>
      </c>
      <c r="BK1515" s="1"/>
      <c r="BL1515" s="1"/>
      <c r="BM1515" s="1" t="s">
        <v>16943</v>
      </c>
      <c r="BN1515" s="1">
        <v>35</v>
      </c>
      <c r="BO1515" s="1"/>
      <c r="BP1515" s="1" t="str">
        <f>HYPERLINK("https://nconnect.nicmar.ac.in/storage/profile/6a2122372a8fe.png","Download")</f>
        <v>0</v>
      </c>
      <c r="BQ1515" s="3"/>
      <c r="BR1515" s="3"/>
    </row>
    <row r="1516" spans="1:70">
      <c r="A1516" s="1" t="s">
        <v>16711</v>
      </c>
      <c r="B1516" s="1" t="s">
        <v>71</v>
      </c>
      <c r="C1516" s="1" t="s">
        <v>16944</v>
      </c>
      <c r="D1516" s="1" t="s">
        <v>16945</v>
      </c>
      <c r="E1516" s="1"/>
      <c r="F1516" s="1" t="s">
        <v>16946</v>
      </c>
      <c r="G1516" s="1" t="s">
        <v>16947</v>
      </c>
      <c r="H1516" s="1" t="s">
        <v>16948</v>
      </c>
      <c r="I1516" s="1" t="s">
        <v>16949</v>
      </c>
      <c r="J1516" s="1">
        <v>9131074814</v>
      </c>
      <c r="K1516" s="1" t="s">
        <v>79</v>
      </c>
      <c r="L1516" s="1" t="s">
        <v>16950</v>
      </c>
      <c r="M1516" s="1" t="s">
        <v>81</v>
      </c>
      <c r="N1516" s="1" t="s">
        <v>751</v>
      </c>
      <c r="O1516" s="1" t="s">
        <v>16921</v>
      </c>
      <c r="P1516" s="1" t="s">
        <v>214</v>
      </c>
      <c r="Q1516" s="1" t="s">
        <v>16951</v>
      </c>
      <c r="R1516" s="1" t="s">
        <v>16952</v>
      </c>
      <c r="S1516" s="1">
        <v>9584462986</v>
      </c>
      <c r="T1516" s="1" t="s">
        <v>1472</v>
      </c>
      <c r="U1516" s="1" t="s">
        <v>16953</v>
      </c>
      <c r="V1516" s="1">
        <v>6230971970</v>
      </c>
      <c r="W1516" s="1" t="s">
        <v>89</v>
      </c>
      <c r="X1516" s="1" t="s">
        <v>16954</v>
      </c>
      <c r="Y1516" s="1" t="s">
        <v>8170</v>
      </c>
      <c r="Z1516" s="1" t="s">
        <v>2126</v>
      </c>
      <c r="AA1516" s="1" t="s">
        <v>16954</v>
      </c>
      <c r="AB1516" s="1" t="s">
        <v>8170</v>
      </c>
      <c r="AC1516" s="1" t="s">
        <v>2126</v>
      </c>
      <c r="AD1516" s="1" t="s">
        <v>93</v>
      </c>
      <c r="AE1516" s="1" t="s">
        <v>93</v>
      </c>
      <c r="AF1516" s="1" t="s">
        <v>16955</v>
      </c>
      <c r="AG1516" s="1" t="s">
        <v>16956</v>
      </c>
      <c r="AH1516" s="1" t="s">
        <v>162</v>
      </c>
      <c r="AI1516" s="1" t="s">
        <v>165</v>
      </c>
      <c r="AJ1516" s="1">
        <v>60.8</v>
      </c>
      <c r="AK1516" s="1">
        <v>6.4</v>
      </c>
      <c r="AL1516" s="1" t="s">
        <v>16957</v>
      </c>
      <c r="AM1516" s="1" t="s">
        <v>16958</v>
      </c>
      <c r="AN1516" s="1" t="s">
        <v>1043</v>
      </c>
      <c r="AO1516" s="1" t="s">
        <v>308</v>
      </c>
      <c r="AP1516" s="1">
        <v>59.6</v>
      </c>
      <c r="AQ1516" s="1"/>
      <c r="AR1516" s="1"/>
      <c r="AS1516" s="1"/>
      <c r="AT1516" s="1"/>
      <c r="AU1516" s="1"/>
      <c r="AV1516" s="1"/>
      <c r="AW1516" s="1"/>
      <c r="AX1516" s="1" t="s">
        <v>16959</v>
      </c>
      <c r="AY1516" s="1" t="s">
        <v>16960</v>
      </c>
      <c r="AZ1516" s="1" t="s">
        <v>201</v>
      </c>
      <c r="BA1516" s="1" t="s">
        <v>1777</v>
      </c>
      <c r="BB1516" s="1">
        <v>68.68</v>
      </c>
      <c r="BC1516" s="1">
        <v>7.23</v>
      </c>
      <c r="BD1516" s="1"/>
      <c r="BE1516" s="1"/>
      <c r="BF1516" s="1"/>
      <c r="BG1516" s="1"/>
      <c r="BH1516" s="1"/>
      <c r="BI1516" s="1"/>
      <c r="BJ1516" s="1" t="s">
        <v>16961</v>
      </c>
      <c r="BK1516" s="1"/>
      <c r="BL1516" s="1"/>
      <c r="BM1516" s="1" t="s">
        <v>16962</v>
      </c>
      <c r="BN1516" s="1">
        <v>17</v>
      </c>
      <c r="BO1516" s="1"/>
      <c r="BP1516" s="1" t="str">
        <f>HYPERLINK("https://nconnect.nicmar.ac.in/storage/profile/6a2117038be45.png","Download")</f>
        <v>0</v>
      </c>
      <c r="BQ1516" s="3"/>
      <c r="BR1516" s="3"/>
    </row>
    <row r="1517" spans="1:70">
      <c r="A1517" s="1" t="s">
        <v>16711</v>
      </c>
      <c r="B1517" s="1" t="s">
        <v>71</v>
      </c>
      <c r="C1517" s="1" t="s">
        <v>16963</v>
      </c>
      <c r="D1517" s="1" t="s">
        <v>16964</v>
      </c>
      <c r="E1517" s="1"/>
      <c r="F1517" s="1" t="s">
        <v>16965</v>
      </c>
      <c r="G1517" s="1" t="s">
        <v>16966</v>
      </c>
      <c r="H1517" s="1" t="s">
        <v>16967</v>
      </c>
      <c r="I1517" s="1" t="s">
        <v>16967</v>
      </c>
      <c r="J1517" s="1">
        <v>9400426300</v>
      </c>
      <c r="K1517" s="1" t="s">
        <v>79</v>
      </c>
      <c r="L1517" s="1" t="s">
        <v>16968</v>
      </c>
      <c r="M1517" s="1" t="s">
        <v>81</v>
      </c>
      <c r="N1517" s="1" t="s">
        <v>16969</v>
      </c>
      <c r="O1517" s="1" t="s">
        <v>16970</v>
      </c>
      <c r="P1517" s="1" t="s">
        <v>214</v>
      </c>
      <c r="Q1517" s="1" t="s">
        <v>16971</v>
      </c>
      <c r="R1517" s="1" t="s">
        <v>16972</v>
      </c>
      <c r="S1517" s="1">
        <v>9447796300</v>
      </c>
      <c r="T1517" s="1" t="s">
        <v>16973</v>
      </c>
      <c r="U1517" s="1" t="s">
        <v>16974</v>
      </c>
      <c r="V1517" s="1">
        <v>9446655660</v>
      </c>
      <c r="W1517" s="1" t="s">
        <v>7269</v>
      </c>
      <c r="X1517" s="1" t="s">
        <v>16975</v>
      </c>
      <c r="Y1517" s="1" t="s">
        <v>7667</v>
      </c>
      <c r="Z1517" s="1" t="s">
        <v>125</v>
      </c>
      <c r="AA1517" s="1" t="s">
        <v>16976</v>
      </c>
      <c r="AB1517" s="1" t="s">
        <v>191</v>
      </c>
      <c r="AC1517" s="1" t="s">
        <v>92</v>
      </c>
      <c r="AD1517" s="1" t="s">
        <v>93</v>
      </c>
      <c r="AE1517" s="1" t="s">
        <v>93</v>
      </c>
      <c r="AF1517" s="1" t="s">
        <v>16977</v>
      </c>
      <c r="AG1517" s="1" t="s">
        <v>688</v>
      </c>
      <c r="AH1517" s="1" t="s">
        <v>1088</v>
      </c>
      <c r="AI1517" s="1" t="s">
        <v>162</v>
      </c>
      <c r="AJ1517" s="1">
        <v>57.0</v>
      </c>
      <c r="AK1517" s="1">
        <v>6.0</v>
      </c>
      <c r="AL1517" s="1" t="s">
        <v>16977</v>
      </c>
      <c r="AM1517" s="1" t="s">
        <v>688</v>
      </c>
      <c r="AN1517" s="1" t="s">
        <v>689</v>
      </c>
      <c r="AO1517" s="1" t="s">
        <v>166</v>
      </c>
      <c r="AP1517" s="1">
        <v>73.4</v>
      </c>
      <c r="AQ1517" s="1">
        <v>7.68</v>
      </c>
      <c r="AR1517" s="1"/>
      <c r="AS1517" s="1"/>
      <c r="AT1517" s="1"/>
      <c r="AU1517" s="1"/>
      <c r="AV1517" s="1"/>
      <c r="AW1517" s="1"/>
      <c r="AX1517" s="1" t="s">
        <v>16978</v>
      </c>
      <c r="AY1517" s="1" t="s">
        <v>16979</v>
      </c>
      <c r="AZ1517" s="1" t="s">
        <v>169</v>
      </c>
      <c r="BA1517" s="1" t="s">
        <v>852</v>
      </c>
      <c r="BB1517" s="1">
        <v>51.45</v>
      </c>
      <c r="BC1517" s="1"/>
      <c r="BD1517" s="1"/>
      <c r="BE1517" s="1"/>
      <c r="BF1517" s="1"/>
      <c r="BG1517" s="1"/>
      <c r="BH1517" s="1"/>
      <c r="BI1517" s="1"/>
      <c r="BJ1517" s="1" t="s">
        <v>16980</v>
      </c>
      <c r="BK1517" s="1"/>
      <c r="BL1517" s="1"/>
      <c r="BM1517" s="1" t="s">
        <v>16981</v>
      </c>
      <c r="BN1517" s="1">
        <v>8</v>
      </c>
      <c r="BO1517" s="1"/>
      <c r="BP1517" s="1" t="str">
        <f>HYPERLINK("https://nconnect.nicmar.ac.in/storage/profile/6a210dbd65393.png","Download")</f>
        <v>0</v>
      </c>
      <c r="BQ1517" s="3"/>
      <c r="BR1517" s="3"/>
    </row>
    <row r="1518" spans="1:70">
      <c r="A1518" s="1" t="s">
        <v>16711</v>
      </c>
      <c r="B1518" s="1" t="s">
        <v>71</v>
      </c>
      <c r="C1518" s="1" t="s">
        <v>16982</v>
      </c>
      <c r="D1518" s="1" t="s">
        <v>599</v>
      </c>
      <c r="E1518" s="1" t="s">
        <v>16983</v>
      </c>
      <c r="F1518" s="1" t="s">
        <v>2914</v>
      </c>
      <c r="G1518" s="1" t="s">
        <v>16984</v>
      </c>
      <c r="H1518" s="1" t="s">
        <v>16985</v>
      </c>
      <c r="I1518" s="1" t="s">
        <v>16985</v>
      </c>
      <c r="J1518" s="1">
        <v>9657894169</v>
      </c>
      <c r="K1518" s="1" t="s">
        <v>79</v>
      </c>
      <c r="L1518" s="1" t="s">
        <v>16986</v>
      </c>
      <c r="M1518" s="1" t="s">
        <v>81</v>
      </c>
      <c r="N1518" s="1" t="s">
        <v>16987</v>
      </c>
      <c r="O1518" s="1" t="s">
        <v>16988</v>
      </c>
      <c r="P1518" s="1" t="s">
        <v>351</v>
      </c>
      <c r="Q1518" s="1" t="s">
        <v>16989</v>
      </c>
      <c r="R1518" s="1" t="s">
        <v>16983</v>
      </c>
      <c r="S1518" s="1">
        <v>9623976715</v>
      </c>
      <c r="T1518" s="1" t="s">
        <v>1595</v>
      </c>
      <c r="U1518" s="1" t="s">
        <v>16990</v>
      </c>
      <c r="V1518" s="1">
        <v>9518536526</v>
      </c>
      <c r="W1518" s="1" t="s">
        <v>156</v>
      </c>
      <c r="X1518" s="1" t="s">
        <v>16991</v>
      </c>
      <c r="Y1518" s="1" t="s">
        <v>191</v>
      </c>
      <c r="Z1518" s="1" t="s">
        <v>92</v>
      </c>
      <c r="AA1518" s="1" t="s">
        <v>16991</v>
      </c>
      <c r="AB1518" s="1" t="s">
        <v>191</v>
      </c>
      <c r="AC1518" s="1" t="s">
        <v>92</v>
      </c>
      <c r="AD1518" s="1" t="s">
        <v>93</v>
      </c>
      <c r="AE1518" s="1" t="s">
        <v>93</v>
      </c>
      <c r="AF1518" s="1" t="s">
        <v>16992</v>
      </c>
      <c r="AG1518" s="1" t="s">
        <v>16993</v>
      </c>
      <c r="AH1518" s="1" t="s">
        <v>5446</v>
      </c>
      <c r="AI1518" s="1" t="s">
        <v>281</v>
      </c>
      <c r="AJ1518" s="1">
        <v>67.4</v>
      </c>
      <c r="AK1518" s="1">
        <v>7.09</v>
      </c>
      <c r="AL1518" s="1" t="s">
        <v>16994</v>
      </c>
      <c r="AM1518" s="1" t="s">
        <v>16995</v>
      </c>
      <c r="AN1518" s="1" t="s">
        <v>359</v>
      </c>
      <c r="AO1518" s="1" t="s">
        <v>360</v>
      </c>
      <c r="AP1518" s="1">
        <v>57.07</v>
      </c>
      <c r="AQ1518" s="1">
        <v>6.01</v>
      </c>
      <c r="AR1518" s="1"/>
      <c r="AS1518" s="1"/>
      <c r="AT1518" s="1"/>
      <c r="AU1518" s="1"/>
      <c r="AV1518" s="1"/>
      <c r="AW1518" s="1"/>
      <c r="AX1518" s="1" t="s">
        <v>16996</v>
      </c>
      <c r="AY1518" s="1" t="s">
        <v>16997</v>
      </c>
      <c r="AZ1518" s="1" t="s">
        <v>871</v>
      </c>
      <c r="BA1518" s="1" t="s">
        <v>413</v>
      </c>
      <c r="BB1518" s="1">
        <v>70.9</v>
      </c>
      <c r="BC1518" s="1"/>
      <c r="BD1518" s="1"/>
      <c r="BE1518" s="1"/>
      <c r="BF1518" s="1"/>
      <c r="BG1518" s="1"/>
      <c r="BH1518" s="1"/>
      <c r="BI1518" s="1"/>
      <c r="BJ1518" s="1" t="s">
        <v>16998</v>
      </c>
      <c r="BK1518" s="1"/>
      <c r="BL1518" s="1"/>
      <c r="BM1518" s="1" t="s">
        <v>16999</v>
      </c>
      <c r="BN1518" s="1">
        <v>8</v>
      </c>
      <c r="BO1518" s="1"/>
      <c r="BP1518" s="1" t="str">
        <f>HYPERLINK("https://nconnect.nicmar.ac.in/storage/profile/6a20fb7964b78.png","Download")</f>
        <v>0</v>
      </c>
      <c r="BQ1518" s="3"/>
      <c r="BR1518" s="3"/>
    </row>
    <row r="1519" spans="1:70">
      <c r="A1519" s="1" t="s">
        <v>16711</v>
      </c>
      <c r="B1519" s="1" t="s">
        <v>71</v>
      </c>
      <c r="C1519" s="1" t="s">
        <v>17000</v>
      </c>
      <c r="D1519" s="1" t="s">
        <v>9113</v>
      </c>
      <c r="E1519" s="1"/>
      <c r="F1519" s="1" t="s">
        <v>15054</v>
      </c>
      <c r="G1519" s="1" t="s">
        <v>17001</v>
      </c>
      <c r="H1519" s="1" t="s">
        <v>17002</v>
      </c>
      <c r="I1519" s="1" t="s">
        <v>17003</v>
      </c>
      <c r="J1519" s="1">
        <v>7225044628</v>
      </c>
      <c r="K1519" s="1" t="s">
        <v>79</v>
      </c>
      <c r="L1519" s="1" t="s">
        <v>15448</v>
      </c>
      <c r="M1519" s="1" t="s">
        <v>81</v>
      </c>
      <c r="N1519" s="1" t="s">
        <v>17004</v>
      </c>
      <c r="O1519" s="1" t="s">
        <v>186</v>
      </c>
      <c r="P1519" s="1" t="s">
        <v>84</v>
      </c>
      <c r="Q1519" s="1" t="s">
        <v>17005</v>
      </c>
      <c r="R1519" s="1" t="s">
        <v>17006</v>
      </c>
      <c r="S1519" s="1">
        <v>9827235644</v>
      </c>
      <c r="T1519" s="1" t="s">
        <v>5643</v>
      </c>
      <c r="U1519" s="1" t="s">
        <v>17007</v>
      </c>
      <c r="V1519" s="1">
        <v>7869176502</v>
      </c>
      <c r="W1519" s="1" t="s">
        <v>273</v>
      </c>
      <c r="X1519" s="1" t="s">
        <v>17008</v>
      </c>
      <c r="Y1519" s="1" t="s">
        <v>7935</v>
      </c>
      <c r="Z1519" s="1" t="s">
        <v>3437</v>
      </c>
      <c r="AA1519" s="1" t="s">
        <v>17009</v>
      </c>
      <c r="AB1519" s="1" t="s">
        <v>191</v>
      </c>
      <c r="AC1519" s="1" t="s">
        <v>92</v>
      </c>
      <c r="AD1519" s="1" t="s">
        <v>93</v>
      </c>
      <c r="AE1519" s="1" t="s">
        <v>93</v>
      </c>
      <c r="AF1519" s="1" t="s">
        <v>17010</v>
      </c>
      <c r="AG1519" s="1" t="s">
        <v>758</v>
      </c>
      <c r="AH1519" s="1" t="s">
        <v>281</v>
      </c>
      <c r="AI1519" s="1" t="s">
        <v>308</v>
      </c>
      <c r="AJ1519" s="1">
        <v>65.2</v>
      </c>
      <c r="AK1519" s="1">
        <v>6.52</v>
      </c>
      <c r="AL1519" s="1" t="s">
        <v>17011</v>
      </c>
      <c r="AM1519" s="1" t="s">
        <v>758</v>
      </c>
      <c r="AN1519" s="1" t="s">
        <v>590</v>
      </c>
      <c r="AO1519" s="1" t="s">
        <v>539</v>
      </c>
      <c r="AP1519" s="1">
        <v>65.4</v>
      </c>
      <c r="AQ1519" s="1">
        <v>6.54</v>
      </c>
      <c r="AR1519" s="1"/>
      <c r="AS1519" s="1"/>
      <c r="AT1519" s="1"/>
      <c r="AU1519" s="1"/>
      <c r="AV1519" s="1"/>
      <c r="AW1519" s="1"/>
      <c r="AX1519" s="1" t="s">
        <v>17012</v>
      </c>
      <c r="AY1519" s="1" t="s">
        <v>17013</v>
      </c>
      <c r="AZ1519" s="1" t="s">
        <v>436</v>
      </c>
      <c r="BA1519" s="1" t="s">
        <v>1219</v>
      </c>
      <c r="BB1519" s="1">
        <v>74.3</v>
      </c>
      <c r="BC1519" s="1">
        <v>7.43</v>
      </c>
      <c r="BD1519" s="1"/>
      <c r="BE1519" s="1"/>
      <c r="BF1519" s="1"/>
      <c r="BG1519" s="1"/>
      <c r="BH1519" s="1"/>
      <c r="BI1519" s="1"/>
      <c r="BJ1519" s="1" t="s">
        <v>17014</v>
      </c>
      <c r="BK1519" s="1" t="s">
        <v>17015</v>
      </c>
      <c r="BL1519" s="1" t="s">
        <v>7466</v>
      </c>
      <c r="BM1519" s="1"/>
      <c r="BN1519" s="1"/>
      <c r="BO1519" s="1"/>
      <c r="BP1519" s="1" t="str">
        <f>HYPERLINK("https://nconnect.nicmar.ac.in/storage/profile/6a2011a6456bc.png","Download")</f>
        <v>0</v>
      </c>
      <c r="BQ1519" s="3"/>
      <c r="BR1519" s="3"/>
    </row>
    <row r="1520" spans="1:70">
      <c r="A1520" s="1" t="s">
        <v>16711</v>
      </c>
      <c r="B1520" s="1" t="s">
        <v>71</v>
      </c>
      <c r="C1520" s="1" t="s">
        <v>17016</v>
      </c>
      <c r="D1520" s="1" t="s">
        <v>417</v>
      </c>
      <c r="E1520" s="1" t="s">
        <v>17017</v>
      </c>
      <c r="F1520" s="1" t="s">
        <v>11596</v>
      </c>
      <c r="G1520" s="1" t="s">
        <v>17018</v>
      </c>
      <c r="H1520" s="1" t="s">
        <v>17019</v>
      </c>
      <c r="I1520" s="1" t="s">
        <v>17020</v>
      </c>
      <c r="J1520" s="1">
        <v>9370886566</v>
      </c>
      <c r="K1520" s="1" t="s">
        <v>148</v>
      </c>
      <c r="L1520" s="1" t="s">
        <v>11426</v>
      </c>
      <c r="M1520" s="1" t="s">
        <v>81</v>
      </c>
      <c r="N1520" s="1" t="s">
        <v>17021</v>
      </c>
      <c r="O1520" s="1" t="s">
        <v>17022</v>
      </c>
      <c r="P1520" s="1" t="s">
        <v>84</v>
      </c>
      <c r="Q1520" s="1" t="s">
        <v>17023</v>
      </c>
      <c r="R1520" s="1" t="s">
        <v>17017</v>
      </c>
      <c r="S1520" s="1">
        <v>7796383131</v>
      </c>
      <c r="T1520" s="1" t="s">
        <v>906</v>
      </c>
      <c r="U1520" s="1" t="s">
        <v>5404</v>
      </c>
      <c r="V1520" s="1">
        <v>9172768838</v>
      </c>
      <c r="W1520" s="1" t="s">
        <v>17024</v>
      </c>
      <c r="X1520" s="1" t="s">
        <v>17025</v>
      </c>
      <c r="Y1520" s="1" t="s">
        <v>91</v>
      </c>
      <c r="Z1520" s="1" t="s">
        <v>92</v>
      </c>
      <c r="AA1520" s="1" t="s">
        <v>17025</v>
      </c>
      <c r="AB1520" s="1" t="s">
        <v>91</v>
      </c>
      <c r="AC1520" s="1" t="s">
        <v>92</v>
      </c>
      <c r="AD1520" s="1" t="s">
        <v>93</v>
      </c>
      <c r="AE1520" s="1" t="s">
        <v>93</v>
      </c>
      <c r="AF1520" s="1" t="s">
        <v>17026</v>
      </c>
      <c r="AG1520" s="1" t="s">
        <v>17027</v>
      </c>
      <c r="AH1520" s="1" t="s">
        <v>165</v>
      </c>
      <c r="AI1520" s="1" t="s">
        <v>101</v>
      </c>
      <c r="AJ1520" s="1">
        <v>87</v>
      </c>
      <c r="AK1520" s="1"/>
      <c r="AL1520" s="1" t="s">
        <v>17028</v>
      </c>
      <c r="AM1520" s="1" t="s">
        <v>17027</v>
      </c>
      <c r="AN1520" s="1" t="s">
        <v>433</v>
      </c>
      <c r="AO1520" s="1" t="s">
        <v>412</v>
      </c>
      <c r="AP1520" s="1">
        <v>81.08</v>
      </c>
      <c r="AQ1520" s="1"/>
      <c r="AR1520" s="1"/>
      <c r="AS1520" s="1"/>
      <c r="AT1520" s="1"/>
      <c r="AU1520" s="1"/>
      <c r="AV1520" s="1"/>
      <c r="AW1520" s="1"/>
      <c r="AX1520" s="1" t="s">
        <v>199</v>
      </c>
      <c r="AY1520" s="1" t="s">
        <v>17029</v>
      </c>
      <c r="AZ1520" s="1" t="s">
        <v>173</v>
      </c>
      <c r="BA1520" s="1" t="s">
        <v>386</v>
      </c>
      <c r="BB1520" s="1">
        <v>68.28</v>
      </c>
      <c r="BC1520" s="1">
        <v>8.25</v>
      </c>
      <c r="BD1520" s="1"/>
      <c r="BE1520" s="1"/>
      <c r="BF1520" s="1"/>
      <c r="BG1520" s="1"/>
      <c r="BH1520" s="1"/>
      <c r="BI1520" s="1"/>
      <c r="BJ1520" s="1" t="s">
        <v>17030</v>
      </c>
      <c r="BK1520" s="1"/>
      <c r="BL1520" s="1"/>
      <c r="BM1520" s="1" t="s">
        <v>17031</v>
      </c>
      <c r="BN1520" s="1">
        <v>16</v>
      </c>
      <c r="BO1520" s="1"/>
      <c r="BP1520" s="1" t="str">
        <f>HYPERLINK("https://nconnect.nicmar.ac.in/storage/profile/6a20041f0beae.png","Download")</f>
        <v>0</v>
      </c>
      <c r="BQ1520" s="3"/>
      <c r="BR1520" s="3"/>
    </row>
    <row r="1521" spans="1:70">
      <c r="A1521" s="1" t="s">
        <v>17032</v>
      </c>
      <c r="B1521" s="1" t="s">
        <v>71</v>
      </c>
      <c r="C1521" s="1" t="s">
        <v>17033</v>
      </c>
      <c r="D1521" s="1" t="s">
        <v>17034</v>
      </c>
      <c r="E1521" s="1" t="s">
        <v>3060</v>
      </c>
      <c r="F1521" s="1" t="s">
        <v>8954</v>
      </c>
      <c r="G1521" s="1" t="s">
        <v>17035</v>
      </c>
      <c r="H1521" s="1" t="s">
        <v>17036</v>
      </c>
      <c r="I1521" s="1" t="s">
        <v>17036</v>
      </c>
      <c r="J1521" s="1">
        <v>9021085985</v>
      </c>
      <c r="K1521" s="1" t="s">
        <v>148</v>
      </c>
      <c r="L1521" s="1" t="s">
        <v>17037</v>
      </c>
      <c r="M1521" s="1" t="s">
        <v>81</v>
      </c>
      <c r="N1521" s="1" t="s">
        <v>350</v>
      </c>
      <c r="O1521" s="1" t="s">
        <v>152</v>
      </c>
      <c r="P1521" s="1" t="s">
        <v>117</v>
      </c>
      <c r="Q1521" s="1" t="s">
        <v>17038</v>
      </c>
      <c r="R1521" s="1" t="s">
        <v>8954</v>
      </c>
      <c r="S1521" s="1">
        <v>9834988464</v>
      </c>
      <c r="T1521" s="1" t="s">
        <v>2344</v>
      </c>
      <c r="U1521" s="1" t="s">
        <v>2210</v>
      </c>
      <c r="V1521" s="1">
        <v>9604687811</v>
      </c>
      <c r="W1521" s="1" t="s">
        <v>156</v>
      </c>
      <c r="X1521" s="1" t="s">
        <v>17039</v>
      </c>
      <c r="Y1521" s="1" t="s">
        <v>219</v>
      </c>
      <c r="Z1521" s="1" t="s">
        <v>92</v>
      </c>
      <c r="AA1521" s="1" t="s">
        <v>17039</v>
      </c>
      <c r="AB1521" s="1" t="s">
        <v>219</v>
      </c>
      <c r="AC1521" s="1" t="s">
        <v>92</v>
      </c>
      <c r="AD1521" s="1" t="s">
        <v>93</v>
      </c>
      <c r="AE1521" s="1" t="s">
        <v>93</v>
      </c>
      <c r="AF1521" s="1" t="s">
        <v>17040</v>
      </c>
      <c r="AG1521" s="1" t="s">
        <v>1942</v>
      </c>
      <c r="AH1521" s="1" t="s">
        <v>161</v>
      </c>
      <c r="AI1521" s="1" t="s">
        <v>279</v>
      </c>
      <c r="AJ1521" s="1">
        <v>89.2</v>
      </c>
      <c r="AK1521" s="1"/>
      <c r="AL1521" s="1" t="s">
        <v>17040</v>
      </c>
      <c r="AM1521" s="1" t="s">
        <v>1942</v>
      </c>
      <c r="AN1521" s="1" t="s">
        <v>165</v>
      </c>
      <c r="AO1521" s="1" t="s">
        <v>166</v>
      </c>
      <c r="AP1521" s="1">
        <v>71.38</v>
      </c>
      <c r="AQ1521" s="1"/>
      <c r="AR1521" s="1"/>
      <c r="AS1521" s="1"/>
      <c r="AT1521" s="1"/>
      <c r="AU1521" s="1"/>
      <c r="AV1521" s="1"/>
      <c r="AW1521" s="1"/>
      <c r="AX1521" s="1" t="s">
        <v>410</v>
      </c>
      <c r="AY1521" s="1" t="s">
        <v>17041</v>
      </c>
      <c r="AZ1521" s="1" t="s">
        <v>101</v>
      </c>
      <c r="BA1521" s="1" t="s">
        <v>229</v>
      </c>
      <c r="BB1521" s="1">
        <v>66.5</v>
      </c>
      <c r="BC1521" s="1">
        <v>7.4</v>
      </c>
      <c r="BD1521" s="1"/>
      <c r="BE1521" s="1"/>
      <c r="BF1521" s="1"/>
      <c r="BG1521" s="1"/>
      <c r="BH1521" s="1"/>
      <c r="BI1521" s="1"/>
      <c r="BJ1521" s="1" t="s">
        <v>17042</v>
      </c>
      <c r="BK1521" s="1"/>
      <c r="BL1521" s="1"/>
      <c r="BM1521" s="1" t="s">
        <v>17043</v>
      </c>
      <c r="BN1521" s="1">
        <v>47</v>
      </c>
      <c r="BO1521" s="1" t="s">
        <v>17044</v>
      </c>
      <c r="BP1521" s="1" t="str">
        <f>HYPERLINK("https://nconnect.nicmar.ac.in/storage/profile/6a26636e35111.png","Download")</f>
        <v>0</v>
      </c>
      <c r="BQ1521" s="3"/>
      <c r="BR1521" s="3"/>
    </row>
    <row r="1522" spans="1:70">
      <c r="A1522" s="1" t="s">
        <v>17032</v>
      </c>
      <c r="B1522" s="1" t="s">
        <v>71</v>
      </c>
      <c r="C1522" s="1" t="s">
        <v>17045</v>
      </c>
      <c r="D1522" s="1" t="s">
        <v>17046</v>
      </c>
      <c r="E1522" s="1" t="s">
        <v>17047</v>
      </c>
      <c r="F1522" s="1" t="s">
        <v>17048</v>
      </c>
      <c r="G1522" s="1" t="s">
        <v>17049</v>
      </c>
      <c r="H1522" s="1" t="s">
        <v>17050</v>
      </c>
      <c r="I1522" s="1" t="s">
        <v>17050</v>
      </c>
      <c r="J1522" s="1">
        <v>8082397000</v>
      </c>
      <c r="K1522" s="1" t="s">
        <v>148</v>
      </c>
      <c r="L1522" s="1">
        <v>36064</v>
      </c>
      <c r="M1522" s="1" t="s">
        <v>81</v>
      </c>
      <c r="N1522" s="1" t="s">
        <v>8278</v>
      </c>
      <c r="O1522" s="1" t="s">
        <v>152</v>
      </c>
      <c r="P1522" s="1" t="s">
        <v>214</v>
      </c>
      <c r="Q1522" s="1" t="s">
        <v>17051</v>
      </c>
      <c r="R1522" s="1" t="s">
        <v>17047</v>
      </c>
      <c r="S1522" s="1">
        <v>9821941916</v>
      </c>
      <c r="T1522" s="1" t="s">
        <v>17052</v>
      </c>
      <c r="U1522" s="1" t="s">
        <v>15471</v>
      </c>
      <c r="V1522" s="1">
        <v>9967373939</v>
      </c>
      <c r="W1522" s="1" t="s">
        <v>5274</v>
      </c>
      <c r="X1522" s="1" t="s">
        <v>17053</v>
      </c>
      <c r="Y1522" s="1" t="s">
        <v>1857</v>
      </c>
      <c r="Z1522" s="1" t="s">
        <v>92</v>
      </c>
      <c r="AA1522" s="1" t="s">
        <v>17053</v>
      </c>
      <c r="AB1522" s="1" t="s">
        <v>1857</v>
      </c>
      <c r="AC1522" s="1" t="s">
        <v>92</v>
      </c>
      <c r="AD1522" s="1" t="s">
        <v>93</v>
      </c>
      <c r="AE1522" s="1" t="s">
        <v>93</v>
      </c>
      <c r="AF1522" s="1" t="s">
        <v>17054</v>
      </c>
      <c r="AG1522" s="1" t="s">
        <v>10533</v>
      </c>
      <c r="AH1522" s="1" t="s">
        <v>1190</v>
      </c>
      <c r="AI1522" s="1" t="s">
        <v>505</v>
      </c>
      <c r="AJ1522" s="1">
        <v>75.8</v>
      </c>
      <c r="AK1522" s="1"/>
      <c r="AL1522" s="1" t="s">
        <v>17055</v>
      </c>
      <c r="AM1522" s="1" t="s">
        <v>10533</v>
      </c>
      <c r="AN1522" s="1" t="s">
        <v>161</v>
      </c>
      <c r="AO1522" s="1" t="s">
        <v>507</v>
      </c>
      <c r="AP1522" s="1">
        <v>58.0</v>
      </c>
      <c r="AQ1522" s="1"/>
      <c r="AR1522" s="1"/>
      <c r="AS1522" s="1"/>
      <c r="AT1522" s="1"/>
      <c r="AU1522" s="1"/>
      <c r="AV1522" s="1"/>
      <c r="AW1522" s="1"/>
      <c r="AX1522" s="1" t="s">
        <v>17056</v>
      </c>
      <c r="AY1522" s="1" t="s">
        <v>17056</v>
      </c>
      <c r="AZ1522" s="1" t="s">
        <v>162</v>
      </c>
      <c r="BA1522" s="1" t="s">
        <v>619</v>
      </c>
      <c r="BB1522" s="1">
        <v>78.3</v>
      </c>
      <c r="BC1522" s="1">
        <v>7.83</v>
      </c>
      <c r="BD1522" s="1"/>
      <c r="BE1522" s="1"/>
      <c r="BF1522" s="1"/>
      <c r="BG1522" s="1"/>
      <c r="BH1522" s="1"/>
      <c r="BI1522" s="1"/>
      <c r="BJ1522" s="1" t="s">
        <v>17057</v>
      </c>
      <c r="BK1522" s="1"/>
      <c r="BL1522" s="1"/>
      <c r="BM1522" s="1" t="s">
        <v>17058</v>
      </c>
      <c r="BN1522" s="1">
        <v>113</v>
      </c>
      <c r="BO1522" s="1" t="s">
        <v>17059</v>
      </c>
      <c r="BP1522" s="1" t="str">
        <f>HYPERLINK("https://nconnect.nicmar.ac.in/storage/profile/6a266895a2273.png","Download")</f>
        <v>0</v>
      </c>
      <c r="BQ1522" s="3"/>
      <c r="BR1522" s="3"/>
    </row>
    <row r="1523" spans="1:70">
      <c r="A1523" s="1" t="s">
        <v>17032</v>
      </c>
      <c r="B1523" s="1" t="s">
        <v>71</v>
      </c>
      <c r="C1523" s="1" t="s">
        <v>17060</v>
      </c>
      <c r="D1523" s="1" t="s">
        <v>17061</v>
      </c>
      <c r="E1523" s="1" t="s">
        <v>12400</v>
      </c>
      <c r="F1523" s="1" t="s">
        <v>13458</v>
      </c>
      <c r="G1523" s="1" t="s">
        <v>17062</v>
      </c>
      <c r="H1523" s="1" t="s">
        <v>17063</v>
      </c>
      <c r="I1523" s="1" t="s">
        <v>17063</v>
      </c>
      <c r="J1523" s="1">
        <v>9920703205</v>
      </c>
      <c r="K1523" s="1" t="s">
        <v>79</v>
      </c>
      <c r="L1523" s="1" t="s">
        <v>17064</v>
      </c>
      <c r="M1523" s="1" t="s">
        <v>81</v>
      </c>
      <c r="N1523" s="1" t="s">
        <v>350</v>
      </c>
      <c r="O1523" s="1" t="s">
        <v>152</v>
      </c>
      <c r="P1523" s="1" t="s">
        <v>117</v>
      </c>
      <c r="Q1523" s="1" t="s">
        <v>17065</v>
      </c>
      <c r="R1523" s="1" t="s">
        <v>17066</v>
      </c>
      <c r="S1523" s="1">
        <v>9769239210</v>
      </c>
      <c r="T1523" s="1" t="s">
        <v>632</v>
      </c>
      <c r="U1523" s="1" t="s">
        <v>17067</v>
      </c>
      <c r="V1523" s="1">
        <v>9326108014</v>
      </c>
      <c r="W1523" s="1" t="s">
        <v>156</v>
      </c>
      <c r="X1523" s="1" t="s">
        <v>17068</v>
      </c>
      <c r="Y1523" s="1" t="s">
        <v>1166</v>
      </c>
      <c r="Z1523" s="1" t="s">
        <v>92</v>
      </c>
      <c r="AA1523" s="1" t="s">
        <v>17069</v>
      </c>
      <c r="AB1523" s="1" t="s">
        <v>191</v>
      </c>
      <c r="AC1523" s="1" t="s">
        <v>92</v>
      </c>
      <c r="AD1523" s="1" t="s">
        <v>93</v>
      </c>
      <c r="AE1523" s="1" t="s">
        <v>93</v>
      </c>
      <c r="AF1523" s="1" t="s">
        <v>13484</v>
      </c>
      <c r="AG1523" s="1" t="s">
        <v>17070</v>
      </c>
      <c r="AH1523" s="1" t="s">
        <v>161</v>
      </c>
      <c r="AI1523" s="1" t="s">
        <v>614</v>
      </c>
      <c r="AJ1523" s="1">
        <v>64.6</v>
      </c>
      <c r="AK1523" s="1"/>
      <c r="AL1523" s="1" t="s">
        <v>17071</v>
      </c>
      <c r="AM1523" s="1" t="s">
        <v>17072</v>
      </c>
      <c r="AN1523" s="1" t="s">
        <v>134</v>
      </c>
      <c r="AO1523" s="1" t="s">
        <v>166</v>
      </c>
      <c r="AP1523" s="1">
        <v>63.23</v>
      </c>
      <c r="AQ1523" s="1"/>
      <c r="AR1523" s="1"/>
      <c r="AS1523" s="1"/>
      <c r="AT1523" s="1"/>
      <c r="AU1523" s="1"/>
      <c r="AV1523" s="1"/>
      <c r="AW1523" s="1"/>
      <c r="AX1523" s="1" t="s">
        <v>666</v>
      </c>
      <c r="AY1523" s="1" t="s">
        <v>17073</v>
      </c>
      <c r="AZ1523" s="1" t="s">
        <v>1043</v>
      </c>
      <c r="BA1523" s="1" t="s">
        <v>105</v>
      </c>
      <c r="BB1523" s="1">
        <v>65.99</v>
      </c>
      <c r="BC1523" s="1">
        <v>7.32</v>
      </c>
      <c r="BD1523" s="1"/>
      <c r="BE1523" s="1"/>
      <c r="BF1523" s="1"/>
      <c r="BG1523" s="1"/>
      <c r="BH1523" s="1"/>
      <c r="BI1523" s="1"/>
      <c r="BJ1523" s="1" t="s">
        <v>17074</v>
      </c>
      <c r="BK1523" s="1" t="s">
        <v>17075</v>
      </c>
      <c r="BL1523" s="1" t="s">
        <v>2215</v>
      </c>
      <c r="BM1523" s="1" t="s">
        <v>17076</v>
      </c>
      <c r="BN1523" s="1">
        <v>26</v>
      </c>
      <c r="BO1523" s="1" t="s">
        <v>17077</v>
      </c>
      <c r="BP1523" s="1" t="str">
        <f>HYPERLINK("https://nconnect.nicmar.ac.in/storage/profile/6a2678a2bf61d.png","Download")</f>
        <v>0</v>
      </c>
      <c r="BQ1523" s="3"/>
      <c r="BR1523" s="3"/>
    </row>
    <row r="1524" spans="1:70">
      <c r="A1524" s="1" t="s">
        <v>17032</v>
      </c>
      <c r="B1524" s="1" t="s">
        <v>71</v>
      </c>
      <c r="C1524" s="1" t="s">
        <v>17078</v>
      </c>
      <c r="D1524" s="1" t="s">
        <v>14409</v>
      </c>
      <c r="E1524" s="1" t="s">
        <v>5941</v>
      </c>
      <c r="F1524" s="1" t="s">
        <v>17079</v>
      </c>
      <c r="G1524" s="1" t="s">
        <v>17080</v>
      </c>
      <c r="H1524" s="1" t="s">
        <v>17081</v>
      </c>
      <c r="I1524" s="1" t="s">
        <v>17081</v>
      </c>
      <c r="J1524" s="1">
        <v>9834322028</v>
      </c>
      <c r="K1524" s="1" t="s">
        <v>148</v>
      </c>
      <c r="L1524" s="1" t="s">
        <v>17082</v>
      </c>
      <c r="M1524" s="1"/>
      <c r="N1524" s="1"/>
      <c r="O1524" s="1"/>
      <c r="P1524" s="1"/>
      <c r="Q1524" s="1"/>
      <c r="R1524" s="1"/>
      <c r="S1524" s="1"/>
      <c r="T1524" s="1"/>
      <c r="U1524" s="1"/>
      <c r="V1524" s="1"/>
      <c r="W1524" s="1"/>
      <c r="X1524" s="1"/>
      <c r="Y1524" s="1"/>
      <c r="Z1524" s="1"/>
      <c r="AA1524" s="1"/>
      <c r="AB1524" s="1"/>
      <c r="AC1524" s="1"/>
      <c r="AD1524" s="1" t="s">
        <v>93</v>
      </c>
      <c r="AE1524" s="1" t="s">
        <v>93</v>
      </c>
      <c r="AF1524" s="1"/>
      <c r="AG1524" s="1"/>
      <c r="AH1524" s="1"/>
      <c r="AI1524" s="1"/>
      <c r="AJ1524" s="1"/>
      <c r="AK1524" s="1"/>
      <c r="AL1524" s="1"/>
      <c r="AM1524" s="1"/>
      <c r="AN1524" s="1"/>
      <c r="AO1524" s="1"/>
      <c r="AP1524" s="1"/>
      <c r="AQ1524" s="1"/>
      <c r="AR1524" s="1"/>
      <c r="AS1524" s="1"/>
      <c r="AT1524" s="1"/>
      <c r="AU1524" s="1"/>
      <c r="AV1524" s="1"/>
      <c r="AW1524" s="1"/>
      <c r="AX1524" s="1"/>
      <c r="AY1524" s="1"/>
      <c r="AZ1524" s="1"/>
      <c r="BA1524" s="1"/>
      <c r="BB1524" s="1"/>
      <c r="BC1524" s="1"/>
      <c r="BD1524" s="1"/>
      <c r="BE1524" s="1"/>
      <c r="BF1524" s="1"/>
      <c r="BG1524" s="1"/>
      <c r="BH1524" s="1"/>
      <c r="BI1524" s="1"/>
      <c r="BJ1524" s="1"/>
      <c r="BK1524" s="1"/>
      <c r="BL1524" s="1"/>
      <c r="BM1524" s="1"/>
      <c r="BN1524" s="1"/>
      <c r="BO1524" s="1"/>
      <c r="BP1524" s="1" t="s">
        <v>9609</v>
      </c>
      <c r="BQ1524" s="3"/>
      <c r="BR1524" s="3"/>
    </row>
    <row r="1525" spans="1:70">
      <c r="A1525" s="1" t="s">
        <v>17032</v>
      </c>
      <c r="B1525" s="1" t="s">
        <v>71</v>
      </c>
      <c r="C1525" s="1" t="s">
        <v>17083</v>
      </c>
      <c r="D1525" s="1" t="s">
        <v>5486</v>
      </c>
      <c r="E1525" s="1" t="s">
        <v>17084</v>
      </c>
      <c r="F1525" s="1" t="s">
        <v>17085</v>
      </c>
      <c r="G1525" s="1" t="s">
        <v>17086</v>
      </c>
      <c r="H1525" s="1" t="s">
        <v>17087</v>
      </c>
      <c r="I1525" s="1" t="s">
        <v>17088</v>
      </c>
      <c r="J1525" s="1">
        <v>9075441883</v>
      </c>
      <c r="K1525" s="1" t="s">
        <v>79</v>
      </c>
      <c r="L1525" s="1" t="s">
        <v>17089</v>
      </c>
      <c r="M1525" s="1" t="s">
        <v>81</v>
      </c>
      <c r="N1525" s="1" t="s">
        <v>17090</v>
      </c>
      <c r="O1525" s="1" t="s">
        <v>186</v>
      </c>
      <c r="P1525" s="1" t="s">
        <v>214</v>
      </c>
      <c r="Q1525" s="1" t="s">
        <v>17091</v>
      </c>
      <c r="R1525" s="1" t="s">
        <v>17084</v>
      </c>
      <c r="S1525" s="1">
        <v>9011077658</v>
      </c>
      <c r="T1525" s="1" t="s">
        <v>1529</v>
      </c>
      <c r="U1525" s="1" t="s">
        <v>2210</v>
      </c>
      <c r="V1525" s="1">
        <v>8975759735</v>
      </c>
      <c r="W1525" s="1" t="s">
        <v>156</v>
      </c>
      <c r="X1525" s="1" t="s">
        <v>17092</v>
      </c>
      <c r="Y1525" s="1" t="s">
        <v>191</v>
      </c>
      <c r="Z1525" s="1" t="s">
        <v>92</v>
      </c>
      <c r="AA1525" s="1" t="s">
        <v>17092</v>
      </c>
      <c r="AB1525" s="1" t="s">
        <v>191</v>
      </c>
      <c r="AC1525" s="1" t="s">
        <v>92</v>
      </c>
      <c r="AD1525" s="1" t="s">
        <v>93</v>
      </c>
      <c r="AE1525" s="1" t="s">
        <v>93</v>
      </c>
      <c r="AF1525" s="1" t="s">
        <v>17093</v>
      </c>
      <c r="AG1525" s="1" t="s">
        <v>616</v>
      </c>
      <c r="AH1525" s="1" t="s">
        <v>97</v>
      </c>
      <c r="AI1525" s="1" t="s">
        <v>281</v>
      </c>
      <c r="AJ1525" s="1">
        <v>91</v>
      </c>
      <c r="AK1525" s="1"/>
      <c r="AL1525" s="1"/>
      <c r="AM1525" s="1"/>
      <c r="AN1525" s="1"/>
      <c r="AO1525" s="1"/>
      <c r="AP1525" s="1"/>
      <c r="AQ1525" s="1"/>
      <c r="AR1525" s="1" t="s">
        <v>98</v>
      </c>
      <c r="AS1525" s="1" t="s">
        <v>17094</v>
      </c>
      <c r="AT1525" s="1" t="s">
        <v>1043</v>
      </c>
      <c r="AU1525" s="1" t="s">
        <v>542</v>
      </c>
      <c r="AV1525" s="1">
        <v>86.93</v>
      </c>
      <c r="AW1525" s="1"/>
      <c r="AX1525" s="1" t="s">
        <v>17095</v>
      </c>
      <c r="AY1525" s="1" t="s">
        <v>17096</v>
      </c>
      <c r="AZ1525" s="1" t="s">
        <v>852</v>
      </c>
      <c r="BA1525" s="1" t="s">
        <v>202</v>
      </c>
      <c r="BB1525" s="1">
        <v>71.4</v>
      </c>
      <c r="BC1525" s="1">
        <v>7.89</v>
      </c>
      <c r="BD1525" s="1"/>
      <c r="BE1525" s="1"/>
      <c r="BF1525" s="1"/>
      <c r="BG1525" s="1"/>
      <c r="BH1525" s="1"/>
      <c r="BI1525" s="1"/>
      <c r="BJ1525" s="1" t="s">
        <v>17097</v>
      </c>
      <c r="BK1525" s="1"/>
      <c r="BL1525" s="1"/>
      <c r="BM1525" s="1" t="s">
        <v>17098</v>
      </c>
      <c r="BN1525" s="1">
        <v>8</v>
      </c>
      <c r="BO1525" s="1"/>
      <c r="BP1525" s="1" t="str">
        <f>HYPERLINK("https://nconnect.nicmar.ac.in/storage/profile/6a2685caa33b5.png","Download")</f>
        <v>0</v>
      </c>
      <c r="BQ1525" s="3"/>
      <c r="BR1525" s="3"/>
    </row>
    <row r="1526" spans="1:70">
      <c r="A1526" s="1" t="s">
        <v>17032</v>
      </c>
      <c r="B1526" s="1" t="s">
        <v>71</v>
      </c>
      <c r="C1526" s="1" t="s">
        <v>17099</v>
      </c>
      <c r="D1526" s="1" t="s">
        <v>8052</v>
      </c>
      <c r="E1526" s="1" t="s">
        <v>17100</v>
      </c>
      <c r="F1526" s="1" t="s">
        <v>17101</v>
      </c>
      <c r="G1526" s="1" t="s">
        <v>17102</v>
      </c>
      <c r="H1526" s="1" t="s">
        <v>17103</v>
      </c>
      <c r="I1526" s="1" t="s">
        <v>17103</v>
      </c>
      <c r="J1526" s="1">
        <v>6281056137</v>
      </c>
      <c r="K1526" s="1" t="s">
        <v>148</v>
      </c>
      <c r="L1526" s="1" t="s">
        <v>5491</v>
      </c>
      <c r="M1526" s="1"/>
      <c r="N1526" s="1"/>
      <c r="O1526" s="1"/>
      <c r="P1526" s="1"/>
      <c r="Q1526" s="1"/>
      <c r="R1526" s="1"/>
      <c r="S1526" s="1"/>
      <c r="T1526" s="1"/>
      <c r="U1526" s="1"/>
      <c r="V1526" s="1"/>
      <c r="W1526" s="1"/>
      <c r="X1526" s="1"/>
      <c r="Y1526" s="1"/>
      <c r="Z1526" s="1"/>
      <c r="AA1526" s="1"/>
      <c r="AB1526" s="1"/>
      <c r="AC1526" s="1"/>
      <c r="AD1526" s="1" t="s">
        <v>93</v>
      </c>
      <c r="AE1526" s="1" t="s">
        <v>93</v>
      </c>
      <c r="AF1526" s="1" t="s">
        <v>17104</v>
      </c>
      <c r="AG1526" s="1" t="s">
        <v>3611</v>
      </c>
      <c r="AH1526" s="1" t="s">
        <v>162</v>
      </c>
      <c r="AI1526" s="1" t="s">
        <v>562</v>
      </c>
      <c r="AJ1526" s="1">
        <v>85.5</v>
      </c>
      <c r="AK1526" s="1">
        <v>9</v>
      </c>
      <c r="AL1526" s="1" t="s">
        <v>3052</v>
      </c>
      <c r="AM1526" s="1" t="s">
        <v>3053</v>
      </c>
      <c r="AN1526" s="1" t="s">
        <v>165</v>
      </c>
      <c r="AO1526" s="1" t="s">
        <v>537</v>
      </c>
      <c r="AP1526" s="1">
        <v>94.6</v>
      </c>
      <c r="AQ1526" s="1"/>
      <c r="AR1526" s="1"/>
      <c r="AS1526" s="1"/>
      <c r="AT1526" s="1"/>
      <c r="AU1526" s="1"/>
      <c r="AV1526" s="1"/>
      <c r="AW1526" s="1"/>
      <c r="AX1526" s="1" t="s">
        <v>17105</v>
      </c>
      <c r="AY1526" s="1" t="s">
        <v>17106</v>
      </c>
      <c r="AZ1526" s="1" t="s">
        <v>201</v>
      </c>
      <c r="BA1526" s="1" t="s">
        <v>174</v>
      </c>
      <c r="BB1526" s="1">
        <v>82.27</v>
      </c>
      <c r="BC1526" s="1">
        <v>8.57</v>
      </c>
      <c r="BD1526" s="1"/>
      <c r="BE1526" s="1"/>
      <c r="BF1526" s="1"/>
      <c r="BG1526" s="1"/>
      <c r="BH1526" s="1"/>
      <c r="BI1526" s="1"/>
      <c r="BJ1526" s="1" t="s">
        <v>17107</v>
      </c>
      <c r="BK1526" s="1"/>
      <c r="BL1526" s="1"/>
      <c r="BM1526" s="1" t="s">
        <v>17108</v>
      </c>
      <c r="BN1526" s="1">
        <v>27</v>
      </c>
      <c r="BO1526" s="1"/>
      <c r="BP1526" s="1" t="str">
        <f>HYPERLINK("https://nconnect.nicmar.ac.in/storage/profile/6a267e16ddcdb.png","Download")</f>
        <v>0</v>
      </c>
      <c r="BQ1526" s="3"/>
      <c r="BR1526" s="3"/>
    </row>
    <row r="1527" spans="1:70">
      <c r="A1527" s="1" t="s">
        <v>17032</v>
      </c>
      <c r="B1527" s="1" t="s">
        <v>71</v>
      </c>
      <c r="C1527" s="1" t="s">
        <v>17109</v>
      </c>
      <c r="D1527" s="1" t="s">
        <v>6466</v>
      </c>
      <c r="E1527" s="1" t="s">
        <v>8239</v>
      </c>
      <c r="F1527" s="1" t="s">
        <v>111</v>
      </c>
      <c r="G1527" s="1" t="s">
        <v>17110</v>
      </c>
      <c r="H1527" s="1" t="s">
        <v>17111</v>
      </c>
      <c r="I1527" s="1" t="s">
        <v>17112</v>
      </c>
      <c r="J1527" s="1">
        <v>8197555797</v>
      </c>
      <c r="K1527" s="1" t="s">
        <v>148</v>
      </c>
      <c r="L1527" s="1" t="s">
        <v>3278</v>
      </c>
      <c r="M1527" s="1" t="s">
        <v>81</v>
      </c>
      <c r="N1527" s="1" t="s">
        <v>17113</v>
      </c>
      <c r="O1527" s="1" t="s">
        <v>17114</v>
      </c>
      <c r="P1527" s="1" t="s">
        <v>117</v>
      </c>
      <c r="Q1527" s="1" t="s">
        <v>17115</v>
      </c>
      <c r="R1527" s="1" t="s">
        <v>17116</v>
      </c>
      <c r="S1527" s="1">
        <v>9845032474</v>
      </c>
      <c r="T1527" s="1" t="s">
        <v>820</v>
      </c>
      <c r="U1527" s="1" t="s">
        <v>17117</v>
      </c>
      <c r="V1527" s="1">
        <v>9036994110</v>
      </c>
      <c r="W1527" s="1" t="s">
        <v>820</v>
      </c>
      <c r="X1527" s="1" t="s">
        <v>17118</v>
      </c>
      <c r="Y1527" s="1" t="s">
        <v>3151</v>
      </c>
      <c r="Z1527" s="1" t="s">
        <v>1187</v>
      </c>
      <c r="AA1527" s="1" t="s">
        <v>17118</v>
      </c>
      <c r="AB1527" s="1" t="s">
        <v>3151</v>
      </c>
      <c r="AC1527" s="1" t="s">
        <v>1187</v>
      </c>
      <c r="AD1527" s="1" t="s">
        <v>93</v>
      </c>
      <c r="AE1527" s="1" t="s">
        <v>93</v>
      </c>
      <c r="AF1527" s="1" t="s">
        <v>17119</v>
      </c>
      <c r="AG1527" s="1" t="s">
        <v>6469</v>
      </c>
      <c r="AH1527" s="1" t="s">
        <v>161</v>
      </c>
      <c r="AI1527" s="1" t="s">
        <v>1089</v>
      </c>
      <c r="AJ1527" s="1">
        <v>76.5</v>
      </c>
      <c r="AK1527" s="1"/>
      <c r="AL1527" s="1" t="s">
        <v>17120</v>
      </c>
      <c r="AM1527" s="1" t="s">
        <v>307</v>
      </c>
      <c r="AN1527" s="1" t="s">
        <v>383</v>
      </c>
      <c r="AO1527" s="1" t="s">
        <v>281</v>
      </c>
      <c r="AP1527" s="1">
        <v>66.5</v>
      </c>
      <c r="AQ1527" s="1"/>
      <c r="AR1527" s="1"/>
      <c r="AS1527" s="1"/>
      <c r="AT1527" s="1"/>
      <c r="AU1527" s="1"/>
      <c r="AV1527" s="1"/>
      <c r="AW1527" s="1"/>
      <c r="AX1527" s="1" t="s">
        <v>1194</v>
      </c>
      <c r="AY1527" s="1" t="s">
        <v>10609</v>
      </c>
      <c r="AZ1527" s="1" t="s">
        <v>169</v>
      </c>
      <c r="BA1527" s="1" t="s">
        <v>9945</v>
      </c>
      <c r="BB1527" s="1">
        <v>63.8</v>
      </c>
      <c r="BC1527" s="1">
        <v>7.13</v>
      </c>
      <c r="BD1527" s="1" t="s">
        <v>1194</v>
      </c>
      <c r="BE1527" s="1" t="s">
        <v>10609</v>
      </c>
      <c r="BF1527" s="1" t="s">
        <v>169</v>
      </c>
      <c r="BG1527" s="1" t="s">
        <v>935</v>
      </c>
      <c r="BH1527" s="1">
        <v>63.8</v>
      </c>
      <c r="BI1527" s="1">
        <v>7.13</v>
      </c>
      <c r="BJ1527" s="1" t="s">
        <v>17121</v>
      </c>
      <c r="BK1527" s="1"/>
      <c r="BL1527" s="1"/>
      <c r="BM1527" s="1" t="s">
        <v>17122</v>
      </c>
      <c r="BN1527" s="1">
        <v>24</v>
      </c>
      <c r="BO1527" s="1"/>
      <c r="BP1527" s="1" t="str">
        <f>HYPERLINK("https://nconnect.nicmar.ac.in/storage/profile/6a265cafc1c98.png","Download")</f>
        <v>0</v>
      </c>
      <c r="BQ1527" s="3"/>
      <c r="BR1527" s="3"/>
    </row>
    <row r="1528" spans="1:70">
      <c r="A1528" s="1" t="s">
        <v>17032</v>
      </c>
      <c r="B1528" s="1" t="s">
        <v>71</v>
      </c>
      <c r="C1528" s="1" t="s">
        <v>17123</v>
      </c>
      <c r="D1528" s="1" t="s">
        <v>143</v>
      </c>
      <c r="E1528" s="1"/>
      <c r="F1528" s="1" t="s">
        <v>17124</v>
      </c>
      <c r="G1528" s="1" t="s">
        <v>17125</v>
      </c>
      <c r="H1528" s="1" t="s">
        <v>17126</v>
      </c>
      <c r="I1528" s="1" t="s">
        <v>17127</v>
      </c>
      <c r="J1528" s="1">
        <v>9845889912</v>
      </c>
      <c r="K1528" s="1" t="s">
        <v>148</v>
      </c>
      <c r="L1528" s="1" t="s">
        <v>9353</v>
      </c>
      <c r="M1528" s="1" t="s">
        <v>81</v>
      </c>
      <c r="N1528" s="1" t="s">
        <v>17128</v>
      </c>
      <c r="O1528" s="1" t="s">
        <v>17129</v>
      </c>
      <c r="P1528" s="1" t="s">
        <v>84</v>
      </c>
      <c r="Q1528" s="1" t="s">
        <v>17130</v>
      </c>
      <c r="R1528" s="1" t="s">
        <v>93</v>
      </c>
      <c r="S1528" s="1" t="s">
        <v>17131</v>
      </c>
      <c r="T1528" s="1" t="s">
        <v>93</v>
      </c>
      <c r="U1528" s="1" t="s">
        <v>17132</v>
      </c>
      <c r="V1528" s="1">
        <v>9900153594</v>
      </c>
      <c r="W1528" s="1" t="s">
        <v>93</v>
      </c>
      <c r="X1528" s="1" t="s">
        <v>17133</v>
      </c>
      <c r="Y1528" s="1" t="s">
        <v>3151</v>
      </c>
      <c r="Z1528" s="1" t="s">
        <v>1187</v>
      </c>
      <c r="AA1528" s="1" t="s">
        <v>17133</v>
      </c>
      <c r="AB1528" s="1" t="s">
        <v>3151</v>
      </c>
      <c r="AC1528" s="1" t="s">
        <v>1187</v>
      </c>
      <c r="AD1528" s="1" t="s">
        <v>93</v>
      </c>
      <c r="AE1528" s="1" t="s">
        <v>93</v>
      </c>
      <c r="AF1528" s="1" t="s">
        <v>17134</v>
      </c>
      <c r="AG1528" s="1" t="s">
        <v>17135</v>
      </c>
      <c r="AH1528" s="1" t="s">
        <v>161</v>
      </c>
      <c r="AI1528" s="1" t="s">
        <v>614</v>
      </c>
      <c r="AJ1528" s="1">
        <v>87.0</v>
      </c>
      <c r="AK1528" s="1">
        <v>9.1</v>
      </c>
      <c r="AL1528" s="1" t="s">
        <v>17136</v>
      </c>
      <c r="AM1528" s="1" t="s">
        <v>17137</v>
      </c>
      <c r="AN1528" s="1" t="s">
        <v>165</v>
      </c>
      <c r="AO1528" s="1" t="s">
        <v>166</v>
      </c>
      <c r="AP1528" s="1">
        <v>80.0</v>
      </c>
      <c r="AQ1528" s="1">
        <v>8.5</v>
      </c>
      <c r="AR1528" s="1"/>
      <c r="AS1528" s="1"/>
      <c r="AT1528" s="1"/>
      <c r="AU1528" s="1"/>
      <c r="AV1528" s="1"/>
      <c r="AW1528" s="1"/>
      <c r="AX1528" s="1" t="s">
        <v>17138</v>
      </c>
      <c r="AY1528" s="1" t="s">
        <v>17139</v>
      </c>
      <c r="AZ1528" s="1" t="s">
        <v>169</v>
      </c>
      <c r="BA1528" s="1" t="s">
        <v>935</v>
      </c>
      <c r="BB1528" s="1">
        <v>73.7</v>
      </c>
      <c r="BC1528" s="1">
        <v>8.12</v>
      </c>
      <c r="BD1528" s="1"/>
      <c r="BE1528" s="1"/>
      <c r="BF1528" s="1"/>
      <c r="BG1528" s="1"/>
      <c r="BH1528" s="1"/>
      <c r="BI1528" s="1"/>
      <c r="BJ1528" s="1" t="s">
        <v>17140</v>
      </c>
      <c r="BK1528" s="1"/>
      <c r="BL1528" s="1"/>
      <c r="BM1528" s="1" t="s">
        <v>17141</v>
      </c>
      <c r="BN1528" s="1">
        <v>79</v>
      </c>
      <c r="BO1528" s="1"/>
      <c r="BP1528" s="1" t="str">
        <f>HYPERLINK("https://nconnect.nicmar.ac.in/storage/profile/6a26521b8c899.png","Download")</f>
        <v>0</v>
      </c>
      <c r="BQ1528" s="3"/>
      <c r="BR1528" s="3"/>
    </row>
    <row r="1529" spans="1:70">
      <c r="A1529" s="1" t="s">
        <v>17142</v>
      </c>
      <c r="B1529" s="1" t="s">
        <v>71</v>
      </c>
      <c r="C1529" s="1" t="s">
        <v>17143</v>
      </c>
      <c r="D1529" s="1" t="s">
        <v>17144</v>
      </c>
      <c r="E1529" s="1" t="s">
        <v>17145</v>
      </c>
      <c r="F1529" s="1" t="s">
        <v>7134</v>
      </c>
      <c r="G1529" s="1" t="s">
        <v>17146</v>
      </c>
      <c r="H1529" s="1" t="s">
        <v>17147</v>
      </c>
      <c r="I1529" s="1" t="s">
        <v>17147</v>
      </c>
      <c r="J1529" s="1">
        <v>7447495790</v>
      </c>
      <c r="K1529" s="1" t="s">
        <v>148</v>
      </c>
      <c r="L1529" s="1" t="s">
        <v>17148</v>
      </c>
      <c r="M1529" s="1" t="s">
        <v>81</v>
      </c>
      <c r="N1529" s="1" t="s">
        <v>4861</v>
      </c>
      <c r="O1529" s="1" t="s">
        <v>83</v>
      </c>
      <c r="P1529" s="1" t="s">
        <v>214</v>
      </c>
      <c r="Q1529" s="1" t="s">
        <v>17149</v>
      </c>
      <c r="R1529" s="1" t="s">
        <v>17150</v>
      </c>
      <c r="S1529" s="1">
        <v>9422690620</v>
      </c>
      <c r="T1529" s="1" t="s">
        <v>906</v>
      </c>
      <c r="U1529" s="1" t="s">
        <v>17151</v>
      </c>
      <c r="V1529" s="1">
        <v>9922601605</v>
      </c>
      <c r="W1529" s="1" t="s">
        <v>156</v>
      </c>
      <c r="X1529" s="1" t="s">
        <v>17152</v>
      </c>
      <c r="Y1529" s="1" t="s">
        <v>1166</v>
      </c>
      <c r="Z1529" s="1" t="s">
        <v>92</v>
      </c>
      <c r="AA1529" s="1" t="s">
        <v>17153</v>
      </c>
      <c r="AB1529" s="1" t="s">
        <v>191</v>
      </c>
      <c r="AC1529" s="1" t="s">
        <v>92</v>
      </c>
      <c r="AD1529" s="1" t="s">
        <v>93</v>
      </c>
      <c r="AE1529" s="1" t="s">
        <v>93</v>
      </c>
      <c r="AF1529" s="1" t="s">
        <v>17154</v>
      </c>
      <c r="AG1529" s="1" t="s">
        <v>17155</v>
      </c>
      <c r="AH1529" s="1" t="s">
        <v>96</v>
      </c>
      <c r="AI1529" s="1" t="s">
        <v>1088</v>
      </c>
      <c r="AJ1529" s="1">
        <v>95.6</v>
      </c>
      <c r="AK1529" s="1"/>
      <c r="AL1529" s="1" t="s">
        <v>17156</v>
      </c>
      <c r="AM1529" s="1" t="s">
        <v>17157</v>
      </c>
      <c r="AN1529" s="1" t="s">
        <v>162</v>
      </c>
      <c r="AO1529" s="1" t="s">
        <v>689</v>
      </c>
      <c r="AP1529" s="1">
        <v>67.38</v>
      </c>
      <c r="AQ1529" s="1"/>
      <c r="AR1529" s="1"/>
      <c r="AS1529" s="1"/>
      <c r="AT1529" s="1"/>
      <c r="AU1529" s="1"/>
      <c r="AV1529" s="1"/>
      <c r="AW1529" s="1"/>
      <c r="AX1529" s="1" t="s">
        <v>361</v>
      </c>
      <c r="AY1529" s="1" t="s">
        <v>3982</v>
      </c>
      <c r="AZ1529" s="1" t="s">
        <v>165</v>
      </c>
      <c r="BA1529" s="1" t="s">
        <v>828</v>
      </c>
      <c r="BB1529" s="1">
        <v>71.4</v>
      </c>
      <c r="BC1529" s="1">
        <v>7.89</v>
      </c>
      <c r="BD1529" s="1" t="s">
        <v>17158</v>
      </c>
      <c r="BE1529" s="1" t="s">
        <v>17159</v>
      </c>
      <c r="BF1529" s="1" t="s">
        <v>852</v>
      </c>
      <c r="BG1529" s="1" t="s">
        <v>1245</v>
      </c>
      <c r="BH1529" s="1">
        <v>75.45</v>
      </c>
      <c r="BI1529" s="1">
        <v>8.2</v>
      </c>
      <c r="BJ1529" s="1" t="s">
        <v>17160</v>
      </c>
      <c r="BK1529" s="1"/>
      <c r="BL1529" s="1"/>
      <c r="BM1529" s="1" t="s">
        <v>17161</v>
      </c>
      <c r="BN1529" s="1">
        <v>21</v>
      </c>
      <c r="BO1529" s="1"/>
      <c r="BP1529" s="1" t="str">
        <f>HYPERLINK("https://nconnect.nicmar.ac.in/storage/profile/6a228f22b5594.png","Download")</f>
        <v>0</v>
      </c>
      <c r="BQ1529" s="3"/>
      <c r="BR1529" s="3"/>
    </row>
    <row r="1530" spans="1:70">
      <c r="A1530" s="1" t="s">
        <v>17142</v>
      </c>
      <c r="B1530" s="1" t="s">
        <v>71</v>
      </c>
      <c r="C1530" s="1" t="s">
        <v>17162</v>
      </c>
      <c r="D1530" s="1" t="s">
        <v>5077</v>
      </c>
      <c r="E1530" s="1" t="s">
        <v>8309</v>
      </c>
      <c r="F1530" s="1" t="s">
        <v>17163</v>
      </c>
      <c r="G1530" s="1" t="s">
        <v>17164</v>
      </c>
      <c r="H1530" s="1" t="s">
        <v>17165</v>
      </c>
      <c r="I1530" s="1" t="s">
        <v>17165</v>
      </c>
      <c r="J1530" s="1">
        <v>7032924052</v>
      </c>
      <c r="K1530" s="1" t="s">
        <v>79</v>
      </c>
      <c r="L1530" s="1" t="s">
        <v>17166</v>
      </c>
      <c r="M1530" s="1" t="s">
        <v>81</v>
      </c>
      <c r="N1530" s="1" t="s">
        <v>4657</v>
      </c>
      <c r="O1530" s="1" t="s">
        <v>152</v>
      </c>
      <c r="P1530" s="1" t="s">
        <v>117</v>
      </c>
      <c r="Q1530" s="1" t="s">
        <v>17167</v>
      </c>
      <c r="R1530" s="1" t="s">
        <v>17168</v>
      </c>
      <c r="S1530" s="1">
        <v>9391525794</v>
      </c>
      <c r="T1530" s="1" t="s">
        <v>17169</v>
      </c>
      <c r="U1530" s="1" t="s">
        <v>17170</v>
      </c>
      <c r="V1530" s="1">
        <v>9959054052</v>
      </c>
      <c r="W1530" s="1" t="s">
        <v>531</v>
      </c>
      <c r="X1530" s="1" t="s">
        <v>17171</v>
      </c>
      <c r="Y1530" s="1" t="s">
        <v>1432</v>
      </c>
      <c r="Z1530" s="1" t="s">
        <v>276</v>
      </c>
      <c r="AA1530" s="1" t="s">
        <v>17171</v>
      </c>
      <c r="AB1530" s="1" t="s">
        <v>1432</v>
      </c>
      <c r="AC1530" s="1" t="s">
        <v>276</v>
      </c>
      <c r="AD1530" s="1" t="s">
        <v>93</v>
      </c>
      <c r="AE1530" s="1" t="s">
        <v>93</v>
      </c>
      <c r="AF1530" s="1" t="s">
        <v>17172</v>
      </c>
      <c r="AG1530" s="1" t="s">
        <v>2154</v>
      </c>
      <c r="AH1530" s="1" t="s">
        <v>614</v>
      </c>
      <c r="AI1530" s="1" t="s">
        <v>562</v>
      </c>
      <c r="AJ1530" s="1">
        <v>80.33</v>
      </c>
      <c r="AK1530" s="1"/>
      <c r="AL1530" s="1" t="s">
        <v>1818</v>
      </c>
      <c r="AM1530" s="1" t="s">
        <v>2312</v>
      </c>
      <c r="AN1530" s="1" t="s">
        <v>383</v>
      </c>
      <c r="AO1530" s="1" t="s">
        <v>409</v>
      </c>
      <c r="AP1530" s="1">
        <v>91.1</v>
      </c>
      <c r="AQ1530" s="1"/>
      <c r="AR1530" s="1"/>
      <c r="AS1530" s="1"/>
      <c r="AT1530" s="1"/>
      <c r="AU1530" s="1"/>
      <c r="AV1530" s="1"/>
      <c r="AW1530" s="1"/>
      <c r="AX1530" s="1" t="s">
        <v>17173</v>
      </c>
      <c r="AY1530" s="1" t="s">
        <v>17174</v>
      </c>
      <c r="AZ1530" s="1" t="s">
        <v>310</v>
      </c>
      <c r="BA1530" s="1" t="s">
        <v>17175</v>
      </c>
      <c r="BB1530" s="1">
        <v>64.9</v>
      </c>
      <c r="BC1530" s="1">
        <v>7.24</v>
      </c>
      <c r="BD1530" s="1"/>
      <c r="BE1530" s="1"/>
      <c r="BF1530" s="1"/>
      <c r="BG1530" s="1"/>
      <c r="BH1530" s="1"/>
      <c r="BI1530" s="1"/>
      <c r="BJ1530" s="1" t="s">
        <v>17176</v>
      </c>
      <c r="BK1530" s="1"/>
      <c r="BL1530" s="1"/>
      <c r="BM1530" s="1" t="s">
        <v>17177</v>
      </c>
      <c r="BN1530" s="1">
        <v>8</v>
      </c>
      <c r="BO1530" s="1" t="s">
        <v>17178</v>
      </c>
      <c r="BP1530" s="1" t="str">
        <f>HYPERLINK("https://nconnect.nicmar.ac.in/storage/profile/6a229f37c4f6e.png","Download")</f>
        <v>0</v>
      </c>
      <c r="BQ1530" s="3"/>
      <c r="BR1530" s="3"/>
    </row>
    <row r="1531" spans="1:70">
      <c r="A1531" s="1" t="s">
        <v>17142</v>
      </c>
      <c r="B1531" s="1" t="s">
        <v>71</v>
      </c>
      <c r="C1531" s="1" t="s">
        <v>17179</v>
      </c>
      <c r="D1531" s="1" t="s">
        <v>17180</v>
      </c>
      <c r="E1531" s="1" t="s">
        <v>17181</v>
      </c>
      <c r="F1531" s="1" t="s">
        <v>17182</v>
      </c>
      <c r="G1531" s="1" t="s">
        <v>17183</v>
      </c>
      <c r="H1531" s="1" t="s">
        <v>17184</v>
      </c>
      <c r="I1531" s="1" t="s">
        <v>17184</v>
      </c>
      <c r="J1531" s="1">
        <v>8806168395</v>
      </c>
      <c r="K1531" s="1" t="s">
        <v>148</v>
      </c>
      <c r="L1531" s="1" t="s">
        <v>16656</v>
      </c>
      <c r="M1531" s="1" t="s">
        <v>81</v>
      </c>
      <c r="N1531" s="1" t="s">
        <v>17185</v>
      </c>
      <c r="O1531" s="1" t="s">
        <v>152</v>
      </c>
      <c r="P1531" s="1" t="s">
        <v>214</v>
      </c>
      <c r="Q1531" s="1" t="s">
        <v>17186</v>
      </c>
      <c r="R1531" s="1" t="s">
        <v>17187</v>
      </c>
      <c r="S1531" s="1">
        <v>9422252460</v>
      </c>
      <c r="T1531" s="1" t="s">
        <v>17188</v>
      </c>
      <c r="U1531" s="1" t="s">
        <v>17189</v>
      </c>
      <c r="V1531" s="1">
        <v>9423969885</v>
      </c>
      <c r="W1531" s="1" t="s">
        <v>89</v>
      </c>
      <c r="X1531" s="1" t="s">
        <v>17190</v>
      </c>
      <c r="Y1531" s="1" t="s">
        <v>890</v>
      </c>
      <c r="Z1531" s="1" t="s">
        <v>92</v>
      </c>
      <c r="AA1531" s="1" t="s">
        <v>17190</v>
      </c>
      <c r="AB1531" s="1" t="s">
        <v>890</v>
      </c>
      <c r="AC1531" s="1" t="s">
        <v>92</v>
      </c>
      <c r="AD1531" s="1" t="s">
        <v>93</v>
      </c>
      <c r="AE1531" s="1" t="s">
        <v>93</v>
      </c>
      <c r="AF1531" s="1" t="s">
        <v>17191</v>
      </c>
      <c r="AG1531" s="1" t="s">
        <v>17192</v>
      </c>
      <c r="AH1531" s="1" t="s">
        <v>161</v>
      </c>
      <c r="AI1531" s="1" t="s">
        <v>1089</v>
      </c>
      <c r="AJ1531" s="1">
        <v>90.0</v>
      </c>
      <c r="AK1531" s="1"/>
      <c r="AL1531" s="1" t="s">
        <v>17193</v>
      </c>
      <c r="AM1531" s="1" t="s">
        <v>17192</v>
      </c>
      <c r="AN1531" s="1" t="s">
        <v>165</v>
      </c>
      <c r="AO1531" s="1" t="s">
        <v>1455</v>
      </c>
      <c r="AP1531" s="1">
        <v>79.23</v>
      </c>
      <c r="AQ1531" s="1"/>
      <c r="AR1531" s="1"/>
      <c r="AS1531" s="1"/>
      <c r="AT1531" s="1"/>
      <c r="AU1531" s="1"/>
      <c r="AV1531" s="1"/>
      <c r="AW1531" s="1"/>
      <c r="AX1531" s="1" t="s">
        <v>361</v>
      </c>
      <c r="AY1531" s="1" t="s">
        <v>17194</v>
      </c>
      <c r="AZ1531" s="1" t="s">
        <v>101</v>
      </c>
      <c r="BA1531" s="1" t="s">
        <v>566</v>
      </c>
      <c r="BB1531" s="1">
        <v>74.5</v>
      </c>
      <c r="BC1531" s="1">
        <v>8.2</v>
      </c>
      <c r="BD1531" s="1"/>
      <c r="BE1531" s="1"/>
      <c r="BF1531" s="1"/>
      <c r="BG1531" s="1"/>
      <c r="BH1531" s="1"/>
      <c r="BI1531" s="1"/>
      <c r="BJ1531" s="1" t="s">
        <v>17195</v>
      </c>
      <c r="BK1531" s="1"/>
      <c r="BL1531" s="1"/>
      <c r="BM1531" s="1" t="s">
        <v>17196</v>
      </c>
      <c r="BN1531" s="1">
        <v>86</v>
      </c>
      <c r="BO1531" s="1" t="s">
        <v>17197</v>
      </c>
      <c r="BP1531" s="1" t="str">
        <f>HYPERLINK("https://nconnect.nicmar.ac.in/storage/profile/6a22a37637792.png","Download")</f>
        <v>0</v>
      </c>
      <c r="BQ1531" s="3"/>
      <c r="BR1531" s="3"/>
    </row>
    <row r="1532" spans="1:70">
      <c r="A1532" s="1" t="s">
        <v>17142</v>
      </c>
      <c r="B1532" s="1" t="s">
        <v>71</v>
      </c>
      <c r="C1532" s="1" t="s">
        <v>17198</v>
      </c>
      <c r="D1532" s="1" t="s">
        <v>17199</v>
      </c>
      <c r="E1532" s="1"/>
      <c r="F1532" s="1" t="s">
        <v>17200</v>
      </c>
      <c r="G1532" s="1" t="s">
        <v>17201</v>
      </c>
      <c r="H1532" s="1" t="s">
        <v>17202</v>
      </c>
      <c r="I1532" s="1" t="s">
        <v>17202</v>
      </c>
      <c r="J1532" s="1">
        <v>9041258814</v>
      </c>
      <c r="K1532" s="1" t="s">
        <v>79</v>
      </c>
      <c r="L1532" s="1" t="s">
        <v>17203</v>
      </c>
      <c r="M1532" s="1" t="s">
        <v>81</v>
      </c>
      <c r="N1532" s="1" t="s">
        <v>17204</v>
      </c>
      <c r="O1532" s="1" t="s">
        <v>152</v>
      </c>
      <c r="P1532" s="1" t="s">
        <v>117</v>
      </c>
      <c r="Q1532" s="1" t="s">
        <v>17205</v>
      </c>
      <c r="R1532" s="1" t="s">
        <v>17206</v>
      </c>
      <c r="S1532" s="1">
        <v>9810107705</v>
      </c>
      <c r="T1532" s="1" t="s">
        <v>17207</v>
      </c>
      <c r="U1532" s="1" t="s">
        <v>17208</v>
      </c>
      <c r="V1532" s="1">
        <v>8130631490</v>
      </c>
      <c r="W1532" s="1" t="s">
        <v>17209</v>
      </c>
      <c r="X1532" s="1" t="s">
        <v>17210</v>
      </c>
      <c r="Y1532" s="1" t="s">
        <v>9205</v>
      </c>
      <c r="Z1532" s="1" t="s">
        <v>1714</v>
      </c>
      <c r="AA1532" s="1" t="s">
        <v>17210</v>
      </c>
      <c r="AB1532" s="1" t="s">
        <v>9205</v>
      </c>
      <c r="AC1532" s="1" t="s">
        <v>1714</v>
      </c>
      <c r="AD1532" s="1" t="s">
        <v>93</v>
      </c>
      <c r="AE1532" s="1" t="s">
        <v>93</v>
      </c>
      <c r="AF1532" s="1" t="s">
        <v>17211</v>
      </c>
      <c r="AG1532" s="1" t="s">
        <v>5556</v>
      </c>
      <c r="AH1532" s="1" t="s">
        <v>332</v>
      </c>
      <c r="AI1532" s="1" t="s">
        <v>2736</v>
      </c>
      <c r="AJ1532" s="1">
        <v>77.9</v>
      </c>
      <c r="AK1532" s="1">
        <v>8.2</v>
      </c>
      <c r="AL1532" s="1" t="s">
        <v>17211</v>
      </c>
      <c r="AM1532" s="1" t="s">
        <v>5556</v>
      </c>
      <c r="AN1532" s="1" t="s">
        <v>128</v>
      </c>
      <c r="AO1532" s="1" t="s">
        <v>1239</v>
      </c>
      <c r="AP1532" s="1">
        <v>57</v>
      </c>
      <c r="AQ1532" s="1"/>
      <c r="AR1532" s="1"/>
      <c r="AS1532" s="1"/>
      <c r="AT1532" s="1"/>
      <c r="AU1532" s="1"/>
      <c r="AV1532" s="1"/>
      <c r="AW1532" s="1"/>
      <c r="AX1532" s="1" t="s">
        <v>17212</v>
      </c>
      <c r="AY1532" s="1" t="s">
        <v>17213</v>
      </c>
      <c r="AZ1532" s="1" t="s">
        <v>252</v>
      </c>
      <c r="BA1532" s="1" t="s">
        <v>104</v>
      </c>
      <c r="BB1532" s="1">
        <v>66.78</v>
      </c>
      <c r="BC1532" s="1">
        <v>7.42</v>
      </c>
      <c r="BD1532" s="1"/>
      <c r="BE1532" s="1"/>
      <c r="BF1532" s="1"/>
      <c r="BG1532" s="1"/>
      <c r="BH1532" s="1"/>
      <c r="BI1532" s="1"/>
      <c r="BJ1532" s="1" t="s">
        <v>17214</v>
      </c>
      <c r="BK1532" s="1" t="s">
        <v>17215</v>
      </c>
      <c r="BL1532" s="1" t="s">
        <v>3444</v>
      </c>
      <c r="BM1532" s="1" t="s">
        <v>17216</v>
      </c>
      <c r="BN1532" s="1">
        <v>25</v>
      </c>
      <c r="BO1532" s="1" t="s">
        <v>17217</v>
      </c>
      <c r="BP1532" s="1" t="str">
        <f>HYPERLINK("https://nconnect.nicmar.ac.in/storage/profile/6a22aa8c81c79.png","Download")</f>
        <v>0</v>
      </c>
      <c r="BQ1532" s="3"/>
      <c r="BR1532" s="3"/>
    </row>
    <row r="1533" spans="1:70">
      <c r="A1533" s="1" t="s">
        <v>17142</v>
      </c>
      <c r="B1533" s="1" t="s">
        <v>71</v>
      </c>
      <c r="C1533" s="1" t="s">
        <v>17218</v>
      </c>
      <c r="D1533" s="1" t="s">
        <v>10071</v>
      </c>
      <c r="E1533" s="1" t="s">
        <v>11013</v>
      </c>
      <c r="F1533" s="1" t="s">
        <v>17219</v>
      </c>
      <c r="G1533" s="1" t="s">
        <v>17220</v>
      </c>
      <c r="H1533" s="1" t="s">
        <v>17221</v>
      </c>
      <c r="I1533" s="1" t="s">
        <v>17221</v>
      </c>
      <c r="J1533" s="1">
        <v>7767970404</v>
      </c>
      <c r="K1533" s="1" t="s">
        <v>148</v>
      </c>
      <c r="L1533" s="1" t="s">
        <v>17222</v>
      </c>
      <c r="M1533" s="1" t="s">
        <v>81</v>
      </c>
      <c r="N1533" s="1" t="s">
        <v>17223</v>
      </c>
      <c r="O1533" s="1" t="s">
        <v>83</v>
      </c>
      <c r="P1533" s="1" t="s">
        <v>214</v>
      </c>
      <c r="Q1533" s="1" t="s">
        <v>17224</v>
      </c>
      <c r="R1533" s="1" t="s">
        <v>11013</v>
      </c>
      <c r="S1533" s="1">
        <v>9763437081</v>
      </c>
      <c r="T1533" s="1" t="s">
        <v>632</v>
      </c>
      <c r="U1533" s="1" t="s">
        <v>17225</v>
      </c>
      <c r="V1533" s="1">
        <v>9423007675</v>
      </c>
      <c r="W1533" s="1" t="s">
        <v>632</v>
      </c>
      <c r="X1533" s="1" t="s">
        <v>17226</v>
      </c>
      <c r="Y1533" s="1" t="s">
        <v>191</v>
      </c>
      <c r="Z1533" s="1" t="s">
        <v>92</v>
      </c>
      <c r="AA1533" s="1" t="s">
        <v>17226</v>
      </c>
      <c r="AB1533" s="1" t="s">
        <v>191</v>
      </c>
      <c r="AC1533" s="1" t="s">
        <v>92</v>
      </c>
      <c r="AD1533" s="1" t="s">
        <v>93</v>
      </c>
      <c r="AE1533" s="1" t="s">
        <v>93</v>
      </c>
      <c r="AF1533" s="1" t="s">
        <v>17227</v>
      </c>
      <c r="AG1533" s="1" t="s">
        <v>17228</v>
      </c>
      <c r="AH1533" s="1" t="s">
        <v>161</v>
      </c>
      <c r="AI1533" s="1" t="s">
        <v>1089</v>
      </c>
      <c r="AJ1533" s="1">
        <v>96.6</v>
      </c>
      <c r="AK1533" s="1"/>
      <c r="AL1533" s="1" t="s">
        <v>7427</v>
      </c>
      <c r="AM1533" s="1" t="s">
        <v>17228</v>
      </c>
      <c r="AN1533" s="1" t="s">
        <v>165</v>
      </c>
      <c r="AO1533" s="1" t="s">
        <v>1455</v>
      </c>
      <c r="AP1533" s="1">
        <v>88.77</v>
      </c>
      <c r="AQ1533" s="1"/>
      <c r="AR1533" s="1"/>
      <c r="AS1533" s="1"/>
      <c r="AT1533" s="1"/>
      <c r="AU1533" s="1"/>
      <c r="AV1533" s="1"/>
      <c r="AW1533" s="1"/>
      <c r="AX1533" s="1" t="s">
        <v>361</v>
      </c>
      <c r="AY1533" s="1" t="s">
        <v>17229</v>
      </c>
      <c r="AZ1533" s="1" t="s">
        <v>1043</v>
      </c>
      <c r="BA1533" s="1" t="s">
        <v>566</v>
      </c>
      <c r="BB1533" s="1">
        <v>86.15</v>
      </c>
      <c r="BC1533" s="1">
        <v>9.68</v>
      </c>
      <c r="BD1533" s="1"/>
      <c r="BE1533" s="1"/>
      <c r="BF1533" s="1"/>
      <c r="BG1533" s="1"/>
      <c r="BH1533" s="1"/>
      <c r="BI1533" s="1"/>
      <c r="BJ1533" s="1" t="s">
        <v>17214</v>
      </c>
      <c r="BK1533" s="1" t="s">
        <v>17230</v>
      </c>
      <c r="BL1533" s="1" t="s">
        <v>873</v>
      </c>
      <c r="BM1533" s="1" t="s">
        <v>17231</v>
      </c>
      <c r="BN1533" s="1">
        <v>35</v>
      </c>
      <c r="BO1533" s="1"/>
      <c r="BP1533" s="1" t="str">
        <f>HYPERLINK("https://nconnect.nicmar.ac.in/storage/profile/6a22b01e23288.png","Download")</f>
        <v>0</v>
      </c>
      <c r="BQ1533" s="3"/>
      <c r="BR1533" s="3"/>
    </row>
    <row r="1534" spans="1:70">
      <c r="A1534" s="1" t="s">
        <v>14387</v>
      </c>
      <c r="B1534" s="1" t="s">
        <v>441</v>
      </c>
      <c r="C1534" s="1" t="s">
        <v>17232</v>
      </c>
      <c r="D1534" s="1" t="s">
        <v>17233</v>
      </c>
      <c r="E1534" s="1"/>
      <c r="F1534" s="1" t="s">
        <v>520</v>
      </c>
      <c r="G1534" s="1" t="s">
        <v>17234</v>
      </c>
      <c r="H1534" s="1" t="s">
        <v>17235</v>
      </c>
      <c r="I1534" s="1" t="s">
        <v>17236</v>
      </c>
      <c r="J1534" s="1">
        <v>8756343666</v>
      </c>
      <c r="K1534" s="1" t="s">
        <v>148</v>
      </c>
      <c r="L1534" s="1" t="s">
        <v>17237</v>
      </c>
      <c r="M1534" s="1" t="s">
        <v>81</v>
      </c>
      <c r="N1534" s="1" t="s">
        <v>241</v>
      </c>
      <c r="O1534" s="1"/>
      <c r="P1534" s="1" t="s">
        <v>497</v>
      </c>
      <c r="Q1534" s="1" t="s">
        <v>17238</v>
      </c>
      <c r="R1534" s="1" t="s">
        <v>17239</v>
      </c>
      <c r="S1534" s="1">
        <v>8173002222</v>
      </c>
      <c r="T1534" s="1" t="s">
        <v>17240</v>
      </c>
      <c r="U1534" s="1" t="s">
        <v>17241</v>
      </c>
      <c r="V1534" s="1">
        <v>9454837411</v>
      </c>
      <c r="W1534" s="1" t="s">
        <v>273</v>
      </c>
      <c r="X1534" s="1" t="s">
        <v>17242</v>
      </c>
      <c r="Y1534" s="1" t="s">
        <v>1038</v>
      </c>
      <c r="Z1534" s="1" t="s">
        <v>534</v>
      </c>
      <c r="AA1534" s="1" t="s">
        <v>17242</v>
      </c>
      <c r="AB1534" s="1" t="s">
        <v>1038</v>
      </c>
      <c r="AC1534" s="1" t="s">
        <v>534</v>
      </c>
      <c r="AD1534" s="1">
        <v>8.48</v>
      </c>
      <c r="AE1534" s="1" t="s">
        <v>93</v>
      </c>
      <c r="AF1534" s="1" t="s">
        <v>17243</v>
      </c>
      <c r="AG1534" s="1" t="s">
        <v>17244</v>
      </c>
      <c r="AH1534" s="1" t="s">
        <v>1191</v>
      </c>
      <c r="AI1534" s="1" t="s">
        <v>131</v>
      </c>
      <c r="AJ1534" s="1">
        <v>66.5</v>
      </c>
      <c r="AK1534" s="1">
        <v>7</v>
      </c>
      <c r="AL1534" s="1" t="s">
        <v>17243</v>
      </c>
      <c r="AM1534" s="1" t="s">
        <v>17244</v>
      </c>
      <c r="AN1534" s="1" t="s">
        <v>614</v>
      </c>
      <c r="AO1534" s="1" t="s">
        <v>562</v>
      </c>
      <c r="AP1534" s="1">
        <v>56.2</v>
      </c>
      <c r="AQ1534" s="1">
        <v>0</v>
      </c>
      <c r="AR1534" s="1"/>
      <c r="AS1534" s="1"/>
      <c r="AT1534" s="1"/>
      <c r="AU1534" s="1"/>
      <c r="AV1534" s="1"/>
      <c r="AW1534" s="1"/>
      <c r="AX1534" s="1" t="s">
        <v>3790</v>
      </c>
      <c r="AY1534" s="1" t="s">
        <v>3790</v>
      </c>
      <c r="AZ1534" s="1" t="s">
        <v>1043</v>
      </c>
      <c r="BA1534" s="1" t="s">
        <v>935</v>
      </c>
      <c r="BB1534" s="1">
        <v>71.7</v>
      </c>
      <c r="BC1534" s="1">
        <v>7.17</v>
      </c>
      <c r="BD1534" s="1"/>
      <c r="BE1534" s="1"/>
      <c r="BF1534" s="1"/>
      <c r="BG1534" s="1"/>
      <c r="BH1534" s="1"/>
      <c r="BI1534" s="1"/>
      <c r="BJ1534" s="1" t="s">
        <v>17245</v>
      </c>
      <c r="BK1534" s="1"/>
      <c r="BL1534" s="1"/>
      <c r="BM1534" s="1" t="s">
        <v>17246</v>
      </c>
      <c r="BN1534" s="1">
        <v>96</v>
      </c>
      <c r="BO1534" s="1" t="s">
        <v>17247</v>
      </c>
      <c r="BP1534" s="1" t="str">
        <f>HYPERLINK("https://nconnect.nicmar.ac.in/storage/profile/ProfilePhoto_P25702081_536981.jpg","Download")</f>
        <v>0</v>
      </c>
      <c r="BQ1534" s="3"/>
      <c r="BR1534" s="3"/>
    </row>
    <row r="1535" spans="1:70">
      <c r="A1535" s="1" t="s">
        <v>14387</v>
      </c>
      <c r="B1535" s="1" t="s">
        <v>441</v>
      </c>
      <c r="C1535" s="1" t="s">
        <v>17248</v>
      </c>
      <c r="D1535" s="1" t="s">
        <v>2070</v>
      </c>
      <c r="E1535" s="1" t="s">
        <v>4651</v>
      </c>
      <c r="F1535" s="1" t="s">
        <v>17249</v>
      </c>
      <c r="G1535" s="1" t="s">
        <v>17250</v>
      </c>
      <c r="H1535" s="1" t="s">
        <v>17251</v>
      </c>
      <c r="I1535" s="1" t="s">
        <v>17252</v>
      </c>
      <c r="J1535" s="1">
        <v>9653285798</v>
      </c>
      <c r="K1535" s="1" t="s">
        <v>79</v>
      </c>
      <c r="L1535" s="1" t="s">
        <v>15416</v>
      </c>
      <c r="M1535" s="1" t="s">
        <v>81</v>
      </c>
      <c r="N1535" s="1" t="s">
        <v>12100</v>
      </c>
      <c r="O1535" s="1"/>
      <c r="P1535" s="1" t="s">
        <v>472</v>
      </c>
      <c r="Q1535" s="1" t="s">
        <v>17253</v>
      </c>
      <c r="R1535" s="1" t="s">
        <v>17254</v>
      </c>
      <c r="S1535" s="1">
        <v>9969873060</v>
      </c>
      <c r="T1535" s="1" t="s">
        <v>120</v>
      </c>
      <c r="U1535" s="1" t="s">
        <v>17255</v>
      </c>
      <c r="V1535" s="1">
        <v>9869169166</v>
      </c>
      <c r="W1535" s="1" t="s">
        <v>156</v>
      </c>
      <c r="X1535" s="1" t="s">
        <v>17256</v>
      </c>
      <c r="Y1535" s="1" t="s">
        <v>2229</v>
      </c>
      <c r="Z1535" s="1" t="s">
        <v>92</v>
      </c>
      <c r="AA1535" s="1" t="s">
        <v>17256</v>
      </c>
      <c r="AB1535" s="1" t="s">
        <v>2229</v>
      </c>
      <c r="AC1535" s="1" t="s">
        <v>92</v>
      </c>
      <c r="AD1535" s="1">
        <v>8.5</v>
      </c>
      <c r="AE1535" s="1" t="s">
        <v>93</v>
      </c>
      <c r="AF1535" s="1" t="s">
        <v>17257</v>
      </c>
      <c r="AG1535" s="1" t="s">
        <v>160</v>
      </c>
      <c r="AH1535" s="1" t="s">
        <v>97</v>
      </c>
      <c r="AI1535" s="1" t="s">
        <v>1089</v>
      </c>
      <c r="AJ1535" s="1">
        <v>75.4</v>
      </c>
      <c r="AK1535" s="1"/>
      <c r="AL1535" s="1"/>
      <c r="AM1535" s="1"/>
      <c r="AN1535" s="1"/>
      <c r="AO1535" s="1"/>
      <c r="AP1535" s="1"/>
      <c r="AQ1535" s="1"/>
      <c r="AR1535" s="1" t="s">
        <v>98</v>
      </c>
      <c r="AS1535" s="1" t="s">
        <v>17258</v>
      </c>
      <c r="AT1535" s="1" t="s">
        <v>134</v>
      </c>
      <c r="AU1535" s="1" t="s">
        <v>433</v>
      </c>
      <c r="AV1535" s="1">
        <v>73.27</v>
      </c>
      <c r="AW1535" s="1"/>
      <c r="AX1535" s="1" t="s">
        <v>253</v>
      </c>
      <c r="AY1535" s="1" t="s">
        <v>17259</v>
      </c>
      <c r="AZ1535" s="1" t="s">
        <v>201</v>
      </c>
      <c r="BA1535" s="1" t="s">
        <v>9945</v>
      </c>
      <c r="BB1535" s="1">
        <v>68.75</v>
      </c>
      <c r="BC1535" s="1">
        <v>7.66</v>
      </c>
      <c r="BD1535" s="1"/>
      <c r="BE1535" s="1"/>
      <c r="BF1535" s="1"/>
      <c r="BG1535" s="1"/>
      <c r="BH1535" s="1"/>
      <c r="BI1535" s="1"/>
      <c r="BJ1535" s="1" t="s">
        <v>17260</v>
      </c>
      <c r="BK1535" s="1" t="s">
        <v>17261</v>
      </c>
      <c r="BL1535" s="1" t="s">
        <v>4165</v>
      </c>
      <c r="BM1535" s="1" t="s">
        <v>17262</v>
      </c>
      <c r="BN1535" s="1">
        <v>30</v>
      </c>
      <c r="BO1535" s="1"/>
      <c r="BP1535" s="1" t="str">
        <f>HYPERLINK("https://nconnect.nicmar.ac.in/storage/profile/ProfilePhoto_P25702082_524391.jpg","Download")</f>
        <v>0</v>
      </c>
      <c r="BQ1535" s="3"/>
      <c r="BR1535" s="3"/>
    </row>
    <row r="1536" spans="1:70">
      <c r="A1536" s="1" t="s">
        <v>14387</v>
      </c>
      <c r="B1536" s="1" t="s">
        <v>441</v>
      </c>
      <c r="C1536" s="1" t="s">
        <v>17263</v>
      </c>
      <c r="D1536" s="1" t="s">
        <v>6630</v>
      </c>
      <c r="E1536" s="1" t="s">
        <v>5349</v>
      </c>
      <c r="F1536" s="1" t="s">
        <v>2396</v>
      </c>
      <c r="G1536" s="1" t="s">
        <v>17264</v>
      </c>
      <c r="H1536" s="1" t="s">
        <v>17265</v>
      </c>
      <c r="I1536" s="1" t="s">
        <v>17266</v>
      </c>
      <c r="J1536" s="1">
        <v>9687262577</v>
      </c>
      <c r="K1536" s="1" t="s">
        <v>79</v>
      </c>
      <c r="L1536" s="1" t="s">
        <v>17267</v>
      </c>
      <c r="M1536" s="1" t="s">
        <v>81</v>
      </c>
      <c r="N1536" s="1" t="s">
        <v>6635</v>
      </c>
      <c r="O1536" s="1"/>
      <c r="P1536" s="1" t="s">
        <v>497</v>
      </c>
      <c r="Q1536" s="1" t="s">
        <v>17268</v>
      </c>
      <c r="R1536" s="1" t="s">
        <v>17269</v>
      </c>
      <c r="S1536" s="1">
        <v>9925038307</v>
      </c>
      <c r="T1536" s="1" t="s">
        <v>820</v>
      </c>
      <c r="U1536" s="1" t="s">
        <v>17270</v>
      </c>
      <c r="V1536" s="1">
        <v>9898011250</v>
      </c>
      <c r="W1536" s="1" t="s">
        <v>156</v>
      </c>
      <c r="X1536" s="1" t="s">
        <v>17271</v>
      </c>
      <c r="Y1536" s="1" t="s">
        <v>2889</v>
      </c>
      <c r="Z1536" s="1" t="s">
        <v>662</v>
      </c>
      <c r="AA1536" s="1" t="s">
        <v>17272</v>
      </c>
      <c r="AB1536" s="1" t="s">
        <v>2889</v>
      </c>
      <c r="AC1536" s="1" t="s">
        <v>662</v>
      </c>
      <c r="AD1536" s="1" t="s">
        <v>93</v>
      </c>
      <c r="AE1536" s="1" t="s">
        <v>93</v>
      </c>
      <c r="AF1536" s="1" t="s">
        <v>15590</v>
      </c>
      <c r="AG1536" s="1" t="s">
        <v>17273</v>
      </c>
      <c r="AH1536" s="1" t="s">
        <v>409</v>
      </c>
      <c r="AI1536" s="1" t="s">
        <v>590</v>
      </c>
      <c r="AJ1536" s="1">
        <v>77</v>
      </c>
      <c r="AK1536" s="1"/>
      <c r="AL1536" s="1" t="s">
        <v>17274</v>
      </c>
      <c r="AM1536" s="1" t="s">
        <v>17273</v>
      </c>
      <c r="AN1536" s="1" t="s">
        <v>1169</v>
      </c>
      <c r="AO1536" s="1" t="s">
        <v>1861</v>
      </c>
      <c r="AP1536" s="1">
        <v>79.2</v>
      </c>
      <c r="AQ1536" s="1"/>
      <c r="AR1536" s="1"/>
      <c r="AS1536" s="1"/>
      <c r="AT1536" s="1"/>
      <c r="AU1536" s="1"/>
      <c r="AV1536" s="1"/>
      <c r="AW1536" s="1"/>
      <c r="AX1536" s="1" t="s">
        <v>17275</v>
      </c>
      <c r="AY1536" s="1" t="s">
        <v>17276</v>
      </c>
      <c r="AZ1536" s="1" t="s">
        <v>1378</v>
      </c>
      <c r="BA1536" s="1" t="s">
        <v>829</v>
      </c>
      <c r="BB1536" s="1">
        <v>78.7</v>
      </c>
      <c r="BC1536" s="1">
        <v>7.87</v>
      </c>
      <c r="BD1536" s="1"/>
      <c r="BE1536" s="1"/>
      <c r="BF1536" s="1"/>
      <c r="BG1536" s="1"/>
      <c r="BH1536" s="1"/>
      <c r="BI1536" s="1"/>
      <c r="BJ1536" s="1" t="s">
        <v>17277</v>
      </c>
      <c r="BK1536" s="1"/>
      <c r="BL1536" s="1"/>
      <c r="BM1536" s="1" t="s">
        <v>17278</v>
      </c>
      <c r="BN1536" s="1">
        <v>5</v>
      </c>
      <c r="BO1536" s="1"/>
      <c r="BP1536" s="1" t="str">
        <f>HYPERLINK("https://nconnect.nicmar.ac.in/storage/profile/ProfilePhoto_P25702083_496513.jpg","Download")</f>
        <v>0</v>
      </c>
      <c r="BQ1536" s="3"/>
      <c r="BR1536" s="3"/>
    </row>
    <row r="1537" spans="1:70">
      <c r="A1537" s="1" t="s">
        <v>14387</v>
      </c>
      <c r="B1537" s="1" t="s">
        <v>441</v>
      </c>
      <c r="C1537" s="1" t="s">
        <v>17279</v>
      </c>
      <c r="D1537" s="1" t="s">
        <v>744</v>
      </c>
      <c r="E1537" s="1" t="s">
        <v>2203</v>
      </c>
      <c r="F1537" s="1" t="s">
        <v>17280</v>
      </c>
      <c r="G1537" s="1" t="s">
        <v>17281</v>
      </c>
      <c r="H1537" s="1" t="s">
        <v>17282</v>
      </c>
      <c r="I1537" s="1" t="s">
        <v>17283</v>
      </c>
      <c r="J1537" s="1">
        <v>7020575432</v>
      </c>
      <c r="K1537" s="1" t="s">
        <v>79</v>
      </c>
      <c r="L1537" s="1" t="s">
        <v>17284</v>
      </c>
      <c r="M1537" s="1" t="s">
        <v>81</v>
      </c>
      <c r="N1537" s="1" t="s">
        <v>2424</v>
      </c>
      <c r="O1537" s="1"/>
      <c r="P1537" s="1" t="s">
        <v>497</v>
      </c>
      <c r="Q1537" s="1" t="s">
        <v>17285</v>
      </c>
      <c r="R1537" s="1" t="s">
        <v>17286</v>
      </c>
      <c r="S1537" s="1">
        <v>7276982972</v>
      </c>
      <c r="T1537" s="1" t="s">
        <v>17287</v>
      </c>
      <c r="U1537" s="1" t="s">
        <v>17288</v>
      </c>
      <c r="V1537" s="1">
        <v>9260306852</v>
      </c>
      <c r="W1537" s="1" t="s">
        <v>122</v>
      </c>
      <c r="X1537" s="1" t="s">
        <v>17289</v>
      </c>
      <c r="Y1537" s="1" t="s">
        <v>4313</v>
      </c>
      <c r="Z1537" s="1" t="s">
        <v>92</v>
      </c>
      <c r="AA1537" s="1" t="s">
        <v>17289</v>
      </c>
      <c r="AB1537" s="1" t="s">
        <v>4313</v>
      </c>
      <c r="AC1537" s="1" t="s">
        <v>92</v>
      </c>
      <c r="AD1537" s="1" t="s">
        <v>93</v>
      </c>
      <c r="AE1537" s="1" t="s">
        <v>93</v>
      </c>
      <c r="AF1537" s="1" t="s">
        <v>17290</v>
      </c>
      <c r="AG1537" s="1" t="s">
        <v>160</v>
      </c>
      <c r="AH1537" s="1" t="s">
        <v>165</v>
      </c>
      <c r="AI1537" s="1" t="s">
        <v>281</v>
      </c>
      <c r="AJ1537" s="1">
        <v>71.6</v>
      </c>
      <c r="AK1537" s="1"/>
      <c r="AL1537" s="1"/>
      <c r="AM1537" s="1"/>
      <c r="AN1537" s="1"/>
      <c r="AO1537" s="1"/>
      <c r="AP1537" s="1"/>
      <c r="AQ1537" s="1"/>
      <c r="AR1537" s="1" t="s">
        <v>98</v>
      </c>
      <c r="AS1537" s="1" t="s">
        <v>17291</v>
      </c>
      <c r="AT1537" s="1" t="s">
        <v>1043</v>
      </c>
      <c r="AU1537" s="1" t="s">
        <v>436</v>
      </c>
      <c r="AV1537" s="1">
        <v>81.63</v>
      </c>
      <c r="AW1537" s="1"/>
      <c r="AX1537" s="1" t="s">
        <v>666</v>
      </c>
      <c r="AY1537" s="1" t="s">
        <v>17291</v>
      </c>
      <c r="AZ1537" s="1" t="s">
        <v>852</v>
      </c>
      <c r="BA1537" s="1" t="s">
        <v>1067</v>
      </c>
      <c r="BB1537" s="1">
        <v>63.2</v>
      </c>
      <c r="BC1537" s="1">
        <v>6.92</v>
      </c>
      <c r="BD1537" s="1"/>
      <c r="BE1537" s="1"/>
      <c r="BF1537" s="1"/>
      <c r="BG1537" s="1"/>
      <c r="BH1537" s="1"/>
      <c r="BI1537" s="1"/>
      <c r="BJ1537" s="1" t="s">
        <v>17292</v>
      </c>
      <c r="BK1537" s="1"/>
      <c r="BL1537" s="1"/>
      <c r="BM1537" s="1" t="s">
        <v>17293</v>
      </c>
      <c r="BN1537" s="1">
        <v>8</v>
      </c>
      <c r="BO1537" s="1"/>
      <c r="BP1537" s="1" t="str">
        <f>HYPERLINK("https://nconnect.nicmar.ac.in/storage/profile/ProfilePhoto_P25702084_327986.jpg","Download")</f>
        <v>0</v>
      </c>
      <c r="BQ1537" s="3"/>
      <c r="BR1537" s="3"/>
    </row>
    <row r="1538" spans="1:70">
      <c r="A1538" s="1" t="s">
        <v>14387</v>
      </c>
      <c r="B1538" s="1" t="s">
        <v>441</v>
      </c>
      <c r="C1538" s="1" t="s">
        <v>17294</v>
      </c>
      <c r="D1538" s="1" t="s">
        <v>417</v>
      </c>
      <c r="E1538" s="1" t="s">
        <v>4321</v>
      </c>
      <c r="F1538" s="1" t="s">
        <v>142</v>
      </c>
      <c r="G1538" s="1" t="s">
        <v>17295</v>
      </c>
      <c r="H1538" s="1" t="s">
        <v>17296</v>
      </c>
      <c r="I1538" s="1" t="s">
        <v>17296</v>
      </c>
      <c r="J1538" s="1">
        <v>8879771220</v>
      </c>
      <c r="K1538" s="1" t="s">
        <v>148</v>
      </c>
      <c r="L1538" s="1" t="s">
        <v>17297</v>
      </c>
      <c r="M1538" s="1" t="s">
        <v>81</v>
      </c>
      <c r="N1538" s="1" t="s">
        <v>13053</v>
      </c>
      <c r="O1538" s="1" t="s">
        <v>17298</v>
      </c>
      <c r="P1538" s="1" t="s">
        <v>497</v>
      </c>
      <c r="Q1538" s="1" t="s">
        <v>17299</v>
      </c>
      <c r="R1538" s="1" t="s">
        <v>4321</v>
      </c>
      <c r="S1538" s="1">
        <v>9423264634</v>
      </c>
      <c r="T1538" s="1" t="s">
        <v>820</v>
      </c>
      <c r="U1538" s="1" t="s">
        <v>7895</v>
      </c>
      <c r="V1538" s="1">
        <v>8421282434</v>
      </c>
      <c r="W1538" s="1" t="s">
        <v>156</v>
      </c>
      <c r="X1538" s="1" t="s">
        <v>17300</v>
      </c>
      <c r="Y1538" s="1" t="s">
        <v>5185</v>
      </c>
      <c r="Z1538" s="1" t="s">
        <v>92</v>
      </c>
      <c r="AA1538" s="1" t="s">
        <v>17300</v>
      </c>
      <c r="AB1538" s="1" t="s">
        <v>5185</v>
      </c>
      <c r="AC1538" s="1" t="s">
        <v>92</v>
      </c>
      <c r="AD1538" s="1">
        <v>8.06</v>
      </c>
      <c r="AE1538" s="1" t="s">
        <v>93</v>
      </c>
      <c r="AF1538" s="1" t="s">
        <v>15746</v>
      </c>
      <c r="AG1538" s="1" t="s">
        <v>160</v>
      </c>
      <c r="AH1538" s="1" t="s">
        <v>96</v>
      </c>
      <c r="AI1538" s="1" t="s">
        <v>1089</v>
      </c>
      <c r="AJ1538" s="1">
        <v>89.2</v>
      </c>
      <c r="AK1538" s="1"/>
      <c r="AL1538" s="1" t="s">
        <v>17301</v>
      </c>
      <c r="AM1538" s="1" t="s">
        <v>17302</v>
      </c>
      <c r="AN1538" s="1" t="s">
        <v>134</v>
      </c>
      <c r="AO1538" s="1" t="s">
        <v>1455</v>
      </c>
      <c r="AP1538" s="1">
        <v>75.08</v>
      </c>
      <c r="AQ1538" s="1"/>
      <c r="AR1538" s="1"/>
      <c r="AS1538" s="1"/>
      <c r="AT1538" s="1"/>
      <c r="AU1538" s="1"/>
      <c r="AV1538" s="1"/>
      <c r="AW1538" s="1"/>
      <c r="AX1538" s="1" t="s">
        <v>253</v>
      </c>
      <c r="AY1538" s="1" t="s">
        <v>17303</v>
      </c>
      <c r="AZ1538" s="1" t="s">
        <v>1043</v>
      </c>
      <c r="BA1538" s="1" t="s">
        <v>229</v>
      </c>
      <c r="BB1538" s="1">
        <v>69.35</v>
      </c>
      <c r="BC1538" s="1">
        <v>7.75</v>
      </c>
      <c r="BD1538" s="1"/>
      <c r="BE1538" s="1"/>
      <c r="BF1538" s="1"/>
      <c r="BG1538" s="1"/>
      <c r="BH1538" s="1"/>
      <c r="BI1538" s="1"/>
      <c r="BJ1538" s="1" t="s">
        <v>255</v>
      </c>
      <c r="BK1538" s="1" t="s">
        <v>17304</v>
      </c>
      <c r="BL1538" s="1" t="s">
        <v>9384</v>
      </c>
      <c r="BM1538" s="1" t="s">
        <v>17305</v>
      </c>
      <c r="BN1538" s="1">
        <v>29</v>
      </c>
      <c r="BO1538" s="1"/>
      <c r="BP1538" s="1" t="str">
        <f>HYPERLINK("https://nconnect.nicmar.ac.in/storage/profile/ProfilePhoto_P25702085_675194.jpg","Download")</f>
        <v>0</v>
      </c>
      <c r="BQ1538" s="3"/>
      <c r="BR1538" s="3"/>
    </row>
    <row r="1539" spans="1:70">
      <c r="A1539" s="1" t="s">
        <v>14387</v>
      </c>
      <c r="B1539" s="1" t="s">
        <v>441</v>
      </c>
      <c r="C1539" s="1" t="s">
        <v>17306</v>
      </c>
      <c r="D1539" s="1" t="s">
        <v>17307</v>
      </c>
      <c r="E1539" s="1"/>
      <c r="F1539" s="1" t="s">
        <v>6440</v>
      </c>
      <c r="G1539" s="1" t="s">
        <v>17308</v>
      </c>
      <c r="H1539" s="1" t="s">
        <v>17309</v>
      </c>
      <c r="I1539" s="1" t="s">
        <v>17310</v>
      </c>
      <c r="J1539" s="1">
        <v>6381918916</v>
      </c>
      <c r="K1539" s="1" t="s">
        <v>79</v>
      </c>
      <c r="L1539" s="1" t="s">
        <v>6671</v>
      </c>
      <c r="M1539" s="1" t="s">
        <v>81</v>
      </c>
      <c r="N1539" s="1" t="s">
        <v>17311</v>
      </c>
      <c r="O1539" s="1" t="s">
        <v>17312</v>
      </c>
      <c r="P1539" s="1" t="s">
        <v>497</v>
      </c>
      <c r="Q1539" s="1" t="s">
        <v>17313</v>
      </c>
      <c r="R1539" s="1" t="s">
        <v>17314</v>
      </c>
      <c r="S1539" s="1">
        <v>9842219755</v>
      </c>
      <c r="T1539" s="1" t="s">
        <v>87</v>
      </c>
      <c r="U1539" s="1" t="s">
        <v>17315</v>
      </c>
      <c r="V1539" s="1">
        <v>9865919755</v>
      </c>
      <c r="W1539" s="1" t="s">
        <v>89</v>
      </c>
      <c r="X1539" s="1" t="s">
        <v>17316</v>
      </c>
      <c r="Y1539" s="1" t="s">
        <v>2104</v>
      </c>
      <c r="Z1539" s="1" t="s">
        <v>559</v>
      </c>
      <c r="AA1539" s="1" t="s">
        <v>17316</v>
      </c>
      <c r="AB1539" s="1" t="s">
        <v>2104</v>
      </c>
      <c r="AC1539" s="1" t="s">
        <v>559</v>
      </c>
      <c r="AD1539" s="1">
        <v>9.03</v>
      </c>
      <c r="AE1539" s="1" t="s">
        <v>93</v>
      </c>
      <c r="AF1539" s="1" t="s">
        <v>17317</v>
      </c>
      <c r="AG1539" s="1" t="s">
        <v>11516</v>
      </c>
      <c r="AH1539" s="1" t="s">
        <v>162</v>
      </c>
      <c r="AI1539" s="1" t="s">
        <v>195</v>
      </c>
      <c r="AJ1539" s="1">
        <v>96.6</v>
      </c>
      <c r="AK1539" s="1"/>
      <c r="AL1539" s="1" t="s">
        <v>17318</v>
      </c>
      <c r="AM1539" s="1" t="s">
        <v>8620</v>
      </c>
      <c r="AN1539" s="1" t="s">
        <v>101</v>
      </c>
      <c r="AO1539" s="1" t="s">
        <v>409</v>
      </c>
      <c r="AP1539" s="1">
        <v>79</v>
      </c>
      <c r="AQ1539" s="1"/>
      <c r="AR1539" s="1"/>
      <c r="AS1539" s="1"/>
      <c r="AT1539" s="1"/>
      <c r="AU1539" s="1"/>
      <c r="AV1539" s="1"/>
      <c r="AW1539" s="1"/>
      <c r="AX1539" s="1" t="s">
        <v>6985</v>
      </c>
      <c r="AY1539" s="1" t="s">
        <v>17319</v>
      </c>
      <c r="AZ1539" s="1" t="s">
        <v>310</v>
      </c>
      <c r="BA1539" s="1" t="s">
        <v>413</v>
      </c>
      <c r="BB1539" s="1">
        <v>80</v>
      </c>
      <c r="BC1539" s="1">
        <v>8</v>
      </c>
      <c r="BD1539" s="1"/>
      <c r="BE1539" s="1"/>
      <c r="BF1539" s="1"/>
      <c r="BG1539" s="1"/>
      <c r="BH1539" s="1"/>
      <c r="BI1539" s="1"/>
      <c r="BJ1539" s="1" t="s">
        <v>17320</v>
      </c>
      <c r="BK1539" s="1" t="s">
        <v>17321</v>
      </c>
      <c r="BL1539" s="1" t="s">
        <v>9384</v>
      </c>
      <c r="BM1539" s="1" t="s">
        <v>17322</v>
      </c>
      <c r="BN1539" s="1">
        <v>26</v>
      </c>
      <c r="BO1539" s="1" t="s">
        <v>17323</v>
      </c>
      <c r="BP1539" s="1" t="str">
        <f>HYPERLINK("https://nconnect.nicmar.ac.in/storage/profile/ProfilePhoto_P25702086_972613.jpg","Download")</f>
        <v>0</v>
      </c>
      <c r="BQ1539" s="3"/>
      <c r="BR1539" s="3"/>
    </row>
    <row r="1540" spans="1:70">
      <c r="A1540" s="1" t="s">
        <v>14387</v>
      </c>
      <c r="B1540" s="1" t="s">
        <v>441</v>
      </c>
      <c r="C1540" s="1" t="s">
        <v>17324</v>
      </c>
      <c r="D1540" s="1" t="s">
        <v>17325</v>
      </c>
      <c r="E1540" s="1" t="s">
        <v>17326</v>
      </c>
      <c r="F1540" s="1" t="s">
        <v>17327</v>
      </c>
      <c r="G1540" s="1" t="s">
        <v>17328</v>
      </c>
      <c r="H1540" s="1" t="s">
        <v>17329</v>
      </c>
      <c r="I1540" s="1" t="s">
        <v>17330</v>
      </c>
      <c r="J1540" s="1">
        <v>9113903085</v>
      </c>
      <c r="K1540" s="1" t="s">
        <v>79</v>
      </c>
      <c r="L1540" s="1" t="s">
        <v>17284</v>
      </c>
      <c r="M1540" s="1" t="s">
        <v>81</v>
      </c>
      <c r="N1540" s="1" t="s">
        <v>11019</v>
      </c>
      <c r="O1540" s="1"/>
      <c r="P1540" s="1" t="s">
        <v>497</v>
      </c>
      <c r="Q1540" s="1" t="s">
        <v>17331</v>
      </c>
      <c r="R1540" s="1" t="s">
        <v>17332</v>
      </c>
      <c r="S1540" s="1">
        <v>9448250479</v>
      </c>
      <c r="T1540" s="1" t="s">
        <v>820</v>
      </c>
      <c r="U1540" s="1" t="s">
        <v>17333</v>
      </c>
      <c r="V1540" s="1">
        <v>8762585479</v>
      </c>
      <c r="W1540" s="1" t="s">
        <v>273</v>
      </c>
      <c r="X1540" s="1" t="s">
        <v>17334</v>
      </c>
      <c r="Y1540" s="1" t="s">
        <v>13376</v>
      </c>
      <c r="Z1540" s="1" t="s">
        <v>1187</v>
      </c>
      <c r="AA1540" s="1" t="s">
        <v>17334</v>
      </c>
      <c r="AB1540" s="1" t="s">
        <v>13376</v>
      </c>
      <c r="AC1540" s="1" t="s">
        <v>1187</v>
      </c>
      <c r="AD1540" s="1">
        <v>8.45</v>
      </c>
      <c r="AE1540" s="1" t="s">
        <v>93</v>
      </c>
      <c r="AF1540" s="1" t="s">
        <v>17335</v>
      </c>
      <c r="AG1540" s="1" t="s">
        <v>17336</v>
      </c>
      <c r="AH1540" s="1" t="s">
        <v>508</v>
      </c>
      <c r="AI1540" s="1" t="s">
        <v>166</v>
      </c>
      <c r="AJ1540" s="1">
        <v>79.68</v>
      </c>
      <c r="AK1540" s="1"/>
      <c r="AL1540" s="1" t="s">
        <v>17337</v>
      </c>
      <c r="AM1540" s="1" t="s">
        <v>17338</v>
      </c>
      <c r="AN1540" s="1" t="s">
        <v>359</v>
      </c>
      <c r="AO1540" s="1" t="s">
        <v>173</v>
      </c>
      <c r="AP1540" s="1">
        <v>68.83</v>
      </c>
      <c r="AQ1540" s="1"/>
      <c r="AR1540" s="1"/>
      <c r="AS1540" s="1"/>
      <c r="AT1540" s="1"/>
      <c r="AU1540" s="1"/>
      <c r="AV1540" s="1"/>
      <c r="AW1540" s="1"/>
      <c r="AX1540" s="1" t="s">
        <v>17339</v>
      </c>
      <c r="AY1540" s="1" t="s">
        <v>17340</v>
      </c>
      <c r="AZ1540" s="1" t="s">
        <v>228</v>
      </c>
      <c r="BA1540" s="1" t="s">
        <v>202</v>
      </c>
      <c r="BB1540" s="1">
        <v>54.9</v>
      </c>
      <c r="BC1540" s="1">
        <v>6.24</v>
      </c>
      <c r="BD1540" s="1"/>
      <c r="BE1540" s="1"/>
      <c r="BF1540" s="1"/>
      <c r="BG1540" s="1"/>
      <c r="BH1540" s="1"/>
      <c r="BI1540" s="1"/>
      <c r="BJ1540" s="1" t="s">
        <v>364</v>
      </c>
      <c r="BK1540" s="1" t="s">
        <v>17341</v>
      </c>
      <c r="BL1540" s="1" t="s">
        <v>2089</v>
      </c>
      <c r="BM1540" s="1" t="s">
        <v>17342</v>
      </c>
      <c r="BN1540" s="1">
        <v>9</v>
      </c>
      <c r="BO1540" s="1" t="s">
        <v>17343</v>
      </c>
      <c r="BP1540" s="1" t="str">
        <f>HYPERLINK("https://nconnect.nicmar.ac.in/storage/profile/ProfilePhoto_P25702089_483152.jpg","Download")</f>
        <v>0</v>
      </c>
      <c r="BQ1540" s="3"/>
      <c r="BR1540" s="3"/>
    </row>
    <row r="1541" spans="1:70">
      <c r="A1541" s="1" t="s">
        <v>14387</v>
      </c>
      <c r="B1541" s="1" t="s">
        <v>441</v>
      </c>
      <c r="C1541" s="1" t="s">
        <v>17344</v>
      </c>
      <c r="D1541" s="1" t="s">
        <v>744</v>
      </c>
      <c r="E1541" s="1" t="s">
        <v>649</v>
      </c>
      <c r="F1541" s="1" t="s">
        <v>17345</v>
      </c>
      <c r="G1541" s="1" t="s">
        <v>17346</v>
      </c>
      <c r="H1541" s="1" t="s">
        <v>17347</v>
      </c>
      <c r="I1541" s="1" t="s">
        <v>17348</v>
      </c>
      <c r="J1541" s="1">
        <v>8600638499</v>
      </c>
      <c r="K1541" s="1" t="s">
        <v>79</v>
      </c>
      <c r="L1541" s="1" t="s">
        <v>17349</v>
      </c>
      <c r="M1541" s="1" t="s">
        <v>81</v>
      </c>
      <c r="N1541" s="1" t="s">
        <v>1140</v>
      </c>
      <c r="O1541" s="1" t="s">
        <v>17350</v>
      </c>
      <c r="P1541" s="1" t="s">
        <v>450</v>
      </c>
      <c r="Q1541" s="1" t="s">
        <v>17351</v>
      </c>
      <c r="R1541" s="1" t="s">
        <v>17352</v>
      </c>
      <c r="S1541" s="1">
        <v>9922928232</v>
      </c>
      <c r="T1541" s="1" t="s">
        <v>87</v>
      </c>
      <c r="U1541" s="1" t="s">
        <v>17353</v>
      </c>
      <c r="V1541" s="1">
        <v>9823699253</v>
      </c>
      <c r="W1541" s="1" t="s">
        <v>1529</v>
      </c>
      <c r="X1541" s="1" t="s">
        <v>17354</v>
      </c>
      <c r="Y1541" s="1" t="s">
        <v>405</v>
      </c>
      <c r="Z1541" s="1" t="s">
        <v>92</v>
      </c>
      <c r="AA1541" s="1" t="s">
        <v>17354</v>
      </c>
      <c r="AB1541" s="1" t="s">
        <v>405</v>
      </c>
      <c r="AC1541" s="1" t="s">
        <v>92</v>
      </c>
      <c r="AD1541" s="1">
        <v>8.0</v>
      </c>
      <c r="AE1541" s="1" t="s">
        <v>93</v>
      </c>
      <c r="AF1541" s="1" t="s">
        <v>17355</v>
      </c>
      <c r="AG1541" s="1" t="s">
        <v>758</v>
      </c>
      <c r="AH1541" s="1" t="s">
        <v>96</v>
      </c>
      <c r="AI1541" s="1" t="s">
        <v>131</v>
      </c>
      <c r="AJ1541" s="1">
        <v>68.4</v>
      </c>
      <c r="AK1541" s="1">
        <v>7.2</v>
      </c>
      <c r="AL1541" s="1" t="s">
        <v>17356</v>
      </c>
      <c r="AM1541" s="1" t="s">
        <v>160</v>
      </c>
      <c r="AN1541" s="1" t="s">
        <v>134</v>
      </c>
      <c r="AO1541" s="1" t="s">
        <v>165</v>
      </c>
      <c r="AP1541" s="1">
        <v>52.15</v>
      </c>
      <c r="AQ1541" s="1"/>
      <c r="AR1541" s="1" t="s">
        <v>98</v>
      </c>
      <c r="AS1541" s="1" t="s">
        <v>17357</v>
      </c>
      <c r="AT1541" s="1" t="s">
        <v>165</v>
      </c>
      <c r="AU1541" s="1" t="s">
        <v>4744</v>
      </c>
      <c r="AV1541" s="1">
        <v>55.64</v>
      </c>
      <c r="AW1541" s="1"/>
      <c r="AX1541" s="1" t="s">
        <v>17358</v>
      </c>
      <c r="AY1541" s="1" t="s">
        <v>17359</v>
      </c>
      <c r="AZ1541" s="1" t="s">
        <v>173</v>
      </c>
      <c r="BA1541" s="1" t="s">
        <v>935</v>
      </c>
      <c r="BB1541" s="1">
        <v>59.2</v>
      </c>
      <c r="BC1541" s="1">
        <v>6.2</v>
      </c>
      <c r="BD1541" s="1"/>
      <c r="BE1541" s="1"/>
      <c r="BF1541" s="1"/>
      <c r="BG1541" s="1"/>
      <c r="BH1541" s="1"/>
      <c r="BI1541" s="1"/>
      <c r="BJ1541" s="1" t="s">
        <v>17360</v>
      </c>
      <c r="BK1541" s="1"/>
      <c r="BL1541" s="1"/>
      <c r="BM1541" s="1" t="s">
        <v>17361</v>
      </c>
      <c r="BN1541" s="1">
        <v>8</v>
      </c>
      <c r="BO1541" s="1"/>
      <c r="BP1541" s="1" t="str">
        <f>HYPERLINK("https://nconnect.nicmar.ac.in/storage/profile/ProfilePhoto_P25702090_671284.jpg","Download")</f>
        <v>0</v>
      </c>
      <c r="BQ1541" s="3"/>
      <c r="BR1541" s="3"/>
    </row>
    <row r="1542" spans="1:70">
      <c r="A1542" s="1" t="s">
        <v>14387</v>
      </c>
      <c r="B1542" s="1" t="s">
        <v>441</v>
      </c>
      <c r="C1542" s="1" t="s">
        <v>17362</v>
      </c>
      <c r="D1542" s="1" t="s">
        <v>6734</v>
      </c>
      <c r="E1542" s="1" t="s">
        <v>17363</v>
      </c>
      <c r="F1542" s="1" t="s">
        <v>6630</v>
      </c>
      <c r="G1542" s="1" t="s">
        <v>17364</v>
      </c>
      <c r="H1542" s="1" t="s">
        <v>17365</v>
      </c>
      <c r="I1542" s="1" t="s">
        <v>17366</v>
      </c>
      <c r="J1542" s="1">
        <v>9898221423</v>
      </c>
      <c r="K1542" s="1" t="s">
        <v>79</v>
      </c>
      <c r="L1542" s="1" t="s">
        <v>816</v>
      </c>
      <c r="M1542" s="1" t="s">
        <v>81</v>
      </c>
      <c r="N1542" s="1" t="s">
        <v>4657</v>
      </c>
      <c r="O1542" s="1"/>
      <c r="P1542" s="1" t="s">
        <v>497</v>
      </c>
      <c r="Q1542" s="1" t="s">
        <v>17367</v>
      </c>
      <c r="R1542" s="1" t="s">
        <v>17368</v>
      </c>
      <c r="S1542" s="1">
        <v>9545703000</v>
      </c>
      <c r="T1542" s="1" t="s">
        <v>820</v>
      </c>
      <c r="U1542" s="1" t="s">
        <v>17369</v>
      </c>
      <c r="V1542" s="1">
        <v>9028733666</v>
      </c>
      <c r="W1542" s="1" t="s">
        <v>273</v>
      </c>
      <c r="X1542" s="1" t="s">
        <v>17370</v>
      </c>
      <c r="Y1542" s="1" t="s">
        <v>191</v>
      </c>
      <c r="Z1542" s="1" t="s">
        <v>92</v>
      </c>
      <c r="AA1542" s="1" t="s">
        <v>17370</v>
      </c>
      <c r="AB1542" s="1" t="s">
        <v>191</v>
      </c>
      <c r="AC1542" s="1" t="s">
        <v>92</v>
      </c>
      <c r="AD1542" s="1">
        <v>7.32</v>
      </c>
      <c r="AE1542" s="1" t="s">
        <v>93</v>
      </c>
      <c r="AF1542" s="1" t="s">
        <v>17371</v>
      </c>
      <c r="AG1542" s="1" t="s">
        <v>307</v>
      </c>
      <c r="AH1542" s="1" t="s">
        <v>481</v>
      </c>
      <c r="AI1542" s="1" t="s">
        <v>308</v>
      </c>
      <c r="AJ1542" s="1">
        <v>73.8</v>
      </c>
      <c r="AK1542" s="1"/>
      <c r="AL1542" s="1" t="s">
        <v>17372</v>
      </c>
      <c r="AM1542" s="1" t="s">
        <v>160</v>
      </c>
      <c r="AN1542" s="1" t="s">
        <v>460</v>
      </c>
      <c r="AO1542" s="1" t="s">
        <v>436</v>
      </c>
      <c r="AP1542" s="1">
        <v>73.83</v>
      </c>
      <c r="AQ1542" s="1"/>
      <c r="AR1542" s="1"/>
      <c r="AS1542" s="1"/>
      <c r="AT1542" s="1"/>
      <c r="AU1542" s="1"/>
      <c r="AV1542" s="1"/>
      <c r="AW1542" s="1"/>
      <c r="AX1542" s="1" t="s">
        <v>361</v>
      </c>
      <c r="AY1542" s="1" t="s">
        <v>17373</v>
      </c>
      <c r="AZ1542" s="1" t="s">
        <v>542</v>
      </c>
      <c r="BA1542" s="1" t="s">
        <v>202</v>
      </c>
      <c r="BB1542" s="1">
        <v>68.4</v>
      </c>
      <c r="BC1542" s="1">
        <v>7.6</v>
      </c>
      <c r="BD1542" s="1"/>
      <c r="BE1542" s="1"/>
      <c r="BF1542" s="1"/>
      <c r="BG1542" s="1"/>
      <c r="BH1542" s="1"/>
      <c r="BI1542" s="1"/>
      <c r="BJ1542" s="1" t="s">
        <v>17374</v>
      </c>
      <c r="BK1542" s="1"/>
      <c r="BL1542" s="1"/>
      <c r="BM1542" s="1" t="s">
        <v>17375</v>
      </c>
      <c r="BN1542" s="1">
        <v>34</v>
      </c>
      <c r="BO1542" s="1" t="s">
        <v>17376</v>
      </c>
      <c r="BP1542" s="1" t="str">
        <f>HYPERLINK("https://nconnect.nicmar.ac.in/storage/profile/ProfilePhoto_P25702091_429168.jpg","Download")</f>
        <v>0</v>
      </c>
      <c r="BQ1542" s="3"/>
      <c r="BR1542" s="3"/>
    </row>
    <row r="1543" spans="1:70">
      <c r="A1543" s="1" t="s">
        <v>14387</v>
      </c>
      <c r="B1543" s="1" t="s">
        <v>441</v>
      </c>
      <c r="C1543" s="1" t="s">
        <v>17377</v>
      </c>
      <c r="D1543" s="1" t="s">
        <v>8382</v>
      </c>
      <c r="E1543" s="1" t="s">
        <v>17378</v>
      </c>
      <c r="F1543" s="1" t="s">
        <v>17379</v>
      </c>
      <c r="G1543" s="1" t="s">
        <v>17380</v>
      </c>
      <c r="H1543" s="1" t="s">
        <v>17381</v>
      </c>
      <c r="I1543" s="1" t="s">
        <v>17382</v>
      </c>
      <c r="J1543" s="1">
        <v>8625847667</v>
      </c>
      <c r="K1543" s="1" t="s">
        <v>79</v>
      </c>
      <c r="L1543" s="1" t="s">
        <v>17383</v>
      </c>
      <c r="M1543" s="1" t="s">
        <v>81</v>
      </c>
      <c r="N1543" s="1" t="s">
        <v>13281</v>
      </c>
      <c r="O1543" s="1" t="s">
        <v>17384</v>
      </c>
      <c r="P1543" s="1" t="s">
        <v>472</v>
      </c>
      <c r="Q1543" s="1" t="s">
        <v>17385</v>
      </c>
      <c r="R1543" s="1" t="s">
        <v>17378</v>
      </c>
      <c r="S1543" s="1">
        <v>9637429888</v>
      </c>
      <c r="T1543" s="1" t="s">
        <v>1595</v>
      </c>
      <c r="U1543" s="1" t="s">
        <v>9187</v>
      </c>
      <c r="V1543" s="1">
        <v>7875231148</v>
      </c>
      <c r="W1543" s="1" t="s">
        <v>156</v>
      </c>
      <c r="X1543" s="1" t="s">
        <v>17386</v>
      </c>
      <c r="Y1543" s="1" t="s">
        <v>191</v>
      </c>
      <c r="Z1543" s="1" t="s">
        <v>92</v>
      </c>
      <c r="AA1543" s="1" t="s">
        <v>17386</v>
      </c>
      <c r="AB1543" s="1" t="s">
        <v>191</v>
      </c>
      <c r="AC1543" s="1" t="s">
        <v>92</v>
      </c>
      <c r="AD1543" s="1">
        <v>8.19</v>
      </c>
      <c r="AE1543" s="1" t="s">
        <v>93</v>
      </c>
      <c r="AF1543" s="1" t="s">
        <v>5001</v>
      </c>
      <c r="AG1543" s="1" t="s">
        <v>307</v>
      </c>
      <c r="AH1543" s="1" t="s">
        <v>562</v>
      </c>
      <c r="AI1543" s="1" t="s">
        <v>166</v>
      </c>
      <c r="AJ1543" s="1">
        <v>68.5</v>
      </c>
      <c r="AK1543" s="1"/>
      <c r="AL1543" s="1" t="s">
        <v>13516</v>
      </c>
      <c r="AM1543" s="1" t="s">
        <v>160</v>
      </c>
      <c r="AN1543" s="1" t="s">
        <v>433</v>
      </c>
      <c r="AO1543" s="1" t="s">
        <v>360</v>
      </c>
      <c r="AP1543" s="1">
        <v>54.77</v>
      </c>
      <c r="AQ1543" s="1"/>
      <c r="AR1543" s="1"/>
      <c r="AS1543" s="1"/>
      <c r="AT1543" s="1"/>
      <c r="AU1543" s="1"/>
      <c r="AV1543" s="1"/>
      <c r="AW1543" s="1"/>
      <c r="AX1543" s="1" t="s">
        <v>361</v>
      </c>
      <c r="AY1543" s="1" t="s">
        <v>17387</v>
      </c>
      <c r="AZ1543" s="1" t="s">
        <v>412</v>
      </c>
      <c r="BA1543" s="1" t="s">
        <v>413</v>
      </c>
      <c r="BB1543" s="1">
        <v>63.65</v>
      </c>
      <c r="BC1543" s="1">
        <v>7.48</v>
      </c>
      <c r="BD1543" s="1"/>
      <c r="BE1543" s="1"/>
      <c r="BF1543" s="1"/>
      <c r="BG1543" s="1"/>
      <c r="BH1543" s="1"/>
      <c r="BI1543" s="1"/>
      <c r="BJ1543" s="1" t="s">
        <v>567</v>
      </c>
      <c r="BK1543" s="1"/>
      <c r="BL1543" s="1"/>
      <c r="BM1543" s="1" t="s">
        <v>17388</v>
      </c>
      <c r="BN1543" s="1">
        <v>13</v>
      </c>
      <c r="BO1543" s="1" t="s">
        <v>830</v>
      </c>
      <c r="BP1543" s="1" t="str">
        <f>HYPERLINK("https://nconnect.nicmar.ac.in/storage/profile/ProfilePhoto_P25702093_491532.jpg","Download")</f>
        <v>0</v>
      </c>
      <c r="BQ1543" s="3"/>
      <c r="BR1543" s="3"/>
    </row>
    <row r="1544" spans="1:70">
      <c r="A1544" s="1" t="s">
        <v>14387</v>
      </c>
      <c r="B1544" s="1" t="s">
        <v>441</v>
      </c>
      <c r="C1544" s="1" t="s">
        <v>17389</v>
      </c>
      <c r="D1544" s="1" t="s">
        <v>5212</v>
      </c>
      <c r="E1544" s="1" t="s">
        <v>4229</v>
      </c>
      <c r="F1544" s="1" t="s">
        <v>1156</v>
      </c>
      <c r="G1544" s="1" t="s">
        <v>17390</v>
      </c>
      <c r="H1544" s="1" t="s">
        <v>17391</v>
      </c>
      <c r="I1544" s="1" t="s">
        <v>17392</v>
      </c>
      <c r="J1544" s="1">
        <v>9325137212</v>
      </c>
      <c r="K1544" s="1" t="s">
        <v>79</v>
      </c>
      <c r="L1544" s="1" t="s">
        <v>17393</v>
      </c>
      <c r="M1544" s="1" t="s">
        <v>81</v>
      </c>
      <c r="N1544" s="1" t="s">
        <v>1140</v>
      </c>
      <c r="O1544" s="1"/>
      <c r="P1544" s="1" t="s">
        <v>472</v>
      </c>
      <c r="Q1544" s="1" t="s">
        <v>17394</v>
      </c>
      <c r="R1544" s="1" t="s">
        <v>17395</v>
      </c>
      <c r="S1544" s="1">
        <v>9420453499</v>
      </c>
      <c r="T1544" s="1" t="s">
        <v>154</v>
      </c>
      <c r="U1544" s="1" t="s">
        <v>17396</v>
      </c>
      <c r="V1544" s="1">
        <v>9325137212</v>
      </c>
      <c r="W1544" s="1" t="s">
        <v>89</v>
      </c>
      <c r="X1544" s="1" t="s">
        <v>17397</v>
      </c>
      <c r="Y1544" s="1" t="s">
        <v>1012</v>
      </c>
      <c r="Z1544" s="1" t="s">
        <v>92</v>
      </c>
      <c r="AA1544" s="1" t="s">
        <v>17397</v>
      </c>
      <c r="AB1544" s="1" t="s">
        <v>1012</v>
      </c>
      <c r="AC1544" s="1" t="s">
        <v>92</v>
      </c>
      <c r="AD1544" s="1">
        <v>7.56</v>
      </c>
      <c r="AE1544" s="1" t="s">
        <v>93</v>
      </c>
      <c r="AF1544" s="1" t="s">
        <v>17398</v>
      </c>
      <c r="AG1544" s="1" t="s">
        <v>160</v>
      </c>
      <c r="AH1544" s="1" t="s">
        <v>165</v>
      </c>
      <c r="AI1544" s="1" t="s">
        <v>281</v>
      </c>
      <c r="AJ1544" s="1">
        <v>68</v>
      </c>
      <c r="AK1544" s="1"/>
      <c r="AL1544" s="1" t="s">
        <v>17399</v>
      </c>
      <c r="AM1544" s="1" t="s">
        <v>160</v>
      </c>
      <c r="AN1544" s="1" t="s">
        <v>433</v>
      </c>
      <c r="AO1544" s="1" t="s">
        <v>360</v>
      </c>
      <c r="AP1544" s="1">
        <v>55.08</v>
      </c>
      <c r="AQ1544" s="1"/>
      <c r="AR1544" s="1"/>
      <c r="AS1544" s="1"/>
      <c r="AT1544" s="1"/>
      <c r="AU1544" s="1"/>
      <c r="AV1544" s="1"/>
      <c r="AW1544" s="1"/>
      <c r="AX1544" s="1" t="s">
        <v>17400</v>
      </c>
      <c r="AY1544" s="1" t="s">
        <v>17401</v>
      </c>
      <c r="AZ1544" s="1" t="s">
        <v>1019</v>
      </c>
      <c r="BA1544" s="1" t="s">
        <v>202</v>
      </c>
      <c r="BB1544" s="1">
        <v>62.1</v>
      </c>
      <c r="BC1544" s="1">
        <v>6.71</v>
      </c>
      <c r="BD1544" s="1"/>
      <c r="BE1544" s="1"/>
      <c r="BF1544" s="1"/>
      <c r="BG1544" s="1"/>
      <c r="BH1544" s="1"/>
      <c r="BI1544" s="1"/>
      <c r="BJ1544" s="1" t="s">
        <v>17402</v>
      </c>
      <c r="BK1544" s="1"/>
      <c r="BL1544" s="1"/>
      <c r="BM1544" s="1" t="s">
        <v>17403</v>
      </c>
      <c r="BN1544" s="1">
        <v>69</v>
      </c>
      <c r="BO1544" s="1" t="s">
        <v>17404</v>
      </c>
      <c r="BP1544" s="1" t="str">
        <f>HYPERLINK("https://nconnect.nicmar.ac.in/storage/profile/ProfilePhoto_P25702094_982716.jpg","Download")</f>
        <v>0</v>
      </c>
      <c r="BQ1544" s="3"/>
      <c r="BR1544" s="3"/>
    </row>
    <row r="1545" spans="1:70">
      <c r="A1545" s="1" t="s">
        <v>14387</v>
      </c>
      <c r="B1545" s="1" t="s">
        <v>441</v>
      </c>
      <c r="C1545" s="1" t="s">
        <v>17405</v>
      </c>
      <c r="D1545" s="1" t="s">
        <v>17406</v>
      </c>
      <c r="E1545" s="1" t="s">
        <v>6151</v>
      </c>
      <c r="F1545" s="1" t="s">
        <v>345</v>
      </c>
      <c r="G1545" s="1" t="s">
        <v>17407</v>
      </c>
      <c r="H1545" s="1" t="s">
        <v>17408</v>
      </c>
      <c r="I1545" s="1" t="s">
        <v>17409</v>
      </c>
      <c r="J1545" s="1">
        <v>9000026104</v>
      </c>
      <c r="K1545" s="1" t="s">
        <v>79</v>
      </c>
      <c r="L1545" s="1" t="s">
        <v>17410</v>
      </c>
      <c r="M1545" s="1" t="s">
        <v>81</v>
      </c>
      <c r="N1545" s="1" t="s">
        <v>8331</v>
      </c>
      <c r="O1545" s="1"/>
      <c r="P1545" s="1" t="s">
        <v>1007</v>
      </c>
      <c r="Q1545" s="1" t="s">
        <v>17411</v>
      </c>
      <c r="R1545" s="1" t="s">
        <v>17412</v>
      </c>
      <c r="S1545" s="1">
        <v>9000616104</v>
      </c>
      <c r="T1545" s="1" t="s">
        <v>820</v>
      </c>
      <c r="U1545" s="1" t="s">
        <v>17413</v>
      </c>
      <c r="V1545" s="1">
        <v>9700006104</v>
      </c>
      <c r="W1545" s="1" t="s">
        <v>531</v>
      </c>
      <c r="X1545" s="1" t="s">
        <v>17414</v>
      </c>
      <c r="Y1545" s="1" t="s">
        <v>3050</v>
      </c>
      <c r="Z1545" s="1" t="s">
        <v>456</v>
      </c>
      <c r="AA1545" s="1" t="s">
        <v>17414</v>
      </c>
      <c r="AB1545" s="1" t="s">
        <v>3050</v>
      </c>
      <c r="AC1545" s="1" t="s">
        <v>456</v>
      </c>
      <c r="AD1545" s="1">
        <v>8.84</v>
      </c>
      <c r="AE1545" s="1" t="s">
        <v>93</v>
      </c>
      <c r="AF1545" s="1" t="s">
        <v>17415</v>
      </c>
      <c r="AG1545" s="1" t="s">
        <v>307</v>
      </c>
      <c r="AH1545" s="1" t="s">
        <v>101</v>
      </c>
      <c r="AI1545" s="1" t="s">
        <v>409</v>
      </c>
      <c r="AJ1545" s="1">
        <v>90.6</v>
      </c>
      <c r="AK1545" s="1"/>
      <c r="AL1545" s="1" t="s">
        <v>17416</v>
      </c>
      <c r="AM1545" s="1" t="s">
        <v>3053</v>
      </c>
      <c r="AN1545" s="1" t="s">
        <v>433</v>
      </c>
      <c r="AO1545" s="1" t="s">
        <v>826</v>
      </c>
      <c r="AP1545" s="1">
        <v>93.8</v>
      </c>
      <c r="AQ1545" s="1"/>
      <c r="AR1545" s="1"/>
      <c r="AS1545" s="1"/>
      <c r="AT1545" s="1"/>
      <c r="AU1545" s="1"/>
      <c r="AV1545" s="1"/>
      <c r="AW1545" s="1"/>
      <c r="AX1545" s="1" t="s">
        <v>6985</v>
      </c>
      <c r="AY1545" s="1" t="s">
        <v>17417</v>
      </c>
      <c r="AZ1545" s="1" t="s">
        <v>542</v>
      </c>
      <c r="BA1545" s="1" t="s">
        <v>413</v>
      </c>
      <c r="BB1545" s="1">
        <v>83.3</v>
      </c>
      <c r="BC1545" s="1"/>
      <c r="BD1545" s="1"/>
      <c r="BE1545" s="1"/>
      <c r="BF1545" s="1"/>
      <c r="BG1545" s="1"/>
      <c r="BH1545" s="1"/>
      <c r="BI1545" s="1"/>
      <c r="BJ1545" s="1" t="s">
        <v>17418</v>
      </c>
      <c r="BK1545" s="1"/>
      <c r="BL1545" s="1"/>
      <c r="BM1545" s="1" t="s">
        <v>17419</v>
      </c>
      <c r="BN1545" s="1">
        <v>55</v>
      </c>
      <c r="BO1545" s="1" t="s">
        <v>17420</v>
      </c>
      <c r="BP1545" s="1" t="str">
        <f>HYPERLINK("https://nconnect.nicmar.ac.in/storage/profile/ProfilePhoto_P25702095_238745.jpg","Download")</f>
        <v>0</v>
      </c>
      <c r="BQ1545" s="3"/>
      <c r="BR1545" s="3"/>
    </row>
    <row r="1546" spans="1:70">
      <c r="A1546" s="1" t="s">
        <v>14387</v>
      </c>
      <c r="B1546" s="1" t="s">
        <v>441</v>
      </c>
      <c r="C1546" s="1" t="s">
        <v>17421</v>
      </c>
      <c r="D1546" s="1" t="s">
        <v>17422</v>
      </c>
      <c r="E1546" s="1" t="s">
        <v>17423</v>
      </c>
      <c r="F1546" s="1" t="s">
        <v>17424</v>
      </c>
      <c r="G1546" s="1" t="s">
        <v>17425</v>
      </c>
      <c r="H1546" s="1" t="s">
        <v>17426</v>
      </c>
      <c r="I1546" s="1" t="s">
        <v>17427</v>
      </c>
      <c r="J1546" s="1">
        <v>7248974990</v>
      </c>
      <c r="K1546" s="1" t="s">
        <v>148</v>
      </c>
      <c r="L1546" s="1" t="s">
        <v>4363</v>
      </c>
      <c r="M1546" s="1" t="s">
        <v>81</v>
      </c>
      <c r="N1546" s="1" t="s">
        <v>1140</v>
      </c>
      <c r="O1546" s="1" t="s">
        <v>17428</v>
      </c>
      <c r="P1546" s="1" t="s">
        <v>472</v>
      </c>
      <c r="Q1546" s="1" t="s">
        <v>17429</v>
      </c>
      <c r="R1546" s="1" t="s">
        <v>17430</v>
      </c>
      <c r="S1546" s="1">
        <v>9673701506</v>
      </c>
      <c r="T1546" s="1" t="s">
        <v>17431</v>
      </c>
      <c r="U1546" s="1" t="s">
        <v>17432</v>
      </c>
      <c r="V1546" s="1">
        <v>9823789122</v>
      </c>
      <c r="W1546" s="1" t="s">
        <v>531</v>
      </c>
      <c r="X1546" s="1" t="s">
        <v>17433</v>
      </c>
      <c r="Y1546" s="1" t="s">
        <v>405</v>
      </c>
      <c r="Z1546" s="1" t="s">
        <v>92</v>
      </c>
      <c r="AA1546" s="1" t="s">
        <v>17433</v>
      </c>
      <c r="AB1546" s="1" t="s">
        <v>405</v>
      </c>
      <c r="AC1546" s="1" t="s">
        <v>92</v>
      </c>
      <c r="AD1546" s="1">
        <v>8.63</v>
      </c>
      <c r="AE1546" s="1" t="s">
        <v>93</v>
      </c>
      <c r="AF1546" s="1" t="s">
        <v>17434</v>
      </c>
      <c r="AG1546" s="1" t="s">
        <v>17435</v>
      </c>
      <c r="AH1546" s="1" t="s">
        <v>1374</v>
      </c>
      <c r="AI1546" s="1" t="s">
        <v>195</v>
      </c>
      <c r="AJ1546" s="1">
        <v>68.3</v>
      </c>
      <c r="AK1546" s="1">
        <v>0</v>
      </c>
      <c r="AL1546" s="1" t="s">
        <v>17436</v>
      </c>
      <c r="AM1546" s="1" t="s">
        <v>5462</v>
      </c>
      <c r="AN1546" s="1" t="s">
        <v>689</v>
      </c>
      <c r="AO1546" s="1" t="s">
        <v>173</v>
      </c>
      <c r="AP1546" s="1">
        <v>58.6</v>
      </c>
      <c r="AQ1546" s="1">
        <v>0</v>
      </c>
      <c r="AR1546" s="1"/>
      <c r="AS1546" s="1"/>
      <c r="AT1546" s="1"/>
      <c r="AU1546" s="1"/>
      <c r="AV1546" s="1"/>
      <c r="AW1546" s="1"/>
      <c r="AX1546" s="1" t="s">
        <v>17437</v>
      </c>
      <c r="AY1546" s="1" t="s">
        <v>17438</v>
      </c>
      <c r="AZ1546" s="1" t="s">
        <v>1019</v>
      </c>
      <c r="BA1546" s="1" t="s">
        <v>1379</v>
      </c>
      <c r="BB1546" s="1">
        <v>73</v>
      </c>
      <c r="BC1546" s="1">
        <v>7.8</v>
      </c>
      <c r="BD1546" s="1"/>
      <c r="BE1546" s="1"/>
      <c r="BF1546" s="1"/>
      <c r="BG1546" s="1"/>
      <c r="BH1546" s="1"/>
      <c r="BI1546" s="1"/>
      <c r="BJ1546" s="1" t="s">
        <v>17439</v>
      </c>
      <c r="BK1546" s="1"/>
      <c r="BL1546" s="1"/>
      <c r="BM1546" s="1" t="s">
        <v>17440</v>
      </c>
      <c r="BN1546" s="1">
        <v>442</v>
      </c>
      <c r="BO1546" s="1" t="s">
        <v>17441</v>
      </c>
      <c r="BP1546" s="1" t="str">
        <f>HYPERLINK("https://nconnect.nicmar.ac.in/storage/profile/ProfilePhoto_P25702096_761253.jpg","Download")</f>
        <v>0</v>
      </c>
      <c r="BQ1546" s="3"/>
      <c r="BR1546" s="3"/>
    </row>
    <row r="1547" spans="1:70">
      <c r="A1547" s="1" t="s">
        <v>14387</v>
      </c>
      <c r="B1547" s="1" t="s">
        <v>441</v>
      </c>
      <c r="C1547" s="1" t="s">
        <v>17442</v>
      </c>
      <c r="D1547" s="1" t="s">
        <v>1155</v>
      </c>
      <c r="E1547" s="1" t="s">
        <v>17443</v>
      </c>
      <c r="F1547" s="1" t="s">
        <v>13297</v>
      </c>
      <c r="G1547" s="1" t="s">
        <v>17444</v>
      </c>
      <c r="H1547" s="1" t="s">
        <v>17445</v>
      </c>
      <c r="I1547" s="1" t="s">
        <v>17446</v>
      </c>
      <c r="J1547" s="1">
        <v>7776097575</v>
      </c>
      <c r="K1547" s="1" t="s">
        <v>79</v>
      </c>
      <c r="L1547" s="1" t="s">
        <v>17447</v>
      </c>
      <c r="M1547" s="1" t="s">
        <v>81</v>
      </c>
      <c r="N1547" s="1" t="s">
        <v>17448</v>
      </c>
      <c r="O1547" s="1" t="s">
        <v>17449</v>
      </c>
      <c r="P1547" s="1" t="s">
        <v>497</v>
      </c>
      <c r="Q1547" s="1" t="s">
        <v>17450</v>
      </c>
      <c r="R1547" s="1" t="s">
        <v>17451</v>
      </c>
      <c r="S1547" s="1">
        <v>9420762536</v>
      </c>
      <c r="T1547" s="1" t="s">
        <v>93</v>
      </c>
      <c r="U1547" s="1" t="s">
        <v>17452</v>
      </c>
      <c r="V1547" s="1">
        <v>8010625138</v>
      </c>
      <c r="W1547" s="1" t="s">
        <v>531</v>
      </c>
      <c r="X1547" s="1" t="s">
        <v>17453</v>
      </c>
      <c r="Y1547" s="1" t="s">
        <v>158</v>
      </c>
      <c r="Z1547" s="1" t="s">
        <v>92</v>
      </c>
      <c r="AA1547" s="1" t="s">
        <v>17453</v>
      </c>
      <c r="AB1547" s="1" t="s">
        <v>158</v>
      </c>
      <c r="AC1547" s="1" t="s">
        <v>92</v>
      </c>
      <c r="AD1547" s="1">
        <v>7.95</v>
      </c>
      <c r="AE1547" s="1" t="s">
        <v>93</v>
      </c>
      <c r="AF1547" s="1" t="s">
        <v>17454</v>
      </c>
      <c r="AG1547" s="1" t="s">
        <v>3071</v>
      </c>
      <c r="AH1547" s="1" t="s">
        <v>4602</v>
      </c>
      <c r="AI1547" s="1" t="s">
        <v>332</v>
      </c>
      <c r="AJ1547" s="1">
        <v>90.55</v>
      </c>
      <c r="AK1547" s="1"/>
      <c r="AL1547" s="1" t="s">
        <v>17455</v>
      </c>
      <c r="AM1547" s="1" t="s">
        <v>3071</v>
      </c>
      <c r="AN1547" s="1" t="s">
        <v>128</v>
      </c>
      <c r="AO1547" s="1" t="s">
        <v>129</v>
      </c>
      <c r="AP1547" s="1">
        <v>59</v>
      </c>
      <c r="AQ1547" s="1"/>
      <c r="AR1547" s="1"/>
      <c r="AS1547" s="1"/>
      <c r="AT1547" s="1"/>
      <c r="AU1547" s="1"/>
      <c r="AV1547" s="1"/>
      <c r="AW1547" s="1"/>
      <c r="AX1547" s="1" t="s">
        <v>3731</v>
      </c>
      <c r="AY1547" s="1" t="s">
        <v>17456</v>
      </c>
      <c r="AZ1547" s="1" t="s">
        <v>1190</v>
      </c>
      <c r="BA1547" s="1" t="s">
        <v>2181</v>
      </c>
      <c r="BB1547" s="1">
        <v>55.06</v>
      </c>
      <c r="BC1547" s="1"/>
      <c r="BD1547" s="1"/>
      <c r="BE1547" s="1"/>
      <c r="BF1547" s="1"/>
      <c r="BG1547" s="1"/>
      <c r="BH1547" s="1"/>
      <c r="BI1547" s="1"/>
      <c r="BJ1547" s="1" t="s">
        <v>364</v>
      </c>
      <c r="BK1547" s="1"/>
      <c r="BL1547" s="1"/>
      <c r="BM1547" s="1" t="s">
        <v>17457</v>
      </c>
      <c r="BN1547" s="1">
        <v>8</v>
      </c>
      <c r="BO1547" s="1" t="s">
        <v>17458</v>
      </c>
      <c r="BP1547" s="1" t="str">
        <f>HYPERLINK("https://nconnect.nicmar.ac.in/storage/profile/ProfilePhoto_P25702097_962518.jpg","Download")</f>
        <v>0</v>
      </c>
      <c r="BQ1547" s="3"/>
      <c r="BR1547" s="3"/>
    </row>
    <row r="1548" spans="1:70">
      <c r="A1548" s="1" t="s">
        <v>14387</v>
      </c>
      <c r="B1548" s="1" t="s">
        <v>441</v>
      </c>
      <c r="C1548" s="1" t="s">
        <v>17459</v>
      </c>
      <c r="D1548" s="1" t="s">
        <v>12532</v>
      </c>
      <c r="E1548" s="1"/>
      <c r="F1548" s="1" t="s">
        <v>940</v>
      </c>
      <c r="G1548" s="1" t="s">
        <v>17460</v>
      </c>
      <c r="H1548" s="1" t="s">
        <v>17461</v>
      </c>
      <c r="I1548" s="1" t="s">
        <v>17462</v>
      </c>
      <c r="J1548" s="1">
        <v>8727800095</v>
      </c>
      <c r="K1548" s="1" t="s">
        <v>79</v>
      </c>
      <c r="L1548" s="1" t="s">
        <v>6386</v>
      </c>
      <c r="M1548" s="1" t="s">
        <v>81</v>
      </c>
      <c r="N1548" s="1" t="s">
        <v>17463</v>
      </c>
      <c r="O1548" s="1"/>
      <c r="P1548" s="1"/>
      <c r="Q1548" s="1" t="s">
        <v>17464</v>
      </c>
      <c r="R1548" s="1" t="s">
        <v>17465</v>
      </c>
      <c r="S1548" s="1">
        <v>8219084282</v>
      </c>
      <c r="T1548" s="1" t="s">
        <v>906</v>
      </c>
      <c r="U1548" s="1" t="s">
        <v>17466</v>
      </c>
      <c r="V1548" s="1">
        <v>8727800095</v>
      </c>
      <c r="W1548" s="1" t="s">
        <v>122</v>
      </c>
      <c r="X1548" s="1" t="s">
        <v>17467</v>
      </c>
      <c r="Y1548" s="1" t="s">
        <v>17468</v>
      </c>
      <c r="Z1548" s="1" t="s">
        <v>2619</v>
      </c>
      <c r="AA1548" s="1" t="s">
        <v>17467</v>
      </c>
      <c r="AB1548" s="1" t="s">
        <v>17468</v>
      </c>
      <c r="AC1548" s="1" t="s">
        <v>2619</v>
      </c>
      <c r="AD1548" s="1">
        <v>9.32</v>
      </c>
      <c r="AE1548" s="1" t="s">
        <v>93</v>
      </c>
      <c r="AF1548" s="1" t="s">
        <v>17469</v>
      </c>
      <c r="AG1548" s="1" t="s">
        <v>307</v>
      </c>
      <c r="AH1548" s="1" t="s">
        <v>1455</v>
      </c>
      <c r="AI1548" s="1" t="s">
        <v>308</v>
      </c>
      <c r="AJ1548" s="1">
        <v>89.6</v>
      </c>
      <c r="AK1548" s="1"/>
      <c r="AL1548" s="1" t="s">
        <v>17469</v>
      </c>
      <c r="AM1548" s="1" t="s">
        <v>307</v>
      </c>
      <c r="AN1548" s="1" t="s">
        <v>360</v>
      </c>
      <c r="AO1548" s="1" t="s">
        <v>539</v>
      </c>
      <c r="AP1548" s="1">
        <v>95</v>
      </c>
      <c r="AQ1548" s="1"/>
      <c r="AR1548" s="1"/>
      <c r="AS1548" s="1"/>
      <c r="AT1548" s="1"/>
      <c r="AU1548" s="1"/>
      <c r="AV1548" s="1"/>
      <c r="AW1548" s="1"/>
      <c r="AX1548" s="1" t="s">
        <v>17470</v>
      </c>
      <c r="AY1548" s="1" t="s">
        <v>17471</v>
      </c>
      <c r="AZ1548" s="1" t="s">
        <v>542</v>
      </c>
      <c r="BA1548" s="1" t="s">
        <v>1379</v>
      </c>
      <c r="BB1548" s="1">
        <v>86.4</v>
      </c>
      <c r="BC1548" s="1">
        <v>8.64</v>
      </c>
      <c r="BD1548" s="1"/>
      <c r="BE1548" s="1"/>
      <c r="BF1548" s="1"/>
      <c r="BG1548" s="1"/>
      <c r="BH1548" s="1"/>
      <c r="BI1548" s="1"/>
      <c r="BJ1548" s="1" t="s">
        <v>17472</v>
      </c>
      <c r="BK1548" s="1"/>
      <c r="BL1548" s="1"/>
      <c r="BM1548" s="1" t="s">
        <v>17473</v>
      </c>
      <c r="BN1548" s="1">
        <v>39</v>
      </c>
      <c r="BO1548" s="1" t="s">
        <v>17474</v>
      </c>
      <c r="BP1548" s="1" t="str">
        <f>HYPERLINK("https://nconnect.nicmar.ac.in/storage/profile/ProfilePhoto_P25702098_927635.jpg","Download")</f>
        <v>0</v>
      </c>
      <c r="BQ1548" s="3"/>
      <c r="BR1548" s="3"/>
    </row>
    <row r="1549" spans="1:70">
      <c r="A1549" s="1" t="s">
        <v>14387</v>
      </c>
      <c r="B1549" s="1" t="s">
        <v>441</v>
      </c>
      <c r="C1549" s="1" t="s">
        <v>17475</v>
      </c>
      <c r="D1549" s="1" t="s">
        <v>17476</v>
      </c>
      <c r="E1549" s="1" t="s">
        <v>392</v>
      </c>
      <c r="F1549" s="1" t="s">
        <v>6206</v>
      </c>
      <c r="G1549" s="1" t="s">
        <v>17477</v>
      </c>
      <c r="H1549" s="1" t="s">
        <v>17478</v>
      </c>
      <c r="I1549" s="1" t="s">
        <v>17479</v>
      </c>
      <c r="J1549" s="1">
        <v>8888569767</v>
      </c>
      <c r="K1549" s="1" t="s">
        <v>79</v>
      </c>
      <c r="L1549" s="1" t="s">
        <v>17480</v>
      </c>
      <c r="M1549" s="1" t="s">
        <v>81</v>
      </c>
      <c r="N1549" s="1" t="s">
        <v>2267</v>
      </c>
      <c r="O1549" s="1" t="s">
        <v>17481</v>
      </c>
      <c r="P1549" s="1" t="s">
        <v>472</v>
      </c>
      <c r="Q1549" s="1" t="s">
        <v>17482</v>
      </c>
      <c r="R1549" s="1" t="s">
        <v>17483</v>
      </c>
      <c r="S1549" s="1">
        <v>9422232781</v>
      </c>
      <c r="T1549" s="1" t="s">
        <v>17484</v>
      </c>
      <c r="U1549" s="1" t="s">
        <v>17485</v>
      </c>
      <c r="V1549" s="1">
        <v>9422737392</v>
      </c>
      <c r="W1549" s="1" t="s">
        <v>17486</v>
      </c>
      <c r="X1549" s="1" t="s">
        <v>17487</v>
      </c>
      <c r="Y1549" s="1" t="s">
        <v>191</v>
      </c>
      <c r="Z1549" s="1" t="s">
        <v>92</v>
      </c>
      <c r="AA1549" s="1" t="s">
        <v>17487</v>
      </c>
      <c r="AB1549" s="1" t="s">
        <v>191</v>
      </c>
      <c r="AC1549" s="1" t="s">
        <v>92</v>
      </c>
      <c r="AD1549" s="1" t="s">
        <v>93</v>
      </c>
      <c r="AE1549" s="1" t="s">
        <v>93</v>
      </c>
      <c r="AF1549" s="1" t="s">
        <v>17488</v>
      </c>
      <c r="AG1549" s="1" t="s">
        <v>17489</v>
      </c>
      <c r="AH1549" s="1" t="s">
        <v>161</v>
      </c>
      <c r="AI1549" s="1" t="s">
        <v>1089</v>
      </c>
      <c r="AJ1549" s="1">
        <v>58.2</v>
      </c>
      <c r="AK1549" s="1">
        <v>0</v>
      </c>
      <c r="AL1549" s="1" t="s">
        <v>17490</v>
      </c>
      <c r="AM1549" s="1" t="s">
        <v>17491</v>
      </c>
      <c r="AN1549" s="1" t="s">
        <v>169</v>
      </c>
      <c r="AO1549" s="1" t="s">
        <v>198</v>
      </c>
      <c r="AP1549" s="1">
        <v>57.08</v>
      </c>
      <c r="AQ1549" s="1">
        <v>0</v>
      </c>
      <c r="AR1549" s="1" t="s">
        <v>10745</v>
      </c>
      <c r="AS1549" s="1" t="s">
        <v>17492</v>
      </c>
      <c r="AT1549" s="1" t="s">
        <v>409</v>
      </c>
      <c r="AU1549" s="1" t="s">
        <v>826</v>
      </c>
      <c r="AV1549" s="1">
        <v>73.32</v>
      </c>
      <c r="AW1549" s="1">
        <v>0</v>
      </c>
      <c r="AX1549" s="1" t="s">
        <v>361</v>
      </c>
      <c r="AY1549" s="1" t="s">
        <v>17493</v>
      </c>
      <c r="AZ1549" s="1" t="s">
        <v>436</v>
      </c>
      <c r="BA1549" s="1" t="s">
        <v>7725</v>
      </c>
      <c r="BB1549" s="1">
        <v>59.96</v>
      </c>
      <c r="BC1549" s="1">
        <v>6.64</v>
      </c>
      <c r="BD1549" s="1"/>
      <c r="BE1549" s="1"/>
      <c r="BF1549" s="1"/>
      <c r="BG1549" s="1"/>
      <c r="BH1549" s="1"/>
      <c r="BI1549" s="1"/>
      <c r="BJ1549" s="1" t="s">
        <v>567</v>
      </c>
      <c r="BK1549" s="1"/>
      <c r="BL1549" s="1"/>
      <c r="BM1549" s="1" t="s">
        <v>17494</v>
      </c>
      <c r="BN1549" s="1">
        <v>12</v>
      </c>
      <c r="BO1549" s="1"/>
      <c r="BP1549" s="1" t="str">
        <f>HYPERLINK("https://nconnect.nicmar.ac.in/storage/profile/ProfilePhoto_P25702099_245678.jpg","Download")</f>
        <v>0</v>
      </c>
      <c r="BQ1549" s="3"/>
      <c r="BR1549" s="3"/>
    </row>
    <row r="1550" spans="1:70">
      <c r="A1550" s="1" t="s">
        <v>14387</v>
      </c>
      <c r="B1550" s="1" t="s">
        <v>441</v>
      </c>
      <c r="C1550" s="1" t="s">
        <v>17495</v>
      </c>
      <c r="D1550" s="1" t="s">
        <v>12144</v>
      </c>
      <c r="E1550" s="1" t="s">
        <v>17496</v>
      </c>
      <c r="F1550" s="1" t="s">
        <v>6751</v>
      </c>
      <c r="G1550" s="1" t="s">
        <v>17497</v>
      </c>
      <c r="H1550" s="1" t="s">
        <v>17498</v>
      </c>
      <c r="I1550" s="1" t="s">
        <v>17499</v>
      </c>
      <c r="J1550" s="1">
        <v>8421641749</v>
      </c>
      <c r="K1550" s="1" t="s">
        <v>148</v>
      </c>
      <c r="L1550" s="1" t="s">
        <v>17500</v>
      </c>
      <c r="M1550" s="1" t="s">
        <v>81</v>
      </c>
      <c r="N1550" s="1" t="s">
        <v>6599</v>
      </c>
      <c r="O1550" s="1" t="s">
        <v>17501</v>
      </c>
      <c r="P1550" s="1" t="s">
        <v>497</v>
      </c>
      <c r="Q1550" s="1" t="s">
        <v>17502</v>
      </c>
      <c r="R1550" s="1" t="s">
        <v>17503</v>
      </c>
      <c r="S1550" s="1">
        <v>9423204032</v>
      </c>
      <c r="T1550" s="1" t="s">
        <v>17504</v>
      </c>
      <c r="U1550" s="1" t="s">
        <v>3357</v>
      </c>
      <c r="V1550" s="1">
        <v>9422979261</v>
      </c>
      <c r="W1550" s="1" t="s">
        <v>17504</v>
      </c>
      <c r="X1550" s="1" t="s">
        <v>17505</v>
      </c>
      <c r="Y1550" s="1" t="s">
        <v>304</v>
      </c>
      <c r="Z1550" s="1" t="s">
        <v>92</v>
      </c>
      <c r="AA1550" s="1" t="s">
        <v>17505</v>
      </c>
      <c r="AB1550" s="1" t="s">
        <v>304</v>
      </c>
      <c r="AC1550" s="1" t="s">
        <v>92</v>
      </c>
      <c r="AD1550" s="1">
        <v>8.69</v>
      </c>
      <c r="AE1550" s="1" t="s">
        <v>93</v>
      </c>
      <c r="AF1550" s="1" t="s">
        <v>17506</v>
      </c>
      <c r="AG1550" s="1" t="s">
        <v>3071</v>
      </c>
      <c r="AH1550" s="1" t="s">
        <v>161</v>
      </c>
      <c r="AI1550" s="1" t="s">
        <v>162</v>
      </c>
      <c r="AJ1550" s="1">
        <v>91.2</v>
      </c>
      <c r="AK1550" s="1"/>
      <c r="AL1550" s="1" t="s">
        <v>17507</v>
      </c>
      <c r="AM1550" s="1" t="s">
        <v>3071</v>
      </c>
      <c r="AN1550" s="1" t="s">
        <v>165</v>
      </c>
      <c r="AO1550" s="1" t="s">
        <v>166</v>
      </c>
      <c r="AP1550" s="1">
        <v>68.92</v>
      </c>
      <c r="AQ1550" s="1"/>
      <c r="AR1550" s="1"/>
      <c r="AS1550" s="1"/>
      <c r="AT1550" s="1"/>
      <c r="AU1550" s="1"/>
      <c r="AV1550" s="1"/>
      <c r="AW1550" s="1"/>
      <c r="AX1550" s="1" t="s">
        <v>2255</v>
      </c>
      <c r="AY1550" s="1" t="s">
        <v>17508</v>
      </c>
      <c r="AZ1550" s="1" t="s">
        <v>310</v>
      </c>
      <c r="BA1550" s="1" t="s">
        <v>174</v>
      </c>
      <c r="BB1550" s="1">
        <v>81.6</v>
      </c>
      <c r="BC1550" s="1">
        <v>8.91</v>
      </c>
      <c r="BD1550" s="1"/>
      <c r="BE1550" s="1"/>
      <c r="BF1550" s="1"/>
      <c r="BG1550" s="1"/>
      <c r="BH1550" s="1"/>
      <c r="BI1550" s="1"/>
      <c r="BJ1550" s="1" t="s">
        <v>17509</v>
      </c>
      <c r="BK1550" s="1"/>
      <c r="BL1550" s="1"/>
      <c r="BM1550" s="1" t="s">
        <v>17510</v>
      </c>
      <c r="BN1550" s="1">
        <v>70</v>
      </c>
      <c r="BO1550" s="1" t="s">
        <v>17511</v>
      </c>
      <c r="BP1550" s="1" t="str">
        <f>HYPERLINK("https://nconnect.nicmar.ac.in/storage/profile/ProfilePhoto_P25702101_631897.jpg","Download")</f>
        <v>0</v>
      </c>
      <c r="BQ1550" s="3"/>
      <c r="BR1550" s="3"/>
    </row>
    <row r="1551" spans="1:70">
      <c r="A1551" s="1" t="s">
        <v>14387</v>
      </c>
      <c r="B1551" s="1" t="s">
        <v>441</v>
      </c>
      <c r="C1551" s="1" t="s">
        <v>17512</v>
      </c>
      <c r="D1551" s="1" t="s">
        <v>17513</v>
      </c>
      <c r="E1551" s="1" t="s">
        <v>1644</v>
      </c>
      <c r="F1551" s="1" t="s">
        <v>7801</v>
      </c>
      <c r="G1551" s="1" t="s">
        <v>17514</v>
      </c>
      <c r="H1551" s="1" t="s">
        <v>17515</v>
      </c>
      <c r="I1551" s="1" t="s">
        <v>17516</v>
      </c>
      <c r="J1551" s="1">
        <v>8779643880</v>
      </c>
      <c r="K1551" s="1" t="s">
        <v>79</v>
      </c>
      <c r="L1551" s="1" t="s">
        <v>17517</v>
      </c>
      <c r="M1551" s="1" t="s">
        <v>81</v>
      </c>
      <c r="N1551" s="1" t="s">
        <v>17518</v>
      </c>
      <c r="O1551" s="1"/>
      <c r="P1551" s="1" t="s">
        <v>472</v>
      </c>
      <c r="Q1551" s="1" t="s">
        <v>17519</v>
      </c>
      <c r="R1551" s="1" t="s">
        <v>17520</v>
      </c>
      <c r="S1551" s="1">
        <v>9820835616</v>
      </c>
      <c r="T1551" s="1" t="s">
        <v>906</v>
      </c>
      <c r="U1551" s="1" t="s">
        <v>17521</v>
      </c>
      <c r="V1551" s="1">
        <v>9702057199</v>
      </c>
      <c r="W1551" s="1" t="s">
        <v>156</v>
      </c>
      <c r="X1551" s="1" t="s">
        <v>17522</v>
      </c>
      <c r="Y1551" s="1"/>
      <c r="Z1551" s="1" t="s">
        <v>92</v>
      </c>
      <c r="AA1551" s="1" t="s">
        <v>17522</v>
      </c>
      <c r="AB1551" s="1"/>
      <c r="AC1551" s="1" t="s">
        <v>92</v>
      </c>
      <c r="AD1551" s="1">
        <v>9.0</v>
      </c>
      <c r="AE1551" s="1" t="s">
        <v>93</v>
      </c>
      <c r="AF1551" s="1" t="s">
        <v>17523</v>
      </c>
      <c r="AG1551" s="1" t="s">
        <v>17524</v>
      </c>
      <c r="AH1551" s="1" t="s">
        <v>3131</v>
      </c>
      <c r="AI1551" s="1" t="s">
        <v>165</v>
      </c>
      <c r="AJ1551" s="1">
        <v>93.4</v>
      </c>
      <c r="AK1551" s="1"/>
      <c r="AL1551" s="1" t="s">
        <v>17525</v>
      </c>
      <c r="AM1551" s="1" t="s">
        <v>17526</v>
      </c>
      <c r="AN1551" s="1" t="s">
        <v>383</v>
      </c>
      <c r="AO1551" s="1" t="s">
        <v>433</v>
      </c>
      <c r="AP1551" s="1">
        <v>75.08</v>
      </c>
      <c r="AQ1551" s="1"/>
      <c r="AR1551" s="1"/>
      <c r="AS1551" s="1"/>
      <c r="AT1551" s="1"/>
      <c r="AU1551" s="1"/>
      <c r="AV1551" s="1"/>
      <c r="AW1551" s="1"/>
      <c r="AX1551" s="1" t="s">
        <v>666</v>
      </c>
      <c r="AY1551" s="1" t="s">
        <v>17527</v>
      </c>
      <c r="AZ1551" s="1" t="s">
        <v>201</v>
      </c>
      <c r="BA1551" s="1" t="s">
        <v>413</v>
      </c>
      <c r="BB1551" s="1">
        <v>69.57</v>
      </c>
      <c r="BC1551" s="1">
        <v>7.78</v>
      </c>
      <c r="BD1551" s="1"/>
      <c r="BE1551" s="1"/>
      <c r="BF1551" s="1"/>
      <c r="BG1551" s="1"/>
      <c r="BH1551" s="1"/>
      <c r="BI1551" s="1"/>
      <c r="BJ1551" s="1" t="s">
        <v>17528</v>
      </c>
      <c r="BK1551" s="1" t="s">
        <v>17529</v>
      </c>
      <c r="BL1551" s="1" t="s">
        <v>1048</v>
      </c>
      <c r="BM1551" s="1" t="s">
        <v>17530</v>
      </c>
      <c r="BN1551" s="1">
        <v>8</v>
      </c>
      <c r="BO1551" s="1" t="s">
        <v>17531</v>
      </c>
      <c r="BP1551" s="1" t="str">
        <f>HYPERLINK("https://nconnect.nicmar.ac.in/storage/profile/ProfilePhoto_P25702102_857932.jpg","Download")</f>
        <v>0</v>
      </c>
      <c r="BQ1551" s="3"/>
      <c r="BR1551" s="3"/>
    </row>
    <row r="1552" spans="1:70">
      <c r="A1552" s="1" t="s">
        <v>14387</v>
      </c>
      <c r="B1552" s="1" t="s">
        <v>441</v>
      </c>
      <c r="C1552" s="1" t="s">
        <v>17532</v>
      </c>
      <c r="D1552" s="1" t="s">
        <v>17533</v>
      </c>
      <c r="E1552" s="1" t="s">
        <v>4342</v>
      </c>
      <c r="F1552" s="1" t="s">
        <v>369</v>
      </c>
      <c r="G1552" s="1" t="s">
        <v>17534</v>
      </c>
      <c r="H1552" s="1" t="s">
        <v>17535</v>
      </c>
      <c r="I1552" s="1" t="s">
        <v>17536</v>
      </c>
      <c r="J1552" s="1">
        <v>8999404755</v>
      </c>
      <c r="K1552" s="1" t="s">
        <v>79</v>
      </c>
      <c r="L1552" s="1" t="s">
        <v>17537</v>
      </c>
      <c r="M1552" s="1" t="s">
        <v>81</v>
      </c>
      <c r="N1552" s="1" t="s">
        <v>17538</v>
      </c>
      <c r="O1552" s="1" t="s">
        <v>17539</v>
      </c>
      <c r="P1552" s="1" t="s">
        <v>497</v>
      </c>
      <c r="Q1552" s="1" t="s">
        <v>17540</v>
      </c>
      <c r="R1552" s="1" t="s">
        <v>17541</v>
      </c>
      <c r="S1552" s="1">
        <v>9423045614</v>
      </c>
      <c r="T1552" s="1" t="s">
        <v>1529</v>
      </c>
      <c r="U1552" s="1" t="s">
        <v>17542</v>
      </c>
      <c r="V1552" s="1">
        <v>7588934727</v>
      </c>
      <c r="W1552" s="1" t="s">
        <v>1529</v>
      </c>
      <c r="X1552" s="1" t="s">
        <v>17543</v>
      </c>
      <c r="Y1552" s="1" t="s">
        <v>2678</v>
      </c>
      <c r="Z1552" s="1" t="s">
        <v>92</v>
      </c>
      <c r="AA1552" s="1" t="s">
        <v>17543</v>
      </c>
      <c r="AB1552" s="1" t="s">
        <v>2678</v>
      </c>
      <c r="AC1552" s="1" t="s">
        <v>92</v>
      </c>
      <c r="AD1552" s="1">
        <v>9.47</v>
      </c>
      <c r="AE1552" s="1" t="s">
        <v>93</v>
      </c>
      <c r="AF1552" s="1" t="s">
        <v>17544</v>
      </c>
      <c r="AG1552" s="1" t="s">
        <v>17545</v>
      </c>
      <c r="AH1552" s="1" t="s">
        <v>96</v>
      </c>
      <c r="AI1552" s="1" t="s">
        <v>173</v>
      </c>
      <c r="AJ1552" s="1">
        <v>87.6</v>
      </c>
      <c r="AK1552" s="1"/>
      <c r="AL1552" s="1" t="s">
        <v>17546</v>
      </c>
      <c r="AM1552" s="1" t="s">
        <v>17547</v>
      </c>
      <c r="AN1552" s="1" t="s">
        <v>871</v>
      </c>
      <c r="AO1552" s="1" t="s">
        <v>1861</v>
      </c>
      <c r="AP1552" s="1">
        <v>82.17</v>
      </c>
      <c r="AQ1552" s="1"/>
      <c r="AR1552" s="1"/>
      <c r="AS1552" s="1"/>
      <c r="AT1552" s="1"/>
      <c r="AU1552" s="1"/>
      <c r="AV1552" s="1"/>
      <c r="AW1552" s="1"/>
      <c r="AX1552" s="1" t="s">
        <v>17548</v>
      </c>
      <c r="AY1552" s="1" t="s">
        <v>17549</v>
      </c>
      <c r="AZ1552" s="1" t="s">
        <v>1378</v>
      </c>
      <c r="BA1552" s="1" t="s">
        <v>8653</v>
      </c>
      <c r="BB1552" s="1">
        <v>71.76</v>
      </c>
      <c r="BC1552" s="1">
        <v>3.11</v>
      </c>
      <c r="BD1552" s="1"/>
      <c r="BE1552" s="1"/>
      <c r="BF1552" s="1"/>
      <c r="BG1552" s="1"/>
      <c r="BH1552" s="1"/>
      <c r="BI1552" s="1"/>
      <c r="BJ1552" s="1" t="s">
        <v>17550</v>
      </c>
      <c r="BK1552" s="1"/>
      <c r="BL1552" s="1"/>
      <c r="BM1552" s="1" t="s">
        <v>17551</v>
      </c>
      <c r="BN1552" s="1">
        <v>16</v>
      </c>
      <c r="BO1552" s="1" t="s">
        <v>17552</v>
      </c>
      <c r="BP1552" s="1" t="str">
        <f>HYPERLINK("https://nconnect.nicmar.ac.in/storage/profile/ProfilePhoto_P25702103_359467.jpg","Download")</f>
        <v>0</v>
      </c>
      <c r="BQ1552" s="3"/>
      <c r="BR1552" s="3"/>
    </row>
    <row r="1553" spans="1:70">
      <c r="A1553" s="1" t="s">
        <v>14387</v>
      </c>
      <c r="B1553" s="1" t="s">
        <v>441</v>
      </c>
      <c r="C1553" s="1" t="s">
        <v>17553</v>
      </c>
      <c r="D1553" s="1" t="s">
        <v>17554</v>
      </c>
      <c r="E1553" s="1" t="s">
        <v>3737</v>
      </c>
      <c r="F1553" s="1" t="s">
        <v>17555</v>
      </c>
      <c r="G1553" s="1" t="s">
        <v>17556</v>
      </c>
      <c r="H1553" s="1" t="s">
        <v>17557</v>
      </c>
      <c r="I1553" s="1" t="s">
        <v>17558</v>
      </c>
      <c r="J1553" s="1">
        <v>8762107107</v>
      </c>
      <c r="K1553" s="1" t="s">
        <v>79</v>
      </c>
      <c r="L1553" s="1" t="s">
        <v>17559</v>
      </c>
      <c r="M1553" s="1" t="s">
        <v>81</v>
      </c>
      <c r="N1553" s="1" t="s">
        <v>8244</v>
      </c>
      <c r="O1553" s="1" t="s">
        <v>17560</v>
      </c>
      <c r="P1553" s="1" t="s">
        <v>472</v>
      </c>
      <c r="Q1553" s="1" t="s">
        <v>17561</v>
      </c>
      <c r="R1553" s="1" t="s">
        <v>3737</v>
      </c>
      <c r="S1553" s="1">
        <v>9448236222</v>
      </c>
      <c r="T1553" s="1" t="s">
        <v>17562</v>
      </c>
      <c r="U1553" s="1" t="s">
        <v>353</v>
      </c>
      <c r="V1553" s="1">
        <v>9480234555</v>
      </c>
      <c r="W1553" s="1" t="s">
        <v>17562</v>
      </c>
      <c r="X1553" s="1" t="s">
        <v>17563</v>
      </c>
      <c r="Y1553" s="1" t="s">
        <v>191</v>
      </c>
      <c r="Z1553" s="1" t="s">
        <v>92</v>
      </c>
      <c r="AA1553" s="1" t="s">
        <v>17564</v>
      </c>
      <c r="AB1553" s="1" t="s">
        <v>3748</v>
      </c>
      <c r="AC1553" s="1" t="s">
        <v>1187</v>
      </c>
      <c r="AD1553" s="1">
        <v>8.98</v>
      </c>
      <c r="AE1553" s="1" t="s">
        <v>93</v>
      </c>
      <c r="AF1553" s="1" t="s">
        <v>17565</v>
      </c>
      <c r="AG1553" s="1" t="s">
        <v>17566</v>
      </c>
      <c r="AH1553" s="1" t="s">
        <v>162</v>
      </c>
      <c r="AI1553" s="1" t="s">
        <v>165</v>
      </c>
      <c r="AJ1553" s="1">
        <v>81.7</v>
      </c>
      <c r="AK1553" s="1">
        <v>8.6</v>
      </c>
      <c r="AL1553" s="1" t="s">
        <v>17567</v>
      </c>
      <c r="AM1553" s="1" t="s">
        <v>17568</v>
      </c>
      <c r="AN1553" s="1" t="s">
        <v>1043</v>
      </c>
      <c r="AO1553" s="1" t="s">
        <v>201</v>
      </c>
      <c r="AP1553" s="1">
        <v>59.66</v>
      </c>
      <c r="AQ1553" s="1">
        <v>0</v>
      </c>
      <c r="AR1553" s="1"/>
      <c r="AS1553" s="1"/>
      <c r="AT1553" s="1"/>
      <c r="AU1553" s="1"/>
      <c r="AV1553" s="1"/>
      <c r="AW1553" s="1"/>
      <c r="AX1553" s="1" t="s">
        <v>6663</v>
      </c>
      <c r="AY1553" s="1" t="s">
        <v>17569</v>
      </c>
      <c r="AZ1553" s="1" t="s">
        <v>201</v>
      </c>
      <c r="BA1553" s="1" t="s">
        <v>1245</v>
      </c>
      <c r="BB1553" s="1">
        <v>64.17</v>
      </c>
      <c r="BC1553" s="1">
        <v>7.22</v>
      </c>
      <c r="BD1553" s="1"/>
      <c r="BE1553" s="1"/>
      <c r="BF1553" s="1"/>
      <c r="BG1553" s="1"/>
      <c r="BH1553" s="1"/>
      <c r="BI1553" s="1"/>
      <c r="BJ1553" s="1" t="s">
        <v>17570</v>
      </c>
      <c r="BK1553" s="1"/>
      <c r="BL1553" s="1"/>
      <c r="BM1553" s="1" t="s">
        <v>17571</v>
      </c>
      <c r="BN1553" s="1">
        <v>12</v>
      </c>
      <c r="BO1553" s="1" t="s">
        <v>15190</v>
      </c>
      <c r="BP1553" s="1" t="str">
        <f>HYPERLINK("https://nconnect.nicmar.ac.in/storage/profile/ProfilePhoto_P25702104_392471.jpg","Download")</f>
        <v>0</v>
      </c>
      <c r="BQ1553" s="3"/>
      <c r="BR1553" s="3"/>
    </row>
    <row r="1554" spans="1:70">
      <c r="A1554" s="1" t="s">
        <v>14387</v>
      </c>
      <c r="B1554" s="1" t="s">
        <v>441</v>
      </c>
      <c r="C1554" s="1" t="s">
        <v>17572</v>
      </c>
      <c r="D1554" s="1" t="s">
        <v>17573</v>
      </c>
      <c r="E1554" s="1" t="s">
        <v>3077</v>
      </c>
      <c r="F1554" s="1" t="s">
        <v>236</v>
      </c>
      <c r="G1554" s="1" t="s">
        <v>17574</v>
      </c>
      <c r="H1554" s="1" t="s">
        <v>17575</v>
      </c>
      <c r="I1554" s="1" t="s">
        <v>17576</v>
      </c>
      <c r="J1554" s="1">
        <v>7517474923</v>
      </c>
      <c r="K1554" s="1" t="s">
        <v>148</v>
      </c>
      <c r="L1554" s="1" t="s">
        <v>6789</v>
      </c>
      <c r="M1554" s="1" t="s">
        <v>81</v>
      </c>
      <c r="N1554" s="1" t="s">
        <v>605</v>
      </c>
      <c r="O1554" s="1"/>
      <c r="P1554" s="1" t="s">
        <v>656</v>
      </c>
      <c r="Q1554" s="1" t="s">
        <v>17577</v>
      </c>
      <c r="R1554" s="1" t="s">
        <v>17578</v>
      </c>
      <c r="S1554" s="1">
        <v>9822947954</v>
      </c>
      <c r="T1554" s="1" t="s">
        <v>754</v>
      </c>
      <c r="U1554" s="1" t="s">
        <v>17579</v>
      </c>
      <c r="V1554" s="1">
        <v>8308888401</v>
      </c>
      <c r="W1554" s="1" t="s">
        <v>632</v>
      </c>
      <c r="X1554" s="1" t="s">
        <v>17580</v>
      </c>
      <c r="Y1554" s="1" t="s">
        <v>246</v>
      </c>
      <c r="Z1554" s="1" t="s">
        <v>92</v>
      </c>
      <c r="AA1554" s="1" t="s">
        <v>17580</v>
      </c>
      <c r="AB1554" s="1" t="s">
        <v>246</v>
      </c>
      <c r="AC1554" s="1" t="s">
        <v>92</v>
      </c>
      <c r="AD1554" s="1">
        <v>7.55</v>
      </c>
      <c r="AE1554" s="1" t="s">
        <v>93</v>
      </c>
      <c r="AF1554" s="1" t="s">
        <v>17581</v>
      </c>
      <c r="AG1554" s="1" t="s">
        <v>17582</v>
      </c>
      <c r="AH1554" s="1" t="s">
        <v>537</v>
      </c>
      <c r="AI1554" s="1" t="s">
        <v>308</v>
      </c>
      <c r="AJ1554" s="1">
        <v>59.6</v>
      </c>
      <c r="AK1554" s="1"/>
      <c r="AL1554" s="1"/>
      <c r="AM1554" s="1"/>
      <c r="AN1554" s="1"/>
      <c r="AO1554" s="1"/>
      <c r="AP1554" s="1"/>
      <c r="AQ1554" s="1"/>
      <c r="AR1554" s="1" t="s">
        <v>98</v>
      </c>
      <c r="AS1554" s="1" t="s">
        <v>17583</v>
      </c>
      <c r="AT1554" s="1" t="s">
        <v>201</v>
      </c>
      <c r="AU1554" s="1" t="s">
        <v>284</v>
      </c>
      <c r="AV1554" s="1">
        <v>82.11</v>
      </c>
      <c r="AW1554" s="1"/>
      <c r="AX1554" s="1" t="s">
        <v>361</v>
      </c>
      <c r="AY1554" s="1" t="s">
        <v>17584</v>
      </c>
      <c r="AZ1554" s="1" t="s">
        <v>1864</v>
      </c>
      <c r="BA1554" s="1" t="s">
        <v>1379</v>
      </c>
      <c r="BB1554" s="1">
        <v>66.12</v>
      </c>
      <c r="BC1554" s="1">
        <v>7.43</v>
      </c>
      <c r="BD1554" s="1"/>
      <c r="BE1554" s="1"/>
      <c r="BF1554" s="1"/>
      <c r="BG1554" s="1"/>
      <c r="BH1554" s="1"/>
      <c r="BI1554" s="1"/>
      <c r="BJ1554" s="1" t="s">
        <v>17585</v>
      </c>
      <c r="BK1554" s="1"/>
      <c r="BL1554" s="1"/>
      <c r="BM1554" s="1" t="s">
        <v>17586</v>
      </c>
      <c r="BN1554" s="1">
        <v>12</v>
      </c>
      <c r="BO1554" s="1"/>
      <c r="BP1554" s="1" t="str">
        <f>HYPERLINK("https://nconnect.nicmar.ac.in/storage/profile/ProfilePhoto_P25702105_781956.jpg","Download")</f>
        <v>0</v>
      </c>
      <c r="BQ1554" s="3"/>
      <c r="BR1554" s="3"/>
    </row>
    <row r="1555" spans="1:70">
      <c r="A1555" s="1" t="s">
        <v>14387</v>
      </c>
      <c r="B1555" s="1" t="s">
        <v>441</v>
      </c>
      <c r="C1555" s="1" t="s">
        <v>17587</v>
      </c>
      <c r="D1555" s="1" t="s">
        <v>17588</v>
      </c>
      <c r="E1555" s="1" t="s">
        <v>2838</v>
      </c>
      <c r="F1555" s="1" t="s">
        <v>6172</v>
      </c>
      <c r="G1555" s="1" t="s">
        <v>17589</v>
      </c>
      <c r="H1555" s="1" t="s">
        <v>17590</v>
      </c>
      <c r="I1555" s="1" t="s">
        <v>17591</v>
      </c>
      <c r="J1555" s="1">
        <v>7770075006</v>
      </c>
      <c r="K1555" s="1" t="s">
        <v>79</v>
      </c>
      <c r="L1555" s="1" t="s">
        <v>10240</v>
      </c>
      <c r="M1555" s="1" t="s">
        <v>81</v>
      </c>
      <c r="N1555" s="1" t="s">
        <v>4274</v>
      </c>
      <c r="O1555" s="1"/>
      <c r="P1555" s="1" t="s">
        <v>472</v>
      </c>
      <c r="Q1555" s="1" t="s">
        <v>17592</v>
      </c>
      <c r="R1555" s="1" t="s">
        <v>17593</v>
      </c>
      <c r="S1555" s="1">
        <v>9921475333</v>
      </c>
      <c r="T1555" s="1" t="s">
        <v>17594</v>
      </c>
      <c r="U1555" s="1" t="s">
        <v>17595</v>
      </c>
      <c r="V1555" s="1">
        <v>7558438811</v>
      </c>
      <c r="W1555" s="1" t="s">
        <v>17594</v>
      </c>
      <c r="X1555" s="1" t="s">
        <v>17596</v>
      </c>
      <c r="Y1555" s="1" t="s">
        <v>191</v>
      </c>
      <c r="Z1555" s="1" t="s">
        <v>92</v>
      </c>
      <c r="AA1555" s="1" t="s">
        <v>17597</v>
      </c>
      <c r="AB1555" s="1" t="s">
        <v>158</v>
      </c>
      <c r="AC1555" s="1" t="s">
        <v>92</v>
      </c>
      <c r="AD1555" s="1">
        <v>7.56</v>
      </c>
      <c r="AE1555" s="1" t="s">
        <v>93</v>
      </c>
      <c r="AF1555" s="1" t="s">
        <v>17598</v>
      </c>
      <c r="AG1555" s="1" t="s">
        <v>17599</v>
      </c>
      <c r="AH1555" s="1" t="s">
        <v>162</v>
      </c>
      <c r="AI1555" s="1" t="s">
        <v>281</v>
      </c>
      <c r="AJ1555" s="1">
        <v>56.8</v>
      </c>
      <c r="AK1555" s="1"/>
      <c r="AL1555" s="1"/>
      <c r="AM1555" s="1"/>
      <c r="AN1555" s="1"/>
      <c r="AO1555" s="1"/>
      <c r="AP1555" s="1"/>
      <c r="AQ1555" s="1"/>
      <c r="AR1555" s="1" t="s">
        <v>434</v>
      </c>
      <c r="AS1555" s="1" t="s">
        <v>17600</v>
      </c>
      <c r="AT1555" s="1" t="s">
        <v>1043</v>
      </c>
      <c r="AU1555" s="1" t="s">
        <v>436</v>
      </c>
      <c r="AV1555" s="1">
        <v>86.26</v>
      </c>
      <c r="AW1555" s="1"/>
      <c r="AX1555" s="1" t="s">
        <v>361</v>
      </c>
      <c r="AY1555" s="1" t="s">
        <v>17601</v>
      </c>
      <c r="AZ1555" s="1" t="s">
        <v>4727</v>
      </c>
      <c r="BA1555" s="1" t="s">
        <v>829</v>
      </c>
      <c r="BB1555" s="1">
        <v>72.5</v>
      </c>
      <c r="BC1555" s="1">
        <v>8.02</v>
      </c>
      <c r="BD1555" s="1"/>
      <c r="BE1555" s="1"/>
      <c r="BF1555" s="1"/>
      <c r="BG1555" s="1"/>
      <c r="BH1555" s="1"/>
      <c r="BI1555" s="1"/>
      <c r="BJ1555" s="1" t="s">
        <v>17602</v>
      </c>
      <c r="BK1555" s="1"/>
      <c r="BL1555" s="1"/>
      <c r="BM1555" s="1" t="s">
        <v>17603</v>
      </c>
      <c r="BN1555" s="1">
        <v>8</v>
      </c>
      <c r="BO1555" s="1"/>
      <c r="BP1555" s="1" t="str">
        <f>HYPERLINK("https://nconnect.nicmar.ac.in/storage/profile/ProfilePhoto_P25702106_365247.jpg","Download")</f>
        <v>0</v>
      </c>
      <c r="BQ1555" s="3"/>
      <c r="BR1555" s="3"/>
    </row>
    <row r="1556" spans="1:70">
      <c r="A1556" s="1" t="s">
        <v>14387</v>
      </c>
      <c r="B1556" s="1" t="s">
        <v>441</v>
      </c>
      <c r="C1556" s="1" t="s">
        <v>17604</v>
      </c>
      <c r="D1556" s="1" t="s">
        <v>4930</v>
      </c>
      <c r="E1556" s="1" t="s">
        <v>5579</v>
      </c>
      <c r="F1556" s="1" t="s">
        <v>1156</v>
      </c>
      <c r="G1556" s="1" t="s">
        <v>17605</v>
      </c>
      <c r="H1556" s="1" t="s">
        <v>17606</v>
      </c>
      <c r="I1556" s="1" t="s">
        <v>17607</v>
      </c>
      <c r="J1556" s="1">
        <v>9975344294</v>
      </c>
      <c r="K1556" s="1" t="s">
        <v>148</v>
      </c>
      <c r="L1556" s="1" t="s">
        <v>17608</v>
      </c>
      <c r="M1556" s="1" t="s">
        <v>81</v>
      </c>
      <c r="N1556" s="1" t="s">
        <v>12930</v>
      </c>
      <c r="O1556" s="1"/>
      <c r="P1556" s="1" t="s">
        <v>472</v>
      </c>
      <c r="Q1556" s="1" t="s">
        <v>17609</v>
      </c>
      <c r="R1556" s="1" t="s">
        <v>17610</v>
      </c>
      <c r="S1556" s="1">
        <v>9890402716</v>
      </c>
      <c r="T1556" s="1" t="s">
        <v>7862</v>
      </c>
      <c r="U1556" s="1" t="s">
        <v>17611</v>
      </c>
      <c r="V1556" s="1">
        <v>8329575850</v>
      </c>
      <c r="W1556" s="1" t="s">
        <v>156</v>
      </c>
      <c r="X1556" s="1" t="s">
        <v>17612</v>
      </c>
      <c r="Y1556" s="1" t="s">
        <v>304</v>
      </c>
      <c r="Z1556" s="1" t="s">
        <v>92</v>
      </c>
      <c r="AA1556" s="1" t="s">
        <v>17612</v>
      </c>
      <c r="AB1556" s="1" t="s">
        <v>304</v>
      </c>
      <c r="AC1556" s="1" t="s">
        <v>92</v>
      </c>
      <c r="AD1556" s="1">
        <v>7.48</v>
      </c>
      <c r="AE1556" s="1" t="s">
        <v>93</v>
      </c>
      <c r="AF1556" s="1" t="s">
        <v>17613</v>
      </c>
      <c r="AG1556" s="1" t="s">
        <v>17614</v>
      </c>
      <c r="AH1556" s="1" t="s">
        <v>101</v>
      </c>
      <c r="AI1556" s="1" t="s">
        <v>433</v>
      </c>
      <c r="AJ1556" s="1">
        <v>84.2</v>
      </c>
      <c r="AK1556" s="1">
        <v>0</v>
      </c>
      <c r="AL1556" s="1"/>
      <c r="AM1556" s="1"/>
      <c r="AN1556" s="1"/>
      <c r="AO1556" s="1"/>
      <c r="AP1556" s="1"/>
      <c r="AQ1556" s="1"/>
      <c r="AR1556" s="1" t="s">
        <v>98</v>
      </c>
      <c r="AS1556" s="1" t="s">
        <v>17615</v>
      </c>
      <c r="AT1556" s="1" t="s">
        <v>201</v>
      </c>
      <c r="AU1556" s="1" t="s">
        <v>284</v>
      </c>
      <c r="AV1556" s="1">
        <v>77</v>
      </c>
      <c r="AW1556" s="1">
        <v>0</v>
      </c>
      <c r="AX1556" s="1" t="s">
        <v>361</v>
      </c>
      <c r="AY1556" s="1" t="s">
        <v>17616</v>
      </c>
      <c r="AZ1556" s="1" t="s">
        <v>1864</v>
      </c>
      <c r="BA1556" s="1" t="s">
        <v>829</v>
      </c>
      <c r="BB1556" s="1">
        <v>66.39</v>
      </c>
      <c r="BC1556" s="1">
        <v>7.46</v>
      </c>
      <c r="BD1556" s="1"/>
      <c r="BE1556" s="1"/>
      <c r="BF1556" s="1"/>
      <c r="BG1556" s="1"/>
      <c r="BH1556" s="1"/>
      <c r="BI1556" s="1"/>
      <c r="BJ1556" s="1" t="s">
        <v>364</v>
      </c>
      <c r="BK1556" s="1"/>
      <c r="BL1556" s="1"/>
      <c r="BM1556" s="1" t="s">
        <v>17617</v>
      </c>
      <c r="BN1556" s="1">
        <v>17</v>
      </c>
      <c r="BO1556" s="1"/>
      <c r="BP1556" s="1" t="str">
        <f>HYPERLINK("https://nconnect.nicmar.ac.in/storage/profile/ProfilePhoto_P25702108_273491.jpg","Download")</f>
        <v>0</v>
      </c>
      <c r="BQ1556" s="3"/>
      <c r="BR1556" s="3"/>
    </row>
    <row r="1557" spans="1:70">
      <c r="A1557" s="1" t="s">
        <v>14387</v>
      </c>
      <c r="B1557" s="1" t="s">
        <v>441</v>
      </c>
      <c r="C1557" s="1" t="s">
        <v>17618</v>
      </c>
      <c r="D1557" s="1" t="s">
        <v>17619</v>
      </c>
      <c r="E1557" s="1"/>
      <c r="F1557" s="1" t="s">
        <v>11596</v>
      </c>
      <c r="G1557" s="1" t="s">
        <v>17620</v>
      </c>
      <c r="H1557" s="1" t="s">
        <v>17621</v>
      </c>
      <c r="I1557" s="1" t="s">
        <v>17622</v>
      </c>
      <c r="J1557" s="1">
        <v>6261957387</v>
      </c>
      <c r="K1557" s="1" t="s">
        <v>79</v>
      </c>
      <c r="L1557" s="1" t="s">
        <v>6067</v>
      </c>
      <c r="M1557" s="1" t="s">
        <v>81</v>
      </c>
      <c r="N1557" s="1" t="s">
        <v>11324</v>
      </c>
      <c r="O1557" s="1"/>
      <c r="P1557" s="1" t="s">
        <v>497</v>
      </c>
      <c r="Q1557" s="1" t="s">
        <v>17623</v>
      </c>
      <c r="R1557" s="1" t="s">
        <v>17624</v>
      </c>
      <c r="S1557" s="1">
        <v>8966000863</v>
      </c>
      <c r="T1557" s="1" t="s">
        <v>17625</v>
      </c>
      <c r="U1557" s="1" t="s">
        <v>17626</v>
      </c>
      <c r="V1557" s="1">
        <v>6261957387</v>
      </c>
      <c r="W1557" s="1" t="s">
        <v>273</v>
      </c>
      <c r="X1557" s="1" t="s">
        <v>17627</v>
      </c>
      <c r="Y1557" s="1" t="s">
        <v>191</v>
      </c>
      <c r="Z1557" s="1" t="s">
        <v>92</v>
      </c>
      <c r="AA1557" s="1" t="s">
        <v>17628</v>
      </c>
      <c r="AB1557" s="1" t="s">
        <v>11660</v>
      </c>
      <c r="AC1557" s="1" t="s">
        <v>2955</v>
      </c>
      <c r="AD1557" s="1">
        <v>7.82</v>
      </c>
      <c r="AE1557" s="1" t="s">
        <v>93</v>
      </c>
      <c r="AF1557" s="1" t="s">
        <v>17629</v>
      </c>
      <c r="AG1557" s="1" t="s">
        <v>17630</v>
      </c>
      <c r="AH1557" s="1" t="s">
        <v>562</v>
      </c>
      <c r="AI1557" s="1" t="s">
        <v>166</v>
      </c>
      <c r="AJ1557" s="1">
        <v>68</v>
      </c>
      <c r="AK1557" s="1"/>
      <c r="AL1557" s="1" t="s">
        <v>17631</v>
      </c>
      <c r="AM1557" s="1" t="s">
        <v>17632</v>
      </c>
      <c r="AN1557" s="1" t="s">
        <v>2872</v>
      </c>
      <c r="AO1557" s="1" t="s">
        <v>1622</v>
      </c>
      <c r="AP1557" s="1">
        <v>55</v>
      </c>
      <c r="AQ1557" s="1"/>
      <c r="AR1557" s="1"/>
      <c r="AS1557" s="1"/>
      <c r="AT1557" s="1"/>
      <c r="AU1557" s="1"/>
      <c r="AV1557" s="1"/>
      <c r="AW1557" s="1"/>
      <c r="AX1557" s="1" t="s">
        <v>17633</v>
      </c>
      <c r="AY1557" s="1" t="s">
        <v>17634</v>
      </c>
      <c r="AZ1557" s="1" t="s">
        <v>170</v>
      </c>
      <c r="BA1557" s="1" t="s">
        <v>1109</v>
      </c>
      <c r="BB1557" s="1">
        <v>69.82</v>
      </c>
      <c r="BC1557" s="1">
        <v>7.49</v>
      </c>
      <c r="BD1557" s="1"/>
      <c r="BE1557" s="1"/>
      <c r="BF1557" s="1"/>
      <c r="BG1557" s="1"/>
      <c r="BH1557" s="1"/>
      <c r="BI1557" s="1"/>
      <c r="BJ1557" s="1" t="s">
        <v>17635</v>
      </c>
      <c r="BK1557" s="1"/>
      <c r="BL1557" s="1"/>
      <c r="BM1557" s="1" t="s">
        <v>17636</v>
      </c>
      <c r="BN1557" s="1">
        <v>17</v>
      </c>
      <c r="BO1557" s="1" t="s">
        <v>17637</v>
      </c>
      <c r="BP1557" s="1" t="str">
        <f>HYPERLINK("https://nconnect.nicmar.ac.in/storage/profile/ProfilePhoto_P25702109_526438.jpg","Download")</f>
        <v>0</v>
      </c>
      <c r="BQ1557" s="3"/>
      <c r="BR1557" s="3"/>
    </row>
    <row r="1558" spans="1:70">
      <c r="A1558" s="1" t="s">
        <v>14387</v>
      </c>
      <c r="B1558" s="1" t="s">
        <v>441</v>
      </c>
      <c r="C1558" s="1" t="s">
        <v>17638</v>
      </c>
      <c r="D1558" s="1" t="s">
        <v>6734</v>
      </c>
      <c r="E1558" s="1" t="s">
        <v>17639</v>
      </c>
      <c r="F1558" s="1" t="s">
        <v>6630</v>
      </c>
      <c r="G1558" s="1" t="s">
        <v>17640</v>
      </c>
      <c r="H1558" s="1" t="s">
        <v>17641</v>
      </c>
      <c r="I1558" s="1" t="s">
        <v>17642</v>
      </c>
      <c r="J1558" s="1">
        <v>9607704166</v>
      </c>
      <c r="K1558" s="1" t="s">
        <v>79</v>
      </c>
      <c r="L1558" s="1" t="s">
        <v>8130</v>
      </c>
      <c r="M1558" s="1" t="s">
        <v>81</v>
      </c>
      <c r="N1558" s="1" t="s">
        <v>17643</v>
      </c>
      <c r="O1558" s="1"/>
      <c r="P1558" s="1" t="s">
        <v>450</v>
      </c>
      <c r="Q1558" s="1" t="s">
        <v>17644</v>
      </c>
      <c r="R1558" s="1" t="s">
        <v>17645</v>
      </c>
      <c r="S1558" s="1">
        <v>7020572363</v>
      </c>
      <c r="T1558" s="1" t="s">
        <v>820</v>
      </c>
      <c r="U1558" s="1" t="s">
        <v>17646</v>
      </c>
      <c r="V1558" s="1">
        <v>8600159908</v>
      </c>
      <c r="W1558" s="1" t="s">
        <v>156</v>
      </c>
      <c r="X1558" s="1" t="s">
        <v>17647</v>
      </c>
      <c r="Y1558" s="1" t="s">
        <v>191</v>
      </c>
      <c r="Z1558" s="1" t="s">
        <v>92</v>
      </c>
      <c r="AA1558" s="1" t="s">
        <v>17647</v>
      </c>
      <c r="AB1558" s="1" t="s">
        <v>191</v>
      </c>
      <c r="AC1558" s="1" t="s">
        <v>92</v>
      </c>
      <c r="AD1558" s="1" t="s">
        <v>93</v>
      </c>
      <c r="AE1558" s="1" t="s">
        <v>93</v>
      </c>
      <c r="AF1558" s="1" t="s">
        <v>17648</v>
      </c>
      <c r="AG1558" s="1" t="s">
        <v>17649</v>
      </c>
      <c r="AH1558" s="1" t="s">
        <v>165</v>
      </c>
      <c r="AI1558" s="1" t="s">
        <v>166</v>
      </c>
      <c r="AJ1558" s="1">
        <v>65.2</v>
      </c>
      <c r="AK1558" s="1"/>
      <c r="AL1558" s="1" t="s">
        <v>15542</v>
      </c>
      <c r="AM1558" s="1" t="s">
        <v>17650</v>
      </c>
      <c r="AN1558" s="1" t="s">
        <v>433</v>
      </c>
      <c r="AO1558" s="1" t="s">
        <v>412</v>
      </c>
      <c r="AP1558" s="1">
        <v>76.62</v>
      </c>
      <c r="AQ1558" s="1"/>
      <c r="AR1558" s="1"/>
      <c r="AS1558" s="1"/>
      <c r="AT1558" s="1"/>
      <c r="AU1558" s="1"/>
      <c r="AV1558" s="1"/>
      <c r="AW1558" s="1"/>
      <c r="AX1558" s="1" t="s">
        <v>361</v>
      </c>
      <c r="AY1558" s="1" t="s">
        <v>17651</v>
      </c>
      <c r="AZ1558" s="1" t="s">
        <v>1019</v>
      </c>
      <c r="BA1558" s="1" t="s">
        <v>174</v>
      </c>
      <c r="BB1558" s="1">
        <v>77.36</v>
      </c>
      <c r="BC1558" s="1">
        <v>8.79</v>
      </c>
      <c r="BD1558" s="1"/>
      <c r="BE1558" s="1"/>
      <c r="BF1558" s="1"/>
      <c r="BG1558" s="1"/>
      <c r="BH1558" s="1"/>
      <c r="BI1558" s="1"/>
      <c r="BJ1558" s="1" t="s">
        <v>3326</v>
      </c>
      <c r="BK1558" s="1"/>
      <c r="BL1558" s="1"/>
      <c r="BM1558" s="1" t="s">
        <v>17652</v>
      </c>
      <c r="BN1558" s="1">
        <v>8</v>
      </c>
      <c r="BO1558" s="1"/>
      <c r="BP1558" s="1" t="str">
        <f>HYPERLINK("https://nconnect.nicmar.ac.in/storage/profile/ProfilePhoto_P25702110_367925.jpg","Download")</f>
        <v>0</v>
      </c>
      <c r="BQ1558" s="3"/>
      <c r="BR1558" s="3"/>
    </row>
    <row r="1559" spans="1:70">
      <c r="A1559" s="1" t="s">
        <v>14387</v>
      </c>
      <c r="B1559" s="1" t="s">
        <v>441</v>
      </c>
      <c r="C1559" s="1" t="s">
        <v>17653</v>
      </c>
      <c r="D1559" s="1" t="s">
        <v>11633</v>
      </c>
      <c r="E1559" s="1"/>
      <c r="F1559" s="1" t="s">
        <v>17654</v>
      </c>
      <c r="G1559" s="1" t="s">
        <v>17655</v>
      </c>
      <c r="H1559" s="1" t="s">
        <v>17656</v>
      </c>
      <c r="I1559" s="1" t="s">
        <v>17657</v>
      </c>
      <c r="J1559" s="1">
        <v>8839030791</v>
      </c>
      <c r="K1559" s="1" t="s">
        <v>79</v>
      </c>
      <c r="L1559" s="1" t="s">
        <v>17658</v>
      </c>
      <c r="M1559" s="1" t="s">
        <v>81</v>
      </c>
      <c r="N1559" s="1" t="s">
        <v>1140</v>
      </c>
      <c r="O1559" s="1" t="s">
        <v>17659</v>
      </c>
      <c r="P1559" s="1" t="s">
        <v>450</v>
      </c>
      <c r="Q1559" s="1" t="s">
        <v>17660</v>
      </c>
      <c r="R1559" s="1" t="s">
        <v>17661</v>
      </c>
      <c r="S1559" s="1">
        <v>8120004624</v>
      </c>
      <c r="T1559" s="1" t="s">
        <v>17662</v>
      </c>
      <c r="U1559" s="1" t="s">
        <v>17663</v>
      </c>
      <c r="V1559" s="1">
        <v>9406022079</v>
      </c>
      <c r="W1559" s="1" t="s">
        <v>2384</v>
      </c>
      <c r="X1559" s="1" t="s">
        <v>17664</v>
      </c>
      <c r="Y1559" s="1" t="s">
        <v>5339</v>
      </c>
      <c r="Z1559" s="1" t="s">
        <v>2955</v>
      </c>
      <c r="AA1559" s="1" t="s">
        <v>17664</v>
      </c>
      <c r="AB1559" s="1" t="s">
        <v>5339</v>
      </c>
      <c r="AC1559" s="1" t="s">
        <v>2955</v>
      </c>
      <c r="AD1559" s="1">
        <v>9.53</v>
      </c>
      <c r="AE1559" s="1" t="s">
        <v>93</v>
      </c>
      <c r="AF1559" s="1" t="s">
        <v>17665</v>
      </c>
      <c r="AG1559" s="1" t="s">
        <v>9487</v>
      </c>
      <c r="AH1559" s="1" t="s">
        <v>689</v>
      </c>
      <c r="AI1559" s="1" t="s">
        <v>166</v>
      </c>
      <c r="AJ1559" s="1">
        <v>85.2</v>
      </c>
      <c r="AK1559" s="1">
        <v>0</v>
      </c>
      <c r="AL1559" s="1" t="s">
        <v>17665</v>
      </c>
      <c r="AM1559" s="1" t="s">
        <v>9487</v>
      </c>
      <c r="AN1559" s="1" t="s">
        <v>537</v>
      </c>
      <c r="AO1559" s="1" t="s">
        <v>173</v>
      </c>
      <c r="AP1559" s="1">
        <v>93.2</v>
      </c>
      <c r="AQ1559" s="1">
        <v>0</v>
      </c>
      <c r="AR1559" s="1"/>
      <c r="AS1559" s="1"/>
      <c r="AT1559" s="1"/>
      <c r="AU1559" s="1"/>
      <c r="AV1559" s="1"/>
      <c r="AW1559" s="1"/>
      <c r="AX1559" s="1" t="s">
        <v>361</v>
      </c>
      <c r="AY1559" s="1" t="s">
        <v>17666</v>
      </c>
      <c r="AZ1559" s="1" t="s">
        <v>1019</v>
      </c>
      <c r="BA1559" s="1" t="s">
        <v>829</v>
      </c>
      <c r="BB1559" s="1">
        <v>67.37</v>
      </c>
      <c r="BC1559" s="1">
        <v>7.57</v>
      </c>
      <c r="BD1559" s="1"/>
      <c r="BE1559" s="1"/>
      <c r="BF1559" s="1"/>
      <c r="BG1559" s="1"/>
      <c r="BH1559" s="1"/>
      <c r="BI1559" s="1"/>
      <c r="BJ1559" s="1" t="s">
        <v>17667</v>
      </c>
      <c r="BK1559" s="1"/>
      <c r="BL1559" s="1"/>
      <c r="BM1559" s="1" t="s">
        <v>17668</v>
      </c>
      <c r="BN1559" s="1">
        <v>35</v>
      </c>
      <c r="BO1559" s="1"/>
      <c r="BP1559" s="1" t="str">
        <f>HYPERLINK("https://nconnect.nicmar.ac.in/storage/profile/ProfilePhoto_P25702111_231964.jpg","Download")</f>
        <v>0</v>
      </c>
      <c r="BQ1559" s="3"/>
      <c r="BR1559" s="3"/>
    </row>
    <row r="1560" spans="1:70">
      <c r="A1560" s="1" t="s">
        <v>14387</v>
      </c>
      <c r="B1560" s="1" t="s">
        <v>441</v>
      </c>
      <c r="C1560" s="1" t="s">
        <v>17669</v>
      </c>
      <c r="D1560" s="1" t="s">
        <v>17670</v>
      </c>
      <c r="E1560" s="1"/>
      <c r="F1560" s="1" t="s">
        <v>17671</v>
      </c>
      <c r="G1560" s="1" t="s">
        <v>17672</v>
      </c>
      <c r="H1560" s="1" t="s">
        <v>17673</v>
      </c>
      <c r="I1560" s="1" t="s">
        <v>17674</v>
      </c>
      <c r="J1560" s="1">
        <v>7057577135</v>
      </c>
      <c r="K1560" s="1" t="s">
        <v>148</v>
      </c>
      <c r="L1560" s="1" t="s">
        <v>373</v>
      </c>
      <c r="M1560" s="1" t="s">
        <v>81</v>
      </c>
      <c r="N1560" s="1" t="s">
        <v>1140</v>
      </c>
      <c r="O1560" s="1" t="s">
        <v>6178</v>
      </c>
      <c r="P1560" s="1" t="s">
        <v>214</v>
      </c>
      <c r="Q1560" s="1" t="s">
        <v>17675</v>
      </c>
      <c r="R1560" s="1" t="s">
        <v>17676</v>
      </c>
      <c r="S1560" s="1">
        <v>9049235887</v>
      </c>
      <c r="T1560" s="1" t="s">
        <v>1472</v>
      </c>
      <c r="U1560" s="1" t="s">
        <v>17677</v>
      </c>
      <c r="V1560" s="1">
        <v>9604932811</v>
      </c>
      <c r="W1560" s="1" t="s">
        <v>531</v>
      </c>
      <c r="X1560" s="1" t="s">
        <v>17678</v>
      </c>
      <c r="Y1560" s="1" t="s">
        <v>405</v>
      </c>
      <c r="Z1560" s="1" t="s">
        <v>92</v>
      </c>
      <c r="AA1560" s="1" t="s">
        <v>17678</v>
      </c>
      <c r="AB1560" s="1" t="s">
        <v>405</v>
      </c>
      <c r="AC1560" s="1" t="s">
        <v>92</v>
      </c>
      <c r="AD1560" s="1">
        <v>8.13</v>
      </c>
      <c r="AE1560" s="1" t="s">
        <v>93</v>
      </c>
      <c r="AF1560" s="1" t="s">
        <v>17679</v>
      </c>
      <c r="AG1560" s="1" t="s">
        <v>160</v>
      </c>
      <c r="AH1560" s="1" t="s">
        <v>161</v>
      </c>
      <c r="AI1560" s="1" t="s">
        <v>1089</v>
      </c>
      <c r="AJ1560" s="1">
        <v>91.4</v>
      </c>
      <c r="AK1560" s="1"/>
      <c r="AL1560" s="1" t="s">
        <v>17680</v>
      </c>
      <c r="AM1560" s="1" t="s">
        <v>160</v>
      </c>
      <c r="AN1560" s="1" t="s">
        <v>162</v>
      </c>
      <c r="AO1560" s="1" t="s">
        <v>1455</v>
      </c>
      <c r="AP1560" s="1">
        <v>72.77</v>
      </c>
      <c r="AQ1560" s="1"/>
      <c r="AR1560" s="1"/>
      <c r="AS1560" s="1"/>
      <c r="AT1560" s="1"/>
      <c r="AU1560" s="1"/>
      <c r="AV1560" s="1"/>
      <c r="AW1560" s="1"/>
      <c r="AX1560" s="1" t="s">
        <v>976</v>
      </c>
      <c r="AY1560" s="1" t="s">
        <v>10590</v>
      </c>
      <c r="AZ1560" s="1" t="s">
        <v>169</v>
      </c>
      <c r="BA1560" s="1" t="s">
        <v>829</v>
      </c>
      <c r="BB1560" s="1">
        <v>60.5</v>
      </c>
      <c r="BC1560" s="1">
        <v>6.8</v>
      </c>
      <c r="BD1560" s="1"/>
      <c r="BE1560" s="1"/>
      <c r="BF1560" s="1"/>
      <c r="BG1560" s="1"/>
      <c r="BH1560" s="1"/>
      <c r="BI1560" s="1"/>
      <c r="BJ1560" s="1" t="s">
        <v>17681</v>
      </c>
      <c r="BK1560" s="1"/>
      <c r="BL1560" s="1"/>
      <c r="BM1560" s="1" t="s">
        <v>17682</v>
      </c>
      <c r="BN1560" s="1">
        <v>42</v>
      </c>
      <c r="BO1560" s="1" t="s">
        <v>17683</v>
      </c>
      <c r="BP1560" s="1" t="str">
        <f>HYPERLINK("https://nconnect.nicmar.ac.in/storage/profile/ProfilePhoto_P25702113_891347.jpg","Download")</f>
        <v>0</v>
      </c>
      <c r="BQ1560" s="3"/>
      <c r="BR1560" s="3"/>
    </row>
    <row r="1561" spans="1:70">
      <c r="A1561" s="1" t="s">
        <v>14387</v>
      </c>
      <c r="B1561" s="1" t="s">
        <v>441</v>
      </c>
      <c r="C1561" s="1" t="s">
        <v>17684</v>
      </c>
      <c r="D1561" s="1" t="s">
        <v>4930</v>
      </c>
      <c r="E1561" s="1"/>
      <c r="F1561" s="1" t="s">
        <v>17685</v>
      </c>
      <c r="G1561" s="1" t="s">
        <v>17686</v>
      </c>
      <c r="H1561" s="1" t="s">
        <v>17687</v>
      </c>
      <c r="I1561" s="1" t="s">
        <v>17688</v>
      </c>
      <c r="J1561" s="1">
        <v>7073096373</v>
      </c>
      <c r="K1561" s="1" t="s">
        <v>148</v>
      </c>
      <c r="L1561" s="1" t="s">
        <v>17689</v>
      </c>
      <c r="M1561" s="1" t="s">
        <v>81</v>
      </c>
      <c r="N1561" s="1" t="s">
        <v>350</v>
      </c>
      <c r="O1561" s="1"/>
      <c r="P1561" s="1" t="s">
        <v>472</v>
      </c>
      <c r="Q1561" s="1" t="s">
        <v>17690</v>
      </c>
      <c r="R1561" s="1" t="s">
        <v>17691</v>
      </c>
      <c r="S1561" s="1">
        <v>8101515687</v>
      </c>
      <c r="T1561" s="1" t="s">
        <v>906</v>
      </c>
      <c r="U1561" s="1" t="s">
        <v>17692</v>
      </c>
      <c r="V1561" s="1">
        <v>9933444303</v>
      </c>
      <c r="W1561" s="1" t="s">
        <v>156</v>
      </c>
      <c r="X1561" s="1" t="s">
        <v>17693</v>
      </c>
      <c r="Y1561" s="1" t="s">
        <v>17694</v>
      </c>
      <c r="Z1561" s="1" t="s">
        <v>1211</v>
      </c>
      <c r="AA1561" s="1" t="s">
        <v>17693</v>
      </c>
      <c r="AB1561" s="1" t="s">
        <v>17694</v>
      </c>
      <c r="AC1561" s="1" t="s">
        <v>1211</v>
      </c>
      <c r="AD1561" s="1">
        <v>8.5</v>
      </c>
      <c r="AE1561" s="1" t="s">
        <v>93</v>
      </c>
      <c r="AF1561" s="1" t="s">
        <v>17695</v>
      </c>
      <c r="AG1561" s="1" t="s">
        <v>17696</v>
      </c>
      <c r="AH1561" s="1" t="s">
        <v>1191</v>
      </c>
      <c r="AI1561" s="1" t="s">
        <v>614</v>
      </c>
      <c r="AJ1561" s="1">
        <v>87.4</v>
      </c>
      <c r="AK1561" s="1"/>
      <c r="AL1561" s="1" t="s">
        <v>17697</v>
      </c>
      <c r="AM1561" s="1" t="s">
        <v>10442</v>
      </c>
      <c r="AN1561" s="1" t="s">
        <v>279</v>
      </c>
      <c r="AO1561" s="1" t="s">
        <v>166</v>
      </c>
      <c r="AP1561" s="1">
        <v>61.2</v>
      </c>
      <c r="AQ1561" s="1">
        <v>6.44</v>
      </c>
      <c r="AR1561" s="1"/>
      <c r="AS1561" s="1"/>
      <c r="AT1561" s="1"/>
      <c r="AU1561" s="1"/>
      <c r="AV1561" s="1"/>
      <c r="AW1561" s="1"/>
      <c r="AX1561" s="1" t="s">
        <v>17698</v>
      </c>
      <c r="AY1561" s="1" t="s">
        <v>17699</v>
      </c>
      <c r="AZ1561" s="1" t="s">
        <v>1043</v>
      </c>
      <c r="BA1561" s="1" t="s">
        <v>9507</v>
      </c>
      <c r="BB1561" s="1">
        <v>69.5</v>
      </c>
      <c r="BC1561" s="1">
        <v>7.45</v>
      </c>
      <c r="BD1561" s="1"/>
      <c r="BE1561" s="1"/>
      <c r="BF1561" s="1"/>
      <c r="BG1561" s="1"/>
      <c r="BH1561" s="1"/>
      <c r="BI1561" s="1"/>
      <c r="BJ1561" s="1" t="s">
        <v>17700</v>
      </c>
      <c r="BK1561" s="1" t="s">
        <v>17701</v>
      </c>
      <c r="BL1561" s="1" t="s">
        <v>2215</v>
      </c>
      <c r="BM1561" s="1" t="s">
        <v>17702</v>
      </c>
      <c r="BN1561" s="1">
        <v>22</v>
      </c>
      <c r="BO1561" s="1"/>
      <c r="BP1561" s="1" t="str">
        <f>HYPERLINK("https://nconnect.nicmar.ac.in/storage/profile/ProfilePhoto_P25702114_395268.jpg","Download")</f>
        <v>0</v>
      </c>
      <c r="BQ1561" s="3"/>
      <c r="BR1561" s="3"/>
    </row>
    <row r="1562" spans="1:70">
      <c r="A1562" s="1" t="s">
        <v>14387</v>
      </c>
      <c r="B1562" s="1" t="s">
        <v>441</v>
      </c>
      <c r="C1562" s="1" t="s">
        <v>17703</v>
      </c>
      <c r="D1562" s="1" t="s">
        <v>17704</v>
      </c>
      <c r="E1562" s="1"/>
      <c r="F1562" s="1" t="s">
        <v>17705</v>
      </c>
      <c r="G1562" s="1" t="s">
        <v>17706</v>
      </c>
      <c r="H1562" s="1" t="s">
        <v>17707</v>
      </c>
      <c r="I1562" s="1" t="s">
        <v>17708</v>
      </c>
      <c r="J1562" s="1">
        <v>7899368440</v>
      </c>
      <c r="K1562" s="1" t="s">
        <v>79</v>
      </c>
      <c r="L1562" s="1" t="s">
        <v>17709</v>
      </c>
      <c r="M1562" s="1" t="s">
        <v>81</v>
      </c>
      <c r="N1562" s="1" t="s">
        <v>4493</v>
      </c>
      <c r="O1562" s="1"/>
      <c r="P1562" s="1" t="s">
        <v>450</v>
      </c>
      <c r="Q1562" s="1" t="s">
        <v>17710</v>
      </c>
      <c r="R1562" s="1" t="s">
        <v>17711</v>
      </c>
      <c r="S1562" s="1">
        <v>8904003701</v>
      </c>
      <c r="T1562" s="1" t="s">
        <v>271</v>
      </c>
      <c r="U1562" s="1" t="s">
        <v>17712</v>
      </c>
      <c r="V1562" s="1">
        <v>9148084701</v>
      </c>
      <c r="W1562" s="1" t="s">
        <v>271</v>
      </c>
      <c r="X1562" s="1" t="s">
        <v>17713</v>
      </c>
      <c r="Y1562" s="1" t="s">
        <v>3151</v>
      </c>
      <c r="Z1562" s="1" t="s">
        <v>1187</v>
      </c>
      <c r="AA1562" s="1" t="s">
        <v>17713</v>
      </c>
      <c r="AB1562" s="1" t="s">
        <v>3151</v>
      </c>
      <c r="AC1562" s="1" t="s">
        <v>1187</v>
      </c>
      <c r="AD1562" s="1">
        <v>8.11</v>
      </c>
      <c r="AE1562" s="1" t="s">
        <v>93</v>
      </c>
      <c r="AF1562" s="1" t="s">
        <v>17714</v>
      </c>
      <c r="AG1562" s="1" t="s">
        <v>17715</v>
      </c>
      <c r="AH1562" s="1" t="s">
        <v>337</v>
      </c>
      <c r="AI1562" s="1" t="s">
        <v>279</v>
      </c>
      <c r="AJ1562" s="1">
        <v>87.4</v>
      </c>
      <c r="AK1562" s="1">
        <v>9.2</v>
      </c>
      <c r="AL1562" s="1" t="s">
        <v>17716</v>
      </c>
      <c r="AM1562" s="1" t="s">
        <v>17717</v>
      </c>
      <c r="AN1562" s="1" t="s">
        <v>225</v>
      </c>
      <c r="AO1562" s="1" t="s">
        <v>169</v>
      </c>
      <c r="AP1562" s="1">
        <v>62</v>
      </c>
      <c r="AQ1562" s="1"/>
      <c r="AR1562" s="1"/>
      <c r="AS1562" s="1"/>
      <c r="AT1562" s="1"/>
      <c r="AU1562" s="1"/>
      <c r="AV1562" s="1"/>
      <c r="AW1562" s="1"/>
      <c r="AX1562" s="1" t="s">
        <v>2625</v>
      </c>
      <c r="AY1562" s="1" t="s">
        <v>17718</v>
      </c>
      <c r="AZ1562" s="1" t="s">
        <v>1043</v>
      </c>
      <c r="BA1562" s="1" t="s">
        <v>935</v>
      </c>
      <c r="BB1562" s="1">
        <v>57.3</v>
      </c>
      <c r="BC1562" s="1">
        <v>5.73</v>
      </c>
      <c r="BD1562" s="1"/>
      <c r="BE1562" s="1"/>
      <c r="BF1562" s="1"/>
      <c r="BG1562" s="1"/>
      <c r="BH1562" s="1"/>
      <c r="BI1562" s="1"/>
      <c r="BJ1562" s="1" t="s">
        <v>17719</v>
      </c>
      <c r="BK1562" s="1" t="s">
        <v>17720</v>
      </c>
      <c r="BL1562" s="1" t="s">
        <v>1540</v>
      </c>
      <c r="BM1562" s="1" t="s">
        <v>17721</v>
      </c>
      <c r="BN1562" s="1">
        <v>26</v>
      </c>
      <c r="BO1562" s="1" t="s">
        <v>17722</v>
      </c>
      <c r="BP1562" s="1" t="str">
        <f>HYPERLINK("https://nconnect.nicmar.ac.in/storage/profile/ProfilePhoto_P25702115_316582.jpg","Download")</f>
        <v>0</v>
      </c>
      <c r="BQ1562" s="3"/>
      <c r="BR1562" s="3"/>
    </row>
    <row r="1563" spans="1:70">
      <c r="A1563" s="1" t="s">
        <v>14387</v>
      </c>
      <c r="B1563" s="1" t="s">
        <v>441</v>
      </c>
      <c r="C1563" s="1" t="s">
        <v>17723</v>
      </c>
      <c r="D1563" s="1" t="s">
        <v>1744</v>
      </c>
      <c r="E1563" s="1" t="s">
        <v>2071</v>
      </c>
      <c r="F1563" s="1" t="s">
        <v>15656</v>
      </c>
      <c r="G1563" s="1" t="s">
        <v>17724</v>
      </c>
      <c r="H1563" s="1" t="s">
        <v>17725</v>
      </c>
      <c r="I1563" s="1" t="s">
        <v>17726</v>
      </c>
      <c r="J1563" s="1">
        <v>8379986813</v>
      </c>
      <c r="K1563" s="1" t="s">
        <v>79</v>
      </c>
      <c r="L1563" s="1" t="s">
        <v>15800</v>
      </c>
      <c r="M1563" s="1" t="s">
        <v>81</v>
      </c>
      <c r="N1563" s="1" t="s">
        <v>1140</v>
      </c>
      <c r="O1563" s="1"/>
      <c r="P1563" s="1" t="s">
        <v>450</v>
      </c>
      <c r="Q1563" s="1" t="s">
        <v>17727</v>
      </c>
      <c r="R1563" s="1" t="s">
        <v>17728</v>
      </c>
      <c r="S1563" s="1">
        <v>9420333127</v>
      </c>
      <c r="T1563" s="1" t="s">
        <v>17729</v>
      </c>
      <c r="U1563" s="1" t="s">
        <v>17730</v>
      </c>
      <c r="V1563" s="1">
        <v>9146896804</v>
      </c>
      <c r="W1563" s="1" t="s">
        <v>89</v>
      </c>
      <c r="X1563" s="1" t="s">
        <v>17731</v>
      </c>
      <c r="Y1563" s="1" t="s">
        <v>429</v>
      </c>
      <c r="Z1563" s="1" t="s">
        <v>92</v>
      </c>
      <c r="AA1563" s="1" t="s">
        <v>17731</v>
      </c>
      <c r="AB1563" s="1" t="s">
        <v>429</v>
      </c>
      <c r="AC1563" s="1" t="s">
        <v>92</v>
      </c>
      <c r="AD1563" s="1">
        <v>8.24</v>
      </c>
      <c r="AE1563" s="1" t="s">
        <v>93</v>
      </c>
      <c r="AF1563" s="1" t="s">
        <v>17732</v>
      </c>
      <c r="AG1563" s="1" t="s">
        <v>307</v>
      </c>
      <c r="AH1563" s="1" t="s">
        <v>165</v>
      </c>
      <c r="AI1563" s="1" t="s">
        <v>166</v>
      </c>
      <c r="AJ1563" s="1">
        <v>84.3</v>
      </c>
      <c r="AK1563" s="1"/>
      <c r="AL1563" s="1" t="s">
        <v>17733</v>
      </c>
      <c r="AM1563" s="1" t="s">
        <v>1942</v>
      </c>
      <c r="AN1563" s="1" t="s">
        <v>101</v>
      </c>
      <c r="AO1563" s="1" t="s">
        <v>360</v>
      </c>
      <c r="AP1563" s="1">
        <v>66.62</v>
      </c>
      <c r="AQ1563" s="1"/>
      <c r="AR1563" s="1"/>
      <c r="AS1563" s="1"/>
      <c r="AT1563" s="1"/>
      <c r="AU1563" s="1"/>
      <c r="AV1563" s="1"/>
      <c r="AW1563" s="1"/>
      <c r="AX1563" s="1" t="s">
        <v>361</v>
      </c>
      <c r="AY1563" s="1" t="s">
        <v>8066</v>
      </c>
      <c r="AZ1563" s="1" t="s">
        <v>173</v>
      </c>
      <c r="BA1563" s="1" t="s">
        <v>413</v>
      </c>
      <c r="BB1563" s="1">
        <v>76.45</v>
      </c>
      <c r="BC1563" s="1">
        <v>8.6</v>
      </c>
      <c r="BD1563" s="1"/>
      <c r="BE1563" s="1"/>
      <c r="BF1563" s="1"/>
      <c r="BG1563" s="1"/>
      <c r="BH1563" s="1"/>
      <c r="BI1563" s="1"/>
      <c r="BJ1563" s="1" t="s">
        <v>3326</v>
      </c>
      <c r="BK1563" s="1"/>
      <c r="BL1563" s="1"/>
      <c r="BM1563" s="1" t="s">
        <v>17734</v>
      </c>
      <c r="BN1563" s="1">
        <v>9</v>
      </c>
      <c r="BO1563" s="1"/>
      <c r="BP1563" s="1" t="str">
        <f>HYPERLINK("https://nconnect.nicmar.ac.in/storage/profile/ProfilePhoto_P25702116_867945.jpg","Download")</f>
        <v>0</v>
      </c>
      <c r="BQ1563" s="3"/>
      <c r="BR1563" s="3"/>
    </row>
    <row r="1564" spans="1:70">
      <c r="A1564" s="1" t="s">
        <v>14387</v>
      </c>
      <c r="B1564" s="1" t="s">
        <v>441</v>
      </c>
      <c r="C1564" s="1" t="s">
        <v>17735</v>
      </c>
      <c r="D1564" s="1" t="s">
        <v>417</v>
      </c>
      <c r="E1564" s="1"/>
      <c r="F1564" s="1" t="s">
        <v>17736</v>
      </c>
      <c r="G1564" s="1" t="s">
        <v>17737</v>
      </c>
      <c r="H1564" s="1" t="s">
        <v>17738</v>
      </c>
      <c r="I1564" s="1" t="s">
        <v>17739</v>
      </c>
      <c r="J1564" s="1">
        <v>9146032642</v>
      </c>
      <c r="K1564" s="1" t="s">
        <v>148</v>
      </c>
      <c r="L1564" s="1" t="s">
        <v>3995</v>
      </c>
      <c r="M1564" s="1" t="s">
        <v>150</v>
      </c>
      <c r="N1564" s="1" t="s">
        <v>17740</v>
      </c>
      <c r="O1564" s="1"/>
      <c r="P1564" s="1" t="s">
        <v>497</v>
      </c>
      <c r="Q1564" s="1" t="s">
        <v>17741</v>
      </c>
      <c r="R1564" s="1" t="s">
        <v>17742</v>
      </c>
      <c r="S1564" s="1">
        <v>9422220793</v>
      </c>
      <c r="T1564" s="1" t="s">
        <v>820</v>
      </c>
      <c r="U1564" s="1" t="s">
        <v>17743</v>
      </c>
      <c r="V1564" s="1">
        <v>7276430246</v>
      </c>
      <c r="W1564" s="1" t="s">
        <v>89</v>
      </c>
      <c r="X1564" s="1" t="s">
        <v>17744</v>
      </c>
      <c r="Y1564" s="1" t="s">
        <v>191</v>
      </c>
      <c r="Z1564" s="1" t="s">
        <v>92</v>
      </c>
      <c r="AA1564" s="1" t="s">
        <v>17744</v>
      </c>
      <c r="AB1564" s="1" t="s">
        <v>191</v>
      </c>
      <c r="AC1564" s="1" t="s">
        <v>92</v>
      </c>
      <c r="AD1564" s="1">
        <v>8.16</v>
      </c>
      <c r="AE1564" s="1" t="s">
        <v>93</v>
      </c>
      <c r="AF1564" s="1" t="s">
        <v>17745</v>
      </c>
      <c r="AG1564" s="1" t="s">
        <v>307</v>
      </c>
      <c r="AH1564" s="1" t="s">
        <v>13742</v>
      </c>
      <c r="AI1564" s="1" t="s">
        <v>165</v>
      </c>
      <c r="AJ1564" s="1">
        <v>83.6</v>
      </c>
      <c r="AK1564" s="1">
        <v>8.8</v>
      </c>
      <c r="AL1564" s="1" t="s">
        <v>17746</v>
      </c>
      <c r="AM1564" s="1" t="s">
        <v>160</v>
      </c>
      <c r="AN1564" s="1" t="s">
        <v>383</v>
      </c>
      <c r="AO1564" s="1" t="s">
        <v>308</v>
      </c>
      <c r="AP1564" s="1">
        <v>70</v>
      </c>
      <c r="AQ1564" s="1">
        <v>7.37</v>
      </c>
      <c r="AR1564" s="1"/>
      <c r="AS1564" s="1"/>
      <c r="AT1564" s="1"/>
      <c r="AU1564" s="1"/>
      <c r="AV1564" s="1"/>
      <c r="AW1564" s="1"/>
      <c r="AX1564" s="1" t="s">
        <v>361</v>
      </c>
      <c r="AY1564" s="1" t="s">
        <v>17747</v>
      </c>
      <c r="AZ1564" s="1" t="s">
        <v>201</v>
      </c>
      <c r="BA1564" s="1" t="s">
        <v>202</v>
      </c>
      <c r="BB1564" s="1">
        <v>64.79</v>
      </c>
      <c r="BC1564" s="1">
        <v>7.28</v>
      </c>
      <c r="BD1564" s="1"/>
      <c r="BE1564" s="1"/>
      <c r="BF1564" s="1"/>
      <c r="BG1564" s="1"/>
      <c r="BH1564" s="1"/>
      <c r="BI1564" s="1"/>
      <c r="BJ1564" s="1" t="s">
        <v>17748</v>
      </c>
      <c r="BK1564" s="1" t="s">
        <v>17749</v>
      </c>
      <c r="BL1564" s="1" t="s">
        <v>2066</v>
      </c>
      <c r="BM1564" s="1" t="s">
        <v>17750</v>
      </c>
      <c r="BN1564" s="1">
        <v>29</v>
      </c>
      <c r="BO1564" s="1"/>
      <c r="BP1564" s="1" t="str">
        <f>HYPERLINK("https://nconnect.nicmar.ac.in/storage/profile/ProfilePhoto_P25702117_738624.jpg","Download")</f>
        <v>0</v>
      </c>
      <c r="BQ1564" s="3"/>
      <c r="BR1564" s="3"/>
    </row>
    <row r="1565" spans="1:70">
      <c r="A1565" s="1" t="s">
        <v>14387</v>
      </c>
      <c r="B1565" s="1" t="s">
        <v>441</v>
      </c>
      <c r="C1565" s="1" t="s">
        <v>17751</v>
      </c>
      <c r="D1565" s="1" t="s">
        <v>17752</v>
      </c>
      <c r="E1565" s="1" t="s">
        <v>9129</v>
      </c>
      <c r="F1565" s="1" t="s">
        <v>5350</v>
      </c>
      <c r="G1565" s="1" t="s">
        <v>17753</v>
      </c>
      <c r="H1565" s="1" t="s">
        <v>17754</v>
      </c>
      <c r="I1565" s="1" t="s">
        <v>17755</v>
      </c>
      <c r="J1565" s="1">
        <v>9022661537</v>
      </c>
      <c r="K1565" s="1" t="s">
        <v>79</v>
      </c>
      <c r="L1565" s="1" t="s">
        <v>17756</v>
      </c>
      <c r="M1565" s="1" t="s">
        <v>81</v>
      </c>
      <c r="N1565" s="1" t="s">
        <v>1140</v>
      </c>
      <c r="O1565" s="1"/>
      <c r="P1565" s="1" t="s">
        <v>497</v>
      </c>
      <c r="Q1565" s="1" t="s">
        <v>17757</v>
      </c>
      <c r="R1565" s="1" t="s">
        <v>9129</v>
      </c>
      <c r="S1565" s="1">
        <v>9146029745</v>
      </c>
      <c r="T1565" s="1" t="s">
        <v>632</v>
      </c>
      <c r="U1565" s="1" t="s">
        <v>17758</v>
      </c>
      <c r="V1565" s="1">
        <v>9359001993</v>
      </c>
      <c r="W1565" s="1" t="s">
        <v>632</v>
      </c>
      <c r="X1565" s="1" t="s">
        <v>17759</v>
      </c>
      <c r="Y1565" s="1" t="s">
        <v>405</v>
      </c>
      <c r="Z1565" s="1" t="s">
        <v>92</v>
      </c>
      <c r="AA1565" s="1" t="s">
        <v>17759</v>
      </c>
      <c r="AB1565" s="1" t="s">
        <v>405</v>
      </c>
      <c r="AC1565" s="1" t="s">
        <v>92</v>
      </c>
      <c r="AD1565" s="1" t="s">
        <v>93</v>
      </c>
      <c r="AE1565" s="1" t="s">
        <v>93</v>
      </c>
      <c r="AF1565" s="1" t="s">
        <v>17760</v>
      </c>
      <c r="AG1565" s="1" t="s">
        <v>160</v>
      </c>
      <c r="AH1565" s="1" t="s">
        <v>101</v>
      </c>
      <c r="AI1565" s="1" t="s">
        <v>409</v>
      </c>
      <c r="AJ1565" s="1">
        <v>79</v>
      </c>
      <c r="AK1565" s="1"/>
      <c r="AL1565" s="1"/>
      <c r="AM1565" s="1"/>
      <c r="AN1565" s="1"/>
      <c r="AO1565" s="1"/>
      <c r="AP1565" s="1"/>
      <c r="AQ1565" s="1"/>
      <c r="AR1565" s="1" t="s">
        <v>17761</v>
      </c>
      <c r="AS1565" s="1" t="s">
        <v>17762</v>
      </c>
      <c r="AT1565" s="1" t="s">
        <v>433</v>
      </c>
      <c r="AU1565" s="1" t="s">
        <v>105</v>
      </c>
      <c r="AV1565" s="1">
        <v>80.21</v>
      </c>
      <c r="AW1565" s="1"/>
      <c r="AX1565" s="1" t="s">
        <v>410</v>
      </c>
      <c r="AY1565" s="1" t="s">
        <v>17763</v>
      </c>
      <c r="AZ1565" s="1" t="s">
        <v>1864</v>
      </c>
      <c r="BA1565" s="1" t="s">
        <v>1379</v>
      </c>
      <c r="BB1565" s="1">
        <v>59.7</v>
      </c>
      <c r="BC1565" s="1">
        <v>6.67</v>
      </c>
      <c r="BD1565" s="1"/>
      <c r="BE1565" s="1"/>
      <c r="BF1565" s="1"/>
      <c r="BG1565" s="1"/>
      <c r="BH1565" s="1"/>
      <c r="BI1565" s="1"/>
      <c r="BJ1565" s="1" t="s">
        <v>3526</v>
      </c>
      <c r="BK1565" s="1"/>
      <c r="BL1565" s="1"/>
      <c r="BM1565" s="1" t="s">
        <v>17764</v>
      </c>
      <c r="BN1565" s="1">
        <v>8</v>
      </c>
      <c r="BO1565" s="1"/>
      <c r="BP1565" s="1" t="str">
        <f>HYPERLINK("https://nconnect.nicmar.ac.in/storage/profile/ProfilePhoto_P25702119_651389.jpg","Download")</f>
        <v>0</v>
      </c>
      <c r="BQ1565" s="3"/>
      <c r="BR1565" s="3"/>
    </row>
    <row r="1566" spans="1:70">
      <c r="A1566" s="1" t="s">
        <v>14387</v>
      </c>
      <c r="B1566" s="1" t="s">
        <v>441</v>
      </c>
      <c r="C1566" s="1" t="s">
        <v>17765</v>
      </c>
      <c r="D1566" s="1" t="s">
        <v>17766</v>
      </c>
      <c r="E1566" s="1"/>
      <c r="F1566" s="1" t="s">
        <v>2220</v>
      </c>
      <c r="G1566" s="1" t="s">
        <v>17767</v>
      </c>
      <c r="H1566" s="1" t="s">
        <v>17768</v>
      </c>
      <c r="I1566" s="1" t="s">
        <v>17769</v>
      </c>
      <c r="J1566" s="1">
        <v>7000302186</v>
      </c>
      <c r="K1566" s="1" t="s">
        <v>148</v>
      </c>
      <c r="L1566" s="1" t="s">
        <v>17770</v>
      </c>
      <c r="M1566" s="1" t="s">
        <v>81</v>
      </c>
      <c r="N1566" s="1" t="s">
        <v>241</v>
      </c>
      <c r="O1566" s="1" t="s">
        <v>17771</v>
      </c>
      <c r="P1566" s="1" t="s">
        <v>497</v>
      </c>
      <c r="Q1566" s="1" t="s">
        <v>17772</v>
      </c>
      <c r="R1566" s="1" t="s">
        <v>9202</v>
      </c>
      <c r="S1566" s="1">
        <v>9425311503</v>
      </c>
      <c r="T1566" s="1" t="s">
        <v>17773</v>
      </c>
      <c r="U1566" s="1" t="s">
        <v>17774</v>
      </c>
      <c r="V1566" s="1">
        <v>9039344720</v>
      </c>
      <c r="W1566" s="1" t="s">
        <v>1234</v>
      </c>
      <c r="X1566" s="1" t="s">
        <v>17775</v>
      </c>
      <c r="Y1566" s="1" t="s">
        <v>5645</v>
      </c>
      <c r="Z1566" s="1" t="s">
        <v>3437</v>
      </c>
      <c r="AA1566" s="1" t="s">
        <v>17775</v>
      </c>
      <c r="AB1566" s="1" t="s">
        <v>5645</v>
      </c>
      <c r="AC1566" s="1" t="s">
        <v>3437</v>
      </c>
      <c r="AD1566" s="1">
        <v>9.55</v>
      </c>
      <c r="AE1566" s="1" t="s">
        <v>93</v>
      </c>
      <c r="AF1566" s="1" t="s">
        <v>17776</v>
      </c>
      <c r="AG1566" s="1" t="s">
        <v>307</v>
      </c>
      <c r="AH1566" s="1" t="s">
        <v>279</v>
      </c>
      <c r="AI1566" s="1" t="s">
        <v>165</v>
      </c>
      <c r="AJ1566" s="1">
        <v>87.4</v>
      </c>
      <c r="AK1566" s="1">
        <v>9.2</v>
      </c>
      <c r="AL1566" s="1" t="s">
        <v>17776</v>
      </c>
      <c r="AM1566" s="1" t="s">
        <v>307</v>
      </c>
      <c r="AN1566" s="1" t="s">
        <v>481</v>
      </c>
      <c r="AO1566" s="1" t="s">
        <v>308</v>
      </c>
      <c r="AP1566" s="1">
        <v>79.4</v>
      </c>
      <c r="AQ1566" s="1">
        <v>0</v>
      </c>
      <c r="AR1566" s="1"/>
      <c r="AS1566" s="1"/>
      <c r="AT1566" s="1"/>
      <c r="AU1566" s="1"/>
      <c r="AV1566" s="1"/>
      <c r="AW1566" s="1"/>
      <c r="AX1566" s="1" t="s">
        <v>17777</v>
      </c>
      <c r="AY1566" s="1" t="s">
        <v>17778</v>
      </c>
      <c r="AZ1566" s="1" t="s">
        <v>310</v>
      </c>
      <c r="BA1566" s="1" t="s">
        <v>2352</v>
      </c>
      <c r="BB1566" s="1">
        <v>82.5</v>
      </c>
      <c r="BC1566" s="1">
        <v>8.25</v>
      </c>
      <c r="BD1566" s="1"/>
      <c r="BE1566" s="1"/>
      <c r="BF1566" s="1"/>
      <c r="BG1566" s="1"/>
      <c r="BH1566" s="1"/>
      <c r="BI1566" s="1"/>
      <c r="BJ1566" s="1" t="s">
        <v>17779</v>
      </c>
      <c r="BK1566" s="1" t="s">
        <v>17780</v>
      </c>
      <c r="BL1566" s="1" t="s">
        <v>2569</v>
      </c>
      <c r="BM1566" s="1" t="s">
        <v>17781</v>
      </c>
      <c r="BN1566" s="1">
        <v>30</v>
      </c>
      <c r="BO1566" s="1"/>
      <c r="BP1566" s="1" t="str">
        <f>HYPERLINK("https://nconnect.nicmar.ac.in/storage/profile/ProfilePhoto_P25702120_279461.jpg","Download")</f>
        <v>0</v>
      </c>
      <c r="BQ1566" s="3"/>
      <c r="BR1566" s="3"/>
    </row>
    <row r="1567" spans="1:70">
      <c r="A1567" s="1" t="s">
        <v>14387</v>
      </c>
      <c r="B1567" s="1" t="s">
        <v>441</v>
      </c>
      <c r="C1567" s="1" t="s">
        <v>17782</v>
      </c>
      <c r="D1567" s="1" t="s">
        <v>17783</v>
      </c>
      <c r="E1567" s="1"/>
      <c r="F1567" s="1" t="s">
        <v>111</v>
      </c>
      <c r="G1567" s="1" t="s">
        <v>17784</v>
      </c>
      <c r="H1567" s="1" t="s">
        <v>17785</v>
      </c>
      <c r="I1567" s="1" t="s">
        <v>17786</v>
      </c>
      <c r="J1567" s="1">
        <v>7559095521</v>
      </c>
      <c r="K1567" s="1" t="s">
        <v>79</v>
      </c>
      <c r="L1567" s="1" t="s">
        <v>17787</v>
      </c>
      <c r="M1567" s="1" t="s">
        <v>81</v>
      </c>
      <c r="N1567" s="1" t="s">
        <v>17788</v>
      </c>
      <c r="O1567" s="1"/>
      <c r="P1567" s="1" t="s">
        <v>450</v>
      </c>
      <c r="Q1567" s="1" t="s">
        <v>17789</v>
      </c>
      <c r="R1567" s="1" t="s">
        <v>17790</v>
      </c>
      <c r="S1567" s="1">
        <v>9562551369</v>
      </c>
      <c r="T1567" s="1" t="s">
        <v>17791</v>
      </c>
      <c r="U1567" s="1" t="s">
        <v>17792</v>
      </c>
      <c r="V1567" s="1">
        <v>9544378971</v>
      </c>
      <c r="W1567" s="1" t="s">
        <v>17793</v>
      </c>
      <c r="X1567" s="1" t="s">
        <v>17794</v>
      </c>
      <c r="Y1567" s="1" t="s">
        <v>4921</v>
      </c>
      <c r="Z1567" s="1" t="s">
        <v>125</v>
      </c>
      <c r="AA1567" s="1" t="s">
        <v>17795</v>
      </c>
      <c r="AB1567" s="1" t="s">
        <v>4921</v>
      </c>
      <c r="AC1567" s="1" t="s">
        <v>125</v>
      </c>
      <c r="AD1567" s="1">
        <v>8.45</v>
      </c>
      <c r="AE1567" s="1" t="s">
        <v>93</v>
      </c>
      <c r="AF1567" s="1" t="s">
        <v>17796</v>
      </c>
      <c r="AG1567" s="1" t="s">
        <v>17797</v>
      </c>
      <c r="AH1567" s="1" t="s">
        <v>162</v>
      </c>
      <c r="AI1567" s="1" t="s">
        <v>562</v>
      </c>
      <c r="AJ1567" s="1">
        <v>90</v>
      </c>
      <c r="AK1567" s="1">
        <v>0</v>
      </c>
      <c r="AL1567" s="1" t="s">
        <v>17798</v>
      </c>
      <c r="AM1567" s="1" t="s">
        <v>17799</v>
      </c>
      <c r="AN1567" s="1" t="s">
        <v>383</v>
      </c>
      <c r="AO1567" s="1" t="s">
        <v>308</v>
      </c>
      <c r="AP1567" s="1">
        <v>93.6</v>
      </c>
      <c r="AQ1567" s="1">
        <v>0</v>
      </c>
      <c r="AR1567" s="1"/>
      <c r="AS1567" s="1"/>
      <c r="AT1567" s="1"/>
      <c r="AU1567" s="1"/>
      <c r="AV1567" s="1"/>
      <c r="AW1567" s="1"/>
      <c r="AX1567" s="1" t="s">
        <v>132</v>
      </c>
      <c r="AY1567" s="1" t="s">
        <v>17800</v>
      </c>
      <c r="AZ1567" s="1" t="s">
        <v>170</v>
      </c>
      <c r="BA1567" s="1" t="s">
        <v>594</v>
      </c>
      <c r="BB1567" s="1">
        <v>78.6</v>
      </c>
      <c r="BC1567" s="1">
        <v>7.86</v>
      </c>
      <c r="BD1567" s="1"/>
      <c r="BE1567" s="1"/>
      <c r="BF1567" s="1"/>
      <c r="BG1567" s="1"/>
      <c r="BH1567" s="1"/>
      <c r="BI1567" s="1"/>
      <c r="BJ1567" s="1" t="s">
        <v>17801</v>
      </c>
      <c r="BK1567" s="1"/>
      <c r="BL1567" s="1"/>
      <c r="BM1567" s="1" t="s">
        <v>17802</v>
      </c>
      <c r="BN1567" s="1">
        <v>39</v>
      </c>
      <c r="BO1567" s="1"/>
      <c r="BP1567" s="1" t="str">
        <f>HYPERLINK("https://nconnect.nicmar.ac.in/storage/profile/ProfilePhoto_P25702121_187593.jpg","Download")</f>
        <v>0</v>
      </c>
      <c r="BQ1567" s="3"/>
      <c r="BR1567" s="3"/>
    </row>
    <row r="1568" spans="1:70">
      <c r="A1568" s="1" t="s">
        <v>14387</v>
      </c>
      <c r="B1568" s="1" t="s">
        <v>441</v>
      </c>
      <c r="C1568" s="1" t="s">
        <v>17803</v>
      </c>
      <c r="D1568" s="1" t="s">
        <v>17804</v>
      </c>
      <c r="E1568" s="1" t="s">
        <v>999</v>
      </c>
      <c r="F1568" s="1" t="s">
        <v>144</v>
      </c>
      <c r="G1568" s="1" t="s">
        <v>17805</v>
      </c>
      <c r="H1568" s="1" t="s">
        <v>17806</v>
      </c>
      <c r="I1568" s="1" t="s">
        <v>17807</v>
      </c>
      <c r="J1568" s="1">
        <v>9075578064</v>
      </c>
      <c r="K1568" s="1" t="s">
        <v>79</v>
      </c>
      <c r="L1568" s="1" t="s">
        <v>1851</v>
      </c>
      <c r="M1568" s="1" t="s">
        <v>81</v>
      </c>
      <c r="N1568" s="1" t="s">
        <v>6087</v>
      </c>
      <c r="O1568" s="1"/>
      <c r="P1568" s="1" t="s">
        <v>656</v>
      </c>
      <c r="Q1568" s="1" t="s">
        <v>17808</v>
      </c>
      <c r="R1568" s="1" t="s">
        <v>144</v>
      </c>
      <c r="S1568" s="1">
        <v>9822768663</v>
      </c>
      <c r="T1568" s="1" t="s">
        <v>820</v>
      </c>
      <c r="U1568" s="1" t="s">
        <v>3019</v>
      </c>
      <c r="V1568" s="1">
        <v>9822768663</v>
      </c>
      <c r="W1568" s="1" t="s">
        <v>156</v>
      </c>
      <c r="X1568" s="1" t="s">
        <v>17809</v>
      </c>
      <c r="Y1568" s="1" t="s">
        <v>191</v>
      </c>
      <c r="Z1568" s="1" t="s">
        <v>92</v>
      </c>
      <c r="AA1568" s="1" t="s">
        <v>17809</v>
      </c>
      <c r="AB1568" s="1" t="s">
        <v>191</v>
      </c>
      <c r="AC1568" s="1" t="s">
        <v>92</v>
      </c>
      <c r="AD1568" s="1">
        <v>8.29</v>
      </c>
      <c r="AE1568" s="1" t="s">
        <v>93</v>
      </c>
      <c r="AF1568" s="1" t="s">
        <v>17810</v>
      </c>
      <c r="AG1568" s="1" t="s">
        <v>17811</v>
      </c>
      <c r="AH1568" s="1" t="s">
        <v>101</v>
      </c>
      <c r="AI1568" s="1" t="s">
        <v>409</v>
      </c>
      <c r="AJ1568" s="1">
        <v>66.6</v>
      </c>
      <c r="AK1568" s="1">
        <v>0</v>
      </c>
      <c r="AL1568" s="1"/>
      <c r="AM1568" s="1"/>
      <c r="AN1568" s="1"/>
      <c r="AO1568" s="1"/>
      <c r="AP1568" s="1"/>
      <c r="AQ1568" s="1"/>
      <c r="AR1568" s="1" t="s">
        <v>98</v>
      </c>
      <c r="AS1568" s="1" t="s">
        <v>17812</v>
      </c>
      <c r="AT1568" s="1" t="s">
        <v>433</v>
      </c>
      <c r="AU1568" s="1" t="s">
        <v>511</v>
      </c>
      <c r="AV1568" s="1">
        <v>79.42</v>
      </c>
      <c r="AW1568" s="1">
        <v>0</v>
      </c>
      <c r="AX1568" s="1" t="s">
        <v>361</v>
      </c>
      <c r="AY1568" s="1" t="s">
        <v>17813</v>
      </c>
      <c r="AZ1568" s="1" t="s">
        <v>284</v>
      </c>
      <c r="BA1568" s="1" t="s">
        <v>829</v>
      </c>
      <c r="BB1568" s="1">
        <v>59.75</v>
      </c>
      <c r="BC1568" s="1">
        <v>6.7</v>
      </c>
      <c r="BD1568" s="1"/>
      <c r="BE1568" s="1"/>
      <c r="BF1568" s="1"/>
      <c r="BG1568" s="1"/>
      <c r="BH1568" s="1"/>
      <c r="BI1568" s="1"/>
      <c r="BJ1568" s="1" t="s">
        <v>14605</v>
      </c>
      <c r="BK1568" s="1"/>
      <c r="BL1568" s="1"/>
      <c r="BM1568" s="1" t="s">
        <v>17814</v>
      </c>
      <c r="BN1568" s="1">
        <v>17</v>
      </c>
      <c r="BO1568" s="1"/>
      <c r="BP1568" s="1" t="str">
        <f>HYPERLINK("https://nconnect.nicmar.ac.in/storage/profile/ProfilePhoto_P25702122_472139.jpg","Download")</f>
        <v>0</v>
      </c>
      <c r="BQ1568" s="3"/>
      <c r="BR1568" s="3"/>
    </row>
    <row r="1569" spans="1:70">
      <c r="A1569" s="1" t="s">
        <v>14387</v>
      </c>
      <c r="B1569" s="1" t="s">
        <v>441</v>
      </c>
      <c r="C1569" s="1" t="s">
        <v>17815</v>
      </c>
      <c r="D1569" s="1" t="s">
        <v>7134</v>
      </c>
      <c r="E1569" s="1"/>
      <c r="F1569" s="1" t="s">
        <v>5994</v>
      </c>
      <c r="G1569" s="1" t="s">
        <v>17816</v>
      </c>
      <c r="H1569" s="1" t="s">
        <v>17817</v>
      </c>
      <c r="I1569" s="1" t="s">
        <v>17818</v>
      </c>
      <c r="J1569" s="1">
        <v>7089106717</v>
      </c>
      <c r="K1569" s="1" t="s">
        <v>79</v>
      </c>
      <c r="L1569" s="1" t="s">
        <v>17819</v>
      </c>
      <c r="M1569" s="1" t="s">
        <v>81</v>
      </c>
      <c r="N1569" s="1" t="s">
        <v>241</v>
      </c>
      <c r="O1569" s="1"/>
      <c r="P1569" s="1" t="s">
        <v>497</v>
      </c>
      <c r="Q1569" s="1" t="s">
        <v>17820</v>
      </c>
      <c r="R1569" s="1" t="s">
        <v>17821</v>
      </c>
      <c r="S1569" s="1">
        <v>7049806717</v>
      </c>
      <c r="T1569" s="1" t="s">
        <v>17822</v>
      </c>
      <c r="U1569" s="1" t="s">
        <v>17823</v>
      </c>
      <c r="V1569" s="1">
        <v>9406834977</v>
      </c>
      <c r="W1569" s="1" t="s">
        <v>273</v>
      </c>
      <c r="X1569" s="1" t="s">
        <v>17824</v>
      </c>
      <c r="Y1569" s="1" t="s">
        <v>5645</v>
      </c>
      <c r="Z1569" s="1" t="s">
        <v>3437</v>
      </c>
      <c r="AA1569" s="1" t="s">
        <v>17824</v>
      </c>
      <c r="AB1569" s="1" t="s">
        <v>5645</v>
      </c>
      <c r="AC1569" s="1" t="s">
        <v>3437</v>
      </c>
      <c r="AD1569" s="1" t="s">
        <v>93</v>
      </c>
      <c r="AE1569" s="1" t="s">
        <v>93</v>
      </c>
      <c r="AF1569" s="1" t="s">
        <v>17825</v>
      </c>
      <c r="AG1569" s="1" t="s">
        <v>758</v>
      </c>
      <c r="AH1569" s="1" t="s">
        <v>2736</v>
      </c>
      <c r="AI1569" s="1" t="s">
        <v>129</v>
      </c>
      <c r="AJ1569" s="1">
        <v>55.1</v>
      </c>
      <c r="AK1569" s="1">
        <v>5.8</v>
      </c>
      <c r="AL1569" s="1" t="s">
        <v>17826</v>
      </c>
      <c r="AM1569" s="1" t="s">
        <v>17827</v>
      </c>
      <c r="AN1569" s="1" t="s">
        <v>131</v>
      </c>
      <c r="AO1569" s="1" t="s">
        <v>614</v>
      </c>
      <c r="AP1569" s="1">
        <v>67.6</v>
      </c>
      <c r="AQ1569" s="1">
        <v>7.12</v>
      </c>
      <c r="AR1569" s="1"/>
      <c r="AS1569" s="1"/>
      <c r="AT1569" s="1"/>
      <c r="AU1569" s="1"/>
      <c r="AV1569" s="1"/>
      <c r="AW1569" s="1"/>
      <c r="AX1569" s="1" t="s">
        <v>957</v>
      </c>
      <c r="AY1569" s="1" t="s">
        <v>17828</v>
      </c>
      <c r="AZ1569" s="1" t="s">
        <v>1374</v>
      </c>
      <c r="BA1569" s="1" t="s">
        <v>539</v>
      </c>
      <c r="BB1569" s="1">
        <v>58.5</v>
      </c>
      <c r="BC1569" s="1">
        <v>5.85</v>
      </c>
      <c r="BD1569" s="1"/>
      <c r="BE1569" s="1"/>
      <c r="BF1569" s="1"/>
      <c r="BG1569" s="1"/>
      <c r="BH1569" s="1"/>
      <c r="BI1569" s="1"/>
      <c r="BJ1569" s="1" t="s">
        <v>17829</v>
      </c>
      <c r="BK1569" s="1" t="s">
        <v>17830</v>
      </c>
      <c r="BL1569" s="1" t="s">
        <v>1824</v>
      </c>
      <c r="BM1569" s="1" t="s">
        <v>17831</v>
      </c>
      <c r="BN1569" s="1">
        <v>32</v>
      </c>
      <c r="BO1569" s="1"/>
      <c r="BP1569" s="1" t="str">
        <f>HYPERLINK("https://nconnect.nicmar.ac.in/storage/profile/ProfilePhoto_P25702123_324697.jpg","Download")</f>
        <v>0</v>
      </c>
      <c r="BQ1569" s="3"/>
      <c r="BR1569" s="3"/>
    </row>
    <row r="1570" spans="1:70">
      <c r="A1570" s="1" t="s">
        <v>14387</v>
      </c>
      <c r="B1570" s="1" t="s">
        <v>441</v>
      </c>
      <c r="C1570" s="1" t="s">
        <v>17832</v>
      </c>
      <c r="D1570" s="1" t="s">
        <v>5864</v>
      </c>
      <c r="E1570" s="1"/>
      <c r="F1570" s="1" t="s">
        <v>17833</v>
      </c>
      <c r="G1570" s="1" t="s">
        <v>17834</v>
      </c>
      <c r="H1570" s="1" t="s">
        <v>17835</v>
      </c>
      <c r="I1570" s="1" t="s">
        <v>17836</v>
      </c>
      <c r="J1570" s="1">
        <v>9497512916</v>
      </c>
      <c r="K1570" s="1" t="s">
        <v>79</v>
      </c>
      <c r="L1570" s="1" t="s">
        <v>17837</v>
      </c>
      <c r="M1570" s="1" t="s">
        <v>81</v>
      </c>
      <c r="N1570" s="1" t="s">
        <v>17838</v>
      </c>
      <c r="O1570" s="1"/>
      <c r="P1570" s="1" t="s">
        <v>472</v>
      </c>
      <c r="Q1570" s="1" t="s">
        <v>17839</v>
      </c>
      <c r="R1570" s="1" t="s">
        <v>17840</v>
      </c>
      <c r="S1570" s="1">
        <v>9446511291</v>
      </c>
      <c r="T1570" s="1" t="s">
        <v>6019</v>
      </c>
      <c r="U1570" s="1" t="s">
        <v>17841</v>
      </c>
      <c r="V1570" s="1">
        <v>9496549541</v>
      </c>
      <c r="W1570" s="1" t="s">
        <v>17842</v>
      </c>
      <c r="X1570" s="1" t="s">
        <v>17843</v>
      </c>
      <c r="Y1570" s="1" t="s">
        <v>3209</v>
      </c>
      <c r="Z1570" s="1" t="s">
        <v>125</v>
      </c>
      <c r="AA1570" s="1" t="s">
        <v>17843</v>
      </c>
      <c r="AB1570" s="1" t="s">
        <v>3209</v>
      </c>
      <c r="AC1570" s="1" t="s">
        <v>125</v>
      </c>
      <c r="AD1570" s="1">
        <v>8.4</v>
      </c>
      <c r="AE1570" s="1" t="s">
        <v>93</v>
      </c>
      <c r="AF1570" s="1" t="s">
        <v>17844</v>
      </c>
      <c r="AG1570" s="1" t="s">
        <v>758</v>
      </c>
      <c r="AH1570" s="1" t="s">
        <v>332</v>
      </c>
      <c r="AI1570" s="1" t="s">
        <v>1435</v>
      </c>
      <c r="AJ1570" s="1">
        <v>85.5</v>
      </c>
      <c r="AK1570" s="1">
        <v>9</v>
      </c>
      <c r="AL1570" s="1" t="s">
        <v>17845</v>
      </c>
      <c r="AM1570" s="1" t="s">
        <v>17846</v>
      </c>
      <c r="AN1570" s="1" t="s">
        <v>1190</v>
      </c>
      <c r="AO1570" s="1" t="s">
        <v>97</v>
      </c>
      <c r="AP1570" s="1">
        <v>73.25</v>
      </c>
      <c r="AQ1570" s="1">
        <v>0</v>
      </c>
      <c r="AR1570" s="1"/>
      <c r="AS1570" s="1"/>
      <c r="AT1570" s="1"/>
      <c r="AU1570" s="1"/>
      <c r="AV1570" s="1"/>
      <c r="AW1570" s="1"/>
      <c r="AX1570" s="1" t="s">
        <v>17847</v>
      </c>
      <c r="AY1570" s="1" t="s">
        <v>17848</v>
      </c>
      <c r="AZ1570" s="1" t="s">
        <v>100</v>
      </c>
      <c r="BA1570" s="1" t="s">
        <v>1246</v>
      </c>
      <c r="BB1570" s="1">
        <v>63.5</v>
      </c>
      <c r="BC1570" s="1">
        <v>6.35</v>
      </c>
      <c r="BD1570" s="1"/>
      <c r="BE1570" s="1"/>
      <c r="BF1570" s="1"/>
      <c r="BG1570" s="1"/>
      <c r="BH1570" s="1"/>
      <c r="BI1570" s="1"/>
      <c r="BJ1570" s="1" t="s">
        <v>830</v>
      </c>
      <c r="BK1570" s="1"/>
      <c r="BL1570" s="1"/>
      <c r="BM1570" s="1" t="s">
        <v>17849</v>
      </c>
      <c r="BN1570" s="1">
        <v>101</v>
      </c>
      <c r="BO1570" s="1" t="s">
        <v>17850</v>
      </c>
      <c r="BP1570" s="1" t="str">
        <f>HYPERLINK("https://nconnect.nicmar.ac.in/storage/profile/ProfilePhoto_P25702124_236974.jpg","Download")</f>
        <v>0</v>
      </c>
      <c r="BQ1570" s="3"/>
      <c r="BR1570" s="3"/>
    </row>
    <row r="1571" spans="1:70">
      <c r="A1571" s="1" t="s">
        <v>14387</v>
      </c>
      <c r="B1571" s="1" t="s">
        <v>441</v>
      </c>
      <c r="C1571" s="1" t="s">
        <v>17851</v>
      </c>
      <c r="D1571" s="1" t="s">
        <v>17852</v>
      </c>
      <c r="E1571" s="1" t="s">
        <v>3077</v>
      </c>
      <c r="F1571" s="1" t="s">
        <v>17853</v>
      </c>
      <c r="G1571" s="1" t="s">
        <v>17854</v>
      </c>
      <c r="H1571" s="1" t="s">
        <v>17855</v>
      </c>
      <c r="I1571" s="1" t="s">
        <v>17856</v>
      </c>
      <c r="J1571" s="1">
        <v>8806047010</v>
      </c>
      <c r="K1571" s="1" t="s">
        <v>148</v>
      </c>
      <c r="L1571" s="1" t="s">
        <v>7982</v>
      </c>
      <c r="M1571" s="1" t="s">
        <v>81</v>
      </c>
      <c r="N1571" s="1" t="s">
        <v>2381</v>
      </c>
      <c r="O1571" s="1"/>
      <c r="P1571" s="1" t="s">
        <v>497</v>
      </c>
      <c r="Q1571" s="1" t="s">
        <v>17857</v>
      </c>
      <c r="R1571" s="1" t="s">
        <v>3077</v>
      </c>
      <c r="S1571" s="1">
        <v>9422734028</v>
      </c>
      <c r="T1571" s="1" t="s">
        <v>377</v>
      </c>
      <c r="U1571" s="1" t="s">
        <v>5275</v>
      </c>
      <c r="V1571" s="1">
        <v>9850192927</v>
      </c>
      <c r="W1571" s="1" t="s">
        <v>273</v>
      </c>
      <c r="X1571" s="1" t="s">
        <v>17858</v>
      </c>
      <c r="Y1571" s="1" t="s">
        <v>611</v>
      </c>
      <c r="Z1571" s="1" t="s">
        <v>92</v>
      </c>
      <c r="AA1571" s="1" t="s">
        <v>17859</v>
      </c>
      <c r="AB1571" s="1" t="s">
        <v>611</v>
      </c>
      <c r="AC1571" s="1" t="s">
        <v>92</v>
      </c>
      <c r="AD1571" s="1" t="s">
        <v>93</v>
      </c>
      <c r="AE1571" s="1" t="s">
        <v>93</v>
      </c>
      <c r="AF1571" s="1" t="s">
        <v>17860</v>
      </c>
      <c r="AG1571" s="1" t="s">
        <v>160</v>
      </c>
      <c r="AH1571" s="1" t="s">
        <v>714</v>
      </c>
      <c r="AI1571" s="1" t="s">
        <v>97</v>
      </c>
      <c r="AJ1571" s="1">
        <v>67.6</v>
      </c>
      <c r="AK1571" s="1"/>
      <c r="AL1571" s="1" t="s">
        <v>17861</v>
      </c>
      <c r="AM1571" s="1" t="s">
        <v>160</v>
      </c>
      <c r="AN1571" s="1" t="s">
        <v>131</v>
      </c>
      <c r="AO1571" s="1" t="s">
        <v>195</v>
      </c>
      <c r="AP1571" s="1">
        <v>56.31</v>
      </c>
      <c r="AQ1571" s="1"/>
      <c r="AR1571" s="1"/>
      <c r="AS1571" s="1"/>
      <c r="AT1571" s="1"/>
      <c r="AU1571" s="1"/>
      <c r="AV1571" s="1"/>
      <c r="AW1571" s="1"/>
      <c r="AX1571" s="1" t="s">
        <v>410</v>
      </c>
      <c r="AY1571" s="1" t="s">
        <v>17862</v>
      </c>
      <c r="AZ1571" s="1" t="s">
        <v>166</v>
      </c>
      <c r="BA1571" s="1" t="s">
        <v>566</v>
      </c>
      <c r="BB1571" s="1">
        <v>57.6</v>
      </c>
      <c r="BC1571" s="1">
        <v>6.51</v>
      </c>
      <c r="BD1571" s="1"/>
      <c r="BE1571" s="1"/>
      <c r="BF1571" s="1"/>
      <c r="BG1571" s="1"/>
      <c r="BH1571" s="1"/>
      <c r="BI1571" s="1"/>
      <c r="BJ1571" s="1" t="s">
        <v>17863</v>
      </c>
      <c r="BK1571" s="1" t="s">
        <v>17864</v>
      </c>
      <c r="BL1571" s="1" t="s">
        <v>1151</v>
      </c>
      <c r="BM1571" s="1" t="s">
        <v>17865</v>
      </c>
      <c r="BN1571" s="1">
        <v>48</v>
      </c>
      <c r="BO1571" s="1" t="s">
        <v>17866</v>
      </c>
      <c r="BP1571" s="1" t="str">
        <f>HYPERLINK("https://nconnect.nicmar.ac.in/storage/profile/ProfilePhoto_P25702125_416987.jpg","Download")</f>
        <v>0</v>
      </c>
      <c r="BQ1571" s="3"/>
      <c r="BR1571" s="3"/>
    </row>
    <row r="1572" spans="1:70">
      <c r="A1572" s="1" t="s">
        <v>14387</v>
      </c>
      <c r="B1572" s="1" t="s">
        <v>441</v>
      </c>
      <c r="C1572" s="1" t="s">
        <v>17867</v>
      </c>
      <c r="D1572" s="1" t="s">
        <v>1272</v>
      </c>
      <c r="E1572" s="1" t="s">
        <v>4321</v>
      </c>
      <c r="F1572" s="1" t="s">
        <v>17868</v>
      </c>
      <c r="G1572" s="1" t="s">
        <v>17869</v>
      </c>
      <c r="H1572" s="1" t="s">
        <v>17870</v>
      </c>
      <c r="I1572" s="1" t="s">
        <v>17871</v>
      </c>
      <c r="J1572" s="1">
        <v>7208199285</v>
      </c>
      <c r="K1572" s="1" t="s">
        <v>79</v>
      </c>
      <c r="L1572" s="1" t="s">
        <v>17872</v>
      </c>
      <c r="M1572" s="1" t="s">
        <v>81</v>
      </c>
      <c r="N1572" s="1" t="s">
        <v>3587</v>
      </c>
      <c r="O1572" s="1" t="s">
        <v>17873</v>
      </c>
      <c r="P1572" s="1" t="s">
        <v>450</v>
      </c>
      <c r="Q1572" s="1" t="s">
        <v>17874</v>
      </c>
      <c r="R1572" s="1" t="s">
        <v>17875</v>
      </c>
      <c r="S1572" s="1">
        <v>9819826367</v>
      </c>
      <c r="T1572" s="1" t="s">
        <v>17876</v>
      </c>
      <c r="U1572" s="1" t="s">
        <v>17877</v>
      </c>
      <c r="V1572" s="1">
        <v>9833102472</v>
      </c>
      <c r="W1572" s="1" t="s">
        <v>17878</v>
      </c>
      <c r="X1572" s="1" t="s">
        <v>17879</v>
      </c>
      <c r="Y1572" s="1" t="s">
        <v>2229</v>
      </c>
      <c r="Z1572" s="1" t="s">
        <v>92</v>
      </c>
      <c r="AA1572" s="1" t="s">
        <v>17879</v>
      </c>
      <c r="AB1572" s="1" t="s">
        <v>2229</v>
      </c>
      <c r="AC1572" s="1" t="s">
        <v>92</v>
      </c>
      <c r="AD1572" s="1">
        <v>8.0</v>
      </c>
      <c r="AE1572" s="1" t="s">
        <v>93</v>
      </c>
      <c r="AF1572" s="1" t="s">
        <v>17880</v>
      </c>
      <c r="AG1572" s="1" t="s">
        <v>17881</v>
      </c>
      <c r="AH1572" s="1" t="s">
        <v>505</v>
      </c>
      <c r="AI1572" s="1" t="s">
        <v>97</v>
      </c>
      <c r="AJ1572" s="1">
        <v>85</v>
      </c>
      <c r="AK1572" s="1"/>
      <c r="AL1572" s="1" t="s">
        <v>17882</v>
      </c>
      <c r="AM1572" s="1" t="s">
        <v>17883</v>
      </c>
      <c r="AN1572" s="1" t="s">
        <v>507</v>
      </c>
      <c r="AO1572" s="1" t="s">
        <v>508</v>
      </c>
      <c r="AP1572" s="1">
        <v>60.77</v>
      </c>
      <c r="AQ1572" s="1"/>
      <c r="AR1572" s="1"/>
      <c r="AS1572" s="1"/>
      <c r="AT1572" s="1"/>
      <c r="AU1572" s="1"/>
      <c r="AV1572" s="1"/>
      <c r="AW1572" s="1"/>
      <c r="AX1572" s="1" t="s">
        <v>666</v>
      </c>
      <c r="AY1572" s="1" t="s">
        <v>17884</v>
      </c>
      <c r="AZ1572" s="1" t="s">
        <v>225</v>
      </c>
      <c r="BA1572" s="1" t="s">
        <v>284</v>
      </c>
      <c r="BB1572" s="1">
        <v>59.99</v>
      </c>
      <c r="BC1572" s="1">
        <v>6.76</v>
      </c>
      <c r="BD1572" s="1"/>
      <c r="BE1572" s="1"/>
      <c r="BF1572" s="1"/>
      <c r="BG1572" s="1"/>
      <c r="BH1572" s="1"/>
      <c r="BI1572" s="1"/>
      <c r="BJ1572" s="1" t="s">
        <v>17885</v>
      </c>
      <c r="BK1572" s="1" t="s">
        <v>17886</v>
      </c>
      <c r="BL1572" s="1" t="s">
        <v>340</v>
      </c>
      <c r="BM1572" s="1" t="s">
        <v>17887</v>
      </c>
      <c r="BN1572" s="1">
        <v>9</v>
      </c>
      <c r="BO1572" s="1"/>
      <c r="BP1572" s="1" t="str">
        <f>HYPERLINK("https://nconnect.nicmar.ac.in/storage/profile/ProfilePhoto_P25702126_789261.jpg","Download")</f>
        <v>0</v>
      </c>
      <c r="BQ1572" s="3"/>
      <c r="BR1572" s="3"/>
    </row>
    <row r="1573" spans="1:70">
      <c r="A1573" s="1" t="s">
        <v>14387</v>
      </c>
      <c r="B1573" s="1" t="s">
        <v>441</v>
      </c>
      <c r="C1573" s="1" t="s">
        <v>17888</v>
      </c>
      <c r="D1573" s="1" t="s">
        <v>17889</v>
      </c>
      <c r="E1573" s="1" t="s">
        <v>368</v>
      </c>
      <c r="F1573" s="1" t="s">
        <v>17890</v>
      </c>
      <c r="G1573" s="1" t="s">
        <v>17891</v>
      </c>
      <c r="H1573" s="1" t="s">
        <v>17892</v>
      </c>
      <c r="I1573" s="1" t="s">
        <v>17893</v>
      </c>
      <c r="J1573" s="1">
        <v>9673225581</v>
      </c>
      <c r="K1573" s="1" t="s">
        <v>79</v>
      </c>
      <c r="L1573" s="1" t="s">
        <v>17894</v>
      </c>
      <c r="M1573" s="1" t="s">
        <v>81</v>
      </c>
      <c r="N1573" s="1" t="s">
        <v>817</v>
      </c>
      <c r="O1573" s="1"/>
      <c r="P1573" s="1" t="s">
        <v>497</v>
      </c>
      <c r="Q1573" s="1" t="s">
        <v>17895</v>
      </c>
      <c r="R1573" s="1" t="s">
        <v>17896</v>
      </c>
      <c r="S1573" s="1">
        <v>9850044357</v>
      </c>
      <c r="T1573" s="1" t="s">
        <v>820</v>
      </c>
      <c r="U1573" s="1" t="s">
        <v>17897</v>
      </c>
      <c r="V1573" s="1">
        <v>8975557446</v>
      </c>
      <c r="W1573" s="1" t="s">
        <v>156</v>
      </c>
      <c r="X1573" s="1" t="s">
        <v>17898</v>
      </c>
      <c r="Y1573" s="1" t="s">
        <v>890</v>
      </c>
      <c r="Z1573" s="1" t="s">
        <v>92</v>
      </c>
      <c r="AA1573" s="1" t="s">
        <v>17898</v>
      </c>
      <c r="AB1573" s="1" t="s">
        <v>890</v>
      </c>
      <c r="AC1573" s="1" t="s">
        <v>92</v>
      </c>
      <c r="AD1573" s="1">
        <v>7.66</v>
      </c>
      <c r="AE1573" s="1" t="s">
        <v>93</v>
      </c>
      <c r="AF1573" s="1" t="s">
        <v>17899</v>
      </c>
      <c r="AG1573" s="1" t="s">
        <v>3677</v>
      </c>
      <c r="AH1573" s="1" t="s">
        <v>332</v>
      </c>
      <c r="AI1573" s="1" t="s">
        <v>3981</v>
      </c>
      <c r="AJ1573" s="1">
        <v>65.27</v>
      </c>
      <c r="AK1573" s="1"/>
      <c r="AL1573" s="1" t="s">
        <v>17900</v>
      </c>
      <c r="AM1573" s="1" t="s">
        <v>3677</v>
      </c>
      <c r="AN1573" s="1" t="s">
        <v>11466</v>
      </c>
      <c r="AO1573" s="1" t="s">
        <v>11466</v>
      </c>
      <c r="AP1573" s="1">
        <v>50</v>
      </c>
      <c r="AQ1573" s="1"/>
      <c r="AR1573" s="1"/>
      <c r="AS1573" s="1"/>
      <c r="AT1573" s="1"/>
      <c r="AU1573" s="1"/>
      <c r="AV1573" s="1"/>
      <c r="AW1573" s="1"/>
      <c r="AX1573" s="1" t="s">
        <v>4281</v>
      </c>
      <c r="AY1573" s="1" t="s">
        <v>17901</v>
      </c>
      <c r="AZ1573" s="1" t="s">
        <v>100</v>
      </c>
      <c r="BA1573" s="1" t="s">
        <v>511</v>
      </c>
      <c r="BB1573" s="1">
        <v>56.3</v>
      </c>
      <c r="BC1573" s="1"/>
      <c r="BD1573" s="1"/>
      <c r="BE1573" s="1"/>
      <c r="BF1573" s="1"/>
      <c r="BG1573" s="1"/>
      <c r="BH1573" s="1"/>
      <c r="BI1573" s="1"/>
      <c r="BJ1573" s="1" t="s">
        <v>17902</v>
      </c>
      <c r="BK1573" s="1" t="s">
        <v>17903</v>
      </c>
      <c r="BL1573" s="1" t="s">
        <v>17904</v>
      </c>
      <c r="BM1573" s="1"/>
      <c r="BN1573" s="1"/>
      <c r="BO1573" s="1"/>
      <c r="BP1573" s="1" t="str">
        <f>HYPERLINK("https://nconnect.nicmar.ac.in/storage/profile/ProfilePhoto_P25702127_783594.jpg","Download")</f>
        <v>0</v>
      </c>
      <c r="BQ1573" s="3"/>
      <c r="BR1573" s="3"/>
    </row>
    <row r="1574" spans="1:70">
      <c r="A1574" s="1" t="s">
        <v>14387</v>
      </c>
      <c r="B1574" s="1" t="s">
        <v>441</v>
      </c>
      <c r="C1574" s="1" t="s">
        <v>17905</v>
      </c>
      <c r="D1574" s="1" t="s">
        <v>17533</v>
      </c>
      <c r="E1574" s="1" t="s">
        <v>5579</v>
      </c>
      <c r="F1574" s="1" t="s">
        <v>17906</v>
      </c>
      <c r="G1574" s="1" t="s">
        <v>17907</v>
      </c>
      <c r="H1574" s="1" t="s">
        <v>17908</v>
      </c>
      <c r="I1574" s="1" t="s">
        <v>17909</v>
      </c>
      <c r="J1574" s="1">
        <v>7038130346</v>
      </c>
      <c r="K1574" s="1" t="s">
        <v>79</v>
      </c>
      <c r="L1574" s="1" t="s">
        <v>15233</v>
      </c>
      <c r="M1574" s="1" t="s">
        <v>81</v>
      </c>
      <c r="N1574" s="1" t="s">
        <v>17910</v>
      </c>
      <c r="O1574" s="1"/>
      <c r="P1574" s="1" t="s">
        <v>472</v>
      </c>
      <c r="Q1574" s="1" t="s">
        <v>17911</v>
      </c>
      <c r="R1574" s="1" t="s">
        <v>5579</v>
      </c>
      <c r="S1574" s="1">
        <v>7038130346</v>
      </c>
      <c r="T1574" s="1" t="s">
        <v>1938</v>
      </c>
      <c r="U1574" s="1" t="s">
        <v>17912</v>
      </c>
      <c r="V1574" s="1">
        <v>8888415475</v>
      </c>
      <c r="W1574" s="1" t="s">
        <v>1653</v>
      </c>
      <c r="X1574" s="1" t="s">
        <v>17913</v>
      </c>
      <c r="Y1574" s="1" t="s">
        <v>191</v>
      </c>
      <c r="Z1574" s="1" t="s">
        <v>92</v>
      </c>
      <c r="AA1574" s="1" t="s">
        <v>17914</v>
      </c>
      <c r="AB1574" s="1" t="s">
        <v>158</v>
      </c>
      <c r="AC1574" s="1" t="s">
        <v>92</v>
      </c>
      <c r="AD1574" s="1" t="s">
        <v>93</v>
      </c>
      <c r="AE1574" s="1" t="s">
        <v>93</v>
      </c>
      <c r="AF1574" s="1" t="s">
        <v>17915</v>
      </c>
      <c r="AG1574" s="1" t="s">
        <v>11222</v>
      </c>
      <c r="AH1574" s="1" t="s">
        <v>162</v>
      </c>
      <c r="AI1574" s="1" t="s">
        <v>195</v>
      </c>
      <c r="AJ1574" s="1">
        <v>68.8</v>
      </c>
      <c r="AK1574" s="1"/>
      <c r="AL1574" s="1" t="s">
        <v>17916</v>
      </c>
      <c r="AM1574" s="1" t="s">
        <v>11222</v>
      </c>
      <c r="AN1574" s="1" t="s">
        <v>433</v>
      </c>
      <c r="AO1574" s="1" t="s">
        <v>460</v>
      </c>
      <c r="AP1574" s="1">
        <v>56.15</v>
      </c>
      <c r="AQ1574" s="1"/>
      <c r="AR1574" s="1"/>
      <c r="AS1574" s="1"/>
      <c r="AT1574" s="1"/>
      <c r="AU1574" s="1"/>
      <c r="AV1574" s="1"/>
      <c r="AW1574" s="1"/>
      <c r="AX1574" s="1" t="s">
        <v>4558</v>
      </c>
      <c r="AY1574" s="1" t="s">
        <v>17917</v>
      </c>
      <c r="AZ1574" s="1" t="s">
        <v>460</v>
      </c>
      <c r="BA1574" s="1" t="s">
        <v>202</v>
      </c>
      <c r="BB1574" s="1">
        <v>70.9</v>
      </c>
      <c r="BC1574" s="1">
        <v>8.24</v>
      </c>
      <c r="BD1574" s="1"/>
      <c r="BE1574" s="1"/>
      <c r="BF1574" s="1"/>
      <c r="BG1574" s="1"/>
      <c r="BH1574" s="1"/>
      <c r="BI1574" s="1"/>
      <c r="BJ1574" s="1" t="s">
        <v>17918</v>
      </c>
      <c r="BK1574" s="1"/>
      <c r="BL1574" s="1"/>
      <c r="BM1574" s="1" t="s">
        <v>17919</v>
      </c>
      <c r="BN1574" s="1">
        <v>8</v>
      </c>
      <c r="BO1574" s="1" t="s">
        <v>17920</v>
      </c>
      <c r="BP1574" s="1" t="str">
        <f>HYPERLINK("https://nconnect.nicmar.ac.in/storage/profile/ProfilePhoto_P25702128_617289.jpg","Download")</f>
        <v>0</v>
      </c>
      <c r="BQ1574" s="3"/>
      <c r="BR1574" s="3"/>
    </row>
    <row r="1575" spans="1:70">
      <c r="A1575" s="1" t="s">
        <v>14387</v>
      </c>
      <c r="B1575" s="1" t="s">
        <v>441</v>
      </c>
      <c r="C1575" s="1" t="s">
        <v>17921</v>
      </c>
      <c r="D1575" s="1" t="s">
        <v>4304</v>
      </c>
      <c r="E1575" s="1" t="s">
        <v>17922</v>
      </c>
      <c r="F1575" s="1" t="s">
        <v>17923</v>
      </c>
      <c r="G1575" s="1" t="s">
        <v>17924</v>
      </c>
      <c r="H1575" s="1" t="s">
        <v>17925</v>
      </c>
      <c r="I1575" s="1" t="s">
        <v>17926</v>
      </c>
      <c r="J1575" s="1">
        <v>8169943350</v>
      </c>
      <c r="K1575" s="1" t="s">
        <v>79</v>
      </c>
      <c r="L1575" s="1" t="s">
        <v>17927</v>
      </c>
      <c r="M1575" s="1" t="s">
        <v>81</v>
      </c>
      <c r="N1575" s="1" t="s">
        <v>17928</v>
      </c>
      <c r="O1575" s="1"/>
      <c r="P1575" s="1"/>
      <c r="Q1575" s="1" t="s">
        <v>17929</v>
      </c>
      <c r="R1575" s="1" t="s">
        <v>17930</v>
      </c>
      <c r="S1575" s="1">
        <v>9821318051</v>
      </c>
      <c r="T1575" s="1" t="s">
        <v>1595</v>
      </c>
      <c r="U1575" s="1" t="s">
        <v>17931</v>
      </c>
      <c r="V1575" s="1">
        <v>9967236103</v>
      </c>
      <c r="W1575" s="1" t="s">
        <v>531</v>
      </c>
      <c r="X1575" s="1" t="s">
        <v>17932</v>
      </c>
      <c r="Y1575" s="1" t="s">
        <v>2229</v>
      </c>
      <c r="Z1575" s="1" t="s">
        <v>92</v>
      </c>
      <c r="AA1575" s="1" t="s">
        <v>17932</v>
      </c>
      <c r="AB1575" s="1" t="s">
        <v>2229</v>
      </c>
      <c r="AC1575" s="1" t="s">
        <v>92</v>
      </c>
      <c r="AD1575" s="1">
        <v>8.74</v>
      </c>
      <c r="AE1575" s="1" t="s">
        <v>93</v>
      </c>
      <c r="AF1575" s="1" t="s">
        <v>17933</v>
      </c>
      <c r="AG1575" s="1" t="s">
        <v>17934</v>
      </c>
      <c r="AH1575" s="1" t="s">
        <v>249</v>
      </c>
      <c r="AI1575" s="1" t="s">
        <v>1435</v>
      </c>
      <c r="AJ1575" s="1">
        <v>80.91</v>
      </c>
      <c r="AK1575" s="1"/>
      <c r="AL1575" s="1" t="s">
        <v>17935</v>
      </c>
      <c r="AM1575" s="1" t="s">
        <v>17934</v>
      </c>
      <c r="AN1575" s="1" t="s">
        <v>130</v>
      </c>
      <c r="AO1575" s="1" t="s">
        <v>11466</v>
      </c>
      <c r="AP1575" s="1">
        <v>67.23</v>
      </c>
      <c r="AQ1575" s="1"/>
      <c r="AR1575" s="1"/>
      <c r="AS1575" s="1"/>
      <c r="AT1575" s="1"/>
      <c r="AU1575" s="1"/>
      <c r="AV1575" s="1"/>
      <c r="AW1575" s="1"/>
      <c r="AX1575" s="1" t="s">
        <v>17936</v>
      </c>
      <c r="AY1575" s="1" t="s">
        <v>17937</v>
      </c>
      <c r="AZ1575" s="1" t="s">
        <v>337</v>
      </c>
      <c r="BA1575" s="1" t="s">
        <v>308</v>
      </c>
      <c r="BB1575" s="1">
        <v>54.81</v>
      </c>
      <c r="BC1575" s="1">
        <v>6.03</v>
      </c>
      <c r="BD1575" s="1"/>
      <c r="BE1575" s="1"/>
      <c r="BF1575" s="1"/>
      <c r="BG1575" s="1"/>
      <c r="BH1575" s="1"/>
      <c r="BI1575" s="1"/>
      <c r="BJ1575" s="1" t="s">
        <v>364</v>
      </c>
      <c r="BK1575" s="1" t="s">
        <v>17938</v>
      </c>
      <c r="BL1575" s="1" t="s">
        <v>5149</v>
      </c>
      <c r="BM1575" s="1" t="s">
        <v>17939</v>
      </c>
      <c r="BN1575" s="1">
        <v>8</v>
      </c>
      <c r="BO1575" s="1" t="s">
        <v>17940</v>
      </c>
      <c r="BP1575" s="1" t="str">
        <f>HYPERLINK("https://nconnect.nicmar.ac.in/storage/profile/ProfilePhoto_P25702129_946852.jpg","Download")</f>
        <v>0</v>
      </c>
      <c r="BQ1575" s="3"/>
      <c r="BR1575" s="3"/>
    </row>
    <row r="1576" spans="1:70">
      <c r="A1576" s="1" t="s">
        <v>14387</v>
      </c>
      <c r="B1576" s="1" t="s">
        <v>441</v>
      </c>
      <c r="C1576" s="1" t="s">
        <v>17941</v>
      </c>
      <c r="D1576" s="1" t="s">
        <v>17942</v>
      </c>
      <c r="E1576" s="1"/>
      <c r="F1576" s="1" t="s">
        <v>520</v>
      </c>
      <c r="G1576" s="1" t="s">
        <v>17943</v>
      </c>
      <c r="H1576" s="1" t="s">
        <v>17944</v>
      </c>
      <c r="I1576" s="1" t="s">
        <v>17945</v>
      </c>
      <c r="J1576" s="1">
        <v>9821737929</v>
      </c>
      <c r="K1576" s="1" t="s">
        <v>79</v>
      </c>
      <c r="L1576" s="1" t="s">
        <v>17946</v>
      </c>
      <c r="M1576" s="1" t="s">
        <v>81</v>
      </c>
      <c r="N1576" s="1" t="s">
        <v>17947</v>
      </c>
      <c r="O1576" s="1"/>
      <c r="P1576" s="1" t="s">
        <v>1994</v>
      </c>
      <c r="Q1576" s="1" t="s">
        <v>17948</v>
      </c>
      <c r="R1576" s="1" t="s">
        <v>17949</v>
      </c>
      <c r="S1576" s="1">
        <v>8595471799</v>
      </c>
      <c r="T1576" s="1" t="s">
        <v>87</v>
      </c>
      <c r="U1576" s="1" t="s">
        <v>17950</v>
      </c>
      <c r="V1576" s="1">
        <v>9315221196</v>
      </c>
      <c r="W1576" s="1" t="s">
        <v>8617</v>
      </c>
      <c r="X1576" s="1" t="s">
        <v>17951</v>
      </c>
      <c r="Y1576" s="1" t="s">
        <v>9205</v>
      </c>
      <c r="Z1576" s="1" t="s">
        <v>1714</v>
      </c>
      <c r="AA1576" s="1" t="s">
        <v>17951</v>
      </c>
      <c r="AB1576" s="1" t="s">
        <v>9205</v>
      </c>
      <c r="AC1576" s="1" t="s">
        <v>1714</v>
      </c>
      <c r="AD1576" s="1">
        <v>8.03</v>
      </c>
      <c r="AE1576" s="1" t="s">
        <v>93</v>
      </c>
      <c r="AF1576" s="1" t="s">
        <v>17952</v>
      </c>
      <c r="AG1576" s="1" t="s">
        <v>17953</v>
      </c>
      <c r="AH1576" s="1" t="s">
        <v>281</v>
      </c>
      <c r="AI1576" s="1" t="s">
        <v>308</v>
      </c>
      <c r="AJ1576" s="1">
        <v>80.6</v>
      </c>
      <c r="AK1576" s="1">
        <v>8.48</v>
      </c>
      <c r="AL1576" s="1" t="s">
        <v>17952</v>
      </c>
      <c r="AM1576" s="1" t="s">
        <v>17953</v>
      </c>
      <c r="AN1576" s="1" t="s">
        <v>590</v>
      </c>
      <c r="AO1576" s="1" t="s">
        <v>539</v>
      </c>
      <c r="AP1576" s="1">
        <v>91.2</v>
      </c>
      <c r="AQ1576" s="1">
        <v>9.6</v>
      </c>
      <c r="AR1576" s="1"/>
      <c r="AS1576" s="1"/>
      <c r="AT1576" s="1"/>
      <c r="AU1576" s="1"/>
      <c r="AV1576" s="1"/>
      <c r="AW1576" s="1"/>
      <c r="AX1576" s="1" t="s">
        <v>1377</v>
      </c>
      <c r="AY1576" s="1" t="s">
        <v>17954</v>
      </c>
      <c r="AZ1576" s="1" t="s">
        <v>542</v>
      </c>
      <c r="BA1576" s="1" t="s">
        <v>1379</v>
      </c>
      <c r="BB1576" s="1">
        <v>64.3</v>
      </c>
      <c r="BC1576" s="1">
        <v>6.43</v>
      </c>
      <c r="BD1576" s="1"/>
      <c r="BE1576" s="1"/>
      <c r="BF1576" s="1"/>
      <c r="BG1576" s="1"/>
      <c r="BH1576" s="1"/>
      <c r="BI1576" s="1"/>
      <c r="BJ1576" s="1" t="s">
        <v>567</v>
      </c>
      <c r="BK1576" s="1"/>
      <c r="BL1576" s="1"/>
      <c r="BM1576" s="1" t="s">
        <v>17955</v>
      </c>
      <c r="BN1576" s="1">
        <v>8</v>
      </c>
      <c r="BO1576" s="1"/>
      <c r="BP1576" s="1" t="str">
        <f>HYPERLINK("https://nconnect.nicmar.ac.in/storage/profile/ProfilePhoto_P25702130_924736.jpg","Download")</f>
        <v>0</v>
      </c>
      <c r="BQ1576" s="3"/>
      <c r="BR1576" s="3"/>
    </row>
    <row r="1577" spans="1:70">
      <c r="A1577" s="1" t="s">
        <v>14387</v>
      </c>
      <c r="B1577" s="1" t="s">
        <v>441</v>
      </c>
      <c r="C1577" s="1" t="s">
        <v>17956</v>
      </c>
      <c r="D1577" s="1" t="s">
        <v>1744</v>
      </c>
      <c r="E1577" s="1" t="s">
        <v>1298</v>
      </c>
      <c r="F1577" s="1" t="s">
        <v>17957</v>
      </c>
      <c r="G1577" s="1" t="s">
        <v>17958</v>
      </c>
      <c r="H1577" s="1" t="s">
        <v>17959</v>
      </c>
      <c r="I1577" s="1" t="s">
        <v>17960</v>
      </c>
      <c r="J1577" s="1">
        <v>7348925727</v>
      </c>
      <c r="K1577" s="1" t="s">
        <v>79</v>
      </c>
      <c r="L1577" s="1" t="s">
        <v>17961</v>
      </c>
      <c r="M1577" s="1" t="s">
        <v>81</v>
      </c>
      <c r="N1577" s="1" t="s">
        <v>17962</v>
      </c>
      <c r="O1577" s="1"/>
      <c r="P1577" s="1" t="s">
        <v>497</v>
      </c>
      <c r="Q1577" s="1" t="s">
        <v>17963</v>
      </c>
      <c r="R1577" s="1" t="s">
        <v>17964</v>
      </c>
      <c r="S1577" s="1">
        <v>9448679498</v>
      </c>
      <c r="T1577" s="1" t="s">
        <v>17965</v>
      </c>
      <c r="U1577" s="1" t="s">
        <v>17966</v>
      </c>
      <c r="V1577" s="1">
        <v>8884791237</v>
      </c>
      <c r="W1577" s="1" t="s">
        <v>156</v>
      </c>
      <c r="X1577" s="1" t="s">
        <v>17967</v>
      </c>
      <c r="Y1577" s="1" t="s">
        <v>17968</v>
      </c>
      <c r="Z1577" s="1" t="s">
        <v>1187</v>
      </c>
      <c r="AA1577" s="1" t="s">
        <v>17969</v>
      </c>
      <c r="AB1577" s="1" t="s">
        <v>17968</v>
      </c>
      <c r="AC1577" s="1" t="s">
        <v>1187</v>
      </c>
      <c r="AD1577" s="1">
        <v>7.35</v>
      </c>
      <c r="AE1577" s="1" t="s">
        <v>93</v>
      </c>
      <c r="AF1577" s="1" t="s">
        <v>17970</v>
      </c>
      <c r="AG1577" s="1" t="s">
        <v>307</v>
      </c>
      <c r="AH1577" s="1" t="s">
        <v>689</v>
      </c>
      <c r="AI1577" s="1" t="s">
        <v>166</v>
      </c>
      <c r="AJ1577" s="1">
        <v>57.6</v>
      </c>
      <c r="AK1577" s="1"/>
      <c r="AL1577" s="1" t="s">
        <v>17971</v>
      </c>
      <c r="AM1577" s="1" t="s">
        <v>3751</v>
      </c>
      <c r="AN1577" s="1" t="s">
        <v>433</v>
      </c>
      <c r="AO1577" s="1" t="s">
        <v>1622</v>
      </c>
      <c r="AP1577" s="1">
        <v>51</v>
      </c>
      <c r="AQ1577" s="1"/>
      <c r="AR1577" s="1"/>
      <c r="AS1577" s="1"/>
      <c r="AT1577" s="1"/>
      <c r="AU1577" s="1"/>
      <c r="AV1577" s="1"/>
      <c r="AW1577" s="1"/>
      <c r="AX1577" s="1" t="s">
        <v>17972</v>
      </c>
      <c r="AY1577" s="1" t="s">
        <v>17973</v>
      </c>
      <c r="AZ1577" s="1" t="s">
        <v>1019</v>
      </c>
      <c r="BA1577" s="1" t="s">
        <v>202</v>
      </c>
      <c r="BB1577" s="1">
        <v>56.6</v>
      </c>
      <c r="BC1577" s="1">
        <v>6.41</v>
      </c>
      <c r="BD1577" s="1"/>
      <c r="BE1577" s="1"/>
      <c r="BF1577" s="1"/>
      <c r="BG1577" s="1"/>
      <c r="BH1577" s="1"/>
      <c r="BI1577" s="1"/>
      <c r="BJ1577" s="1" t="s">
        <v>364</v>
      </c>
      <c r="BK1577" s="1"/>
      <c r="BL1577" s="1"/>
      <c r="BM1577" s="1" t="s">
        <v>17974</v>
      </c>
      <c r="BN1577" s="1">
        <v>11</v>
      </c>
      <c r="BO1577" s="1" t="s">
        <v>17975</v>
      </c>
      <c r="BP1577" s="1" t="str">
        <f>HYPERLINK("https://nconnect.nicmar.ac.in/storage/profile/ProfilePhoto_P25702131_683715.jpg","Download")</f>
        <v>0</v>
      </c>
      <c r="BQ1577" s="3"/>
      <c r="BR1577" s="3"/>
    </row>
    <row r="1578" spans="1:70">
      <c r="A1578" s="1" t="s">
        <v>14387</v>
      </c>
      <c r="B1578" s="1" t="s">
        <v>441</v>
      </c>
      <c r="C1578" s="1" t="s">
        <v>17976</v>
      </c>
      <c r="D1578" s="1" t="s">
        <v>17977</v>
      </c>
      <c r="E1578" s="1" t="s">
        <v>17978</v>
      </c>
      <c r="F1578" s="1" t="s">
        <v>2220</v>
      </c>
      <c r="G1578" s="1" t="s">
        <v>17979</v>
      </c>
      <c r="H1578" s="1" t="s">
        <v>17980</v>
      </c>
      <c r="I1578" s="1" t="s">
        <v>17981</v>
      </c>
      <c r="J1578" s="1">
        <v>7045058111</v>
      </c>
      <c r="K1578" s="1" t="s">
        <v>148</v>
      </c>
      <c r="L1578" s="1" t="s">
        <v>17982</v>
      </c>
      <c r="M1578" s="1" t="s">
        <v>81</v>
      </c>
      <c r="N1578" s="1" t="s">
        <v>1448</v>
      </c>
      <c r="O1578" s="1"/>
      <c r="P1578" s="1" t="s">
        <v>497</v>
      </c>
      <c r="Q1578" s="1" t="s">
        <v>17983</v>
      </c>
      <c r="R1578" s="1" t="s">
        <v>17984</v>
      </c>
      <c r="S1578" s="1">
        <v>9967115111</v>
      </c>
      <c r="T1578" s="1" t="s">
        <v>14471</v>
      </c>
      <c r="U1578" s="1" t="s">
        <v>17985</v>
      </c>
      <c r="V1578" s="1">
        <v>9967771237</v>
      </c>
      <c r="W1578" s="1" t="s">
        <v>17431</v>
      </c>
      <c r="X1578" s="1" t="s">
        <v>17986</v>
      </c>
      <c r="Y1578" s="1" t="s">
        <v>991</v>
      </c>
      <c r="Z1578" s="1" t="s">
        <v>92</v>
      </c>
      <c r="AA1578" s="1" t="s">
        <v>17986</v>
      </c>
      <c r="AB1578" s="1" t="s">
        <v>991</v>
      </c>
      <c r="AC1578" s="1" t="s">
        <v>92</v>
      </c>
      <c r="AD1578" s="1">
        <v>7.24</v>
      </c>
      <c r="AE1578" s="1" t="s">
        <v>93</v>
      </c>
      <c r="AF1578" s="1" t="s">
        <v>16874</v>
      </c>
      <c r="AG1578" s="1" t="s">
        <v>17987</v>
      </c>
      <c r="AH1578" s="1" t="s">
        <v>161</v>
      </c>
      <c r="AI1578" s="1" t="s">
        <v>1089</v>
      </c>
      <c r="AJ1578" s="1">
        <v>59.2</v>
      </c>
      <c r="AK1578" s="1">
        <v>0</v>
      </c>
      <c r="AL1578" s="1" t="s">
        <v>17988</v>
      </c>
      <c r="AM1578" s="1" t="s">
        <v>17989</v>
      </c>
      <c r="AN1578" s="1" t="s">
        <v>162</v>
      </c>
      <c r="AO1578" s="1" t="s">
        <v>166</v>
      </c>
      <c r="AP1578" s="1">
        <v>53.85</v>
      </c>
      <c r="AQ1578" s="1">
        <v>0</v>
      </c>
      <c r="AR1578" s="1"/>
      <c r="AS1578" s="1"/>
      <c r="AT1578" s="1"/>
      <c r="AU1578" s="1"/>
      <c r="AV1578" s="1"/>
      <c r="AW1578" s="1"/>
      <c r="AX1578" s="1" t="s">
        <v>666</v>
      </c>
      <c r="AY1578" s="1" t="s">
        <v>17990</v>
      </c>
      <c r="AZ1578" s="1" t="s">
        <v>1043</v>
      </c>
      <c r="BA1578" s="1" t="s">
        <v>566</v>
      </c>
      <c r="BB1578" s="1">
        <v>59.92</v>
      </c>
      <c r="BC1578" s="1">
        <v>6.75</v>
      </c>
      <c r="BD1578" s="1"/>
      <c r="BE1578" s="1"/>
      <c r="BF1578" s="1"/>
      <c r="BG1578" s="1"/>
      <c r="BH1578" s="1"/>
      <c r="BI1578" s="1"/>
      <c r="BJ1578" s="1" t="s">
        <v>17991</v>
      </c>
      <c r="BK1578" s="1" t="s">
        <v>17992</v>
      </c>
      <c r="BL1578" s="1" t="s">
        <v>1540</v>
      </c>
      <c r="BM1578" s="1" t="s">
        <v>17993</v>
      </c>
      <c r="BN1578" s="1">
        <v>24</v>
      </c>
      <c r="BO1578" s="1" t="s">
        <v>17994</v>
      </c>
      <c r="BP1578" s="1" t="str">
        <f>HYPERLINK("https://nconnect.nicmar.ac.in/storage/profile/ProfilePhoto_P25702132_826143.jpg","Download")</f>
        <v>0</v>
      </c>
      <c r="BQ1578" s="3"/>
      <c r="BR1578" s="3"/>
    </row>
    <row r="1579" spans="1:70">
      <c r="A1579" s="1" t="s">
        <v>14387</v>
      </c>
      <c r="B1579" s="1" t="s">
        <v>441</v>
      </c>
      <c r="C1579" s="1" t="s">
        <v>17995</v>
      </c>
      <c r="D1579" s="1" t="s">
        <v>4824</v>
      </c>
      <c r="E1579" s="1" t="s">
        <v>17996</v>
      </c>
      <c r="F1579" s="1" t="s">
        <v>17997</v>
      </c>
      <c r="G1579" s="1" t="s">
        <v>17998</v>
      </c>
      <c r="H1579" s="1" t="s">
        <v>17999</v>
      </c>
      <c r="I1579" s="1" t="s">
        <v>18000</v>
      </c>
      <c r="J1579" s="1">
        <v>9881496921</v>
      </c>
      <c r="K1579" s="1" t="s">
        <v>79</v>
      </c>
      <c r="L1579" s="1" t="s">
        <v>18001</v>
      </c>
      <c r="M1579" s="1" t="s">
        <v>81</v>
      </c>
      <c r="N1579" s="1" t="s">
        <v>883</v>
      </c>
      <c r="O1579" s="1"/>
      <c r="P1579" s="1" t="s">
        <v>450</v>
      </c>
      <c r="Q1579" s="1" t="s">
        <v>18002</v>
      </c>
      <c r="R1579" s="1" t="s">
        <v>18003</v>
      </c>
      <c r="S1579" s="1">
        <v>9850834501</v>
      </c>
      <c r="T1579" s="1" t="s">
        <v>632</v>
      </c>
      <c r="U1579" s="1" t="s">
        <v>18004</v>
      </c>
      <c r="V1579" s="1">
        <v>9850107951</v>
      </c>
      <c r="W1579" s="1" t="s">
        <v>156</v>
      </c>
      <c r="X1579" s="1" t="s">
        <v>18005</v>
      </c>
      <c r="Y1579" s="1" t="s">
        <v>191</v>
      </c>
      <c r="Z1579" s="1" t="s">
        <v>92</v>
      </c>
      <c r="AA1579" s="1" t="s">
        <v>18005</v>
      </c>
      <c r="AB1579" s="1" t="s">
        <v>191</v>
      </c>
      <c r="AC1579" s="1" t="s">
        <v>92</v>
      </c>
      <c r="AD1579" s="1">
        <v>7.34</v>
      </c>
      <c r="AE1579" s="1" t="s">
        <v>93</v>
      </c>
      <c r="AF1579" s="1" t="s">
        <v>5001</v>
      </c>
      <c r="AG1579" s="1" t="s">
        <v>9600</v>
      </c>
      <c r="AH1579" s="1" t="s">
        <v>101</v>
      </c>
      <c r="AI1579" s="1" t="s">
        <v>433</v>
      </c>
      <c r="AJ1579" s="1">
        <v>63.2</v>
      </c>
      <c r="AK1579" s="1"/>
      <c r="AL1579" s="1"/>
      <c r="AM1579" s="1"/>
      <c r="AN1579" s="1"/>
      <c r="AO1579" s="1"/>
      <c r="AP1579" s="1"/>
      <c r="AQ1579" s="1"/>
      <c r="AR1579" s="1" t="s">
        <v>98</v>
      </c>
      <c r="AS1579" s="1" t="s">
        <v>18006</v>
      </c>
      <c r="AT1579" s="1" t="s">
        <v>310</v>
      </c>
      <c r="AU1579" s="1" t="s">
        <v>1378</v>
      </c>
      <c r="AV1579" s="1">
        <v>72.05</v>
      </c>
      <c r="AW1579" s="1"/>
      <c r="AX1579" s="1" t="s">
        <v>361</v>
      </c>
      <c r="AY1579" s="1" t="s">
        <v>18007</v>
      </c>
      <c r="AZ1579" s="1" t="s">
        <v>1864</v>
      </c>
      <c r="BA1579" s="1" t="s">
        <v>5344</v>
      </c>
      <c r="BB1579" s="1">
        <v>58.2</v>
      </c>
      <c r="BC1579" s="1">
        <v>6.57</v>
      </c>
      <c r="BD1579" s="1"/>
      <c r="BE1579" s="1"/>
      <c r="BF1579" s="1"/>
      <c r="BG1579" s="1"/>
      <c r="BH1579" s="1"/>
      <c r="BI1579" s="1"/>
      <c r="BJ1579" s="1" t="s">
        <v>364</v>
      </c>
      <c r="BK1579" s="1" t="s">
        <v>18008</v>
      </c>
      <c r="BL1579" s="1" t="s">
        <v>7466</v>
      </c>
      <c r="BM1579" s="1" t="s">
        <v>18009</v>
      </c>
      <c r="BN1579" s="1">
        <v>33</v>
      </c>
      <c r="BO1579" s="1"/>
      <c r="BP1579" s="1" t="str">
        <f>HYPERLINK("https://nconnect.nicmar.ac.in/storage/profile/ProfilePhoto_P25702133_154693.jpg","Download")</f>
        <v>0</v>
      </c>
      <c r="BQ1579" s="3"/>
      <c r="BR1579" s="3"/>
    </row>
    <row r="1580" spans="1:70">
      <c r="A1580" s="1" t="s">
        <v>14387</v>
      </c>
      <c r="B1580" s="1" t="s">
        <v>441</v>
      </c>
      <c r="C1580" s="1" t="s">
        <v>18010</v>
      </c>
      <c r="D1580" s="1" t="s">
        <v>15250</v>
      </c>
      <c r="E1580" s="1" t="s">
        <v>12399</v>
      </c>
      <c r="F1580" s="1" t="s">
        <v>17639</v>
      </c>
      <c r="G1580" s="1" t="s">
        <v>18011</v>
      </c>
      <c r="H1580" s="1" t="s">
        <v>18012</v>
      </c>
      <c r="I1580" s="1" t="s">
        <v>18013</v>
      </c>
      <c r="J1580" s="1">
        <v>9898468190</v>
      </c>
      <c r="K1580" s="1" t="s">
        <v>79</v>
      </c>
      <c r="L1580" s="1" t="s">
        <v>18014</v>
      </c>
      <c r="M1580" s="1" t="s">
        <v>81</v>
      </c>
      <c r="N1580" s="1" t="s">
        <v>18015</v>
      </c>
      <c r="O1580" s="1"/>
      <c r="P1580" s="1" t="s">
        <v>497</v>
      </c>
      <c r="Q1580" s="1" t="s">
        <v>18016</v>
      </c>
      <c r="R1580" s="1" t="s">
        <v>17639</v>
      </c>
      <c r="S1580" s="1">
        <v>9909118656</v>
      </c>
      <c r="T1580" s="1" t="s">
        <v>820</v>
      </c>
      <c r="U1580" s="1" t="s">
        <v>18017</v>
      </c>
      <c r="V1580" s="1">
        <v>9712918656</v>
      </c>
      <c r="W1580" s="1" t="s">
        <v>1082</v>
      </c>
      <c r="X1580" s="1" t="s">
        <v>18018</v>
      </c>
      <c r="Y1580" s="1" t="s">
        <v>15261</v>
      </c>
      <c r="Z1580" s="1" t="s">
        <v>662</v>
      </c>
      <c r="AA1580" s="1" t="s">
        <v>18018</v>
      </c>
      <c r="AB1580" s="1" t="s">
        <v>15261</v>
      </c>
      <c r="AC1580" s="1" t="s">
        <v>662</v>
      </c>
      <c r="AD1580" s="1">
        <v>9.32</v>
      </c>
      <c r="AE1580" s="1" t="s">
        <v>93</v>
      </c>
      <c r="AF1580" s="1" t="s">
        <v>18019</v>
      </c>
      <c r="AG1580" s="1" t="s">
        <v>14808</v>
      </c>
      <c r="AH1580" s="1" t="s">
        <v>481</v>
      </c>
      <c r="AI1580" s="1" t="s">
        <v>409</v>
      </c>
      <c r="AJ1580" s="1">
        <v>81.5</v>
      </c>
      <c r="AK1580" s="1"/>
      <c r="AL1580" s="1" t="s">
        <v>15263</v>
      </c>
      <c r="AM1580" s="1" t="s">
        <v>14808</v>
      </c>
      <c r="AN1580" s="1" t="s">
        <v>460</v>
      </c>
      <c r="AO1580" s="1" t="s">
        <v>826</v>
      </c>
      <c r="AP1580" s="1">
        <v>84</v>
      </c>
      <c r="AQ1580" s="1"/>
      <c r="AR1580" s="1"/>
      <c r="AS1580" s="1"/>
      <c r="AT1580" s="1"/>
      <c r="AU1580" s="1"/>
      <c r="AV1580" s="1"/>
      <c r="AW1580" s="1"/>
      <c r="AX1580" s="1" t="s">
        <v>15265</v>
      </c>
      <c r="AY1580" s="1" t="s">
        <v>18020</v>
      </c>
      <c r="AZ1580" s="1" t="s">
        <v>542</v>
      </c>
      <c r="BA1580" s="1" t="s">
        <v>543</v>
      </c>
      <c r="BB1580" s="1">
        <v>79.8</v>
      </c>
      <c r="BC1580" s="1">
        <v>8.73</v>
      </c>
      <c r="BD1580" s="1"/>
      <c r="BE1580" s="1"/>
      <c r="BF1580" s="1"/>
      <c r="BG1580" s="1"/>
      <c r="BH1580" s="1"/>
      <c r="BI1580" s="1"/>
      <c r="BJ1580" s="1" t="s">
        <v>18021</v>
      </c>
      <c r="BK1580" s="1"/>
      <c r="BL1580" s="1"/>
      <c r="BM1580" s="1" t="s">
        <v>18022</v>
      </c>
      <c r="BN1580" s="1">
        <v>30</v>
      </c>
      <c r="BO1580" s="1"/>
      <c r="BP1580" s="1" t="str">
        <f>HYPERLINK("https://nconnect.nicmar.ac.in/storage/profile/ProfilePhoto_P25702134_543796.jpg","Download")</f>
        <v>0</v>
      </c>
      <c r="BQ1580" s="3"/>
      <c r="BR1580" s="3"/>
    </row>
    <row r="1581" spans="1:70">
      <c r="A1581" s="1" t="s">
        <v>14387</v>
      </c>
      <c r="B1581" s="1" t="s">
        <v>441</v>
      </c>
      <c r="C1581" s="1" t="s">
        <v>18023</v>
      </c>
      <c r="D1581" s="1" t="s">
        <v>1112</v>
      </c>
      <c r="E1581" s="1" t="s">
        <v>18024</v>
      </c>
      <c r="F1581" s="1" t="s">
        <v>1847</v>
      </c>
      <c r="G1581" s="1" t="s">
        <v>18025</v>
      </c>
      <c r="H1581" s="1" t="s">
        <v>18026</v>
      </c>
      <c r="I1581" s="1" t="s">
        <v>18027</v>
      </c>
      <c r="J1581" s="1">
        <v>8928342149</v>
      </c>
      <c r="K1581" s="1" t="s">
        <v>79</v>
      </c>
      <c r="L1581" s="1" t="s">
        <v>18028</v>
      </c>
      <c r="M1581" s="1" t="s">
        <v>81</v>
      </c>
      <c r="N1581" s="1" t="s">
        <v>883</v>
      </c>
      <c r="O1581" s="1"/>
      <c r="P1581" s="1" t="s">
        <v>472</v>
      </c>
      <c r="Q1581" s="1" t="s">
        <v>18029</v>
      </c>
      <c r="R1581" s="1" t="s">
        <v>18024</v>
      </c>
      <c r="S1581" s="1">
        <v>9969972985</v>
      </c>
      <c r="T1581" s="1" t="s">
        <v>18030</v>
      </c>
      <c r="U1581" s="1" t="s">
        <v>6944</v>
      </c>
      <c r="V1581" s="1">
        <v>8850008551</v>
      </c>
      <c r="W1581" s="1" t="s">
        <v>156</v>
      </c>
      <c r="X1581" s="1" t="s">
        <v>18031</v>
      </c>
      <c r="Y1581" s="1" t="s">
        <v>2229</v>
      </c>
      <c r="Z1581" s="1" t="s">
        <v>92</v>
      </c>
      <c r="AA1581" s="1" t="s">
        <v>18032</v>
      </c>
      <c r="AB1581" s="1" t="s">
        <v>2229</v>
      </c>
      <c r="AC1581" s="1" t="s">
        <v>92</v>
      </c>
      <c r="AD1581" s="1">
        <v>8.34</v>
      </c>
      <c r="AE1581" s="1" t="s">
        <v>93</v>
      </c>
      <c r="AF1581" s="1" t="s">
        <v>18033</v>
      </c>
      <c r="AG1581" s="1" t="s">
        <v>616</v>
      </c>
      <c r="AH1581" s="1" t="s">
        <v>614</v>
      </c>
      <c r="AI1581" s="1" t="s">
        <v>562</v>
      </c>
      <c r="AJ1581" s="1">
        <v>70.6</v>
      </c>
      <c r="AK1581" s="1"/>
      <c r="AL1581" s="1"/>
      <c r="AM1581" s="1"/>
      <c r="AN1581" s="1"/>
      <c r="AO1581" s="1"/>
      <c r="AP1581" s="1"/>
      <c r="AQ1581" s="1"/>
      <c r="AR1581" s="1" t="s">
        <v>98</v>
      </c>
      <c r="AS1581" s="1" t="s">
        <v>18034</v>
      </c>
      <c r="AT1581" s="1" t="s">
        <v>225</v>
      </c>
      <c r="AU1581" s="1" t="s">
        <v>170</v>
      </c>
      <c r="AV1581" s="1">
        <v>81.47</v>
      </c>
      <c r="AW1581" s="1"/>
      <c r="AX1581" s="1" t="s">
        <v>253</v>
      </c>
      <c r="AY1581" s="1" t="s">
        <v>18035</v>
      </c>
      <c r="AZ1581" s="1" t="s">
        <v>363</v>
      </c>
      <c r="BA1581" s="1" t="s">
        <v>935</v>
      </c>
      <c r="BB1581" s="1">
        <v>73.15</v>
      </c>
      <c r="BC1581" s="1"/>
      <c r="BD1581" s="1"/>
      <c r="BE1581" s="1"/>
      <c r="BF1581" s="1"/>
      <c r="BG1581" s="1"/>
      <c r="BH1581" s="1"/>
      <c r="BI1581" s="1"/>
      <c r="BJ1581" s="1" t="s">
        <v>18036</v>
      </c>
      <c r="BK1581" s="1" t="s">
        <v>18037</v>
      </c>
      <c r="BL1581" s="1" t="s">
        <v>569</v>
      </c>
      <c r="BM1581" s="1" t="s">
        <v>18038</v>
      </c>
      <c r="BN1581" s="1">
        <v>7</v>
      </c>
      <c r="BO1581" s="1" t="s">
        <v>18039</v>
      </c>
      <c r="BP1581" s="1" t="str">
        <f>HYPERLINK("https://nconnect.nicmar.ac.in/storage/profile/ProfilePhoto_P25702136_837591.jpg","Download")</f>
        <v>0</v>
      </c>
      <c r="BQ1581" s="3"/>
      <c r="BR1581" s="3"/>
    </row>
    <row r="1582" spans="1:70">
      <c r="A1582" s="1" t="s">
        <v>14387</v>
      </c>
      <c r="B1582" s="1" t="s">
        <v>441</v>
      </c>
      <c r="C1582" s="1" t="s">
        <v>18040</v>
      </c>
      <c r="D1582" s="1" t="s">
        <v>18041</v>
      </c>
      <c r="E1582" s="1" t="s">
        <v>4970</v>
      </c>
      <c r="F1582" s="1" t="s">
        <v>2965</v>
      </c>
      <c r="G1582" s="1" t="s">
        <v>18042</v>
      </c>
      <c r="H1582" s="1" t="s">
        <v>18043</v>
      </c>
      <c r="I1582" s="1" t="s">
        <v>18044</v>
      </c>
      <c r="J1582" s="1">
        <v>9175982549</v>
      </c>
      <c r="K1582" s="1" t="s">
        <v>79</v>
      </c>
      <c r="L1582" s="1" t="s">
        <v>18045</v>
      </c>
      <c r="M1582" s="1" t="s">
        <v>81</v>
      </c>
      <c r="N1582" s="1" t="s">
        <v>3355</v>
      </c>
      <c r="O1582" s="1"/>
      <c r="P1582" s="1"/>
      <c r="Q1582" s="1" t="s">
        <v>18046</v>
      </c>
      <c r="R1582" s="1" t="s">
        <v>18047</v>
      </c>
      <c r="S1582" s="1">
        <v>9890252349</v>
      </c>
      <c r="T1582" s="1" t="s">
        <v>820</v>
      </c>
      <c r="U1582" s="1" t="s">
        <v>18048</v>
      </c>
      <c r="V1582" s="1">
        <v>8698541566</v>
      </c>
      <c r="W1582" s="1" t="s">
        <v>156</v>
      </c>
      <c r="X1582" s="1" t="s">
        <v>18049</v>
      </c>
      <c r="Y1582" s="1" t="s">
        <v>405</v>
      </c>
      <c r="Z1582" s="1" t="s">
        <v>92</v>
      </c>
      <c r="AA1582" s="1" t="s">
        <v>18050</v>
      </c>
      <c r="AB1582" s="1" t="s">
        <v>405</v>
      </c>
      <c r="AC1582" s="1" t="s">
        <v>92</v>
      </c>
      <c r="AD1582" s="1">
        <v>8.32</v>
      </c>
      <c r="AE1582" s="1" t="s">
        <v>93</v>
      </c>
      <c r="AF1582" s="1" t="s">
        <v>2602</v>
      </c>
      <c r="AG1582" s="1" t="s">
        <v>758</v>
      </c>
      <c r="AH1582" s="1" t="s">
        <v>505</v>
      </c>
      <c r="AI1582" s="1" t="s">
        <v>97</v>
      </c>
      <c r="AJ1582" s="1">
        <v>73.4</v>
      </c>
      <c r="AK1582" s="1">
        <v>8</v>
      </c>
      <c r="AL1582" s="1" t="s">
        <v>18051</v>
      </c>
      <c r="AM1582" s="1" t="s">
        <v>160</v>
      </c>
      <c r="AN1582" s="1" t="s">
        <v>507</v>
      </c>
      <c r="AO1582" s="1" t="s">
        <v>508</v>
      </c>
      <c r="AP1582" s="1">
        <v>55.85</v>
      </c>
      <c r="AQ1582" s="1"/>
      <c r="AR1582" s="1"/>
      <c r="AS1582" s="1"/>
      <c r="AT1582" s="1"/>
      <c r="AU1582" s="1"/>
      <c r="AV1582" s="1"/>
      <c r="AW1582" s="1"/>
      <c r="AX1582" s="1" t="s">
        <v>410</v>
      </c>
      <c r="AY1582" s="1" t="s">
        <v>6507</v>
      </c>
      <c r="AZ1582" s="1" t="s">
        <v>383</v>
      </c>
      <c r="BA1582" s="1" t="s">
        <v>105</v>
      </c>
      <c r="BB1582" s="1">
        <v>62.9</v>
      </c>
      <c r="BC1582" s="1">
        <v>7.04</v>
      </c>
      <c r="BD1582" s="1"/>
      <c r="BE1582" s="1"/>
      <c r="BF1582" s="1"/>
      <c r="BG1582" s="1"/>
      <c r="BH1582" s="1"/>
      <c r="BI1582" s="1"/>
      <c r="BJ1582" s="1" t="s">
        <v>18052</v>
      </c>
      <c r="BK1582" s="1" t="s">
        <v>18053</v>
      </c>
      <c r="BL1582" s="1" t="s">
        <v>1335</v>
      </c>
      <c r="BM1582" s="1" t="s">
        <v>18054</v>
      </c>
      <c r="BN1582" s="1">
        <v>29</v>
      </c>
      <c r="BO1582" s="1" t="s">
        <v>18055</v>
      </c>
      <c r="BP1582" s="1" t="str">
        <f>HYPERLINK("https://nconnect.nicmar.ac.in/storage/profile/ProfilePhoto_P25702137_819267.jpg","Download")</f>
        <v>0</v>
      </c>
      <c r="BQ1582" s="3"/>
      <c r="BR1582" s="3"/>
    </row>
    <row r="1583" spans="1:70">
      <c r="A1583" s="1" t="s">
        <v>14387</v>
      </c>
      <c r="B1583" s="1" t="s">
        <v>441</v>
      </c>
      <c r="C1583" s="1" t="s">
        <v>18056</v>
      </c>
      <c r="D1583" s="1" t="s">
        <v>2838</v>
      </c>
      <c r="E1583" s="1" t="s">
        <v>18057</v>
      </c>
      <c r="F1583" s="1" t="s">
        <v>1847</v>
      </c>
      <c r="G1583" s="1" t="s">
        <v>18058</v>
      </c>
      <c r="H1583" s="1" t="s">
        <v>18059</v>
      </c>
      <c r="I1583" s="1" t="s">
        <v>18060</v>
      </c>
      <c r="J1583" s="1">
        <v>9139899093</v>
      </c>
      <c r="K1583" s="1" t="s">
        <v>79</v>
      </c>
      <c r="L1583" s="1" t="s">
        <v>18061</v>
      </c>
      <c r="M1583" s="1" t="s">
        <v>81</v>
      </c>
      <c r="N1583" s="1" t="s">
        <v>3065</v>
      </c>
      <c r="O1583" s="1"/>
      <c r="P1583" s="1"/>
      <c r="Q1583" s="1" t="s">
        <v>18062</v>
      </c>
      <c r="R1583" s="1" t="s">
        <v>18063</v>
      </c>
      <c r="S1583" s="1">
        <v>9139899093</v>
      </c>
      <c r="T1583" s="1" t="s">
        <v>93</v>
      </c>
      <c r="U1583" s="1" t="s">
        <v>18064</v>
      </c>
      <c r="V1583" s="1">
        <v>9673781919</v>
      </c>
      <c r="W1583" s="1" t="s">
        <v>4780</v>
      </c>
      <c r="X1583" s="1" t="s">
        <v>18065</v>
      </c>
      <c r="Y1583" s="1" t="s">
        <v>191</v>
      </c>
      <c r="Z1583" s="1" t="s">
        <v>92</v>
      </c>
      <c r="AA1583" s="1" t="s">
        <v>18066</v>
      </c>
      <c r="AB1583" s="1" t="s">
        <v>158</v>
      </c>
      <c r="AC1583" s="1" t="s">
        <v>92</v>
      </c>
      <c r="AD1583" s="1">
        <v>8.82</v>
      </c>
      <c r="AE1583" s="1" t="s">
        <v>93</v>
      </c>
      <c r="AF1583" s="1" t="s">
        <v>18067</v>
      </c>
      <c r="AG1583" s="1" t="s">
        <v>975</v>
      </c>
      <c r="AH1583" s="1" t="s">
        <v>225</v>
      </c>
      <c r="AI1583" s="1" t="s">
        <v>433</v>
      </c>
      <c r="AJ1583" s="1">
        <v>88.4</v>
      </c>
      <c r="AK1583" s="1">
        <v>0</v>
      </c>
      <c r="AL1583" s="1"/>
      <c r="AM1583" s="1"/>
      <c r="AN1583" s="1"/>
      <c r="AO1583" s="1"/>
      <c r="AP1583" s="1"/>
      <c r="AQ1583" s="1"/>
      <c r="AR1583" s="1" t="s">
        <v>98</v>
      </c>
      <c r="AS1583" s="1" t="s">
        <v>18068</v>
      </c>
      <c r="AT1583" s="1" t="s">
        <v>201</v>
      </c>
      <c r="AU1583" s="1" t="s">
        <v>105</v>
      </c>
      <c r="AV1583" s="1">
        <v>77.8</v>
      </c>
      <c r="AW1583" s="1"/>
      <c r="AX1583" s="1" t="s">
        <v>361</v>
      </c>
      <c r="AY1583" s="1" t="s">
        <v>18069</v>
      </c>
      <c r="AZ1583" s="1" t="s">
        <v>1864</v>
      </c>
      <c r="BA1583" s="1" t="s">
        <v>5344</v>
      </c>
      <c r="BB1583" s="1">
        <v>71.1</v>
      </c>
      <c r="BC1583" s="1">
        <v>7.86</v>
      </c>
      <c r="BD1583" s="1"/>
      <c r="BE1583" s="1"/>
      <c r="BF1583" s="1"/>
      <c r="BG1583" s="1"/>
      <c r="BH1583" s="1"/>
      <c r="BI1583" s="1"/>
      <c r="BJ1583" s="1" t="s">
        <v>567</v>
      </c>
      <c r="BK1583" s="1"/>
      <c r="BL1583" s="1"/>
      <c r="BM1583" s="1" t="s">
        <v>18070</v>
      </c>
      <c r="BN1583" s="1">
        <v>18</v>
      </c>
      <c r="BO1583" s="1"/>
      <c r="BP1583" s="1" t="str">
        <f>HYPERLINK("https://nconnect.nicmar.ac.in/storage/profile/ProfilePhoto_P25702138_785142.jpg","Download")</f>
        <v>0</v>
      </c>
      <c r="BQ1583" s="3"/>
      <c r="BR1583" s="3"/>
    </row>
    <row r="1584" spans="1:70">
      <c r="A1584" s="1" t="s">
        <v>14387</v>
      </c>
      <c r="B1584" s="1" t="s">
        <v>441</v>
      </c>
      <c r="C1584" s="1" t="s">
        <v>18071</v>
      </c>
      <c r="D1584" s="1" t="s">
        <v>920</v>
      </c>
      <c r="E1584" s="1" t="s">
        <v>4806</v>
      </c>
      <c r="F1584" s="1" t="s">
        <v>18072</v>
      </c>
      <c r="G1584" s="1" t="s">
        <v>18073</v>
      </c>
      <c r="H1584" s="1" t="s">
        <v>18074</v>
      </c>
      <c r="I1584" s="1" t="s">
        <v>18075</v>
      </c>
      <c r="J1584" s="1">
        <v>7892857256</v>
      </c>
      <c r="K1584" s="1" t="s">
        <v>79</v>
      </c>
      <c r="L1584" s="1" t="s">
        <v>18076</v>
      </c>
      <c r="M1584" s="1" t="s">
        <v>81</v>
      </c>
      <c r="N1584" s="1" t="s">
        <v>18077</v>
      </c>
      <c r="O1584" s="1"/>
      <c r="P1584" s="1" t="s">
        <v>497</v>
      </c>
      <c r="Q1584" s="1" t="s">
        <v>18078</v>
      </c>
      <c r="R1584" s="1" t="s">
        <v>18079</v>
      </c>
      <c r="S1584" s="1">
        <v>7892857256</v>
      </c>
      <c r="T1584" s="1" t="s">
        <v>820</v>
      </c>
      <c r="U1584" s="1" t="s">
        <v>18080</v>
      </c>
      <c r="V1584" s="1">
        <v>9901342825</v>
      </c>
      <c r="W1584" s="1" t="s">
        <v>156</v>
      </c>
      <c r="X1584" s="1" t="s">
        <v>18081</v>
      </c>
      <c r="Y1584" s="1" t="s">
        <v>3151</v>
      </c>
      <c r="Z1584" s="1" t="s">
        <v>1187</v>
      </c>
      <c r="AA1584" s="1" t="s">
        <v>18082</v>
      </c>
      <c r="AB1584" s="1" t="s">
        <v>4428</v>
      </c>
      <c r="AC1584" s="1" t="s">
        <v>1187</v>
      </c>
      <c r="AD1584" s="1" t="s">
        <v>93</v>
      </c>
      <c r="AE1584" s="1" t="s">
        <v>93</v>
      </c>
      <c r="AF1584" s="1" t="s">
        <v>18083</v>
      </c>
      <c r="AG1584" s="1" t="s">
        <v>1920</v>
      </c>
      <c r="AH1584" s="1" t="s">
        <v>562</v>
      </c>
      <c r="AI1584" s="1" t="s">
        <v>481</v>
      </c>
      <c r="AJ1584" s="1">
        <v>71.52</v>
      </c>
      <c r="AK1584" s="1"/>
      <c r="AL1584" s="1" t="s">
        <v>18084</v>
      </c>
      <c r="AM1584" s="1" t="s">
        <v>18085</v>
      </c>
      <c r="AN1584" s="1" t="s">
        <v>433</v>
      </c>
      <c r="AO1584" s="1" t="s">
        <v>590</v>
      </c>
      <c r="AP1584" s="1">
        <v>65.33</v>
      </c>
      <c r="AQ1584" s="1"/>
      <c r="AR1584" s="1"/>
      <c r="AS1584" s="1"/>
      <c r="AT1584" s="1"/>
      <c r="AU1584" s="1"/>
      <c r="AV1584" s="1"/>
      <c r="AW1584" s="1"/>
      <c r="AX1584" s="1" t="s">
        <v>18086</v>
      </c>
      <c r="AY1584" s="1" t="s">
        <v>18087</v>
      </c>
      <c r="AZ1584" s="1" t="s">
        <v>363</v>
      </c>
      <c r="BA1584" s="1" t="s">
        <v>1067</v>
      </c>
      <c r="BB1584" s="1">
        <v>52.7</v>
      </c>
      <c r="BC1584" s="1">
        <v>6.02</v>
      </c>
      <c r="BD1584" s="1"/>
      <c r="BE1584" s="1"/>
      <c r="BF1584" s="1"/>
      <c r="BG1584" s="1"/>
      <c r="BH1584" s="1"/>
      <c r="BI1584" s="1"/>
      <c r="BJ1584" s="1" t="s">
        <v>567</v>
      </c>
      <c r="BK1584" s="1"/>
      <c r="BL1584" s="1"/>
      <c r="BM1584" s="1" t="s">
        <v>18088</v>
      </c>
      <c r="BN1584" s="1">
        <v>14</v>
      </c>
      <c r="BO1584" s="1"/>
      <c r="BP1584" s="1" t="str">
        <f>HYPERLINK("https://nconnect.nicmar.ac.in/storage/profile/ProfilePhoto_P25702139_653287.jpg","Download")</f>
        <v>0</v>
      </c>
      <c r="BQ1584" s="3"/>
      <c r="BR1584" s="3"/>
    </row>
    <row r="1585" spans="1:70">
      <c r="A1585" s="1" t="s">
        <v>14387</v>
      </c>
      <c r="B1585" s="1" t="s">
        <v>441</v>
      </c>
      <c r="C1585" s="1" t="s">
        <v>18089</v>
      </c>
      <c r="D1585" s="1" t="s">
        <v>18090</v>
      </c>
      <c r="E1585" s="1"/>
      <c r="F1585" s="1" t="s">
        <v>18091</v>
      </c>
      <c r="G1585" s="1" t="s">
        <v>18092</v>
      </c>
      <c r="H1585" s="1" t="s">
        <v>18093</v>
      </c>
      <c r="I1585" s="1" t="s">
        <v>18094</v>
      </c>
      <c r="J1585" s="1">
        <v>6370904227</v>
      </c>
      <c r="K1585" s="1" t="s">
        <v>148</v>
      </c>
      <c r="L1585" s="1" t="s">
        <v>18095</v>
      </c>
      <c r="M1585" s="1" t="s">
        <v>81</v>
      </c>
      <c r="N1585" s="1" t="s">
        <v>862</v>
      </c>
      <c r="O1585" s="1"/>
      <c r="P1585" s="1" t="s">
        <v>497</v>
      </c>
      <c r="Q1585" s="1" t="s">
        <v>18096</v>
      </c>
      <c r="R1585" s="1" t="s">
        <v>18097</v>
      </c>
      <c r="S1585" s="1">
        <v>9437178753</v>
      </c>
      <c r="T1585" s="1" t="s">
        <v>18098</v>
      </c>
      <c r="U1585" s="1" t="s">
        <v>18099</v>
      </c>
      <c r="V1585" s="1">
        <v>7978271577</v>
      </c>
      <c r="W1585" s="1" t="s">
        <v>89</v>
      </c>
      <c r="X1585" s="1" t="s">
        <v>18100</v>
      </c>
      <c r="Y1585" s="1" t="s">
        <v>1236</v>
      </c>
      <c r="Z1585" s="1" t="s">
        <v>846</v>
      </c>
      <c r="AA1585" s="1" t="s">
        <v>18100</v>
      </c>
      <c r="AB1585" s="1" t="s">
        <v>1236</v>
      </c>
      <c r="AC1585" s="1" t="s">
        <v>846</v>
      </c>
      <c r="AD1585" s="1" t="s">
        <v>93</v>
      </c>
      <c r="AE1585" s="1" t="s">
        <v>93</v>
      </c>
      <c r="AF1585" s="1" t="s">
        <v>18101</v>
      </c>
      <c r="AG1585" s="1" t="s">
        <v>18102</v>
      </c>
      <c r="AH1585" s="1" t="s">
        <v>249</v>
      </c>
      <c r="AI1585" s="1" t="s">
        <v>129</v>
      </c>
      <c r="AJ1585" s="1">
        <v>72.33</v>
      </c>
      <c r="AK1585" s="1"/>
      <c r="AL1585" s="1"/>
      <c r="AM1585" s="1"/>
      <c r="AN1585" s="1"/>
      <c r="AO1585" s="1"/>
      <c r="AP1585" s="1"/>
      <c r="AQ1585" s="1"/>
      <c r="AR1585" s="1" t="s">
        <v>18103</v>
      </c>
      <c r="AS1585" s="1" t="s">
        <v>18104</v>
      </c>
      <c r="AT1585" s="1" t="s">
        <v>785</v>
      </c>
      <c r="AU1585" s="1" t="s">
        <v>2085</v>
      </c>
      <c r="AV1585" s="1">
        <v>83.36</v>
      </c>
      <c r="AW1585" s="1">
        <v>8.7</v>
      </c>
      <c r="AX1585" s="1" t="s">
        <v>1241</v>
      </c>
      <c r="AY1585" s="1" t="s">
        <v>18105</v>
      </c>
      <c r="AZ1585" s="1" t="s">
        <v>1043</v>
      </c>
      <c r="BA1585" s="1" t="s">
        <v>17175</v>
      </c>
      <c r="BB1585" s="1">
        <v>66.4</v>
      </c>
      <c r="BC1585" s="1">
        <v>7.14</v>
      </c>
      <c r="BD1585" s="1"/>
      <c r="BE1585" s="1"/>
      <c r="BF1585" s="1"/>
      <c r="BG1585" s="1"/>
      <c r="BH1585" s="1"/>
      <c r="BI1585" s="1"/>
      <c r="BJ1585" s="1" t="s">
        <v>18106</v>
      </c>
      <c r="BK1585" s="1" t="s">
        <v>18107</v>
      </c>
      <c r="BL1585" s="1" t="s">
        <v>2089</v>
      </c>
      <c r="BM1585" s="1" t="s">
        <v>18108</v>
      </c>
      <c r="BN1585" s="1">
        <v>8</v>
      </c>
      <c r="BO1585" s="1" t="s">
        <v>18109</v>
      </c>
      <c r="BP1585" s="1" t="str">
        <f>HYPERLINK("https://nconnect.nicmar.ac.in/storage/profile/ProfilePhoto_P25702140_617534.jpg","Download")</f>
        <v>0</v>
      </c>
      <c r="BQ1585" s="3"/>
      <c r="BR1585" s="3"/>
    </row>
    <row r="1586" spans="1:70">
      <c r="A1586" s="1" t="s">
        <v>14387</v>
      </c>
      <c r="B1586" s="1" t="s">
        <v>441</v>
      </c>
      <c r="C1586" s="1" t="s">
        <v>18110</v>
      </c>
      <c r="D1586" s="1" t="s">
        <v>18111</v>
      </c>
      <c r="E1586" s="1" t="s">
        <v>18112</v>
      </c>
      <c r="F1586" s="1" t="s">
        <v>2243</v>
      </c>
      <c r="G1586" s="1" t="s">
        <v>18113</v>
      </c>
      <c r="H1586" s="1" t="s">
        <v>18114</v>
      </c>
      <c r="I1586" s="1" t="s">
        <v>18115</v>
      </c>
      <c r="J1586" s="1">
        <v>9527427054</v>
      </c>
      <c r="K1586" s="1" t="s">
        <v>148</v>
      </c>
      <c r="L1586" s="1" t="s">
        <v>18116</v>
      </c>
      <c r="M1586" s="1" t="s">
        <v>81</v>
      </c>
      <c r="N1586" s="1" t="s">
        <v>1140</v>
      </c>
      <c r="O1586" s="1"/>
      <c r="P1586" s="1" t="s">
        <v>497</v>
      </c>
      <c r="Q1586" s="1" t="s">
        <v>18117</v>
      </c>
      <c r="R1586" s="1" t="s">
        <v>144</v>
      </c>
      <c r="S1586" s="1">
        <v>8788634035</v>
      </c>
      <c r="T1586" s="1" t="s">
        <v>9236</v>
      </c>
      <c r="U1586" s="1" t="s">
        <v>1874</v>
      </c>
      <c r="V1586" s="1">
        <v>8237197508</v>
      </c>
      <c r="W1586" s="1" t="s">
        <v>89</v>
      </c>
      <c r="X1586" s="1" t="s">
        <v>18118</v>
      </c>
      <c r="Y1586" s="1" t="s">
        <v>405</v>
      </c>
      <c r="Z1586" s="1" t="s">
        <v>92</v>
      </c>
      <c r="AA1586" s="1" t="s">
        <v>18118</v>
      </c>
      <c r="AB1586" s="1" t="s">
        <v>405</v>
      </c>
      <c r="AC1586" s="1" t="s">
        <v>92</v>
      </c>
      <c r="AD1586" s="1">
        <v>8.58</v>
      </c>
      <c r="AE1586" s="1" t="s">
        <v>93</v>
      </c>
      <c r="AF1586" s="1" t="s">
        <v>18119</v>
      </c>
      <c r="AG1586" s="1" t="s">
        <v>737</v>
      </c>
      <c r="AH1586" s="1" t="s">
        <v>96</v>
      </c>
      <c r="AI1586" s="1" t="s">
        <v>97</v>
      </c>
      <c r="AJ1586" s="1">
        <v>93.8</v>
      </c>
      <c r="AK1586" s="1"/>
      <c r="AL1586" s="1" t="s">
        <v>18119</v>
      </c>
      <c r="AM1586" s="1" t="s">
        <v>737</v>
      </c>
      <c r="AN1586" s="1" t="s">
        <v>162</v>
      </c>
      <c r="AO1586" s="1" t="s">
        <v>508</v>
      </c>
      <c r="AP1586" s="1">
        <v>74.15</v>
      </c>
      <c r="AQ1586" s="1"/>
      <c r="AR1586" s="1"/>
      <c r="AS1586" s="1"/>
      <c r="AT1586" s="1"/>
      <c r="AU1586" s="1"/>
      <c r="AV1586" s="1"/>
      <c r="AW1586" s="1"/>
      <c r="AX1586" s="1" t="s">
        <v>976</v>
      </c>
      <c r="AY1586" s="1" t="s">
        <v>18120</v>
      </c>
      <c r="AZ1586" s="1" t="s">
        <v>225</v>
      </c>
      <c r="BA1586" s="1" t="s">
        <v>284</v>
      </c>
      <c r="BB1586" s="1">
        <v>73.9</v>
      </c>
      <c r="BC1586" s="1">
        <v>8.14</v>
      </c>
      <c r="BD1586" s="1"/>
      <c r="BE1586" s="1"/>
      <c r="BF1586" s="1"/>
      <c r="BG1586" s="1"/>
      <c r="BH1586" s="1"/>
      <c r="BI1586" s="1"/>
      <c r="BJ1586" s="1" t="s">
        <v>18121</v>
      </c>
      <c r="BK1586" s="1" t="s">
        <v>18122</v>
      </c>
      <c r="BL1586" s="1" t="s">
        <v>3422</v>
      </c>
      <c r="BM1586" s="1" t="s">
        <v>18123</v>
      </c>
      <c r="BN1586" s="1">
        <v>31</v>
      </c>
      <c r="BO1586" s="1"/>
      <c r="BP1586" s="1" t="str">
        <f>HYPERLINK("https://nconnect.nicmar.ac.in/storage/profile/ProfilePhoto_P25702141_791462.jpg","Download")</f>
        <v>0</v>
      </c>
      <c r="BQ1586" s="3"/>
      <c r="BR1586" s="3"/>
    </row>
    <row r="1587" spans="1:70">
      <c r="A1587" s="1" t="s">
        <v>14387</v>
      </c>
      <c r="B1587" s="1" t="s">
        <v>441</v>
      </c>
      <c r="C1587" s="1" t="s">
        <v>18124</v>
      </c>
      <c r="D1587" s="1" t="s">
        <v>3368</v>
      </c>
      <c r="E1587" s="1" t="s">
        <v>13097</v>
      </c>
      <c r="F1587" s="1" t="s">
        <v>18125</v>
      </c>
      <c r="G1587" s="1" t="s">
        <v>18126</v>
      </c>
      <c r="H1587" s="1" t="s">
        <v>18127</v>
      </c>
      <c r="I1587" s="1" t="s">
        <v>18128</v>
      </c>
      <c r="J1587" s="1">
        <v>9167361846</v>
      </c>
      <c r="K1587" s="1" t="s">
        <v>79</v>
      </c>
      <c r="L1587" s="1" t="s">
        <v>18129</v>
      </c>
      <c r="M1587" s="1" t="s">
        <v>81</v>
      </c>
      <c r="N1587" s="1" t="s">
        <v>18130</v>
      </c>
      <c r="O1587" s="1"/>
      <c r="P1587" s="1" t="s">
        <v>450</v>
      </c>
      <c r="Q1587" s="1" t="s">
        <v>18131</v>
      </c>
      <c r="R1587" s="1" t="s">
        <v>18132</v>
      </c>
      <c r="S1587" s="1">
        <v>9930165439</v>
      </c>
      <c r="T1587" s="1" t="s">
        <v>3711</v>
      </c>
      <c r="U1587" s="1" t="s">
        <v>18133</v>
      </c>
      <c r="V1587" s="1">
        <v>7506254461</v>
      </c>
      <c r="W1587" s="1" t="s">
        <v>156</v>
      </c>
      <c r="X1587" s="1" t="s">
        <v>18134</v>
      </c>
      <c r="Y1587" s="1" t="s">
        <v>1857</v>
      </c>
      <c r="Z1587" s="1" t="s">
        <v>92</v>
      </c>
      <c r="AA1587" s="1" t="s">
        <v>18135</v>
      </c>
      <c r="AB1587" s="1" t="s">
        <v>2229</v>
      </c>
      <c r="AC1587" s="1" t="s">
        <v>92</v>
      </c>
      <c r="AD1587" s="1">
        <v>8.16</v>
      </c>
      <c r="AE1587" s="1" t="s">
        <v>93</v>
      </c>
      <c r="AF1587" s="1" t="s">
        <v>18136</v>
      </c>
      <c r="AG1587" s="1" t="s">
        <v>18137</v>
      </c>
      <c r="AH1587" s="1" t="s">
        <v>337</v>
      </c>
      <c r="AI1587" s="1" t="s">
        <v>614</v>
      </c>
      <c r="AJ1587" s="1">
        <v>80.8</v>
      </c>
      <c r="AK1587" s="1"/>
      <c r="AL1587" s="1" t="s">
        <v>18138</v>
      </c>
      <c r="AM1587" s="1" t="s">
        <v>18137</v>
      </c>
      <c r="AN1587" s="1" t="s">
        <v>162</v>
      </c>
      <c r="AO1587" s="1" t="s">
        <v>166</v>
      </c>
      <c r="AP1587" s="1">
        <v>60</v>
      </c>
      <c r="AQ1587" s="1"/>
      <c r="AR1587" s="1"/>
      <c r="AS1587" s="1"/>
      <c r="AT1587" s="1"/>
      <c r="AU1587" s="1"/>
      <c r="AV1587" s="1"/>
      <c r="AW1587" s="1"/>
      <c r="AX1587" s="1" t="s">
        <v>666</v>
      </c>
      <c r="AY1587" s="1" t="s">
        <v>667</v>
      </c>
      <c r="AZ1587" s="1" t="s">
        <v>101</v>
      </c>
      <c r="BA1587" s="1" t="s">
        <v>935</v>
      </c>
      <c r="BB1587" s="1">
        <v>59.93</v>
      </c>
      <c r="BC1587" s="1">
        <v>6.71</v>
      </c>
      <c r="BD1587" s="1"/>
      <c r="BE1587" s="1"/>
      <c r="BF1587" s="1"/>
      <c r="BG1587" s="1"/>
      <c r="BH1587" s="1"/>
      <c r="BI1587" s="1"/>
      <c r="BJ1587" s="1" t="s">
        <v>18139</v>
      </c>
      <c r="BK1587" s="1" t="s">
        <v>18140</v>
      </c>
      <c r="BL1587" s="1" t="s">
        <v>1335</v>
      </c>
      <c r="BM1587" s="1" t="s">
        <v>18141</v>
      </c>
      <c r="BN1587" s="1">
        <v>27</v>
      </c>
      <c r="BO1587" s="1"/>
      <c r="BP1587" s="1" t="str">
        <f>HYPERLINK("https://nconnect.nicmar.ac.in/storage/profile/ProfilePhoto_P25702142_975823.jpg","Download")</f>
        <v>0</v>
      </c>
      <c r="BQ1587" s="3"/>
      <c r="BR1587" s="3"/>
    </row>
    <row r="1588" spans="1:70">
      <c r="A1588" s="1" t="s">
        <v>14387</v>
      </c>
      <c r="B1588" s="1" t="s">
        <v>441</v>
      </c>
      <c r="C1588" s="1" t="s">
        <v>18142</v>
      </c>
      <c r="D1588" s="1" t="s">
        <v>18143</v>
      </c>
      <c r="E1588" s="1"/>
      <c r="F1588" s="1" t="s">
        <v>111</v>
      </c>
      <c r="G1588" s="1" t="s">
        <v>18144</v>
      </c>
      <c r="H1588" s="1" t="s">
        <v>18145</v>
      </c>
      <c r="I1588" s="1" t="s">
        <v>18146</v>
      </c>
      <c r="J1588" s="1">
        <v>9994020923</v>
      </c>
      <c r="K1588" s="1" t="s">
        <v>79</v>
      </c>
      <c r="L1588" s="1" t="s">
        <v>18147</v>
      </c>
      <c r="M1588" s="1" t="s">
        <v>81</v>
      </c>
      <c r="N1588" s="1" t="s">
        <v>18148</v>
      </c>
      <c r="O1588" s="1"/>
      <c r="P1588" s="1" t="s">
        <v>472</v>
      </c>
      <c r="Q1588" s="1" t="s">
        <v>18149</v>
      </c>
      <c r="R1588" s="1" t="s">
        <v>18150</v>
      </c>
      <c r="S1588" s="1">
        <v>9789730052</v>
      </c>
      <c r="T1588" s="1" t="s">
        <v>18151</v>
      </c>
      <c r="U1588" s="1" t="s">
        <v>18152</v>
      </c>
      <c r="V1588" s="1">
        <v>9715877739</v>
      </c>
      <c r="W1588" s="1" t="s">
        <v>89</v>
      </c>
      <c r="X1588" s="1" t="s">
        <v>18153</v>
      </c>
      <c r="Y1588" s="1" t="s">
        <v>2104</v>
      </c>
      <c r="Z1588" s="1" t="s">
        <v>559</v>
      </c>
      <c r="AA1588" s="1" t="s">
        <v>18153</v>
      </c>
      <c r="AB1588" s="1" t="s">
        <v>2104</v>
      </c>
      <c r="AC1588" s="1" t="s">
        <v>559</v>
      </c>
      <c r="AD1588" s="1">
        <v>9.13</v>
      </c>
      <c r="AE1588" s="1" t="s">
        <v>93</v>
      </c>
      <c r="AF1588" s="1" t="s">
        <v>18154</v>
      </c>
      <c r="AG1588" s="1" t="s">
        <v>18155</v>
      </c>
      <c r="AH1588" s="1" t="s">
        <v>165</v>
      </c>
      <c r="AI1588" s="1" t="s">
        <v>281</v>
      </c>
      <c r="AJ1588" s="1">
        <v>87.2</v>
      </c>
      <c r="AK1588" s="1"/>
      <c r="AL1588" s="1" t="s">
        <v>18154</v>
      </c>
      <c r="AM1588" s="1" t="s">
        <v>18155</v>
      </c>
      <c r="AN1588" s="1" t="s">
        <v>433</v>
      </c>
      <c r="AO1588" s="1" t="s">
        <v>590</v>
      </c>
      <c r="AP1588" s="1">
        <v>57.66</v>
      </c>
      <c r="AQ1588" s="1"/>
      <c r="AR1588" s="1"/>
      <c r="AS1588" s="1"/>
      <c r="AT1588" s="1"/>
      <c r="AU1588" s="1"/>
      <c r="AV1588" s="1"/>
      <c r="AW1588" s="1"/>
      <c r="AX1588" s="1" t="s">
        <v>564</v>
      </c>
      <c r="AY1588" s="1" t="s">
        <v>18156</v>
      </c>
      <c r="AZ1588" s="1" t="s">
        <v>1019</v>
      </c>
      <c r="BA1588" s="1" t="s">
        <v>1292</v>
      </c>
      <c r="BB1588" s="1">
        <v>78.9</v>
      </c>
      <c r="BC1588" s="1">
        <v>7.89</v>
      </c>
      <c r="BD1588" s="1"/>
      <c r="BE1588" s="1"/>
      <c r="BF1588" s="1"/>
      <c r="BG1588" s="1"/>
      <c r="BH1588" s="1"/>
      <c r="BI1588" s="1"/>
      <c r="BJ1588" s="1" t="s">
        <v>18157</v>
      </c>
      <c r="BK1588" s="1" t="s">
        <v>18158</v>
      </c>
      <c r="BL1588" s="1" t="s">
        <v>287</v>
      </c>
      <c r="BM1588" s="1" t="s">
        <v>18159</v>
      </c>
      <c r="BN1588" s="1">
        <v>13</v>
      </c>
      <c r="BO1588" s="1" t="s">
        <v>18160</v>
      </c>
      <c r="BP1588" s="1" t="str">
        <f>HYPERLINK("https://nconnect.nicmar.ac.in/storage/profile/ProfilePhoto_P25702143_642159.jpg","Download")</f>
        <v>0</v>
      </c>
      <c r="BQ1588" s="3"/>
      <c r="BR1588" s="3"/>
    </row>
    <row r="1589" spans="1:70">
      <c r="A1589" s="1" t="s">
        <v>14387</v>
      </c>
      <c r="B1589" s="1" t="s">
        <v>441</v>
      </c>
      <c r="C1589" s="1" t="s">
        <v>18161</v>
      </c>
      <c r="D1589" s="1" t="s">
        <v>13541</v>
      </c>
      <c r="E1589" s="1" t="s">
        <v>3512</v>
      </c>
      <c r="F1589" s="1" t="s">
        <v>18162</v>
      </c>
      <c r="G1589" s="1" t="s">
        <v>18163</v>
      </c>
      <c r="H1589" s="1" t="s">
        <v>18164</v>
      </c>
      <c r="I1589" s="1" t="s">
        <v>18165</v>
      </c>
      <c r="J1589" s="1">
        <v>9158030985</v>
      </c>
      <c r="K1589" s="1" t="s">
        <v>79</v>
      </c>
      <c r="L1589" s="1" t="s">
        <v>7421</v>
      </c>
      <c r="M1589" s="1" t="s">
        <v>81</v>
      </c>
      <c r="N1589" s="1" t="s">
        <v>18166</v>
      </c>
      <c r="O1589" s="1" t="s">
        <v>18167</v>
      </c>
      <c r="P1589" s="1" t="s">
        <v>1007</v>
      </c>
      <c r="Q1589" s="1" t="s">
        <v>18168</v>
      </c>
      <c r="R1589" s="1" t="s">
        <v>18169</v>
      </c>
      <c r="S1589" s="1">
        <v>9860524715</v>
      </c>
      <c r="T1589" s="1" t="s">
        <v>632</v>
      </c>
      <c r="U1589" s="1" t="s">
        <v>18170</v>
      </c>
      <c r="V1589" s="1">
        <v>7823891874</v>
      </c>
      <c r="W1589" s="1" t="s">
        <v>156</v>
      </c>
      <c r="X1589" s="1" t="s">
        <v>18171</v>
      </c>
      <c r="Y1589" s="1" t="s">
        <v>191</v>
      </c>
      <c r="Z1589" s="1" t="s">
        <v>92</v>
      </c>
      <c r="AA1589" s="1" t="s">
        <v>18171</v>
      </c>
      <c r="AB1589" s="1" t="s">
        <v>191</v>
      </c>
      <c r="AC1589" s="1" t="s">
        <v>92</v>
      </c>
      <c r="AD1589" s="1">
        <v>6.79</v>
      </c>
      <c r="AE1589" s="1" t="s">
        <v>93</v>
      </c>
      <c r="AF1589" s="1" t="s">
        <v>18172</v>
      </c>
      <c r="AG1589" s="1" t="s">
        <v>18173</v>
      </c>
      <c r="AH1589" s="1" t="s">
        <v>165</v>
      </c>
      <c r="AI1589" s="1" t="s">
        <v>281</v>
      </c>
      <c r="AJ1589" s="1">
        <v>63.2</v>
      </c>
      <c r="AK1589" s="1"/>
      <c r="AL1589" s="1"/>
      <c r="AM1589" s="1"/>
      <c r="AN1589" s="1"/>
      <c r="AO1589" s="1"/>
      <c r="AP1589" s="1"/>
      <c r="AQ1589" s="1"/>
      <c r="AR1589" s="1" t="s">
        <v>98</v>
      </c>
      <c r="AS1589" s="1" t="s">
        <v>18174</v>
      </c>
      <c r="AT1589" s="1" t="s">
        <v>1043</v>
      </c>
      <c r="AU1589" s="1" t="s">
        <v>135</v>
      </c>
      <c r="AV1589" s="1">
        <v>71.16</v>
      </c>
      <c r="AW1589" s="1"/>
      <c r="AX1589" s="1" t="s">
        <v>361</v>
      </c>
      <c r="AY1589" s="1" t="s">
        <v>18175</v>
      </c>
      <c r="AZ1589" s="1" t="s">
        <v>1864</v>
      </c>
      <c r="BA1589" s="1" t="s">
        <v>5282</v>
      </c>
      <c r="BB1589" s="1">
        <v>56.85</v>
      </c>
      <c r="BC1589" s="1">
        <v>6.12</v>
      </c>
      <c r="BD1589" s="1"/>
      <c r="BE1589" s="1"/>
      <c r="BF1589" s="1"/>
      <c r="BG1589" s="1"/>
      <c r="BH1589" s="1"/>
      <c r="BI1589" s="1"/>
      <c r="BJ1589" s="1" t="s">
        <v>895</v>
      </c>
      <c r="BK1589" s="1"/>
      <c r="BL1589" s="1"/>
      <c r="BM1589" s="1" t="s">
        <v>18176</v>
      </c>
      <c r="BN1589" s="1">
        <v>30</v>
      </c>
      <c r="BO1589" s="1"/>
      <c r="BP1589" s="1" t="str">
        <f>HYPERLINK("https://nconnect.nicmar.ac.in/storage/profile/ProfilePhoto_P25702144_513879.jpg","Download")</f>
        <v>0</v>
      </c>
      <c r="BQ1589" s="3"/>
      <c r="BR1589" s="3"/>
    </row>
    <row r="1590" spans="1:70">
      <c r="A1590" s="1" t="s">
        <v>14387</v>
      </c>
      <c r="B1590" s="1" t="s">
        <v>441</v>
      </c>
      <c r="C1590" s="1" t="s">
        <v>18177</v>
      </c>
      <c r="D1590" s="1" t="s">
        <v>18178</v>
      </c>
      <c r="E1590" s="1" t="s">
        <v>11033</v>
      </c>
      <c r="F1590" s="1" t="s">
        <v>1155</v>
      </c>
      <c r="G1590" s="1" t="s">
        <v>18179</v>
      </c>
      <c r="H1590" s="1" t="s">
        <v>18180</v>
      </c>
      <c r="I1590" s="1" t="s">
        <v>18181</v>
      </c>
      <c r="J1590" s="1">
        <v>8421897944</v>
      </c>
      <c r="K1590" s="1" t="s">
        <v>148</v>
      </c>
      <c r="L1590" s="1" t="s">
        <v>2821</v>
      </c>
      <c r="M1590" s="1" t="s">
        <v>81</v>
      </c>
      <c r="N1590" s="1" t="s">
        <v>751</v>
      </c>
      <c r="O1590" s="1"/>
      <c r="P1590" s="1" t="s">
        <v>472</v>
      </c>
      <c r="Q1590" s="1" t="s">
        <v>18182</v>
      </c>
      <c r="R1590" s="1" t="s">
        <v>1155</v>
      </c>
      <c r="S1590" s="1">
        <v>9421894505</v>
      </c>
      <c r="T1590" s="1" t="s">
        <v>2344</v>
      </c>
      <c r="U1590" s="1" t="s">
        <v>6757</v>
      </c>
      <c r="V1590" s="1">
        <v>9421899543</v>
      </c>
      <c r="W1590" s="1" t="s">
        <v>156</v>
      </c>
      <c r="X1590" s="1" t="s">
        <v>18183</v>
      </c>
      <c r="Y1590" s="1" t="s">
        <v>219</v>
      </c>
      <c r="Z1590" s="1" t="s">
        <v>92</v>
      </c>
      <c r="AA1590" s="1" t="s">
        <v>18183</v>
      </c>
      <c r="AB1590" s="1" t="s">
        <v>219</v>
      </c>
      <c r="AC1590" s="1" t="s">
        <v>92</v>
      </c>
      <c r="AD1590" s="1">
        <v>7.87</v>
      </c>
      <c r="AE1590" s="1" t="s">
        <v>93</v>
      </c>
      <c r="AF1590" s="1" t="s">
        <v>18184</v>
      </c>
      <c r="AG1590" s="1" t="s">
        <v>616</v>
      </c>
      <c r="AH1590" s="1" t="s">
        <v>96</v>
      </c>
      <c r="AI1590" s="1" t="s">
        <v>97</v>
      </c>
      <c r="AJ1590" s="1">
        <v>91.2</v>
      </c>
      <c r="AK1590" s="1"/>
      <c r="AL1590" s="1" t="s">
        <v>12737</v>
      </c>
      <c r="AM1590" s="1" t="s">
        <v>616</v>
      </c>
      <c r="AN1590" s="1" t="s">
        <v>162</v>
      </c>
      <c r="AO1590" s="1" t="s">
        <v>508</v>
      </c>
      <c r="AP1590" s="1">
        <v>70.31</v>
      </c>
      <c r="AQ1590" s="1"/>
      <c r="AR1590" s="1"/>
      <c r="AS1590" s="1"/>
      <c r="AT1590" s="1"/>
      <c r="AU1590" s="1"/>
      <c r="AV1590" s="1"/>
      <c r="AW1590" s="1"/>
      <c r="AX1590" s="1" t="s">
        <v>10842</v>
      </c>
      <c r="AY1590" s="1" t="s">
        <v>18185</v>
      </c>
      <c r="AZ1590" s="1" t="s">
        <v>383</v>
      </c>
      <c r="BA1590" s="1" t="s">
        <v>386</v>
      </c>
      <c r="BB1590" s="1">
        <v>65.55</v>
      </c>
      <c r="BC1590" s="1">
        <v>6.91</v>
      </c>
      <c r="BD1590" s="1"/>
      <c r="BE1590" s="1"/>
      <c r="BF1590" s="1"/>
      <c r="BG1590" s="1"/>
      <c r="BH1590" s="1"/>
      <c r="BI1590" s="1"/>
      <c r="BJ1590" s="1" t="s">
        <v>18186</v>
      </c>
      <c r="BK1590" s="1"/>
      <c r="BL1590" s="1"/>
      <c r="BM1590" s="1" t="s">
        <v>18187</v>
      </c>
      <c r="BN1590" s="1">
        <v>9</v>
      </c>
      <c r="BO1590" s="1" t="s">
        <v>18188</v>
      </c>
      <c r="BP1590" s="1" t="str">
        <f>HYPERLINK("https://nconnect.nicmar.ac.in/storage/profile/ProfilePhoto_P25702145_537219.jpg","Download")</f>
        <v>0</v>
      </c>
      <c r="BQ1590" s="3"/>
      <c r="BR1590" s="3"/>
    </row>
    <row r="1591" spans="1:70">
      <c r="A1591" s="1" t="s">
        <v>14387</v>
      </c>
      <c r="B1591" s="1" t="s">
        <v>441</v>
      </c>
      <c r="C1591" s="1" t="s">
        <v>18189</v>
      </c>
      <c r="D1591" s="1" t="s">
        <v>7656</v>
      </c>
      <c r="E1591" s="1"/>
      <c r="F1591" s="1" t="s">
        <v>18190</v>
      </c>
      <c r="G1591" s="1" t="s">
        <v>18191</v>
      </c>
      <c r="H1591" s="1" t="s">
        <v>18192</v>
      </c>
      <c r="I1591" s="1" t="s">
        <v>18193</v>
      </c>
      <c r="J1591" s="1">
        <v>9140953092</v>
      </c>
      <c r="K1591" s="1" t="s">
        <v>79</v>
      </c>
      <c r="L1591" s="1" t="s">
        <v>3185</v>
      </c>
      <c r="M1591" s="1" t="s">
        <v>81</v>
      </c>
      <c r="N1591" s="1" t="s">
        <v>82</v>
      </c>
      <c r="O1591" s="1"/>
      <c r="P1591" s="1" t="s">
        <v>656</v>
      </c>
      <c r="Q1591" s="1" t="s">
        <v>18194</v>
      </c>
      <c r="R1591" s="1" t="s">
        <v>18195</v>
      </c>
      <c r="S1591" s="1">
        <v>7052931127</v>
      </c>
      <c r="T1591" s="1" t="s">
        <v>2344</v>
      </c>
      <c r="U1591" s="1" t="s">
        <v>301</v>
      </c>
      <c r="V1591" s="1">
        <v>7052931127</v>
      </c>
      <c r="W1591" s="1" t="s">
        <v>156</v>
      </c>
      <c r="X1591" s="1" t="s">
        <v>18196</v>
      </c>
      <c r="Y1591" s="1" t="s">
        <v>1038</v>
      </c>
      <c r="Z1591" s="1" t="s">
        <v>534</v>
      </c>
      <c r="AA1591" s="1" t="s">
        <v>18196</v>
      </c>
      <c r="AB1591" s="1" t="s">
        <v>1038</v>
      </c>
      <c r="AC1591" s="1" t="s">
        <v>534</v>
      </c>
      <c r="AD1591" s="1">
        <v>7.19</v>
      </c>
      <c r="AE1591" s="1" t="s">
        <v>93</v>
      </c>
      <c r="AF1591" s="1" t="s">
        <v>18197</v>
      </c>
      <c r="AG1591" s="1" t="s">
        <v>18198</v>
      </c>
      <c r="AH1591" s="1" t="s">
        <v>1088</v>
      </c>
      <c r="AI1591" s="1" t="s">
        <v>165</v>
      </c>
      <c r="AJ1591" s="1">
        <v>57</v>
      </c>
      <c r="AK1591" s="1">
        <v>6</v>
      </c>
      <c r="AL1591" s="1" t="s">
        <v>18199</v>
      </c>
      <c r="AM1591" s="1" t="s">
        <v>18200</v>
      </c>
      <c r="AN1591" s="1" t="s">
        <v>689</v>
      </c>
      <c r="AO1591" s="1" t="s">
        <v>537</v>
      </c>
      <c r="AP1591" s="1">
        <v>59.4</v>
      </c>
      <c r="AQ1591" s="1"/>
      <c r="AR1591" s="1"/>
      <c r="AS1591" s="1"/>
      <c r="AT1591" s="1"/>
      <c r="AU1591" s="1"/>
      <c r="AV1591" s="1"/>
      <c r="AW1591" s="1"/>
      <c r="AX1591" s="1" t="s">
        <v>18201</v>
      </c>
      <c r="AY1591" s="1" t="s">
        <v>18202</v>
      </c>
      <c r="AZ1591" s="1" t="s">
        <v>310</v>
      </c>
      <c r="BA1591" s="1" t="s">
        <v>174</v>
      </c>
      <c r="BB1591" s="1">
        <v>74.48</v>
      </c>
      <c r="BC1591" s="1"/>
      <c r="BD1591" s="1"/>
      <c r="BE1591" s="1"/>
      <c r="BF1591" s="1"/>
      <c r="BG1591" s="1"/>
      <c r="BH1591" s="1"/>
      <c r="BI1591" s="1"/>
      <c r="BJ1591" s="1" t="s">
        <v>18203</v>
      </c>
      <c r="BK1591" s="1"/>
      <c r="BL1591" s="1"/>
      <c r="BM1591" s="1" t="s">
        <v>18204</v>
      </c>
      <c r="BN1591" s="1">
        <v>42</v>
      </c>
      <c r="BO1591" s="1" t="s">
        <v>18205</v>
      </c>
      <c r="BP1591" s="1" t="str">
        <f>HYPERLINK("https://nconnect.nicmar.ac.in/storage/profile/ProfilePhoto_P25702146_286534.jpg","Download")</f>
        <v>0</v>
      </c>
      <c r="BQ1591" s="3"/>
      <c r="BR1591" s="3"/>
    </row>
    <row r="1592" spans="1:70">
      <c r="A1592" s="1" t="s">
        <v>14387</v>
      </c>
      <c r="B1592" s="1" t="s">
        <v>441</v>
      </c>
      <c r="C1592" s="1" t="s">
        <v>18206</v>
      </c>
      <c r="D1592" s="1" t="s">
        <v>314</v>
      </c>
      <c r="E1592" s="1" t="s">
        <v>3512</v>
      </c>
      <c r="F1592" s="1" t="s">
        <v>7079</v>
      </c>
      <c r="G1592" s="1" t="s">
        <v>18207</v>
      </c>
      <c r="H1592" s="1" t="s">
        <v>18208</v>
      </c>
      <c r="I1592" s="1" t="s">
        <v>18209</v>
      </c>
      <c r="J1592" s="1">
        <v>9559409990</v>
      </c>
      <c r="K1592" s="1" t="s">
        <v>79</v>
      </c>
      <c r="L1592" s="1" t="s">
        <v>18210</v>
      </c>
      <c r="M1592" s="1" t="s">
        <v>81</v>
      </c>
      <c r="N1592" s="1" t="s">
        <v>751</v>
      </c>
      <c r="O1592" s="1"/>
      <c r="P1592" s="1" t="s">
        <v>450</v>
      </c>
      <c r="Q1592" s="1" t="s">
        <v>18211</v>
      </c>
      <c r="R1592" s="1" t="s">
        <v>18212</v>
      </c>
      <c r="S1592" s="1">
        <v>7020554242</v>
      </c>
      <c r="T1592" s="1" t="s">
        <v>820</v>
      </c>
      <c r="U1592" s="1" t="s">
        <v>18213</v>
      </c>
      <c r="V1592" s="1">
        <v>7020942494</v>
      </c>
      <c r="W1592" s="1" t="s">
        <v>156</v>
      </c>
      <c r="X1592" s="1" t="s">
        <v>18214</v>
      </c>
      <c r="Y1592" s="1" t="s">
        <v>304</v>
      </c>
      <c r="Z1592" s="1" t="s">
        <v>92</v>
      </c>
      <c r="AA1592" s="1" t="s">
        <v>18214</v>
      </c>
      <c r="AB1592" s="1" t="s">
        <v>304</v>
      </c>
      <c r="AC1592" s="1" t="s">
        <v>92</v>
      </c>
      <c r="AD1592" s="1">
        <v>7.77</v>
      </c>
      <c r="AE1592" s="1" t="s">
        <v>93</v>
      </c>
      <c r="AF1592" s="1" t="s">
        <v>18215</v>
      </c>
      <c r="AG1592" s="1" t="s">
        <v>18216</v>
      </c>
      <c r="AH1592" s="1" t="s">
        <v>1374</v>
      </c>
      <c r="AI1592" s="1" t="s">
        <v>165</v>
      </c>
      <c r="AJ1592" s="1">
        <v>56.8</v>
      </c>
      <c r="AK1592" s="1">
        <v>0</v>
      </c>
      <c r="AL1592" s="1" t="s">
        <v>18217</v>
      </c>
      <c r="AM1592" s="1" t="s">
        <v>197</v>
      </c>
      <c r="AN1592" s="1" t="s">
        <v>1043</v>
      </c>
      <c r="AO1592" s="1" t="s">
        <v>198</v>
      </c>
      <c r="AP1592" s="1">
        <v>61.54</v>
      </c>
      <c r="AQ1592" s="1">
        <v>0</v>
      </c>
      <c r="AR1592" s="1" t="s">
        <v>98</v>
      </c>
      <c r="AS1592" s="1" t="s">
        <v>18218</v>
      </c>
      <c r="AT1592" s="1" t="s">
        <v>310</v>
      </c>
      <c r="AU1592" s="1" t="s">
        <v>828</v>
      </c>
      <c r="AV1592" s="1">
        <v>78.78</v>
      </c>
      <c r="AW1592" s="1">
        <v>0</v>
      </c>
      <c r="AX1592" s="1" t="s">
        <v>18219</v>
      </c>
      <c r="AY1592" s="1" t="s">
        <v>18220</v>
      </c>
      <c r="AZ1592" s="1" t="s">
        <v>436</v>
      </c>
      <c r="BA1592" s="1" t="s">
        <v>1067</v>
      </c>
      <c r="BB1592" s="1">
        <v>65.8</v>
      </c>
      <c r="BC1592" s="1">
        <v>7.08</v>
      </c>
      <c r="BD1592" s="1"/>
      <c r="BE1592" s="1"/>
      <c r="BF1592" s="1"/>
      <c r="BG1592" s="1"/>
      <c r="BH1592" s="1"/>
      <c r="BI1592" s="1"/>
      <c r="BJ1592" s="1" t="s">
        <v>3326</v>
      </c>
      <c r="BK1592" s="1"/>
      <c r="BL1592" s="1"/>
      <c r="BM1592" s="1" t="s">
        <v>18221</v>
      </c>
      <c r="BN1592" s="1">
        <v>8</v>
      </c>
      <c r="BO1592" s="1" t="s">
        <v>18222</v>
      </c>
      <c r="BP1592" s="1" t="str">
        <f>HYPERLINK("https://nconnect.nicmar.ac.in/storage/profile/ProfilePhoto_P25702147_251638.jpg","Download")</f>
        <v>0</v>
      </c>
      <c r="BQ1592" s="3"/>
      <c r="BR1592" s="3"/>
    </row>
    <row r="1593" spans="1:70">
      <c r="A1593" s="1" t="s">
        <v>14387</v>
      </c>
      <c r="B1593" s="1" t="s">
        <v>441</v>
      </c>
      <c r="C1593" s="1" t="s">
        <v>18223</v>
      </c>
      <c r="D1593" s="1" t="s">
        <v>2838</v>
      </c>
      <c r="E1593" s="1" t="s">
        <v>18224</v>
      </c>
      <c r="F1593" s="1" t="s">
        <v>18225</v>
      </c>
      <c r="G1593" s="1" t="s">
        <v>18226</v>
      </c>
      <c r="H1593" s="1" t="s">
        <v>18227</v>
      </c>
      <c r="I1593" s="1" t="s">
        <v>18228</v>
      </c>
      <c r="J1593" s="1">
        <v>9112433201</v>
      </c>
      <c r="K1593" s="1" t="s">
        <v>79</v>
      </c>
      <c r="L1593" s="1" t="s">
        <v>18229</v>
      </c>
      <c r="M1593" s="1" t="s">
        <v>81</v>
      </c>
      <c r="N1593" s="1" t="s">
        <v>13444</v>
      </c>
      <c r="O1593" s="1" t="s">
        <v>18230</v>
      </c>
      <c r="P1593" s="1" t="s">
        <v>497</v>
      </c>
      <c r="Q1593" s="1" t="s">
        <v>18231</v>
      </c>
      <c r="R1593" s="1" t="s">
        <v>18224</v>
      </c>
      <c r="S1593" s="1">
        <v>9373114757</v>
      </c>
      <c r="T1593" s="1" t="s">
        <v>820</v>
      </c>
      <c r="U1593" s="1" t="s">
        <v>18232</v>
      </c>
      <c r="V1593" s="1">
        <v>8329403779</v>
      </c>
      <c r="W1593" s="1" t="s">
        <v>273</v>
      </c>
      <c r="X1593" s="1" t="s">
        <v>18233</v>
      </c>
      <c r="Y1593" s="1" t="s">
        <v>191</v>
      </c>
      <c r="Z1593" s="1" t="s">
        <v>92</v>
      </c>
      <c r="AA1593" s="1" t="s">
        <v>18234</v>
      </c>
      <c r="AB1593" s="1" t="s">
        <v>405</v>
      </c>
      <c r="AC1593" s="1" t="s">
        <v>92</v>
      </c>
      <c r="AD1593" s="1">
        <v>7.9</v>
      </c>
      <c r="AE1593" s="1" t="s">
        <v>93</v>
      </c>
      <c r="AF1593" s="1" t="s">
        <v>18235</v>
      </c>
      <c r="AG1593" s="1" t="s">
        <v>18236</v>
      </c>
      <c r="AH1593" s="1" t="s">
        <v>165</v>
      </c>
      <c r="AI1593" s="1" t="s">
        <v>101</v>
      </c>
      <c r="AJ1593" s="1">
        <v>86.8</v>
      </c>
      <c r="AK1593" s="1"/>
      <c r="AL1593" s="1"/>
      <c r="AM1593" s="1"/>
      <c r="AN1593" s="1"/>
      <c r="AO1593" s="1"/>
      <c r="AP1593" s="1"/>
      <c r="AQ1593" s="1"/>
      <c r="AR1593" s="1" t="s">
        <v>98</v>
      </c>
      <c r="AS1593" s="1" t="s">
        <v>8375</v>
      </c>
      <c r="AT1593" s="1" t="s">
        <v>1043</v>
      </c>
      <c r="AU1593" s="1" t="s">
        <v>105</v>
      </c>
      <c r="AV1593" s="1">
        <v>82.05</v>
      </c>
      <c r="AW1593" s="1"/>
      <c r="AX1593" s="1" t="s">
        <v>4784</v>
      </c>
      <c r="AY1593" s="1" t="s">
        <v>10813</v>
      </c>
      <c r="AZ1593" s="1" t="s">
        <v>1864</v>
      </c>
      <c r="BA1593" s="1" t="s">
        <v>829</v>
      </c>
      <c r="BB1593" s="1">
        <v>59.3</v>
      </c>
      <c r="BC1593" s="1">
        <v>6.68</v>
      </c>
      <c r="BD1593" s="1"/>
      <c r="BE1593" s="1"/>
      <c r="BF1593" s="1"/>
      <c r="BG1593" s="1"/>
      <c r="BH1593" s="1"/>
      <c r="BI1593" s="1"/>
      <c r="BJ1593" s="1" t="s">
        <v>18237</v>
      </c>
      <c r="BK1593" s="1"/>
      <c r="BL1593" s="1"/>
      <c r="BM1593" s="1" t="s">
        <v>18238</v>
      </c>
      <c r="BN1593" s="1">
        <v>31</v>
      </c>
      <c r="BO1593" s="1" t="s">
        <v>18239</v>
      </c>
      <c r="BP1593" s="1" t="str">
        <f>HYPERLINK("https://nconnect.nicmar.ac.in/storage/profile/ProfilePhoto_P25702148_256413.jpg","Download")</f>
        <v>0</v>
      </c>
      <c r="BQ1593" s="3"/>
      <c r="BR1593" s="3"/>
    </row>
    <row r="1594" spans="1:70">
      <c r="A1594" s="1" t="s">
        <v>14387</v>
      </c>
      <c r="B1594" s="1" t="s">
        <v>441</v>
      </c>
      <c r="C1594" s="1" t="s">
        <v>18240</v>
      </c>
      <c r="D1594" s="1" t="s">
        <v>18241</v>
      </c>
      <c r="E1594" s="1" t="s">
        <v>9011</v>
      </c>
      <c r="F1594" s="1" t="s">
        <v>18242</v>
      </c>
      <c r="G1594" s="1" t="s">
        <v>18243</v>
      </c>
      <c r="H1594" s="1" t="s">
        <v>18244</v>
      </c>
      <c r="I1594" s="1" t="s">
        <v>18245</v>
      </c>
      <c r="J1594" s="1">
        <v>9423963810</v>
      </c>
      <c r="K1594" s="1" t="s">
        <v>148</v>
      </c>
      <c r="L1594" s="1" t="s">
        <v>15111</v>
      </c>
      <c r="M1594" s="1" t="s">
        <v>81</v>
      </c>
      <c r="N1594" s="1" t="s">
        <v>7455</v>
      </c>
      <c r="O1594" s="1"/>
      <c r="P1594" s="1" t="s">
        <v>472</v>
      </c>
      <c r="Q1594" s="1" t="s">
        <v>18246</v>
      </c>
      <c r="R1594" s="1" t="s">
        <v>18247</v>
      </c>
      <c r="S1594" s="1">
        <v>8600040181</v>
      </c>
      <c r="T1594" s="1" t="s">
        <v>820</v>
      </c>
      <c r="U1594" s="1" t="s">
        <v>18248</v>
      </c>
      <c r="V1594" s="1">
        <v>8600040182</v>
      </c>
      <c r="W1594" s="1" t="s">
        <v>820</v>
      </c>
      <c r="X1594" s="1" t="s">
        <v>18249</v>
      </c>
      <c r="Y1594" s="1" t="s">
        <v>191</v>
      </c>
      <c r="Z1594" s="1" t="s">
        <v>92</v>
      </c>
      <c r="AA1594" s="1" t="s">
        <v>18250</v>
      </c>
      <c r="AB1594" s="1" t="s">
        <v>890</v>
      </c>
      <c r="AC1594" s="1" t="s">
        <v>92</v>
      </c>
      <c r="AD1594" s="1">
        <v>8.48</v>
      </c>
      <c r="AE1594" s="1" t="s">
        <v>93</v>
      </c>
      <c r="AF1594" s="1" t="s">
        <v>18251</v>
      </c>
      <c r="AG1594" s="1" t="s">
        <v>307</v>
      </c>
      <c r="AH1594" s="1" t="s">
        <v>165</v>
      </c>
      <c r="AI1594" s="1" t="s">
        <v>166</v>
      </c>
      <c r="AJ1594" s="1">
        <v>79.2</v>
      </c>
      <c r="AK1594" s="1"/>
      <c r="AL1594" s="1" t="s">
        <v>18252</v>
      </c>
      <c r="AM1594" s="1" t="s">
        <v>160</v>
      </c>
      <c r="AN1594" s="1" t="s">
        <v>198</v>
      </c>
      <c r="AO1594" s="1" t="s">
        <v>360</v>
      </c>
      <c r="AP1594" s="1">
        <v>74.77</v>
      </c>
      <c r="AQ1594" s="1"/>
      <c r="AR1594" s="1"/>
      <c r="AS1594" s="1"/>
      <c r="AT1594" s="1"/>
      <c r="AU1594" s="1"/>
      <c r="AV1594" s="1"/>
      <c r="AW1594" s="1"/>
      <c r="AX1594" s="1" t="s">
        <v>361</v>
      </c>
      <c r="AY1594" s="1" t="s">
        <v>14413</v>
      </c>
      <c r="AZ1594" s="1" t="s">
        <v>1169</v>
      </c>
      <c r="BA1594" s="1" t="s">
        <v>829</v>
      </c>
      <c r="BB1594" s="1">
        <v>58.9</v>
      </c>
      <c r="BC1594" s="1"/>
      <c r="BD1594" s="1"/>
      <c r="BE1594" s="1"/>
      <c r="BF1594" s="1"/>
      <c r="BG1594" s="1"/>
      <c r="BH1594" s="1"/>
      <c r="BI1594" s="1"/>
      <c r="BJ1594" s="1" t="s">
        <v>830</v>
      </c>
      <c r="BK1594" s="1"/>
      <c r="BL1594" s="1"/>
      <c r="BM1594" s="1" t="s">
        <v>18253</v>
      </c>
      <c r="BN1594" s="1">
        <v>28</v>
      </c>
      <c r="BO1594" s="1" t="s">
        <v>18254</v>
      </c>
      <c r="BP1594" s="1" t="str">
        <f>HYPERLINK("https://nconnect.nicmar.ac.in/storage/profile/ProfilePhoto_P25702150_823791.jpg","Download")</f>
        <v>0</v>
      </c>
      <c r="BQ1594" s="3"/>
      <c r="BR1594" s="3"/>
    </row>
    <row r="1595" spans="1:70">
      <c r="A1595" s="1" t="s">
        <v>14387</v>
      </c>
      <c r="B1595" s="1" t="s">
        <v>441</v>
      </c>
      <c r="C1595" s="1" t="s">
        <v>18255</v>
      </c>
      <c r="D1595" s="1" t="s">
        <v>18256</v>
      </c>
      <c r="E1595" s="1" t="s">
        <v>1272</v>
      </c>
      <c r="F1595" s="1" t="s">
        <v>18257</v>
      </c>
      <c r="G1595" s="1" t="s">
        <v>18258</v>
      </c>
      <c r="H1595" s="1" t="s">
        <v>18259</v>
      </c>
      <c r="I1595" s="1" t="s">
        <v>18260</v>
      </c>
      <c r="J1595" s="1">
        <v>8888645609</v>
      </c>
      <c r="K1595" s="1" t="s">
        <v>79</v>
      </c>
      <c r="L1595" s="1" t="s">
        <v>18261</v>
      </c>
      <c r="M1595" s="1" t="s">
        <v>81</v>
      </c>
      <c r="N1595" s="1" t="s">
        <v>605</v>
      </c>
      <c r="O1595" s="1"/>
      <c r="P1595" s="1" t="s">
        <v>450</v>
      </c>
      <c r="Q1595" s="1" t="s">
        <v>18262</v>
      </c>
      <c r="R1595" s="1" t="s">
        <v>18263</v>
      </c>
      <c r="S1595" s="1">
        <v>9371011109</v>
      </c>
      <c r="T1595" s="1" t="s">
        <v>820</v>
      </c>
      <c r="U1595" s="1" t="s">
        <v>18264</v>
      </c>
      <c r="V1595" s="1">
        <v>9325132116</v>
      </c>
      <c r="W1595" s="1" t="s">
        <v>156</v>
      </c>
      <c r="X1595" s="1" t="s">
        <v>18265</v>
      </c>
      <c r="Y1595" s="1" t="s">
        <v>191</v>
      </c>
      <c r="Z1595" s="1" t="s">
        <v>92</v>
      </c>
      <c r="AA1595" s="1" t="s">
        <v>18265</v>
      </c>
      <c r="AB1595" s="1" t="s">
        <v>191</v>
      </c>
      <c r="AC1595" s="1" t="s">
        <v>92</v>
      </c>
      <c r="AD1595" s="1">
        <v>8.47</v>
      </c>
      <c r="AE1595" s="1" t="s">
        <v>93</v>
      </c>
      <c r="AF1595" s="1" t="s">
        <v>18266</v>
      </c>
      <c r="AG1595" s="1" t="s">
        <v>6469</v>
      </c>
      <c r="AH1595" s="1" t="s">
        <v>2130</v>
      </c>
      <c r="AI1595" s="1" t="s">
        <v>166</v>
      </c>
      <c r="AJ1595" s="1">
        <v>90.33</v>
      </c>
      <c r="AK1595" s="1"/>
      <c r="AL1595" s="1" t="s">
        <v>18267</v>
      </c>
      <c r="AM1595" s="1" t="s">
        <v>160</v>
      </c>
      <c r="AN1595" s="1" t="s">
        <v>101</v>
      </c>
      <c r="AO1595" s="1" t="s">
        <v>173</v>
      </c>
      <c r="AP1595" s="1">
        <v>80.31</v>
      </c>
      <c r="AQ1595" s="1"/>
      <c r="AR1595" s="1"/>
      <c r="AS1595" s="1"/>
      <c r="AT1595" s="1"/>
      <c r="AU1595" s="1"/>
      <c r="AV1595" s="1"/>
      <c r="AW1595" s="1"/>
      <c r="AX1595" s="1" t="s">
        <v>361</v>
      </c>
      <c r="AY1595" s="1" t="s">
        <v>8066</v>
      </c>
      <c r="AZ1595" s="1" t="s">
        <v>363</v>
      </c>
      <c r="BA1595" s="1" t="s">
        <v>413</v>
      </c>
      <c r="BB1595" s="1">
        <v>87.84</v>
      </c>
      <c r="BC1595" s="1"/>
      <c r="BD1595" s="1"/>
      <c r="BE1595" s="1"/>
      <c r="BF1595" s="1"/>
      <c r="BG1595" s="1"/>
      <c r="BH1595" s="1"/>
      <c r="BI1595" s="1"/>
      <c r="BJ1595" s="1" t="s">
        <v>3326</v>
      </c>
      <c r="BK1595" s="1" t="s">
        <v>18268</v>
      </c>
      <c r="BL1595" s="1" t="s">
        <v>2089</v>
      </c>
      <c r="BM1595" s="1"/>
      <c r="BN1595" s="1"/>
      <c r="BO1595" s="1" t="s">
        <v>18269</v>
      </c>
      <c r="BP1595" s="1" t="str">
        <f>HYPERLINK("https://nconnect.nicmar.ac.in/storage/profile/ProfilePhoto_P25702151_527439.jpg","Download")</f>
        <v>0</v>
      </c>
      <c r="BQ1595" s="3"/>
      <c r="BR1595" s="3"/>
    </row>
    <row r="1596" spans="1:70">
      <c r="A1596" s="1" t="s">
        <v>14387</v>
      </c>
      <c r="B1596" s="1" t="s">
        <v>441</v>
      </c>
      <c r="C1596" s="1" t="s">
        <v>18270</v>
      </c>
      <c r="D1596" s="1" t="s">
        <v>18271</v>
      </c>
      <c r="E1596" s="1" t="s">
        <v>18272</v>
      </c>
      <c r="F1596" s="1" t="s">
        <v>18273</v>
      </c>
      <c r="G1596" s="1" t="s">
        <v>18274</v>
      </c>
      <c r="H1596" s="1" t="s">
        <v>18275</v>
      </c>
      <c r="I1596" s="1" t="s">
        <v>18276</v>
      </c>
      <c r="J1596" s="1">
        <v>8459527261</v>
      </c>
      <c r="K1596" s="1" t="s">
        <v>79</v>
      </c>
      <c r="L1596" s="1" t="s">
        <v>18277</v>
      </c>
      <c r="M1596" s="1" t="s">
        <v>81</v>
      </c>
      <c r="N1596" s="1" t="s">
        <v>605</v>
      </c>
      <c r="O1596" s="1"/>
      <c r="P1596" s="1" t="s">
        <v>497</v>
      </c>
      <c r="Q1596" s="1" t="s">
        <v>18278</v>
      </c>
      <c r="R1596" s="1" t="s">
        <v>235</v>
      </c>
      <c r="S1596" s="1">
        <v>9921708099</v>
      </c>
      <c r="T1596" s="1" t="s">
        <v>154</v>
      </c>
      <c r="U1596" s="1" t="s">
        <v>6466</v>
      </c>
      <c r="V1596" s="1">
        <v>9921708099</v>
      </c>
      <c r="W1596" s="1" t="s">
        <v>156</v>
      </c>
      <c r="X1596" s="1" t="s">
        <v>18279</v>
      </c>
      <c r="Y1596" s="1" t="s">
        <v>379</v>
      </c>
      <c r="Z1596" s="1" t="s">
        <v>92</v>
      </c>
      <c r="AA1596" s="1" t="s">
        <v>18279</v>
      </c>
      <c r="AB1596" s="1" t="s">
        <v>379</v>
      </c>
      <c r="AC1596" s="1" t="s">
        <v>92</v>
      </c>
      <c r="AD1596" s="1">
        <v>7.61</v>
      </c>
      <c r="AE1596" s="1" t="s">
        <v>93</v>
      </c>
      <c r="AF1596" s="1" t="s">
        <v>18280</v>
      </c>
      <c r="AG1596" s="1" t="s">
        <v>160</v>
      </c>
      <c r="AH1596" s="1" t="s">
        <v>161</v>
      </c>
      <c r="AI1596" s="1" t="s">
        <v>1089</v>
      </c>
      <c r="AJ1596" s="1">
        <v>71.6</v>
      </c>
      <c r="AK1596" s="1"/>
      <c r="AL1596" s="1" t="s">
        <v>18281</v>
      </c>
      <c r="AM1596" s="1" t="s">
        <v>160</v>
      </c>
      <c r="AN1596" s="1" t="s">
        <v>165</v>
      </c>
      <c r="AO1596" s="1" t="s">
        <v>1455</v>
      </c>
      <c r="AP1596" s="1">
        <v>52.77</v>
      </c>
      <c r="AQ1596" s="1"/>
      <c r="AR1596" s="1"/>
      <c r="AS1596" s="1"/>
      <c r="AT1596" s="1"/>
      <c r="AU1596" s="1"/>
      <c r="AV1596" s="1"/>
      <c r="AW1596" s="1"/>
      <c r="AX1596" s="1" t="s">
        <v>102</v>
      </c>
      <c r="AY1596" s="1" t="s">
        <v>2739</v>
      </c>
      <c r="AZ1596" s="1" t="s">
        <v>169</v>
      </c>
      <c r="BA1596" s="1" t="s">
        <v>105</v>
      </c>
      <c r="BB1596" s="1">
        <v>73.1</v>
      </c>
      <c r="BC1596" s="1">
        <v>7.81</v>
      </c>
      <c r="BD1596" s="1"/>
      <c r="BE1596" s="1"/>
      <c r="BF1596" s="1"/>
      <c r="BG1596" s="1"/>
      <c r="BH1596" s="1"/>
      <c r="BI1596" s="1"/>
      <c r="BJ1596" s="1" t="s">
        <v>18282</v>
      </c>
      <c r="BK1596" s="1"/>
      <c r="BL1596" s="1"/>
      <c r="BM1596" s="1" t="s">
        <v>18283</v>
      </c>
      <c r="BN1596" s="1">
        <v>34</v>
      </c>
      <c r="BO1596" s="1" t="s">
        <v>18284</v>
      </c>
      <c r="BP1596" s="1" t="str">
        <f>HYPERLINK("https://nconnect.nicmar.ac.in/storage/profile/ProfilePhoto_P25702152_836721.jpg","Download")</f>
        <v>0</v>
      </c>
      <c r="BQ1596" s="3"/>
      <c r="BR1596" s="3"/>
    </row>
    <row r="1597" spans="1:70">
      <c r="A1597" s="1" t="s">
        <v>14387</v>
      </c>
      <c r="B1597" s="1" t="s">
        <v>441</v>
      </c>
      <c r="C1597" s="1" t="s">
        <v>18285</v>
      </c>
      <c r="D1597" s="1" t="s">
        <v>856</v>
      </c>
      <c r="E1597" s="1" t="s">
        <v>7532</v>
      </c>
      <c r="F1597" s="1" t="s">
        <v>18286</v>
      </c>
      <c r="G1597" s="1" t="s">
        <v>18287</v>
      </c>
      <c r="H1597" s="1" t="s">
        <v>18288</v>
      </c>
      <c r="I1597" s="1" t="s">
        <v>18289</v>
      </c>
      <c r="J1597" s="1">
        <v>8999729446</v>
      </c>
      <c r="K1597" s="1" t="s">
        <v>79</v>
      </c>
      <c r="L1597" s="1" t="s">
        <v>18290</v>
      </c>
      <c r="M1597" s="1" t="s">
        <v>81</v>
      </c>
      <c r="N1597" s="1" t="s">
        <v>751</v>
      </c>
      <c r="O1597" s="1"/>
      <c r="P1597" s="1" t="s">
        <v>656</v>
      </c>
      <c r="Q1597" s="1" t="s">
        <v>18291</v>
      </c>
      <c r="R1597" s="1" t="s">
        <v>7532</v>
      </c>
      <c r="S1597" s="1">
        <v>8999729446</v>
      </c>
      <c r="T1597" s="1" t="s">
        <v>820</v>
      </c>
      <c r="U1597" s="1" t="s">
        <v>217</v>
      </c>
      <c r="V1597" s="1">
        <v>9881023699</v>
      </c>
      <c r="W1597" s="1" t="s">
        <v>273</v>
      </c>
      <c r="X1597" s="1" t="s">
        <v>18292</v>
      </c>
      <c r="Y1597" s="1" t="s">
        <v>191</v>
      </c>
      <c r="Z1597" s="1" t="s">
        <v>92</v>
      </c>
      <c r="AA1597" s="1" t="s">
        <v>18293</v>
      </c>
      <c r="AB1597" s="1" t="s">
        <v>405</v>
      </c>
      <c r="AC1597" s="1" t="s">
        <v>92</v>
      </c>
      <c r="AD1597" s="1">
        <v>7.66</v>
      </c>
      <c r="AE1597" s="1" t="s">
        <v>93</v>
      </c>
      <c r="AF1597" s="1" t="s">
        <v>18294</v>
      </c>
      <c r="AG1597" s="1" t="s">
        <v>6469</v>
      </c>
      <c r="AH1597" s="1" t="s">
        <v>166</v>
      </c>
      <c r="AI1597" s="1" t="s">
        <v>308</v>
      </c>
      <c r="AJ1597" s="1">
        <v>81.5</v>
      </c>
      <c r="AK1597" s="1"/>
      <c r="AL1597" s="1" t="s">
        <v>18295</v>
      </c>
      <c r="AM1597" s="1" t="s">
        <v>307</v>
      </c>
      <c r="AN1597" s="1" t="s">
        <v>173</v>
      </c>
      <c r="AO1597" s="1" t="s">
        <v>539</v>
      </c>
      <c r="AP1597" s="1">
        <v>64.8</v>
      </c>
      <c r="AQ1597" s="1"/>
      <c r="AR1597" s="1"/>
      <c r="AS1597" s="1"/>
      <c r="AT1597" s="1"/>
      <c r="AU1597" s="1"/>
      <c r="AV1597" s="1"/>
      <c r="AW1597" s="1"/>
      <c r="AX1597" s="1" t="s">
        <v>410</v>
      </c>
      <c r="AY1597" s="1" t="s">
        <v>18296</v>
      </c>
      <c r="AZ1597" s="1" t="s">
        <v>619</v>
      </c>
      <c r="BA1597" s="1" t="s">
        <v>543</v>
      </c>
      <c r="BB1597" s="1">
        <v>61.8</v>
      </c>
      <c r="BC1597" s="1">
        <v>6.93</v>
      </c>
      <c r="BD1597" s="1"/>
      <c r="BE1597" s="1"/>
      <c r="BF1597" s="1"/>
      <c r="BG1597" s="1"/>
      <c r="BH1597" s="1"/>
      <c r="BI1597" s="1"/>
      <c r="BJ1597" s="1" t="s">
        <v>3326</v>
      </c>
      <c r="BK1597" s="1"/>
      <c r="BL1597" s="1"/>
      <c r="BM1597" s="1" t="s">
        <v>18297</v>
      </c>
      <c r="BN1597" s="1">
        <v>22</v>
      </c>
      <c r="BO1597" s="1"/>
      <c r="BP1597" s="1" t="str">
        <f>HYPERLINK("https://nconnect.nicmar.ac.in/storage/profile/ProfilePhoto_P25702153_428956.jpg","Download")</f>
        <v>0</v>
      </c>
      <c r="BQ1597" s="3"/>
      <c r="BR1597" s="3"/>
    </row>
    <row r="1598" spans="1:70">
      <c r="A1598" s="1" t="s">
        <v>16711</v>
      </c>
      <c r="B1598" s="1" t="s">
        <v>441</v>
      </c>
      <c r="C1598" s="1" t="s">
        <v>18298</v>
      </c>
      <c r="D1598" s="1" t="s">
        <v>18299</v>
      </c>
      <c r="E1598" s="1" t="s">
        <v>3658</v>
      </c>
      <c r="F1598" s="1" t="s">
        <v>1156</v>
      </c>
      <c r="G1598" s="1" t="s">
        <v>18300</v>
      </c>
      <c r="H1598" s="1" t="s">
        <v>18301</v>
      </c>
      <c r="I1598" s="1" t="s">
        <v>18302</v>
      </c>
      <c r="J1598" s="1">
        <v>9422168171</v>
      </c>
      <c r="K1598" s="1" t="s">
        <v>148</v>
      </c>
      <c r="L1598" s="1" t="s">
        <v>18303</v>
      </c>
      <c r="M1598" s="1" t="s">
        <v>81</v>
      </c>
      <c r="N1598" s="1" t="s">
        <v>7455</v>
      </c>
      <c r="O1598" s="1" t="s">
        <v>18304</v>
      </c>
      <c r="P1598" s="1" t="s">
        <v>497</v>
      </c>
      <c r="Q1598" s="1" t="s">
        <v>18305</v>
      </c>
      <c r="R1598" s="1" t="s">
        <v>18306</v>
      </c>
      <c r="S1598" s="1">
        <v>9545328800</v>
      </c>
      <c r="T1598" s="1" t="s">
        <v>820</v>
      </c>
      <c r="U1598" s="1" t="s">
        <v>18307</v>
      </c>
      <c r="V1598" s="1">
        <v>9325474638</v>
      </c>
      <c r="W1598" s="1" t="s">
        <v>156</v>
      </c>
      <c r="X1598" s="1" t="s">
        <v>18308</v>
      </c>
      <c r="Y1598" s="1" t="s">
        <v>191</v>
      </c>
      <c r="Z1598" s="1" t="s">
        <v>92</v>
      </c>
      <c r="AA1598" s="1" t="s">
        <v>18308</v>
      </c>
      <c r="AB1598" s="1" t="s">
        <v>191</v>
      </c>
      <c r="AC1598" s="1" t="s">
        <v>92</v>
      </c>
      <c r="AD1598" s="1">
        <v>8.66</v>
      </c>
      <c r="AE1598" s="1" t="s">
        <v>93</v>
      </c>
      <c r="AF1598" s="1" t="s">
        <v>18309</v>
      </c>
      <c r="AG1598" s="1" t="s">
        <v>758</v>
      </c>
      <c r="AH1598" s="1" t="s">
        <v>433</v>
      </c>
      <c r="AI1598" s="1" t="s">
        <v>173</v>
      </c>
      <c r="AJ1598" s="1">
        <v>76.6</v>
      </c>
      <c r="AK1598" s="1"/>
      <c r="AL1598" s="1" t="s">
        <v>18310</v>
      </c>
      <c r="AM1598" s="1" t="s">
        <v>758</v>
      </c>
      <c r="AN1598" s="1" t="s">
        <v>828</v>
      </c>
      <c r="AO1598" s="1" t="s">
        <v>284</v>
      </c>
      <c r="AP1598" s="1">
        <v>73</v>
      </c>
      <c r="AQ1598" s="1"/>
      <c r="AR1598" s="1"/>
      <c r="AS1598" s="1"/>
      <c r="AT1598" s="1"/>
      <c r="AU1598" s="1"/>
      <c r="AV1598" s="1"/>
      <c r="AW1598" s="1"/>
      <c r="AX1598" s="1" t="s">
        <v>11623</v>
      </c>
      <c r="AY1598" s="1" t="s">
        <v>18311</v>
      </c>
      <c r="AZ1598" s="1" t="s">
        <v>1777</v>
      </c>
      <c r="BA1598" s="1" t="s">
        <v>594</v>
      </c>
      <c r="BB1598" s="1">
        <v>80.56</v>
      </c>
      <c r="BC1598" s="1">
        <v>8.48</v>
      </c>
      <c r="BD1598" s="1"/>
      <c r="BE1598" s="1"/>
      <c r="BF1598" s="1"/>
      <c r="BG1598" s="1"/>
      <c r="BH1598" s="1"/>
      <c r="BI1598" s="1"/>
      <c r="BJ1598" s="1" t="s">
        <v>18312</v>
      </c>
      <c r="BK1598" s="1"/>
      <c r="BL1598" s="1"/>
      <c r="BM1598" s="1" t="s">
        <v>18313</v>
      </c>
      <c r="BN1598" s="1">
        <v>26</v>
      </c>
      <c r="BO1598" s="1" t="s">
        <v>18314</v>
      </c>
      <c r="BP1598" s="1" t="str">
        <f>HYPERLINK("https://nconnect.nicmar.ac.in/storage/profile/ProfilePhoto_P2201001_514287.jpg","Download")</f>
        <v>0</v>
      </c>
      <c r="BQ1598" s="3"/>
      <c r="BR1598" s="3"/>
    </row>
    <row r="1599" spans="1:70">
      <c r="A1599" s="1" t="s">
        <v>16711</v>
      </c>
      <c r="B1599" s="1" t="s">
        <v>441</v>
      </c>
      <c r="C1599" s="1" t="s">
        <v>18315</v>
      </c>
      <c r="D1599" s="1" t="s">
        <v>18316</v>
      </c>
      <c r="E1599" s="1"/>
      <c r="F1599" s="1" t="s">
        <v>520</v>
      </c>
      <c r="G1599" s="1" t="s">
        <v>18317</v>
      </c>
      <c r="H1599" s="1" t="s">
        <v>18318</v>
      </c>
      <c r="I1599" s="1" t="s">
        <v>18319</v>
      </c>
      <c r="J1599" s="1">
        <v>9528374944</v>
      </c>
      <c r="K1599" s="1" t="s">
        <v>79</v>
      </c>
      <c r="L1599" s="1" t="s">
        <v>18320</v>
      </c>
      <c r="M1599" s="1" t="s">
        <v>81</v>
      </c>
      <c r="N1599" s="1" t="s">
        <v>241</v>
      </c>
      <c r="O1599" s="1"/>
      <c r="P1599" s="1" t="s">
        <v>497</v>
      </c>
      <c r="Q1599" s="1" t="s">
        <v>18321</v>
      </c>
      <c r="R1599" s="1" t="s">
        <v>18322</v>
      </c>
      <c r="S1599" s="1">
        <v>9719106374</v>
      </c>
      <c r="T1599" s="1" t="s">
        <v>820</v>
      </c>
      <c r="U1599" s="1" t="s">
        <v>18323</v>
      </c>
      <c r="V1599" s="1">
        <v>7454057502</v>
      </c>
      <c r="W1599" s="1" t="s">
        <v>156</v>
      </c>
      <c r="X1599" s="1" t="s">
        <v>18324</v>
      </c>
      <c r="Y1599" s="1" t="s">
        <v>191</v>
      </c>
      <c r="Z1599" s="1" t="s">
        <v>92</v>
      </c>
      <c r="AA1599" s="1" t="s">
        <v>18325</v>
      </c>
      <c r="AB1599" s="1" t="s">
        <v>18326</v>
      </c>
      <c r="AC1599" s="1" t="s">
        <v>534</v>
      </c>
      <c r="AD1599" s="1">
        <v>9.48</v>
      </c>
      <c r="AE1599" s="1" t="s">
        <v>93</v>
      </c>
      <c r="AF1599" s="1" t="s">
        <v>18327</v>
      </c>
      <c r="AG1599" s="1" t="s">
        <v>18328</v>
      </c>
      <c r="AH1599" s="1" t="s">
        <v>169</v>
      </c>
      <c r="AI1599" s="1" t="s">
        <v>173</v>
      </c>
      <c r="AJ1599" s="1">
        <v>88.4</v>
      </c>
      <c r="AK1599" s="1"/>
      <c r="AL1599" s="1" t="s">
        <v>18329</v>
      </c>
      <c r="AM1599" s="1" t="s">
        <v>18330</v>
      </c>
      <c r="AN1599" s="1" t="s">
        <v>173</v>
      </c>
      <c r="AO1599" s="1" t="s">
        <v>1378</v>
      </c>
      <c r="AP1599" s="1">
        <v>74</v>
      </c>
      <c r="AQ1599" s="1"/>
      <c r="AR1599" s="1"/>
      <c r="AS1599" s="1"/>
      <c r="AT1599" s="1"/>
      <c r="AU1599" s="1"/>
      <c r="AV1599" s="1"/>
      <c r="AW1599" s="1"/>
      <c r="AX1599" s="1" t="s">
        <v>11623</v>
      </c>
      <c r="AY1599" s="1" t="s">
        <v>18311</v>
      </c>
      <c r="AZ1599" s="1" t="s">
        <v>1777</v>
      </c>
      <c r="BA1599" s="1" t="s">
        <v>594</v>
      </c>
      <c r="BB1599" s="1">
        <v>91.1</v>
      </c>
      <c r="BC1599" s="1">
        <v>9.59</v>
      </c>
      <c r="BD1599" s="1"/>
      <c r="BE1599" s="1"/>
      <c r="BF1599" s="1"/>
      <c r="BG1599" s="1"/>
      <c r="BH1599" s="1"/>
      <c r="BI1599" s="1"/>
      <c r="BJ1599" s="1" t="s">
        <v>18331</v>
      </c>
      <c r="BK1599" s="1"/>
      <c r="BL1599" s="1"/>
      <c r="BM1599" s="1" t="s">
        <v>18332</v>
      </c>
      <c r="BN1599" s="1">
        <v>35</v>
      </c>
      <c r="BO1599" s="1"/>
      <c r="BP1599" s="1" t="str">
        <f>HYPERLINK("https://nconnect.nicmar.ac.in/storage/profile/ProfilePhoto_P2201002_875142.jpg","Download")</f>
        <v>0</v>
      </c>
      <c r="BQ1599" s="3"/>
      <c r="BR1599" s="3"/>
    </row>
    <row r="1600" spans="1:70">
      <c r="A1600" s="1" t="s">
        <v>16711</v>
      </c>
      <c r="B1600" s="1" t="s">
        <v>441</v>
      </c>
      <c r="C1600" s="1" t="s">
        <v>18333</v>
      </c>
      <c r="D1600" s="1" t="s">
        <v>18334</v>
      </c>
      <c r="E1600" s="1"/>
      <c r="F1600" s="1" t="s">
        <v>345</v>
      </c>
      <c r="G1600" s="1" t="s">
        <v>18335</v>
      </c>
      <c r="H1600" s="1" t="s">
        <v>18336</v>
      </c>
      <c r="I1600" s="1" t="s">
        <v>18337</v>
      </c>
      <c r="J1600" s="1">
        <v>8923689871</v>
      </c>
      <c r="K1600" s="1" t="s">
        <v>79</v>
      </c>
      <c r="L1600" s="1" t="s">
        <v>18338</v>
      </c>
      <c r="M1600" s="1" t="s">
        <v>81</v>
      </c>
      <c r="N1600" s="1" t="s">
        <v>18339</v>
      </c>
      <c r="O1600" s="1" t="s">
        <v>18340</v>
      </c>
      <c r="P1600" s="1" t="s">
        <v>497</v>
      </c>
      <c r="Q1600" s="1" t="s">
        <v>18341</v>
      </c>
      <c r="R1600" s="1" t="s">
        <v>18342</v>
      </c>
      <c r="S1600" s="1">
        <v>9897879360</v>
      </c>
      <c r="T1600" s="1" t="s">
        <v>18343</v>
      </c>
      <c r="U1600" s="1" t="s">
        <v>18344</v>
      </c>
      <c r="V1600" s="1">
        <v>9627704002</v>
      </c>
      <c r="W1600" s="1" t="s">
        <v>4700</v>
      </c>
      <c r="X1600" s="1" t="s">
        <v>18345</v>
      </c>
      <c r="Y1600" s="1" t="s">
        <v>191</v>
      </c>
      <c r="Z1600" s="1" t="s">
        <v>92</v>
      </c>
      <c r="AA1600" s="1" t="s">
        <v>18346</v>
      </c>
      <c r="AB1600" s="1" t="s">
        <v>18326</v>
      </c>
      <c r="AC1600" s="1" t="s">
        <v>534</v>
      </c>
      <c r="AD1600" s="1">
        <v>8.59</v>
      </c>
      <c r="AE1600" s="1" t="s">
        <v>93</v>
      </c>
      <c r="AF1600" s="1" t="s">
        <v>18347</v>
      </c>
      <c r="AG1600" s="1" t="s">
        <v>18330</v>
      </c>
      <c r="AH1600" s="1" t="s">
        <v>537</v>
      </c>
      <c r="AI1600" s="1" t="s">
        <v>173</v>
      </c>
      <c r="AJ1600" s="1">
        <v>65.4</v>
      </c>
      <c r="AK1600" s="1"/>
      <c r="AL1600" s="1" t="s">
        <v>18347</v>
      </c>
      <c r="AM1600" s="1" t="s">
        <v>18330</v>
      </c>
      <c r="AN1600" s="1" t="s">
        <v>2273</v>
      </c>
      <c r="AO1600" s="1" t="s">
        <v>1378</v>
      </c>
      <c r="AP1600" s="1">
        <v>70.4</v>
      </c>
      <c r="AQ1600" s="1"/>
      <c r="AR1600" s="1"/>
      <c r="AS1600" s="1"/>
      <c r="AT1600" s="1"/>
      <c r="AU1600" s="1"/>
      <c r="AV1600" s="1"/>
      <c r="AW1600" s="1"/>
      <c r="AX1600" s="1" t="s">
        <v>11623</v>
      </c>
      <c r="AY1600" s="1" t="s">
        <v>18311</v>
      </c>
      <c r="AZ1600" s="1" t="s">
        <v>1777</v>
      </c>
      <c r="BA1600" s="1" t="s">
        <v>594</v>
      </c>
      <c r="BB1600" s="1">
        <v>81.25</v>
      </c>
      <c r="BC1600" s="1">
        <v>8.55</v>
      </c>
      <c r="BD1600" s="1"/>
      <c r="BE1600" s="1"/>
      <c r="BF1600" s="1"/>
      <c r="BG1600" s="1"/>
      <c r="BH1600" s="1"/>
      <c r="BI1600" s="1"/>
      <c r="BJ1600" s="1" t="s">
        <v>18348</v>
      </c>
      <c r="BK1600" s="1"/>
      <c r="BL1600" s="1"/>
      <c r="BM1600" s="1" t="s">
        <v>18349</v>
      </c>
      <c r="BN1600" s="1">
        <v>27</v>
      </c>
      <c r="BO1600" s="1" t="s">
        <v>18350</v>
      </c>
      <c r="BP1600" s="1" t="str">
        <f>HYPERLINK("https://nconnect.nicmar.ac.in/storage/profile/ProfilePhoto_P2201003_674125.jpg","Download")</f>
        <v>0</v>
      </c>
      <c r="BQ1600" s="3"/>
      <c r="BR1600" s="3"/>
    </row>
    <row r="1601" spans="1:70">
      <c r="A1601" s="1" t="s">
        <v>16711</v>
      </c>
      <c r="B1601" s="1" t="s">
        <v>441</v>
      </c>
      <c r="C1601" s="1" t="s">
        <v>18351</v>
      </c>
      <c r="D1601" s="1" t="s">
        <v>18352</v>
      </c>
      <c r="E1601" s="1"/>
      <c r="F1601" s="1" t="s">
        <v>18353</v>
      </c>
      <c r="G1601" s="1" t="s">
        <v>18354</v>
      </c>
      <c r="H1601" s="1" t="s">
        <v>18355</v>
      </c>
      <c r="I1601" s="1" t="s">
        <v>18356</v>
      </c>
      <c r="J1601" s="1">
        <v>8408012525</v>
      </c>
      <c r="K1601" s="1" t="s">
        <v>148</v>
      </c>
      <c r="L1601" s="1" t="s">
        <v>18357</v>
      </c>
      <c r="M1601" s="1" t="s">
        <v>81</v>
      </c>
      <c r="N1601" s="1" t="s">
        <v>18358</v>
      </c>
      <c r="O1601" s="1" t="s">
        <v>18359</v>
      </c>
      <c r="P1601" s="1" t="s">
        <v>450</v>
      </c>
      <c r="Q1601" s="1" t="s">
        <v>18360</v>
      </c>
      <c r="R1601" s="1" t="s">
        <v>18361</v>
      </c>
      <c r="S1601" s="1">
        <v>9373314174</v>
      </c>
      <c r="T1601" s="1" t="s">
        <v>820</v>
      </c>
      <c r="U1601" s="1" t="s">
        <v>18362</v>
      </c>
      <c r="V1601" s="1">
        <v>9370276220</v>
      </c>
      <c r="W1601" s="1" t="s">
        <v>820</v>
      </c>
      <c r="X1601" s="1" t="s">
        <v>18363</v>
      </c>
      <c r="Y1601" s="1" t="s">
        <v>191</v>
      </c>
      <c r="Z1601" s="1" t="s">
        <v>92</v>
      </c>
      <c r="AA1601" s="1" t="s">
        <v>18363</v>
      </c>
      <c r="AB1601" s="1" t="s">
        <v>191</v>
      </c>
      <c r="AC1601" s="1" t="s">
        <v>92</v>
      </c>
      <c r="AD1601" s="1">
        <v>8.91</v>
      </c>
      <c r="AE1601" s="1" t="s">
        <v>93</v>
      </c>
      <c r="AF1601" s="1" t="s">
        <v>18364</v>
      </c>
      <c r="AG1601" s="1" t="s">
        <v>18365</v>
      </c>
      <c r="AH1601" s="1" t="s">
        <v>1239</v>
      </c>
      <c r="AI1601" s="1" t="s">
        <v>308</v>
      </c>
      <c r="AJ1601" s="1">
        <v>83.4</v>
      </c>
      <c r="AK1601" s="1"/>
      <c r="AL1601" s="1" t="s">
        <v>18364</v>
      </c>
      <c r="AM1601" s="1" t="s">
        <v>18365</v>
      </c>
      <c r="AN1601" s="1" t="s">
        <v>537</v>
      </c>
      <c r="AO1601" s="1" t="s">
        <v>539</v>
      </c>
      <c r="AP1601" s="1">
        <v>84.4</v>
      </c>
      <c r="AQ1601" s="1"/>
      <c r="AR1601" s="1"/>
      <c r="AS1601" s="1"/>
      <c r="AT1601" s="1"/>
      <c r="AU1601" s="1"/>
      <c r="AV1601" s="1"/>
      <c r="AW1601" s="1"/>
      <c r="AX1601" s="1" t="s">
        <v>11623</v>
      </c>
      <c r="AY1601" s="1" t="s">
        <v>18311</v>
      </c>
      <c r="AZ1601" s="1" t="s">
        <v>1777</v>
      </c>
      <c r="BA1601" s="1" t="s">
        <v>543</v>
      </c>
      <c r="BB1601" s="1">
        <v>84.93</v>
      </c>
      <c r="BC1601" s="1">
        <v>8.94</v>
      </c>
      <c r="BD1601" s="1"/>
      <c r="BE1601" s="1"/>
      <c r="BF1601" s="1"/>
      <c r="BG1601" s="1"/>
      <c r="BH1601" s="1"/>
      <c r="BI1601" s="1"/>
      <c r="BJ1601" s="1" t="s">
        <v>18366</v>
      </c>
      <c r="BK1601" s="1" t="s">
        <v>18367</v>
      </c>
      <c r="BL1601" s="1" t="s">
        <v>9583</v>
      </c>
      <c r="BM1601" s="1" t="s">
        <v>18368</v>
      </c>
      <c r="BN1601" s="1">
        <v>24</v>
      </c>
      <c r="BO1601" s="1" t="s">
        <v>18369</v>
      </c>
      <c r="BP1601" s="1" t="str">
        <f>HYPERLINK("https://nconnect.nicmar.ac.in/storage/profile/ProfilePhoto_P2201006_126385.jpg","Download")</f>
        <v>0</v>
      </c>
      <c r="BQ1601" s="3"/>
      <c r="BR1601" s="3"/>
    </row>
    <row r="1602" spans="1:70">
      <c r="A1602" s="1" t="s">
        <v>16711</v>
      </c>
      <c r="B1602" s="1" t="s">
        <v>441</v>
      </c>
      <c r="C1602" s="1" t="s">
        <v>18370</v>
      </c>
      <c r="D1602" s="1" t="s">
        <v>3011</v>
      </c>
      <c r="E1602" s="1" t="s">
        <v>17423</v>
      </c>
      <c r="F1602" s="1" t="s">
        <v>18371</v>
      </c>
      <c r="G1602" s="1" t="s">
        <v>18372</v>
      </c>
      <c r="H1602" s="1" t="s">
        <v>18373</v>
      </c>
      <c r="I1602" s="1" t="s">
        <v>18374</v>
      </c>
      <c r="J1602" s="1">
        <v>8459361169</v>
      </c>
      <c r="K1602" s="1" t="s">
        <v>148</v>
      </c>
      <c r="L1602" s="1" t="s">
        <v>18375</v>
      </c>
      <c r="M1602" s="1" t="s">
        <v>81</v>
      </c>
      <c r="N1602" s="1" t="s">
        <v>4976</v>
      </c>
      <c r="O1602" s="1" t="s">
        <v>18376</v>
      </c>
      <c r="P1602" s="1" t="s">
        <v>472</v>
      </c>
      <c r="Q1602" s="1" t="s">
        <v>18377</v>
      </c>
      <c r="R1602" s="1" t="s">
        <v>17423</v>
      </c>
      <c r="S1602" s="1">
        <v>9850660573</v>
      </c>
      <c r="T1602" s="1" t="s">
        <v>632</v>
      </c>
      <c r="U1602" s="1" t="s">
        <v>18378</v>
      </c>
      <c r="V1602" s="1">
        <v>9011140176</v>
      </c>
      <c r="W1602" s="1" t="s">
        <v>632</v>
      </c>
      <c r="X1602" s="1" t="s">
        <v>18379</v>
      </c>
      <c r="Y1602" s="1" t="s">
        <v>890</v>
      </c>
      <c r="Z1602" s="1" t="s">
        <v>92</v>
      </c>
      <c r="AA1602" s="1" t="s">
        <v>18379</v>
      </c>
      <c r="AB1602" s="1" t="s">
        <v>890</v>
      </c>
      <c r="AC1602" s="1" t="s">
        <v>92</v>
      </c>
      <c r="AD1602" s="1">
        <v>8.29</v>
      </c>
      <c r="AE1602" s="1" t="s">
        <v>93</v>
      </c>
      <c r="AF1602" s="1" t="s">
        <v>18380</v>
      </c>
      <c r="AG1602" s="1" t="s">
        <v>3324</v>
      </c>
      <c r="AH1602" s="1" t="s">
        <v>101</v>
      </c>
      <c r="AI1602" s="1" t="s">
        <v>308</v>
      </c>
      <c r="AJ1602" s="1">
        <v>75.5</v>
      </c>
      <c r="AK1602" s="1"/>
      <c r="AL1602" s="1" t="s">
        <v>18381</v>
      </c>
      <c r="AM1602" s="1" t="s">
        <v>3324</v>
      </c>
      <c r="AN1602" s="1" t="s">
        <v>460</v>
      </c>
      <c r="AO1602" s="1" t="s">
        <v>436</v>
      </c>
      <c r="AP1602" s="1">
        <v>84.67</v>
      </c>
      <c r="AQ1602" s="1"/>
      <c r="AR1602" s="1"/>
      <c r="AS1602" s="1"/>
      <c r="AT1602" s="1"/>
      <c r="AU1602" s="1"/>
      <c r="AV1602" s="1"/>
      <c r="AW1602" s="1"/>
      <c r="AX1602" s="1" t="s">
        <v>11623</v>
      </c>
      <c r="AY1602" s="1" t="s">
        <v>18382</v>
      </c>
      <c r="AZ1602" s="1" t="s">
        <v>1777</v>
      </c>
      <c r="BA1602" s="1" t="s">
        <v>594</v>
      </c>
      <c r="BB1602" s="1">
        <v>75.43</v>
      </c>
      <c r="BC1602" s="1">
        <v>7.94</v>
      </c>
      <c r="BD1602" s="1"/>
      <c r="BE1602" s="1"/>
      <c r="BF1602" s="1"/>
      <c r="BG1602" s="1"/>
      <c r="BH1602" s="1"/>
      <c r="BI1602" s="1"/>
      <c r="BJ1602" s="1" t="s">
        <v>18383</v>
      </c>
      <c r="BK1602" s="1" t="s">
        <v>18384</v>
      </c>
      <c r="BL1602" s="1" t="s">
        <v>7466</v>
      </c>
      <c r="BM1602" s="1" t="s">
        <v>18385</v>
      </c>
      <c r="BN1602" s="1">
        <v>17</v>
      </c>
      <c r="BO1602" s="1" t="s">
        <v>18386</v>
      </c>
      <c r="BP1602" s="1" t="str">
        <f>HYPERLINK("https://nconnect.nicmar.ac.in/storage/profile/ProfilePhoto_P2201007_873615.jpg","Download")</f>
        <v>0</v>
      </c>
      <c r="BQ1602" s="3"/>
      <c r="BR1602" s="3"/>
    </row>
    <row r="1603" spans="1:70">
      <c r="A1603" s="1" t="s">
        <v>16711</v>
      </c>
      <c r="B1603" s="1" t="s">
        <v>441</v>
      </c>
      <c r="C1603" s="1" t="s">
        <v>18387</v>
      </c>
      <c r="D1603" s="1" t="s">
        <v>18388</v>
      </c>
      <c r="E1603" s="1" t="s">
        <v>18389</v>
      </c>
      <c r="F1603" s="1" t="s">
        <v>18390</v>
      </c>
      <c r="G1603" s="1" t="s">
        <v>18391</v>
      </c>
      <c r="H1603" s="1" t="s">
        <v>18392</v>
      </c>
      <c r="I1603" s="1" t="s">
        <v>18393</v>
      </c>
      <c r="J1603" s="1">
        <v>9168407860</v>
      </c>
      <c r="K1603" s="1" t="s">
        <v>148</v>
      </c>
      <c r="L1603" s="1" t="s">
        <v>18394</v>
      </c>
      <c r="M1603" s="1" t="s">
        <v>81</v>
      </c>
      <c r="N1603" s="1" t="s">
        <v>18395</v>
      </c>
      <c r="O1603" s="1" t="s">
        <v>18396</v>
      </c>
      <c r="P1603" s="1" t="s">
        <v>450</v>
      </c>
      <c r="Q1603" s="1" t="s">
        <v>18397</v>
      </c>
      <c r="R1603" s="1" t="s">
        <v>18389</v>
      </c>
      <c r="S1603" s="1">
        <v>9822975444</v>
      </c>
      <c r="T1603" s="1" t="s">
        <v>18398</v>
      </c>
      <c r="U1603" s="1" t="s">
        <v>18399</v>
      </c>
      <c r="V1603" s="1">
        <v>9881197444</v>
      </c>
      <c r="W1603" s="1" t="s">
        <v>89</v>
      </c>
      <c r="X1603" s="1" t="s">
        <v>18400</v>
      </c>
      <c r="Y1603" s="1" t="s">
        <v>191</v>
      </c>
      <c r="Z1603" s="1" t="s">
        <v>92</v>
      </c>
      <c r="AA1603" s="1" t="s">
        <v>18400</v>
      </c>
      <c r="AB1603" s="1" t="s">
        <v>191</v>
      </c>
      <c r="AC1603" s="1" t="s">
        <v>92</v>
      </c>
      <c r="AD1603" s="1">
        <v>9.77</v>
      </c>
      <c r="AE1603" s="1" t="s">
        <v>93</v>
      </c>
      <c r="AF1603" s="1" t="s">
        <v>18401</v>
      </c>
      <c r="AG1603" s="1" t="s">
        <v>6251</v>
      </c>
      <c r="AH1603" s="1" t="s">
        <v>537</v>
      </c>
      <c r="AI1603" s="1" t="s">
        <v>173</v>
      </c>
      <c r="AJ1603" s="1">
        <v>85.2</v>
      </c>
      <c r="AK1603" s="1"/>
      <c r="AL1603" s="1" t="s">
        <v>18402</v>
      </c>
      <c r="AM1603" s="1" t="s">
        <v>6251</v>
      </c>
      <c r="AN1603" s="1" t="s">
        <v>828</v>
      </c>
      <c r="AO1603" s="1" t="s">
        <v>1378</v>
      </c>
      <c r="AP1603" s="1">
        <v>80.4</v>
      </c>
      <c r="AQ1603" s="1"/>
      <c r="AR1603" s="1"/>
      <c r="AS1603" s="1"/>
      <c r="AT1603" s="1"/>
      <c r="AU1603" s="1"/>
      <c r="AV1603" s="1"/>
      <c r="AW1603" s="1"/>
      <c r="AX1603" s="1" t="s">
        <v>11623</v>
      </c>
      <c r="AY1603" s="1" t="s">
        <v>18403</v>
      </c>
      <c r="AZ1603" s="1" t="s">
        <v>1777</v>
      </c>
      <c r="BA1603" s="1" t="s">
        <v>594</v>
      </c>
      <c r="BB1603" s="1">
        <v>92.34</v>
      </c>
      <c r="BC1603" s="1">
        <v>9.72</v>
      </c>
      <c r="BD1603" s="1"/>
      <c r="BE1603" s="1"/>
      <c r="BF1603" s="1"/>
      <c r="BG1603" s="1"/>
      <c r="BH1603" s="1"/>
      <c r="BI1603" s="1"/>
      <c r="BJ1603" s="1" t="s">
        <v>18404</v>
      </c>
      <c r="BK1603" s="1"/>
      <c r="BL1603" s="1"/>
      <c r="BM1603" s="1" t="s">
        <v>18405</v>
      </c>
      <c r="BN1603" s="1">
        <v>24</v>
      </c>
      <c r="BO1603" s="1" t="s">
        <v>18406</v>
      </c>
      <c r="BP1603" s="1" t="str">
        <f>HYPERLINK("https://nconnect.nicmar.ac.in/storage/profile/ProfilePhoto_P2201008_187945.jpg","Download")</f>
        <v>0</v>
      </c>
      <c r="BQ1603" s="3"/>
      <c r="BR1603" s="3"/>
    </row>
    <row r="1604" spans="1:70">
      <c r="A1604" s="1" t="s">
        <v>16711</v>
      </c>
      <c r="B1604" s="1" t="s">
        <v>441</v>
      </c>
      <c r="C1604" s="1" t="s">
        <v>18407</v>
      </c>
      <c r="D1604" s="1" t="s">
        <v>18408</v>
      </c>
      <c r="E1604" s="1" t="s">
        <v>13285</v>
      </c>
      <c r="F1604" s="1" t="s">
        <v>2220</v>
      </c>
      <c r="G1604" s="1" t="s">
        <v>18409</v>
      </c>
      <c r="H1604" s="1" t="s">
        <v>18410</v>
      </c>
      <c r="I1604" s="1" t="s">
        <v>18411</v>
      </c>
      <c r="J1604" s="1">
        <v>9619180968</v>
      </c>
      <c r="K1604" s="1" t="s">
        <v>79</v>
      </c>
      <c r="L1604" s="1" t="s">
        <v>18412</v>
      </c>
      <c r="M1604" s="1" t="s">
        <v>81</v>
      </c>
      <c r="N1604" s="1" t="s">
        <v>4289</v>
      </c>
      <c r="O1604" s="1" t="s">
        <v>18413</v>
      </c>
      <c r="P1604" s="1" t="s">
        <v>1007</v>
      </c>
      <c r="Q1604" s="1" t="s">
        <v>18414</v>
      </c>
      <c r="R1604" s="1" t="s">
        <v>3548</v>
      </c>
      <c r="S1604" s="1">
        <v>9833171720</v>
      </c>
      <c r="T1604" s="1" t="s">
        <v>18415</v>
      </c>
      <c r="U1604" s="1" t="s">
        <v>18416</v>
      </c>
      <c r="V1604" s="1">
        <v>9082491354</v>
      </c>
      <c r="W1604" s="1" t="s">
        <v>18417</v>
      </c>
      <c r="X1604" s="1" t="s">
        <v>18418</v>
      </c>
      <c r="Y1604" s="1" t="s">
        <v>191</v>
      </c>
      <c r="Z1604" s="1" t="s">
        <v>92</v>
      </c>
      <c r="AA1604" s="1" t="s">
        <v>18418</v>
      </c>
      <c r="AB1604" s="1" t="s">
        <v>191</v>
      </c>
      <c r="AC1604" s="1" t="s">
        <v>92</v>
      </c>
      <c r="AD1604" s="1">
        <v>6.81</v>
      </c>
      <c r="AE1604" s="1" t="s">
        <v>93</v>
      </c>
      <c r="AF1604" s="1" t="s">
        <v>18419</v>
      </c>
      <c r="AG1604" s="1" t="s">
        <v>18420</v>
      </c>
      <c r="AH1604" s="1" t="s">
        <v>409</v>
      </c>
      <c r="AI1604" s="1" t="s">
        <v>590</v>
      </c>
      <c r="AJ1604" s="1">
        <v>64.2</v>
      </c>
      <c r="AK1604" s="1">
        <v>0</v>
      </c>
      <c r="AL1604" s="1" t="s">
        <v>18421</v>
      </c>
      <c r="AM1604" s="1" t="s">
        <v>18422</v>
      </c>
      <c r="AN1604" s="1" t="s">
        <v>173</v>
      </c>
      <c r="AO1604" s="1" t="s">
        <v>284</v>
      </c>
      <c r="AP1604" s="1">
        <v>61.4</v>
      </c>
      <c r="AQ1604" s="1">
        <v>0</v>
      </c>
      <c r="AR1604" s="1"/>
      <c r="AS1604" s="1"/>
      <c r="AT1604" s="1"/>
      <c r="AU1604" s="1"/>
      <c r="AV1604" s="1"/>
      <c r="AW1604" s="1"/>
      <c r="AX1604" s="1" t="s">
        <v>11623</v>
      </c>
      <c r="AY1604" s="1" t="s">
        <v>18423</v>
      </c>
      <c r="AZ1604" s="1" t="s">
        <v>1777</v>
      </c>
      <c r="BA1604" s="1" t="s">
        <v>594</v>
      </c>
      <c r="BB1604" s="1">
        <v>69</v>
      </c>
      <c r="BC1604" s="1">
        <v>7.27</v>
      </c>
      <c r="BD1604" s="1"/>
      <c r="BE1604" s="1"/>
      <c r="BF1604" s="1"/>
      <c r="BG1604" s="1"/>
      <c r="BH1604" s="1"/>
      <c r="BI1604" s="1"/>
      <c r="BJ1604" s="1" t="s">
        <v>18424</v>
      </c>
      <c r="BK1604" s="1"/>
      <c r="BL1604" s="1"/>
      <c r="BM1604" s="1" t="s">
        <v>18425</v>
      </c>
      <c r="BN1604" s="1">
        <v>17</v>
      </c>
      <c r="BO1604" s="1"/>
      <c r="BP1604" s="1" t="str">
        <f>HYPERLINK("https://nconnect.nicmar.ac.in/storage/profile/ProfilePhoto_P2201010_518643.jpg","Download")</f>
        <v>0</v>
      </c>
      <c r="BQ1604" s="3"/>
      <c r="BR1604" s="3"/>
    </row>
    <row r="1605" spans="1:70">
      <c r="A1605" s="1" t="s">
        <v>16711</v>
      </c>
      <c r="B1605" s="1" t="s">
        <v>441</v>
      </c>
      <c r="C1605" s="1" t="s">
        <v>18426</v>
      </c>
      <c r="D1605" s="1" t="s">
        <v>9367</v>
      </c>
      <c r="E1605" s="1" t="s">
        <v>18427</v>
      </c>
      <c r="F1605" s="1" t="s">
        <v>18428</v>
      </c>
      <c r="G1605" s="1" t="s">
        <v>18429</v>
      </c>
      <c r="H1605" s="1" t="s">
        <v>18430</v>
      </c>
      <c r="I1605" s="1" t="s">
        <v>18431</v>
      </c>
      <c r="J1605" s="1">
        <v>8669508463</v>
      </c>
      <c r="K1605" s="1" t="s">
        <v>79</v>
      </c>
      <c r="L1605" s="1" t="s">
        <v>18432</v>
      </c>
      <c r="M1605" s="1" t="s">
        <v>81</v>
      </c>
      <c r="N1605" s="1" t="s">
        <v>1140</v>
      </c>
      <c r="O1605" s="1"/>
      <c r="P1605" s="1" t="s">
        <v>497</v>
      </c>
      <c r="Q1605" s="1" t="s">
        <v>18433</v>
      </c>
      <c r="R1605" s="1" t="s">
        <v>18434</v>
      </c>
      <c r="S1605" s="1">
        <v>8408915929</v>
      </c>
      <c r="T1605" s="1" t="s">
        <v>9236</v>
      </c>
      <c r="U1605" s="1" t="s">
        <v>18435</v>
      </c>
      <c r="V1605" s="1">
        <v>9673796235</v>
      </c>
      <c r="W1605" s="1" t="s">
        <v>273</v>
      </c>
      <c r="X1605" s="1" t="s">
        <v>18436</v>
      </c>
      <c r="Y1605" s="1" t="s">
        <v>191</v>
      </c>
      <c r="Z1605" s="1" t="s">
        <v>92</v>
      </c>
      <c r="AA1605" s="1" t="s">
        <v>18437</v>
      </c>
      <c r="AB1605" s="1" t="s">
        <v>5588</v>
      </c>
      <c r="AC1605" s="1" t="s">
        <v>92</v>
      </c>
      <c r="AD1605" s="1">
        <v>7.31</v>
      </c>
      <c r="AE1605" s="1" t="s">
        <v>93</v>
      </c>
      <c r="AF1605" s="1" t="s">
        <v>18438</v>
      </c>
      <c r="AG1605" s="1" t="s">
        <v>18439</v>
      </c>
      <c r="AH1605" s="1" t="s">
        <v>1374</v>
      </c>
      <c r="AI1605" s="1" t="s">
        <v>195</v>
      </c>
      <c r="AJ1605" s="1">
        <v>85.4</v>
      </c>
      <c r="AK1605" s="1"/>
      <c r="AL1605" s="1" t="s">
        <v>18440</v>
      </c>
      <c r="AM1605" s="1" t="s">
        <v>18439</v>
      </c>
      <c r="AN1605" s="1" t="s">
        <v>169</v>
      </c>
      <c r="AO1605" s="1" t="s">
        <v>198</v>
      </c>
      <c r="AP1605" s="1">
        <v>67.23</v>
      </c>
      <c r="AQ1605" s="1"/>
      <c r="AR1605" s="1"/>
      <c r="AS1605" s="1"/>
      <c r="AT1605" s="1"/>
      <c r="AU1605" s="1"/>
      <c r="AV1605" s="1"/>
      <c r="AW1605" s="1"/>
      <c r="AX1605" s="1" t="s">
        <v>976</v>
      </c>
      <c r="AY1605" s="1" t="s">
        <v>18441</v>
      </c>
      <c r="AZ1605" s="1" t="s">
        <v>201</v>
      </c>
      <c r="BA1605" s="1" t="s">
        <v>935</v>
      </c>
      <c r="BB1605" s="1">
        <v>53.3</v>
      </c>
      <c r="BC1605" s="1">
        <v>6.08</v>
      </c>
      <c r="BD1605" s="1"/>
      <c r="BE1605" s="1"/>
      <c r="BF1605" s="1"/>
      <c r="BG1605" s="1"/>
      <c r="BH1605" s="1"/>
      <c r="BI1605" s="1"/>
      <c r="BJ1605" s="1" t="s">
        <v>830</v>
      </c>
      <c r="BK1605" s="1"/>
      <c r="BL1605" s="1"/>
      <c r="BM1605" s="1" t="s">
        <v>18442</v>
      </c>
      <c r="BN1605" s="1">
        <v>7</v>
      </c>
      <c r="BO1605" s="1"/>
      <c r="BP1605" s="1" t="str">
        <f>HYPERLINK("https://nconnect.nicmar.ac.in/storage/profile/ProfilePhoto_P25703001_183497.jpg","Download")</f>
        <v>0</v>
      </c>
      <c r="BQ1605" s="3"/>
      <c r="BR1605" s="3"/>
    </row>
    <row r="1606" spans="1:70">
      <c r="A1606" s="1" t="s">
        <v>16711</v>
      </c>
      <c r="B1606" s="1" t="s">
        <v>441</v>
      </c>
      <c r="C1606" s="1" t="s">
        <v>18443</v>
      </c>
      <c r="D1606" s="1" t="s">
        <v>18444</v>
      </c>
      <c r="E1606" s="1" t="s">
        <v>18445</v>
      </c>
      <c r="F1606" s="1" t="s">
        <v>18446</v>
      </c>
      <c r="G1606" s="1" t="s">
        <v>18447</v>
      </c>
      <c r="H1606" s="1" t="s">
        <v>18448</v>
      </c>
      <c r="I1606" s="1" t="s">
        <v>18449</v>
      </c>
      <c r="J1606" s="1">
        <v>7057599949</v>
      </c>
      <c r="K1606" s="1" t="s">
        <v>148</v>
      </c>
      <c r="L1606" s="1" t="s">
        <v>18450</v>
      </c>
      <c r="M1606" s="1" t="s">
        <v>81</v>
      </c>
      <c r="N1606" s="1" t="s">
        <v>1140</v>
      </c>
      <c r="O1606" s="1"/>
      <c r="P1606" s="1" t="s">
        <v>472</v>
      </c>
      <c r="Q1606" s="1" t="s">
        <v>18451</v>
      </c>
      <c r="R1606" s="1" t="s">
        <v>18452</v>
      </c>
      <c r="S1606" s="1">
        <v>9923602457</v>
      </c>
      <c r="T1606" s="1" t="s">
        <v>820</v>
      </c>
      <c r="U1606" s="1" t="s">
        <v>18453</v>
      </c>
      <c r="V1606" s="1">
        <v>9890426216</v>
      </c>
      <c r="W1606" s="1" t="s">
        <v>2972</v>
      </c>
      <c r="X1606" s="1" t="s">
        <v>18454</v>
      </c>
      <c r="Y1606" s="1" t="s">
        <v>191</v>
      </c>
      <c r="Z1606" s="1" t="s">
        <v>92</v>
      </c>
      <c r="AA1606" s="1" t="s">
        <v>18454</v>
      </c>
      <c r="AB1606" s="1" t="s">
        <v>191</v>
      </c>
      <c r="AC1606" s="1" t="s">
        <v>92</v>
      </c>
      <c r="AD1606" s="1">
        <v>9.59</v>
      </c>
      <c r="AE1606" s="1" t="s">
        <v>93</v>
      </c>
      <c r="AF1606" s="1" t="s">
        <v>18455</v>
      </c>
      <c r="AG1606" s="1" t="s">
        <v>758</v>
      </c>
      <c r="AH1606" s="1" t="s">
        <v>101</v>
      </c>
      <c r="AI1606" s="1" t="s">
        <v>308</v>
      </c>
      <c r="AJ1606" s="1">
        <v>95.4</v>
      </c>
      <c r="AK1606" s="1">
        <v>0</v>
      </c>
      <c r="AL1606" s="1"/>
      <c r="AM1606" s="1"/>
      <c r="AN1606" s="1"/>
      <c r="AO1606" s="1"/>
      <c r="AP1606" s="1"/>
      <c r="AQ1606" s="1"/>
      <c r="AR1606" s="1" t="s">
        <v>18456</v>
      </c>
      <c r="AS1606" s="1" t="s">
        <v>18457</v>
      </c>
      <c r="AT1606" s="1" t="s">
        <v>201</v>
      </c>
      <c r="AU1606" s="1" t="s">
        <v>105</v>
      </c>
      <c r="AV1606" s="1">
        <v>92.8</v>
      </c>
      <c r="AW1606" s="1">
        <v>0</v>
      </c>
      <c r="AX1606" s="1" t="s">
        <v>361</v>
      </c>
      <c r="AY1606" s="1" t="s">
        <v>18458</v>
      </c>
      <c r="AZ1606" s="1" t="s">
        <v>1800</v>
      </c>
      <c r="BA1606" s="1" t="s">
        <v>543</v>
      </c>
      <c r="BB1606" s="1">
        <v>82.56</v>
      </c>
      <c r="BC1606" s="1">
        <v>8.69</v>
      </c>
      <c r="BD1606" s="1"/>
      <c r="BE1606" s="1"/>
      <c r="BF1606" s="1"/>
      <c r="BG1606" s="1"/>
      <c r="BH1606" s="1"/>
      <c r="BI1606" s="1"/>
      <c r="BJ1606" s="1" t="s">
        <v>18459</v>
      </c>
      <c r="BK1606" s="1"/>
      <c r="BL1606" s="1"/>
      <c r="BM1606" s="1" t="s">
        <v>18460</v>
      </c>
      <c r="BN1606" s="1">
        <v>27</v>
      </c>
      <c r="BO1606" s="1" t="s">
        <v>18461</v>
      </c>
      <c r="BP1606" s="1" t="str">
        <f>HYPERLINK("https://nconnect.nicmar.ac.in/storage/profile/ProfilePhoto_P25703002_482139.jpg","Download")</f>
        <v>0</v>
      </c>
      <c r="BQ1606" s="3"/>
      <c r="BR1606" s="3"/>
    </row>
    <row r="1607" spans="1:70">
      <c r="A1607" s="1" t="s">
        <v>16711</v>
      </c>
      <c r="B1607" s="1" t="s">
        <v>441</v>
      </c>
      <c r="C1607" s="1" t="s">
        <v>18462</v>
      </c>
      <c r="D1607" s="1" t="s">
        <v>18463</v>
      </c>
      <c r="E1607" s="1"/>
      <c r="F1607" s="1" t="s">
        <v>4931</v>
      </c>
      <c r="G1607" s="1" t="s">
        <v>18464</v>
      </c>
      <c r="H1607" s="1" t="s">
        <v>18465</v>
      </c>
      <c r="I1607" s="1" t="s">
        <v>18466</v>
      </c>
      <c r="J1607" s="1">
        <v>8409003373</v>
      </c>
      <c r="K1607" s="1" t="s">
        <v>148</v>
      </c>
      <c r="L1607" s="1" t="s">
        <v>18467</v>
      </c>
      <c r="M1607" s="1" t="s">
        <v>81</v>
      </c>
      <c r="N1607" s="1" t="s">
        <v>241</v>
      </c>
      <c r="O1607" s="1"/>
      <c r="P1607" s="1" t="s">
        <v>497</v>
      </c>
      <c r="Q1607" s="1" t="s">
        <v>18468</v>
      </c>
      <c r="R1607" s="1" t="s">
        <v>18469</v>
      </c>
      <c r="S1607" s="1">
        <v>9472331379</v>
      </c>
      <c r="T1607" s="1" t="s">
        <v>906</v>
      </c>
      <c r="U1607" s="1" t="s">
        <v>18470</v>
      </c>
      <c r="V1607" s="1">
        <v>7870030728</v>
      </c>
      <c r="W1607" s="1" t="s">
        <v>273</v>
      </c>
      <c r="X1607" s="1" t="s">
        <v>18471</v>
      </c>
      <c r="Y1607" s="1" t="s">
        <v>191</v>
      </c>
      <c r="Z1607" s="1" t="s">
        <v>92</v>
      </c>
      <c r="AA1607" s="1" t="s">
        <v>18472</v>
      </c>
      <c r="AB1607" s="1" t="s">
        <v>635</v>
      </c>
      <c r="AC1607" s="1" t="s">
        <v>636</v>
      </c>
      <c r="AD1607" s="1" t="s">
        <v>93</v>
      </c>
      <c r="AE1607" s="1" t="s">
        <v>93</v>
      </c>
      <c r="AF1607" s="1" t="s">
        <v>18473</v>
      </c>
      <c r="AG1607" s="1" t="s">
        <v>307</v>
      </c>
      <c r="AH1607" s="1" t="s">
        <v>537</v>
      </c>
      <c r="AI1607" s="1" t="s">
        <v>173</v>
      </c>
      <c r="AJ1607" s="1">
        <v>61.83</v>
      </c>
      <c r="AK1607" s="1">
        <v>0</v>
      </c>
      <c r="AL1607" s="1" t="s">
        <v>18474</v>
      </c>
      <c r="AM1607" s="1" t="s">
        <v>307</v>
      </c>
      <c r="AN1607" s="1" t="s">
        <v>2273</v>
      </c>
      <c r="AO1607" s="1" t="s">
        <v>1378</v>
      </c>
      <c r="AP1607" s="1">
        <v>60</v>
      </c>
      <c r="AQ1607" s="1">
        <v>0</v>
      </c>
      <c r="AR1607" s="1"/>
      <c r="AS1607" s="1"/>
      <c r="AT1607" s="1"/>
      <c r="AU1607" s="1"/>
      <c r="AV1607" s="1"/>
      <c r="AW1607" s="1"/>
      <c r="AX1607" s="1" t="s">
        <v>18475</v>
      </c>
      <c r="AY1607" s="1" t="s">
        <v>18476</v>
      </c>
      <c r="AZ1607" s="1" t="s">
        <v>105</v>
      </c>
      <c r="BA1607" s="1" t="s">
        <v>1379</v>
      </c>
      <c r="BB1607" s="1">
        <v>65.06</v>
      </c>
      <c r="BC1607" s="1">
        <v>0</v>
      </c>
      <c r="BD1607" s="1"/>
      <c r="BE1607" s="1"/>
      <c r="BF1607" s="1"/>
      <c r="BG1607" s="1"/>
      <c r="BH1607" s="1"/>
      <c r="BI1607" s="1"/>
      <c r="BJ1607" s="1" t="s">
        <v>18477</v>
      </c>
      <c r="BK1607" s="1"/>
      <c r="BL1607" s="1"/>
      <c r="BM1607" s="1" t="s">
        <v>18478</v>
      </c>
      <c r="BN1607" s="1">
        <v>8</v>
      </c>
      <c r="BO1607" s="1" t="s">
        <v>18479</v>
      </c>
      <c r="BP1607" s="1" t="str">
        <f>HYPERLINK("https://nconnect.nicmar.ac.in/storage/profile/ProfilePhoto_P25703003_426193.jpg","Download")</f>
        <v>0</v>
      </c>
      <c r="BQ1607" s="3"/>
      <c r="BR1607" s="3"/>
    </row>
    <row r="1608" spans="1:70">
      <c r="A1608" s="1" t="s">
        <v>16711</v>
      </c>
      <c r="B1608" s="1" t="s">
        <v>441</v>
      </c>
      <c r="C1608" s="1" t="s">
        <v>18480</v>
      </c>
      <c r="D1608" s="1" t="s">
        <v>9883</v>
      </c>
      <c r="E1608" s="1"/>
      <c r="F1608" s="1" t="s">
        <v>4931</v>
      </c>
      <c r="G1608" s="1" t="s">
        <v>18481</v>
      </c>
      <c r="H1608" s="1" t="s">
        <v>18482</v>
      </c>
      <c r="I1608" s="1" t="s">
        <v>18483</v>
      </c>
      <c r="J1608" s="1">
        <v>7004504753</v>
      </c>
      <c r="K1608" s="1" t="s">
        <v>148</v>
      </c>
      <c r="L1608" s="1" t="s">
        <v>18484</v>
      </c>
      <c r="M1608" s="1" t="s">
        <v>81</v>
      </c>
      <c r="N1608" s="1" t="s">
        <v>82</v>
      </c>
      <c r="O1608" s="1"/>
      <c r="P1608" s="1" t="s">
        <v>450</v>
      </c>
      <c r="Q1608" s="1" t="s">
        <v>18485</v>
      </c>
      <c r="R1608" s="1" t="s">
        <v>18486</v>
      </c>
      <c r="S1608" s="1">
        <v>9631289451</v>
      </c>
      <c r="T1608" s="1" t="s">
        <v>906</v>
      </c>
      <c r="U1608" s="1" t="s">
        <v>18487</v>
      </c>
      <c r="V1608" s="1">
        <v>9431492181</v>
      </c>
      <c r="W1608" s="1" t="s">
        <v>156</v>
      </c>
      <c r="X1608" s="1" t="s">
        <v>18488</v>
      </c>
      <c r="Y1608" s="1" t="s">
        <v>191</v>
      </c>
      <c r="Z1608" s="1" t="s">
        <v>92</v>
      </c>
      <c r="AA1608" s="1" t="s">
        <v>18489</v>
      </c>
      <c r="AB1608" s="1" t="s">
        <v>635</v>
      </c>
      <c r="AC1608" s="1" t="s">
        <v>636</v>
      </c>
      <c r="AD1608" s="1" t="s">
        <v>93</v>
      </c>
      <c r="AE1608" s="1" t="s">
        <v>93</v>
      </c>
      <c r="AF1608" s="1" t="s">
        <v>18490</v>
      </c>
      <c r="AG1608" s="1" t="s">
        <v>307</v>
      </c>
      <c r="AH1608" s="1" t="s">
        <v>689</v>
      </c>
      <c r="AI1608" s="1" t="s">
        <v>166</v>
      </c>
      <c r="AJ1608" s="1">
        <v>69</v>
      </c>
      <c r="AK1608" s="1">
        <v>0</v>
      </c>
      <c r="AL1608" s="1" t="s">
        <v>18491</v>
      </c>
      <c r="AM1608" s="1" t="s">
        <v>18492</v>
      </c>
      <c r="AN1608" s="1" t="s">
        <v>2273</v>
      </c>
      <c r="AO1608" s="1" t="s">
        <v>1861</v>
      </c>
      <c r="AP1608" s="1">
        <v>71.2</v>
      </c>
      <c r="AQ1608" s="1"/>
      <c r="AR1608" s="1"/>
      <c r="AS1608" s="1"/>
      <c r="AT1608" s="1"/>
      <c r="AU1608" s="1"/>
      <c r="AV1608" s="1"/>
      <c r="AW1608" s="1"/>
      <c r="AX1608" s="1" t="s">
        <v>18475</v>
      </c>
      <c r="AY1608" s="1" t="s">
        <v>18493</v>
      </c>
      <c r="AZ1608" s="1" t="s">
        <v>105</v>
      </c>
      <c r="BA1608" s="1" t="s">
        <v>1379</v>
      </c>
      <c r="BB1608" s="1">
        <v>66.46</v>
      </c>
      <c r="BC1608" s="1"/>
      <c r="BD1608" s="1"/>
      <c r="BE1608" s="1"/>
      <c r="BF1608" s="1"/>
      <c r="BG1608" s="1"/>
      <c r="BH1608" s="1"/>
      <c r="BI1608" s="1"/>
      <c r="BJ1608" s="1" t="s">
        <v>18494</v>
      </c>
      <c r="BK1608" s="1"/>
      <c r="BL1608" s="1"/>
      <c r="BM1608" s="1" t="s">
        <v>18495</v>
      </c>
      <c r="BN1608" s="1">
        <v>8</v>
      </c>
      <c r="BO1608" s="1" t="s">
        <v>18496</v>
      </c>
      <c r="BP1608" s="1" t="str">
        <f>HYPERLINK("https://nconnect.nicmar.ac.in/storage/profile/ProfilePhoto_P25703004_138697.jpg","Download")</f>
        <v>0</v>
      </c>
      <c r="BQ1608" s="3"/>
      <c r="BR1608" s="3"/>
    </row>
    <row r="1609" spans="1:70">
      <c r="A1609" s="1" t="s">
        <v>16711</v>
      </c>
      <c r="B1609" s="1" t="s">
        <v>441</v>
      </c>
      <c r="C1609" s="1" t="s">
        <v>18497</v>
      </c>
      <c r="D1609" s="1" t="s">
        <v>856</v>
      </c>
      <c r="E1609" s="1"/>
      <c r="F1609" s="1" t="s">
        <v>18498</v>
      </c>
      <c r="G1609" s="1" t="s">
        <v>18499</v>
      </c>
      <c r="H1609" s="1" t="s">
        <v>18500</v>
      </c>
      <c r="I1609" s="1" t="s">
        <v>18501</v>
      </c>
      <c r="J1609" s="1">
        <v>9890516956</v>
      </c>
      <c r="K1609" s="1" t="s">
        <v>79</v>
      </c>
      <c r="L1609" s="1" t="s">
        <v>4134</v>
      </c>
      <c r="M1609" s="1" t="s">
        <v>81</v>
      </c>
      <c r="N1609" s="1" t="s">
        <v>18502</v>
      </c>
      <c r="O1609" s="1"/>
      <c r="P1609" s="1" t="s">
        <v>497</v>
      </c>
      <c r="Q1609" s="1" t="s">
        <v>18503</v>
      </c>
      <c r="R1609" s="1" t="s">
        <v>18504</v>
      </c>
      <c r="S1609" s="1">
        <v>9167700476</v>
      </c>
      <c r="T1609" s="1" t="s">
        <v>632</v>
      </c>
      <c r="U1609" s="1" t="s">
        <v>18505</v>
      </c>
      <c r="V1609" s="1">
        <v>7008334452</v>
      </c>
      <c r="W1609" s="1" t="s">
        <v>1529</v>
      </c>
      <c r="X1609" s="1" t="s">
        <v>18506</v>
      </c>
      <c r="Y1609" s="1" t="s">
        <v>191</v>
      </c>
      <c r="Z1609" s="1" t="s">
        <v>92</v>
      </c>
      <c r="AA1609" s="1" t="s">
        <v>18507</v>
      </c>
      <c r="AB1609" s="1" t="s">
        <v>18508</v>
      </c>
      <c r="AC1609" s="1" t="s">
        <v>846</v>
      </c>
      <c r="AD1609" s="1">
        <v>7.63</v>
      </c>
      <c r="AE1609" s="1" t="s">
        <v>93</v>
      </c>
      <c r="AF1609" s="1" t="s">
        <v>18509</v>
      </c>
      <c r="AG1609" s="1" t="s">
        <v>5379</v>
      </c>
      <c r="AH1609" s="1" t="s">
        <v>279</v>
      </c>
      <c r="AI1609" s="1" t="s">
        <v>165</v>
      </c>
      <c r="AJ1609" s="1">
        <v>85.5</v>
      </c>
      <c r="AK1609" s="1">
        <v>9</v>
      </c>
      <c r="AL1609" s="1" t="s">
        <v>18509</v>
      </c>
      <c r="AM1609" s="1" t="s">
        <v>5379</v>
      </c>
      <c r="AN1609" s="1" t="s">
        <v>383</v>
      </c>
      <c r="AO1609" s="1" t="s">
        <v>310</v>
      </c>
      <c r="AP1609" s="1">
        <v>67.2</v>
      </c>
      <c r="AQ1609" s="1"/>
      <c r="AR1609" s="1"/>
      <c r="AS1609" s="1"/>
      <c r="AT1609" s="1"/>
      <c r="AU1609" s="1"/>
      <c r="AV1609" s="1"/>
      <c r="AW1609" s="1"/>
      <c r="AX1609" s="1" t="s">
        <v>10180</v>
      </c>
      <c r="AY1609" s="1" t="s">
        <v>18510</v>
      </c>
      <c r="AZ1609" s="1" t="s">
        <v>201</v>
      </c>
      <c r="BA1609" s="1" t="s">
        <v>935</v>
      </c>
      <c r="BB1609" s="1">
        <v>70.27</v>
      </c>
      <c r="BC1609" s="1">
        <v>7.35</v>
      </c>
      <c r="BD1609" s="1"/>
      <c r="BE1609" s="1"/>
      <c r="BF1609" s="1"/>
      <c r="BG1609" s="1"/>
      <c r="BH1609" s="1"/>
      <c r="BI1609" s="1"/>
      <c r="BJ1609" s="1" t="s">
        <v>364</v>
      </c>
      <c r="BK1609" s="1" t="s">
        <v>18511</v>
      </c>
      <c r="BL1609" s="1" t="s">
        <v>4887</v>
      </c>
      <c r="BM1609" s="1" t="s">
        <v>18512</v>
      </c>
      <c r="BN1609" s="1">
        <v>8</v>
      </c>
      <c r="BO1609" s="1"/>
      <c r="BP1609" s="1" t="str">
        <f>HYPERLINK("https://nconnect.nicmar.ac.in/storage/profile/ProfilePhoto_P25703005_859241.jpg","Download")</f>
        <v>0</v>
      </c>
      <c r="BQ1609" s="3"/>
      <c r="BR1609" s="3"/>
    </row>
    <row r="1610" spans="1:70">
      <c r="A1610" s="1" t="s">
        <v>16711</v>
      </c>
      <c r="B1610" s="1" t="s">
        <v>441</v>
      </c>
      <c r="C1610" s="1" t="s">
        <v>18513</v>
      </c>
      <c r="D1610" s="1" t="s">
        <v>18514</v>
      </c>
      <c r="E1610" s="1"/>
      <c r="F1610" s="1" t="s">
        <v>11652</v>
      </c>
      <c r="G1610" s="1" t="s">
        <v>18515</v>
      </c>
      <c r="H1610" s="1" t="s">
        <v>18516</v>
      </c>
      <c r="I1610" s="1" t="s">
        <v>18517</v>
      </c>
      <c r="J1610" s="1">
        <v>9953915250</v>
      </c>
      <c r="K1610" s="1" t="s">
        <v>148</v>
      </c>
      <c r="L1610" s="1" t="s">
        <v>4656</v>
      </c>
      <c r="M1610" s="1" t="s">
        <v>81</v>
      </c>
      <c r="N1610" s="1" t="s">
        <v>4289</v>
      </c>
      <c r="O1610" s="1"/>
      <c r="P1610" s="1" t="s">
        <v>472</v>
      </c>
      <c r="Q1610" s="1" t="s">
        <v>18518</v>
      </c>
      <c r="R1610" s="1" t="s">
        <v>18519</v>
      </c>
      <c r="S1610" s="1">
        <v>9873715250</v>
      </c>
      <c r="T1610" s="1" t="s">
        <v>5069</v>
      </c>
      <c r="U1610" s="1" t="s">
        <v>18520</v>
      </c>
      <c r="V1610" s="1">
        <v>9999228350</v>
      </c>
      <c r="W1610" s="1" t="s">
        <v>156</v>
      </c>
      <c r="X1610" s="1" t="s">
        <v>18521</v>
      </c>
      <c r="Y1610" s="1" t="s">
        <v>18522</v>
      </c>
      <c r="Z1610" s="1" t="s">
        <v>1714</v>
      </c>
      <c r="AA1610" s="1" t="s">
        <v>18521</v>
      </c>
      <c r="AB1610" s="1" t="s">
        <v>18522</v>
      </c>
      <c r="AC1610" s="1" t="s">
        <v>1714</v>
      </c>
      <c r="AD1610" s="1">
        <v>8.99</v>
      </c>
      <c r="AE1610" s="1" t="s">
        <v>93</v>
      </c>
      <c r="AF1610" s="1" t="s">
        <v>13468</v>
      </c>
      <c r="AG1610" s="1" t="s">
        <v>6487</v>
      </c>
      <c r="AH1610" s="1" t="s">
        <v>481</v>
      </c>
      <c r="AI1610" s="1" t="s">
        <v>409</v>
      </c>
      <c r="AJ1610" s="1">
        <v>88.6</v>
      </c>
      <c r="AK1610" s="1"/>
      <c r="AL1610" s="1" t="s">
        <v>13468</v>
      </c>
      <c r="AM1610" s="1" t="s">
        <v>6487</v>
      </c>
      <c r="AN1610" s="1" t="s">
        <v>956</v>
      </c>
      <c r="AO1610" s="1" t="s">
        <v>539</v>
      </c>
      <c r="AP1610" s="1">
        <v>84.6</v>
      </c>
      <c r="AQ1610" s="1"/>
      <c r="AR1610" s="1"/>
      <c r="AS1610" s="1"/>
      <c r="AT1610" s="1"/>
      <c r="AU1610" s="1"/>
      <c r="AV1610" s="1"/>
      <c r="AW1610" s="1"/>
      <c r="AX1610" s="1" t="s">
        <v>18523</v>
      </c>
      <c r="AY1610" s="1" t="s">
        <v>18524</v>
      </c>
      <c r="AZ1610" s="1" t="s">
        <v>593</v>
      </c>
      <c r="BA1610" s="1" t="s">
        <v>202</v>
      </c>
      <c r="BB1610" s="1">
        <v>64.2</v>
      </c>
      <c r="BC1610" s="1"/>
      <c r="BD1610" s="1"/>
      <c r="BE1610" s="1"/>
      <c r="BF1610" s="1"/>
      <c r="BG1610" s="1"/>
      <c r="BH1610" s="1"/>
      <c r="BI1610" s="1"/>
      <c r="BJ1610" s="1" t="s">
        <v>18525</v>
      </c>
      <c r="BK1610" s="1"/>
      <c r="BL1610" s="1"/>
      <c r="BM1610" s="1" t="s">
        <v>18526</v>
      </c>
      <c r="BN1610" s="1">
        <v>30</v>
      </c>
      <c r="BO1610" s="1" t="s">
        <v>18527</v>
      </c>
      <c r="BP1610" s="1" t="str">
        <f>HYPERLINK("https://nconnect.nicmar.ac.in/storage/profile/ProfilePhoto_P25703006_431582.jpg","Download")</f>
        <v>0</v>
      </c>
      <c r="BQ1610" s="3"/>
      <c r="BR1610" s="3"/>
    </row>
    <row r="1611" spans="1:70">
      <c r="A1611" s="1" t="s">
        <v>16711</v>
      </c>
      <c r="B1611" s="1" t="s">
        <v>441</v>
      </c>
      <c r="C1611" s="1" t="s">
        <v>18528</v>
      </c>
      <c r="D1611" s="1" t="s">
        <v>417</v>
      </c>
      <c r="E1611" s="1"/>
      <c r="F1611" s="1" t="s">
        <v>17685</v>
      </c>
      <c r="G1611" s="1" t="s">
        <v>18529</v>
      </c>
      <c r="H1611" s="1" t="s">
        <v>18530</v>
      </c>
      <c r="I1611" s="1" t="s">
        <v>18531</v>
      </c>
      <c r="J1611" s="1">
        <v>6386400862</v>
      </c>
      <c r="K1611" s="1" t="s">
        <v>148</v>
      </c>
      <c r="L1611" s="1" t="s">
        <v>9553</v>
      </c>
      <c r="M1611" s="1" t="s">
        <v>81</v>
      </c>
      <c r="N1611" s="1" t="s">
        <v>350</v>
      </c>
      <c r="O1611" s="1"/>
      <c r="P1611" s="1" t="s">
        <v>497</v>
      </c>
      <c r="Q1611" s="1" t="s">
        <v>18532</v>
      </c>
      <c r="R1611" s="1" t="s">
        <v>18533</v>
      </c>
      <c r="S1611" s="1">
        <v>7007661585</v>
      </c>
      <c r="T1611" s="1" t="s">
        <v>377</v>
      </c>
      <c r="U1611" s="1" t="s">
        <v>18534</v>
      </c>
      <c r="V1611" s="1">
        <v>8318599386</v>
      </c>
      <c r="W1611" s="1" t="s">
        <v>273</v>
      </c>
      <c r="X1611" s="1" t="s">
        <v>18535</v>
      </c>
      <c r="Y1611" s="1" t="s">
        <v>1038</v>
      </c>
      <c r="Z1611" s="1" t="s">
        <v>534</v>
      </c>
      <c r="AA1611" s="1" t="s">
        <v>18536</v>
      </c>
      <c r="AB1611" s="1" t="s">
        <v>18537</v>
      </c>
      <c r="AC1611" s="1" t="s">
        <v>534</v>
      </c>
      <c r="AD1611" s="1">
        <v>8.4</v>
      </c>
      <c r="AE1611" s="1" t="s">
        <v>93</v>
      </c>
      <c r="AF1611" s="1" t="s">
        <v>18538</v>
      </c>
      <c r="AG1611" s="1" t="s">
        <v>664</v>
      </c>
      <c r="AH1611" s="1" t="s">
        <v>689</v>
      </c>
      <c r="AI1611" s="1" t="s">
        <v>166</v>
      </c>
      <c r="AJ1611" s="1">
        <v>71</v>
      </c>
      <c r="AK1611" s="1"/>
      <c r="AL1611" s="1" t="s">
        <v>18539</v>
      </c>
      <c r="AM1611" s="1" t="s">
        <v>307</v>
      </c>
      <c r="AN1611" s="1" t="s">
        <v>169</v>
      </c>
      <c r="AO1611" s="1" t="s">
        <v>173</v>
      </c>
      <c r="AP1611" s="1">
        <v>71.6</v>
      </c>
      <c r="AQ1611" s="1"/>
      <c r="AR1611" s="1"/>
      <c r="AS1611" s="1"/>
      <c r="AT1611" s="1"/>
      <c r="AU1611" s="1"/>
      <c r="AV1611" s="1"/>
      <c r="AW1611" s="1"/>
      <c r="AX1611" s="1" t="s">
        <v>18540</v>
      </c>
      <c r="AY1611" s="1" t="s">
        <v>18541</v>
      </c>
      <c r="AZ1611" s="1" t="s">
        <v>1019</v>
      </c>
      <c r="BA1611" s="1" t="s">
        <v>9507</v>
      </c>
      <c r="BB1611" s="1">
        <v>77.58</v>
      </c>
      <c r="BC1611" s="1"/>
      <c r="BD1611" s="1"/>
      <c r="BE1611" s="1"/>
      <c r="BF1611" s="1"/>
      <c r="BG1611" s="1"/>
      <c r="BH1611" s="1"/>
      <c r="BI1611" s="1"/>
      <c r="BJ1611" s="1" t="s">
        <v>1822</v>
      </c>
      <c r="BK1611" s="1"/>
      <c r="BL1611" s="1"/>
      <c r="BM1611" s="1" t="s">
        <v>18542</v>
      </c>
      <c r="BN1611" s="1">
        <v>8</v>
      </c>
      <c r="BO1611" s="1" t="s">
        <v>18543</v>
      </c>
      <c r="BP1611" s="1" t="str">
        <f>HYPERLINK("https://nconnect.nicmar.ac.in/storage/profile/ProfilePhoto_P25703007_257863.jpg","Download")</f>
        <v>0</v>
      </c>
      <c r="BQ1611" s="3"/>
      <c r="BR1611" s="3"/>
    </row>
    <row r="1612" spans="1:70">
      <c r="A1612" s="1" t="s">
        <v>16711</v>
      </c>
      <c r="B1612" s="1" t="s">
        <v>441</v>
      </c>
      <c r="C1612" s="1" t="s">
        <v>18544</v>
      </c>
      <c r="D1612" s="1" t="s">
        <v>2374</v>
      </c>
      <c r="E1612" s="1" t="s">
        <v>6081</v>
      </c>
      <c r="F1612" s="1" t="s">
        <v>18545</v>
      </c>
      <c r="G1612" s="1" t="s">
        <v>18546</v>
      </c>
      <c r="H1612" s="1" t="s">
        <v>18547</v>
      </c>
      <c r="I1612" s="1" t="s">
        <v>18548</v>
      </c>
      <c r="J1612" s="1">
        <v>9370792447</v>
      </c>
      <c r="K1612" s="1" t="s">
        <v>79</v>
      </c>
      <c r="L1612" s="1" t="s">
        <v>12929</v>
      </c>
      <c r="M1612" s="1" t="s">
        <v>81</v>
      </c>
      <c r="N1612" s="1" t="s">
        <v>3587</v>
      </c>
      <c r="O1612" s="1"/>
      <c r="P1612" s="1" t="s">
        <v>472</v>
      </c>
      <c r="Q1612" s="1" t="s">
        <v>18549</v>
      </c>
      <c r="R1612" s="1" t="s">
        <v>18550</v>
      </c>
      <c r="S1612" s="1">
        <v>9370792447</v>
      </c>
      <c r="T1612" s="1" t="s">
        <v>18551</v>
      </c>
      <c r="U1612" s="1" t="s">
        <v>18552</v>
      </c>
      <c r="V1612" s="1">
        <v>8208767064</v>
      </c>
      <c r="W1612" s="1" t="s">
        <v>156</v>
      </c>
      <c r="X1612" s="1" t="s">
        <v>18553</v>
      </c>
      <c r="Y1612" s="1" t="s">
        <v>405</v>
      </c>
      <c r="Z1612" s="1" t="s">
        <v>92</v>
      </c>
      <c r="AA1612" s="1" t="s">
        <v>18553</v>
      </c>
      <c r="AB1612" s="1" t="s">
        <v>405</v>
      </c>
      <c r="AC1612" s="1" t="s">
        <v>92</v>
      </c>
      <c r="AD1612" s="1">
        <v>7.97</v>
      </c>
      <c r="AE1612" s="1" t="s">
        <v>93</v>
      </c>
      <c r="AF1612" s="1" t="s">
        <v>18554</v>
      </c>
      <c r="AG1612" s="1" t="s">
        <v>18555</v>
      </c>
      <c r="AH1612" s="1" t="s">
        <v>165</v>
      </c>
      <c r="AI1612" s="1" t="s">
        <v>281</v>
      </c>
      <c r="AJ1612" s="1">
        <v>83.4</v>
      </c>
      <c r="AK1612" s="1">
        <v>0</v>
      </c>
      <c r="AL1612" s="1"/>
      <c r="AM1612" s="1"/>
      <c r="AN1612" s="1"/>
      <c r="AO1612" s="1"/>
      <c r="AP1612" s="1"/>
      <c r="AQ1612" s="1"/>
      <c r="AR1612" s="1" t="s">
        <v>18556</v>
      </c>
      <c r="AS1612" s="1" t="s">
        <v>7462</v>
      </c>
      <c r="AT1612" s="1" t="s">
        <v>1043</v>
      </c>
      <c r="AU1612" s="1" t="s">
        <v>542</v>
      </c>
      <c r="AV1612" s="1">
        <v>91.6</v>
      </c>
      <c r="AW1612" s="1">
        <v>0</v>
      </c>
      <c r="AX1612" s="1" t="s">
        <v>18557</v>
      </c>
      <c r="AY1612" s="1" t="s">
        <v>18557</v>
      </c>
      <c r="AZ1612" s="1" t="s">
        <v>852</v>
      </c>
      <c r="BA1612" s="1" t="s">
        <v>413</v>
      </c>
      <c r="BB1612" s="1">
        <v>77.6</v>
      </c>
      <c r="BC1612" s="1">
        <v>8.51</v>
      </c>
      <c r="BD1612" s="1"/>
      <c r="BE1612" s="1"/>
      <c r="BF1612" s="1"/>
      <c r="BG1612" s="1"/>
      <c r="BH1612" s="1"/>
      <c r="BI1612" s="1"/>
      <c r="BJ1612" s="1" t="s">
        <v>18558</v>
      </c>
      <c r="BK1612" s="1" t="s">
        <v>18559</v>
      </c>
      <c r="BL1612" s="1" t="s">
        <v>1022</v>
      </c>
      <c r="BM1612" s="1" t="s">
        <v>18560</v>
      </c>
      <c r="BN1612" s="1">
        <v>29</v>
      </c>
      <c r="BO1612" s="1"/>
      <c r="BP1612" s="1" t="str">
        <f>HYPERLINK("https://nconnect.nicmar.ac.in/storage/profile/ProfilePhoto_P25703008_815249.jpg","Download")</f>
        <v>0</v>
      </c>
      <c r="BQ1612" s="3"/>
      <c r="BR1612" s="3"/>
    </row>
    <row r="1613" spans="1:70">
      <c r="A1613" s="1" t="s">
        <v>16711</v>
      </c>
      <c r="B1613" s="1" t="s">
        <v>441</v>
      </c>
      <c r="C1613" s="1" t="s">
        <v>18561</v>
      </c>
      <c r="D1613" s="1" t="s">
        <v>18562</v>
      </c>
      <c r="E1613" s="1"/>
      <c r="F1613" s="1" t="s">
        <v>111</v>
      </c>
      <c r="G1613" s="1" t="s">
        <v>18563</v>
      </c>
      <c r="H1613" s="1" t="s">
        <v>18564</v>
      </c>
      <c r="I1613" s="1" t="s">
        <v>18565</v>
      </c>
      <c r="J1613" s="1">
        <v>8970457027</v>
      </c>
      <c r="K1613" s="1" t="s">
        <v>148</v>
      </c>
      <c r="L1613" s="1" t="s">
        <v>18566</v>
      </c>
      <c r="M1613" s="1" t="s">
        <v>81</v>
      </c>
      <c r="N1613" s="1" t="s">
        <v>18567</v>
      </c>
      <c r="O1613" s="1"/>
      <c r="P1613" s="1" t="s">
        <v>497</v>
      </c>
      <c r="Q1613" s="1" t="s">
        <v>18568</v>
      </c>
      <c r="R1613" s="1" t="s">
        <v>18569</v>
      </c>
      <c r="S1613" s="1">
        <v>8618498638</v>
      </c>
      <c r="T1613" s="1" t="s">
        <v>87</v>
      </c>
      <c r="U1613" s="1" t="s">
        <v>11360</v>
      </c>
      <c r="V1613" s="1">
        <v>8618831030</v>
      </c>
      <c r="W1613" s="1" t="s">
        <v>89</v>
      </c>
      <c r="X1613" s="1" t="s">
        <v>18570</v>
      </c>
      <c r="Y1613" s="1" t="s">
        <v>3151</v>
      </c>
      <c r="Z1613" s="1" t="s">
        <v>1187</v>
      </c>
      <c r="AA1613" s="1" t="s">
        <v>18570</v>
      </c>
      <c r="AB1613" s="1" t="s">
        <v>3151</v>
      </c>
      <c r="AC1613" s="1" t="s">
        <v>1187</v>
      </c>
      <c r="AD1613" s="1">
        <v>9.26</v>
      </c>
      <c r="AE1613" s="1" t="s">
        <v>93</v>
      </c>
      <c r="AF1613" s="1" t="s">
        <v>18571</v>
      </c>
      <c r="AG1613" s="1" t="s">
        <v>18572</v>
      </c>
      <c r="AH1613" s="1" t="s">
        <v>2736</v>
      </c>
      <c r="AI1613" s="1" t="s">
        <v>129</v>
      </c>
      <c r="AJ1613" s="1">
        <v>81.7</v>
      </c>
      <c r="AK1613" s="1">
        <v>8.6</v>
      </c>
      <c r="AL1613" s="1" t="s">
        <v>18573</v>
      </c>
      <c r="AM1613" s="1" t="s">
        <v>10858</v>
      </c>
      <c r="AN1613" s="1" t="s">
        <v>96</v>
      </c>
      <c r="AO1613" s="1" t="s">
        <v>131</v>
      </c>
      <c r="AP1613" s="1">
        <v>75.5</v>
      </c>
      <c r="AQ1613" s="1"/>
      <c r="AR1613" s="1"/>
      <c r="AS1613" s="1"/>
      <c r="AT1613" s="1"/>
      <c r="AU1613" s="1"/>
      <c r="AV1613" s="1"/>
      <c r="AW1613" s="1"/>
      <c r="AX1613" s="1" t="s">
        <v>1194</v>
      </c>
      <c r="AY1613" s="1" t="s">
        <v>18574</v>
      </c>
      <c r="AZ1613" s="1" t="s">
        <v>100</v>
      </c>
      <c r="BA1613" s="1" t="s">
        <v>201</v>
      </c>
      <c r="BB1613" s="1">
        <v>65.5</v>
      </c>
      <c r="BC1613" s="1">
        <v>7.3</v>
      </c>
      <c r="BD1613" s="1"/>
      <c r="BE1613" s="1"/>
      <c r="BF1613" s="1"/>
      <c r="BG1613" s="1"/>
      <c r="BH1613" s="1"/>
      <c r="BI1613" s="1"/>
      <c r="BJ1613" s="1" t="s">
        <v>18575</v>
      </c>
      <c r="BK1613" s="1" t="s">
        <v>18576</v>
      </c>
      <c r="BL1613" s="1" t="s">
        <v>18577</v>
      </c>
      <c r="BM1613" s="1" t="s">
        <v>18578</v>
      </c>
      <c r="BN1613" s="1">
        <v>13</v>
      </c>
      <c r="BO1613" s="1"/>
      <c r="BP1613" s="1" t="str">
        <f>HYPERLINK("https://nconnect.nicmar.ac.in/storage/profile/ProfilePhoto_P25703009_857219.jpg","Download")</f>
        <v>0</v>
      </c>
      <c r="BQ1613" s="3"/>
      <c r="BR1613" s="3"/>
    </row>
    <row r="1614" spans="1:70">
      <c r="A1614" s="1" t="s">
        <v>16711</v>
      </c>
      <c r="B1614" s="1" t="s">
        <v>441</v>
      </c>
      <c r="C1614" s="1" t="s">
        <v>18579</v>
      </c>
      <c r="D1614" s="1" t="s">
        <v>877</v>
      </c>
      <c r="E1614" s="1" t="s">
        <v>13070</v>
      </c>
      <c r="F1614" s="1" t="s">
        <v>18580</v>
      </c>
      <c r="G1614" s="1" t="s">
        <v>18581</v>
      </c>
      <c r="H1614" s="1" t="s">
        <v>18582</v>
      </c>
      <c r="I1614" s="1" t="s">
        <v>18583</v>
      </c>
      <c r="J1614" s="1">
        <v>7498649773</v>
      </c>
      <c r="K1614" s="1" t="s">
        <v>79</v>
      </c>
      <c r="L1614" s="1" t="s">
        <v>18584</v>
      </c>
      <c r="M1614" s="1" t="s">
        <v>81</v>
      </c>
      <c r="N1614" s="1" t="s">
        <v>751</v>
      </c>
      <c r="O1614" s="1"/>
      <c r="P1614" s="1" t="s">
        <v>472</v>
      </c>
      <c r="Q1614" s="1" t="s">
        <v>18585</v>
      </c>
      <c r="R1614" s="1" t="s">
        <v>18586</v>
      </c>
      <c r="S1614" s="1">
        <v>9823403493</v>
      </c>
      <c r="T1614" s="1" t="s">
        <v>154</v>
      </c>
      <c r="U1614" s="1" t="s">
        <v>18587</v>
      </c>
      <c r="V1614" s="1">
        <v>8390555647</v>
      </c>
      <c r="W1614" s="1" t="s">
        <v>156</v>
      </c>
      <c r="X1614" s="1" t="s">
        <v>18588</v>
      </c>
      <c r="Y1614" s="1" t="s">
        <v>1754</v>
      </c>
      <c r="Z1614" s="1" t="s">
        <v>92</v>
      </c>
      <c r="AA1614" s="1" t="s">
        <v>18588</v>
      </c>
      <c r="AB1614" s="1" t="s">
        <v>1754</v>
      </c>
      <c r="AC1614" s="1" t="s">
        <v>92</v>
      </c>
      <c r="AD1614" s="1" t="s">
        <v>93</v>
      </c>
      <c r="AE1614" s="1" t="s">
        <v>93</v>
      </c>
      <c r="AF1614" s="1" t="s">
        <v>18589</v>
      </c>
      <c r="AG1614" s="1" t="s">
        <v>18590</v>
      </c>
      <c r="AH1614" s="1" t="s">
        <v>18591</v>
      </c>
      <c r="AI1614" s="1" t="s">
        <v>281</v>
      </c>
      <c r="AJ1614" s="1">
        <v>76</v>
      </c>
      <c r="AK1614" s="1"/>
      <c r="AL1614" s="1" t="s">
        <v>18592</v>
      </c>
      <c r="AM1614" s="1" t="s">
        <v>975</v>
      </c>
      <c r="AN1614" s="1" t="s">
        <v>169</v>
      </c>
      <c r="AO1614" s="1" t="s">
        <v>590</v>
      </c>
      <c r="AP1614" s="1">
        <v>67.85</v>
      </c>
      <c r="AQ1614" s="1"/>
      <c r="AR1614" s="1"/>
      <c r="AS1614" s="1"/>
      <c r="AT1614" s="1"/>
      <c r="AU1614" s="1"/>
      <c r="AV1614" s="1"/>
      <c r="AW1614" s="1"/>
      <c r="AX1614" s="1" t="s">
        <v>18593</v>
      </c>
      <c r="AY1614" s="1" t="s">
        <v>18594</v>
      </c>
      <c r="AZ1614" s="1" t="s">
        <v>173</v>
      </c>
      <c r="BA1614" s="1" t="s">
        <v>1292</v>
      </c>
      <c r="BB1614" s="1">
        <v>71.1</v>
      </c>
      <c r="BC1614" s="1">
        <v>7.86</v>
      </c>
      <c r="BD1614" s="1"/>
      <c r="BE1614" s="1"/>
      <c r="BF1614" s="1"/>
      <c r="BG1614" s="1"/>
      <c r="BH1614" s="1"/>
      <c r="BI1614" s="1"/>
      <c r="BJ1614" s="1" t="s">
        <v>18595</v>
      </c>
      <c r="BK1614" s="1"/>
      <c r="BL1614" s="1"/>
      <c r="BM1614" s="1" t="s">
        <v>18596</v>
      </c>
      <c r="BN1614" s="1">
        <v>14</v>
      </c>
      <c r="BO1614" s="1"/>
      <c r="BP1614" s="1" t="str">
        <f>HYPERLINK("https://nconnect.nicmar.ac.in/storage/profile/ProfilePhoto_P25703010_526749.jpg","Download")</f>
        <v>0</v>
      </c>
      <c r="BQ1614" s="3"/>
      <c r="BR1614" s="3"/>
    </row>
    <row r="1615" spans="1:70">
      <c r="A1615" s="1" t="s">
        <v>16711</v>
      </c>
      <c r="B1615" s="1" t="s">
        <v>441</v>
      </c>
      <c r="C1615" s="1" t="s">
        <v>18597</v>
      </c>
      <c r="D1615" s="1" t="s">
        <v>18598</v>
      </c>
      <c r="E1615" s="1"/>
      <c r="F1615" s="1" t="s">
        <v>18599</v>
      </c>
      <c r="G1615" s="1" t="s">
        <v>18600</v>
      </c>
      <c r="H1615" s="1" t="s">
        <v>18601</v>
      </c>
      <c r="I1615" s="1" t="s">
        <v>18602</v>
      </c>
      <c r="J1615" s="1">
        <v>8102412210</v>
      </c>
      <c r="K1615" s="1" t="s">
        <v>148</v>
      </c>
      <c r="L1615" s="1" t="s">
        <v>18603</v>
      </c>
      <c r="M1615" s="1" t="s">
        <v>81</v>
      </c>
      <c r="N1615" s="1" t="s">
        <v>2991</v>
      </c>
      <c r="O1615" s="1" t="s">
        <v>152</v>
      </c>
      <c r="P1615" s="1" t="s">
        <v>84</v>
      </c>
      <c r="Q1615" s="1" t="s">
        <v>18604</v>
      </c>
      <c r="R1615" s="1" t="s">
        <v>18605</v>
      </c>
      <c r="S1615" s="1">
        <v>8986562633</v>
      </c>
      <c r="T1615" s="1" t="s">
        <v>18606</v>
      </c>
      <c r="U1615" s="1" t="s">
        <v>18607</v>
      </c>
      <c r="V1615" s="1">
        <v>8318824248</v>
      </c>
      <c r="W1615" s="1" t="s">
        <v>122</v>
      </c>
      <c r="X1615" s="1" t="s">
        <v>18608</v>
      </c>
      <c r="Y1615" s="1" t="s">
        <v>635</v>
      </c>
      <c r="Z1615" s="1" t="s">
        <v>636</v>
      </c>
      <c r="AA1615" s="1" t="s">
        <v>18608</v>
      </c>
      <c r="AB1615" s="1" t="s">
        <v>635</v>
      </c>
      <c r="AC1615" s="1" t="s">
        <v>636</v>
      </c>
      <c r="AD1615" s="1">
        <v>7.65</v>
      </c>
      <c r="AE1615" s="1" t="s">
        <v>93</v>
      </c>
      <c r="AF1615" s="1" t="s">
        <v>18609</v>
      </c>
      <c r="AG1615" s="1" t="s">
        <v>18610</v>
      </c>
      <c r="AH1615" s="1" t="s">
        <v>281</v>
      </c>
      <c r="AI1615" s="1" t="s">
        <v>308</v>
      </c>
      <c r="AJ1615" s="1">
        <v>66.4</v>
      </c>
      <c r="AK1615" s="1"/>
      <c r="AL1615" s="1" t="s">
        <v>18609</v>
      </c>
      <c r="AM1615" s="1" t="s">
        <v>18611</v>
      </c>
      <c r="AN1615" s="1" t="s">
        <v>590</v>
      </c>
      <c r="AO1615" s="1" t="s">
        <v>539</v>
      </c>
      <c r="AP1615" s="1">
        <v>77.8</v>
      </c>
      <c r="AQ1615" s="1"/>
      <c r="AR1615" s="1"/>
      <c r="AS1615" s="1"/>
      <c r="AT1615" s="1"/>
      <c r="AU1615" s="1"/>
      <c r="AV1615" s="1"/>
      <c r="AW1615" s="1"/>
      <c r="AX1615" s="1" t="s">
        <v>18612</v>
      </c>
      <c r="AY1615" s="1" t="s">
        <v>18613</v>
      </c>
      <c r="AZ1615" s="1" t="s">
        <v>436</v>
      </c>
      <c r="BA1615" s="1" t="s">
        <v>202</v>
      </c>
      <c r="BB1615" s="1">
        <v>67.2</v>
      </c>
      <c r="BC1615" s="1">
        <v>7.17</v>
      </c>
      <c r="BD1615" s="1"/>
      <c r="BE1615" s="1"/>
      <c r="BF1615" s="1"/>
      <c r="BG1615" s="1"/>
      <c r="BH1615" s="1"/>
      <c r="BI1615" s="1"/>
      <c r="BJ1615" s="1" t="s">
        <v>18614</v>
      </c>
      <c r="BK1615" s="1"/>
      <c r="BL1615" s="1"/>
      <c r="BM1615" s="1" t="s">
        <v>18615</v>
      </c>
      <c r="BN1615" s="1">
        <v>9</v>
      </c>
      <c r="BO1615" s="1" t="s">
        <v>18616</v>
      </c>
      <c r="BP1615" s="1" t="str">
        <f>HYPERLINK("https://nconnect.nicmar.ac.in/storage/profile/ProfilePhoto_P25703011_825793.jpg","Download")</f>
        <v>0</v>
      </c>
      <c r="BQ1615" s="3"/>
      <c r="BR1615" s="3"/>
    </row>
    <row r="1616" spans="1:70">
      <c r="A1616" s="1" t="s">
        <v>16711</v>
      </c>
      <c r="B1616" s="1" t="s">
        <v>441</v>
      </c>
      <c r="C1616" s="1" t="s">
        <v>18617</v>
      </c>
      <c r="D1616" s="1" t="s">
        <v>2838</v>
      </c>
      <c r="E1616" s="1"/>
      <c r="F1616" s="1" t="s">
        <v>520</v>
      </c>
      <c r="G1616" s="1" t="s">
        <v>18618</v>
      </c>
      <c r="H1616" s="1" t="s">
        <v>18619</v>
      </c>
      <c r="I1616" s="1" t="s">
        <v>18620</v>
      </c>
      <c r="J1616" s="1">
        <v>7303466650</v>
      </c>
      <c r="K1616" s="1" t="s">
        <v>79</v>
      </c>
      <c r="L1616" s="1" t="s">
        <v>13547</v>
      </c>
      <c r="M1616" s="1" t="s">
        <v>81</v>
      </c>
      <c r="N1616" s="1" t="s">
        <v>2991</v>
      </c>
      <c r="O1616" s="1"/>
      <c r="P1616" s="1" t="s">
        <v>497</v>
      </c>
      <c r="Q1616" s="1" t="s">
        <v>18621</v>
      </c>
      <c r="R1616" s="1" t="s">
        <v>18622</v>
      </c>
      <c r="S1616" s="1">
        <v>9818994708</v>
      </c>
      <c r="T1616" s="1" t="s">
        <v>87</v>
      </c>
      <c r="U1616" s="1" t="s">
        <v>18623</v>
      </c>
      <c r="V1616" s="1">
        <v>9211474664</v>
      </c>
      <c r="W1616" s="1" t="s">
        <v>89</v>
      </c>
      <c r="X1616" s="1" t="s">
        <v>18624</v>
      </c>
      <c r="Y1616" s="1" t="s">
        <v>2541</v>
      </c>
      <c r="Z1616" s="1" t="s">
        <v>1675</v>
      </c>
      <c r="AA1616" s="1" t="s">
        <v>18624</v>
      </c>
      <c r="AB1616" s="1" t="s">
        <v>2541</v>
      </c>
      <c r="AC1616" s="1" t="s">
        <v>1675</v>
      </c>
      <c r="AD1616" s="1">
        <v>7.45</v>
      </c>
      <c r="AE1616" s="1" t="s">
        <v>93</v>
      </c>
      <c r="AF1616" s="1" t="s">
        <v>18625</v>
      </c>
      <c r="AG1616" s="1" t="s">
        <v>18626</v>
      </c>
      <c r="AH1616" s="1" t="s">
        <v>279</v>
      </c>
      <c r="AI1616" s="1" t="s">
        <v>165</v>
      </c>
      <c r="AJ1616" s="1">
        <v>55.1</v>
      </c>
      <c r="AK1616" s="1"/>
      <c r="AL1616" s="1" t="s">
        <v>18625</v>
      </c>
      <c r="AM1616" s="1" t="s">
        <v>18626</v>
      </c>
      <c r="AN1616" s="1" t="s">
        <v>409</v>
      </c>
      <c r="AO1616" s="1" t="s">
        <v>173</v>
      </c>
      <c r="AP1616" s="1">
        <v>63.83</v>
      </c>
      <c r="AQ1616" s="1"/>
      <c r="AR1616" s="1"/>
      <c r="AS1616" s="1"/>
      <c r="AT1616" s="1"/>
      <c r="AU1616" s="1"/>
      <c r="AV1616" s="1"/>
      <c r="AW1616" s="1"/>
      <c r="AX1616" s="1" t="s">
        <v>18627</v>
      </c>
      <c r="AY1616" s="1" t="s">
        <v>18628</v>
      </c>
      <c r="AZ1616" s="1" t="s">
        <v>173</v>
      </c>
      <c r="BA1616" s="1" t="s">
        <v>1246</v>
      </c>
      <c r="BB1616" s="1">
        <v>76.95</v>
      </c>
      <c r="BC1616" s="1">
        <v>8.1</v>
      </c>
      <c r="BD1616" s="1"/>
      <c r="BE1616" s="1"/>
      <c r="BF1616" s="1"/>
      <c r="BG1616" s="1"/>
      <c r="BH1616" s="1"/>
      <c r="BI1616" s="1"/>
      <c r="BJ1616" s="1" t="s">
        <v>15561</v>
      </c>
      <c r="BK1616" s="1" t="s">
        <v>18629</v>
      </c>
      <c r="BL1616" s="1" t="s">
        <v>1022</v>
      </c>
      <c r="BM1616" s="1" t="s">
        <v>18630</v>
      </c>
      <c r="BN1616" s="1">
        <v>8</v>
      </c>
      <c r="BO1616" s="1" t="s">
        <v>18631</v>
      </c>
      <c r="BP1616" s="1" t="str">
        <f>HYPERLINK("https://nconnect.nicmar.ac.in/storage/profile/ProfilePhoto_P25703014_598123.jpg","Download")</f>
        <v>0</v>
      </c>
      <c r="BQ1616" s="3"/>
      <c r="BR1616" s="3"/>
    </row>
    <row r="1617" spans="1:70">
      <c r="A1617" s="1" t="s">
        <v>16711</v>
      </c>
      <c r="B1617" s="1" t="s">
        <v>441</v>
      </c>
      <c r="C1617" s="1" t="s">
        <v>18632</v>
      </c>
      <c r="D1617" s="1" t="s">
        <v>2374</v>
      </c>
      <c r="E1617" s="1" t="s">
        <v>6871</v>
      </c>
      <c r="F1617" s="1" t="s">
        <v>18633</v>
      </c>
      <c r="G1617" s="1" t="s">
        <v>18634</v>
      </c>
      <c r="H1617" s="1" t="s">
        <v>18635</v>
      </c>
      <c r="I1617" s="1" t="s">
        <v>18636</v>
      </c>
      <c r="J1617" s="1">
        <v>7278881818</v>
      </c>
      <c r="K1617" s="1" t="s">
        <v>79</v>
      </c>
      <c r="L1617" s="1" t="s">
        <v>18637</v>
      </c>
      <c r="M1617" s="1" t="s">
        <v>81</v>
      </c>
      <c r="N1617" s="1" t="s">
        <v>605</v>
      </c>
      <c r="O1617" s="1"/>
      <c r="P1617" s="1" t="s">
        <v>497</v>
      </c>
      <c r="Q1617" s="1" t="s">
        <v>18638</v>
      </c>
      <c r="R1617" s="1" t="s">
        <v>18639</v>
      </c>
      <c r="S1617" s="1">
        <v>9890930951</v>
      </c>
      <c r="T1617" s="1" t="s">
        <v>17169</v>
      </c>
      <c r="U1617" s="1" t="s">
        <v>18640</v>
      </c>
      <c r="V1617" s="1">
        <v>9890930951</v>
      </c>
      <c r="W1617" s="1" t="s">
        <v>156</v>
      </c>
      <c r="X1617" s="1" t="s">
        <v>18641</v>
      </c>
      <c r="Y1617" s="1" t="s">
        <v>191</v>
      </c>
      <c r="Z1617" s="1" t="s">
        <v>92</v>
      </c>
      <c r="AA1617" s="1" t="s">
        <v>18641</v>
      </c>
      <c r="AB1617" s="1" t="s">
        <v>191</v>
      </c>
      <c r="AC1617" s="1" t="s">
        <v>92</v>
      </c>
      <c r="AD1617" s="1">
        <v>8.85</v>
      </c>
      <c r="AE1617" s="1" t="s">
        <v>93</v>
      </c>
      <c r="AF1617" s="1" t="s">
        <v>18642</v>
      </c>
      <c r="AG1617" s="1" t="s">
        <v>1942</v>
      </c>
      <c r="AH1617" s="1" t="s">
        <v>96</v>
      </c>
      <c r="AI1617" s="1" t="s">
        <v>97</v>
      </c>
      <c r="AJ1617" s="1">
        <v>83.2</v>
      </c>
      <c r="AK1617" s="1"/>
      <c r="AL1617" s="1" t="s">
        <v>18643</v>
      </c>
      <c r="AM1617" s="1" t="s">
        <v>1942</v>
      </c>
      <c r="AN1617" s="1" t="s">
        <v>162</v>
      </c>
      <c r="AO1617" s="1" t="s">
        <v>508</v>
      </c>
      <c r="AP1617" s="1">
        <v>63.38</v>
      </c>
      <c r="AQ1617" s="1"/>
      <c r="AR1617" s="1"/>
      <c r="AS1617" s="1"/>
      <c r="AT1617" s="1"/>
      <c r="AU1617" s="1"/>
      <c r="AV1617" s="1"/>
      <c r="AW1617" s="1"/>
      <c r="AX1617" s="1" t="s">
        <v>361</v>
      </c>
      <c r="AY1617" s="1" t="s">
        <v>18644</v>
      </c>
      <c r="AZ1617" s="1" t="s">
        <v>165</v>
      </c>
      <c r="BA1617" s="1" t="s">
        <v>956</v>
      </c>
      <c r="BB1617" s="1">
        <v>69.04</v>
      </c>
      <c r="BC1617" s="1"/>
      <c r="BD1617" s="1"/>
      <c r="BE1617" s="1"/>
      <c r="BF1617" s="1"/>
      <c r="BG1617" s="1"/>
      <c r="BH1617" s="1"/>
      <c r="BI1617" s="1"/>
      <c r="BJ1617" s="1" t="s">
        <v>3326</v>
      </c>
      <c r="BK1617" s="1" t="s">
        <v>18645</v>
      </c>
      <c r="BL1617" s="1" t="s">
        <v>3422</v>
      </c>
      <c r="BM1617" s="1" t="s">
        <v>18646</v>
      </c>
      <c r="BN1617" s="1">
        <v>69</v>
      </c>
      <c r="BO1617" s="1"/>
      <c r="BP1617" s="1" t="str">
        <f>HYPERLINK("https://nconnect.nicmar.ac.in/storage/profile/ProfilePhoto_P25703015_461932.jpg","Download")</f>
        <v>0</v>
      </c>
      <c r="BQ1617" s="3"/>
      <c r="BR1617" s="3"/>
    </row>
    <row r="1618" spans="1:70">
      <c r="A1618" s="1" t="s">
        <v>16711</v>
      </c>
      <c r="B1618" s="1" t="s">
        <v>441</v>
      </c>
      <c r="C1618" s="1" t="s">
        <v>18647</v>
      </c>
      <c r="D1618" s="1" t="s">
        <v>18648</v>
      </c>
      <c r="E1618" s="1"/>
      <c r="F1618" s="1" t="s">
        <v>18649</v>
      </c>
      <c r="G1618" s="1" t="s">
        <v>18650</v>
      </c>
      <c r="H1618" s="1" t="s">
        <v>18651</v>
      </c>
      <c r="I1618" s="1" t="s">
        <v>18652</v>
      </c>
      <c r="J1618" s="1">
        <v>8989439955</v>
      </c>
      <c r="K1618" s="1" t="s">
        <v>148</v>
      </c>
      <c r="L1618" s="1" t="s">
        <v>471</v>
      </c>
      <c r="M1618" s="1" t="s">
        <v>81</v>
      </c>
      <c r="N1618" s="1" t="s">
        <v>4289</v>
      </c>
      <c r="O1618" s="1" t="s">
        <v>18653</v>
      </c>
      <c r="P1618" s="1" t="s">
        <v>497</v>
      </c>
      <c r="Q1618" s="1" t="s">
        <v>18654</v>
      </c>
      <c r="R1618" s="1" t="s">
        <v>18655</v>
      </c>
      <c r="S1618" s="1">
        <v>9425676019</v>
      </c>
      <c r="T1618" s="1" t="s">
        <v>18656</v>
      </c>
      <c r="U1618" s="1" t="s">
        <v>18657</v>
      </c>
      <c r="V1618" s="1">
        <v>9425676019</v>
      </c>
      <c r="W1618" s="1" t="s">
        <v>156</v>
      </c>
      <c r="X1618" s="1" t="s">
        <v>18658</v>
      </c>
      <c r="Y1618" s="1" t="s">
        <v>191</v>
      </c>
      <c r="Z1618" s="1" t="s">
        <v>92</v>
      </c>
      <c r="AA1618" s="1" t="s">
        <v>18659</v>
      </c>
      <c r="AB1618" s="1" t="s">
        <v>7935</v>
      </c>
      <c r="AC1618" s="1" t="s">
        <v>3437</v>
      </c>
      <c r="AD1618" s="1">
        <v>7.93</v>
      </c>
      <c r="AE1618" s="1" t="s">
        <v>93</v>
      </c>
      <c r="AF1618" s="1" t="s">
        <v>18660</v>
      </c>
      <c r="AG1618" s="1" t="s">
        <v>9038</v>
      </c>
      <c r="AH1618" s="1" t="s">
        <v>281</v>
      </c>
      <c r="AI1618" s="1" t="s">
        <v>308</v>
      </c>
      <c r="AJ1618" s="1">
        <v>74</v>
      </c>
      <c r="AK1618" s="1"/>
      <c r="AL1618" s="1" t="s">
        <v>18660</v>
      </c>
      <c r="AM1618" s="1" t="s">
        <v>9038</v>
      </c>
      <c r="AN1618" s="1" t="s">
        <v>590</v>
      </c>
      <c r="AO1618" s="1" t="s">
        <v>539</v>
      </c>
      <c r="AP1618" s="1">
        <v>81</v>
      </c>
      <c r="AQ1618" s="1"/>
      <c r="AR1618" s="1"/>
      <c r="AS1618" s="1"/>
      <c r="AT1618" s="1"/>
      <c r="AU1618" s="1"/>
      <c r="AV1618" s="1"/>
      <c r="AW1618" s="1"/>
      <c r="AX1618" s="1" t="s">
        <v>18661</v>
      </c>
      <c r="AY1618" s="1" t="s">
        <v>18662</v>
      </c>
      <c r="AZ1618" s="1" t="s">
        <v>436</v>
      </c>
      <c r="BA1618" s="1" t="s">
        <v>413</v>
      </c>
      <c r="BB1618" s="1">
        <v>66.1</v>
      </c>
      <c r="BC1618" s="1">
        <v>6.61</v>
      </c>
      <c r="BD1618" s="1"/>
      <c r="BE1618" s="1"/>
      <c r="BF1618" s="1"/>
      <c r="BG1618" s="1"/>
      <c r="BH1618" s="1"/>
      <c r="BI1618" s="1"/>
      <c r="BJ1618" s="1" t="s">
        <v>1822</v>
      </c>
      <c r="BK1618" s="1"/>
      <c r="BL1618" s="1"/>
      <c r="BM1618" s="1" t="s">
        <v>18663</v>
      </c>
      <c r="BN1618" s="1">
        <v>8</v>
      </c>
      <c r="BO1618" s="1"/>
      <c r="BP1618" s="1" t="str">
        <f>HYPERLINK("https://nconnect.nicmar.ac.in/storage/profile/ProfilePhoto_P25703016_352178.jpg","Download")</f>
        <v>0</v>
      </c>
      <c r="BQ1618" s="3"/>
      <c r="BR1618" s="3"/>
    </row>
    <row r="1619" spans="1:70">
      <c r="A1619" s="1" t="s">
        <v>16711</v>
      </c>
      <c r="B1619" s="1" t="s">
        <v>441</v>
      </c>
      <c r="C1619" s="1" t="s">
        <v>18664</v>
      </c>
      <c r="D1619" s="1" t="s">
        <v>5634</v>
      </c>
      <c r="E1619" s="1" t="s">
        <v>18665</v>
      </c>
      <c r="F1619" s="1" t="s">
        <v>7168</v>
      </c>
      <c r="G1619" s="1" t="s">
        <v>18666</v>
      </c>
      <c r="H1619" s="1" t="s">
        <v>18667</v>
      </c>
      <c r="I1619" s="1" t="s">
        <v>18668</v>
      </c>
      <c r="J1619" s="1">
        <v>9370348171</v>
      </c>
      <c r="K1619" s="1" t="s">
        <v>79</v>
      </c>
      <c r="L1619" s="1" t="s">
        <v>18669</v>
      </c>
      <c r="M1619" s="1" t="s">
        <v>81</v>
      </c>
      <c r="N1619" s="1" t="s">
        <v>8503</v>
      </c>
      <c r="O1619" s="1"/>
      <c r="P1619" s="1" t="s">
        <v>1007</v>
      </c>
      <c r="Q1619" s="1" t="s">
        <v>18670</v>
      </c>
      <c r="R1619" s="1" t="s">
        <v>18671</v>
      </c>
      <c r="S1619" s="1">
        <v>7083028414</v>
      </c>
      <c r="T1619" s="1" t="s">
        <v>906</v>
      </c>
      <c r="U1619" s="1" t="s">
        <v>18672</v>
      </c>
      <c r="V1619" s="1">
        <v>8805616167</v>
      </c>
      <c r="W1619" s="1" t="s">
        <v>156</v>
      </c>
      <c r="X1619" s="1" t="s">
        <v>18673</v>
      </c>
      <c r="Y1619" s="1" t="s">
        <v>1963</v>
      </c>
      <c r="Z1619" s="1" t="s">
        <v>92</v>
      </c>
      <c r="AA1619" s="1" t="s">
        <v>18673</v>
      </c>
      <c r="AB1619" s="1" t="s">
        <v>1963</v>
      </c>
      <c r="AC1619" s="1" t="s">
        <v>92</v>
      </c>
      <c r="AD1619" s="1">
        <v>6.59</v>
      </c>
      <c r="AE1619" s="1" t="s">
        <v>93</v>
      </c>
      <c r="AF1619" s="1" t="s">
        <v>18674</v>
      </c>
      <c r="AG1619" s="1" t="s">
        <v>18675</v>
      </c>
      <c r="AH1619" s="1" t="s">
        <v>562</v>
      </c>
      <c r="AI1619" s="1" t="s">
        <v>166</v>
      </c>
      <c r="AJ1619" s="1">
        <v>88.8</v>
      </c>
      <c r="AK1619" s="1"/>
      <c r="AL1619" s="1" t="s">
        <v>18676</v>
      </c>
      <c r="AM1619" s="1" t="s">
        <v>18675</v>
      </c>
      <c r="AN1619" s="1" t="s">
        <v>308</v>
      </c>
      <c r="AO1619" s="1" t="s">
        <v>412</v>
      </c>
      <c r="AP1619" s="1">
        <v>68.31</v>
      </c>
      <c r="AQ1619" s="1"/>
      <c r="AR1619" s="1"/>
      <c r="AS1619" s="1"/>
      <c r="AT1619" s="1"/>
      <c r="AU1619" s="1"/>
      <c r="AV1619" s="1"/>
      <c r="AW1619" s="1"/>
      <c r="AX1619" s="1" t="s">
        <v>361</v>
      </c>
      <c r="AY1619" s="1" t="s">
        <v>18677</v>
      </c>
      <c r="AZ1619" s="1" t="s">
        <v>935</v>
      </c>
      <c r="BA1619" s="1" t="s">
        <v>413</v>
      </c>
      <c r="BB1619" s="1">
        <v>72.2</v>
      </c>
      <c r="BC1619" s="1">
        <v>7.69</v>
      </c>
      <c r="BD1619" s="1"/>
      <c r="BE1619" s="1"/>
      <c r="BF1619" s="1"/>
      <c r="BG1619" s="1"/>
      <c r="BH1619" s="1"/>
      <c r="BI1619" s="1"/>
      <c r="BJ1619" s="1" t="s">
        <v>1822</v>
      </c>
      <c r="BK1619" s="1"/>
      <c r="BL1619" s="1"/>
      <c r="BM1619" s="1" t="s">
        <v>18678</v>
      </c>
      <c r="BN1619" s="1">
        <v>8</v>
      </c>
      <c r="BO1619" s="1"/>
      <c r="BP1619" s="1" t="str">
        <f>HYPERLINK("https://nconnect.nicmar.ac.in/storage/profile/ProfilePhoto_P25703017_348917.jpg","Download")</f>
        <v>0</v>
      </c>
      <c r="BQ1619" s="3"/>
      <c r="BR1619" s="3"/>
    </row>
    <row r="1620" spans="1:70">
      <c r="A1620" s="1" t="s">
        <v>16711</v>
      </c>
      <c r="B1620" s="1" t="s">
        <v>441</v>
      </c>
      <c r="C1620" s="1" t="s">
        <v>18679</v>
      </c>
      <c r="D1620" s="1" t="s">
        <v>2070</v>
      </c>
      <c r="E1620" s="1" t="s">
        <v>649</v>
      </c>
      <c r="F1620" s="1" t="s">
        <v>18680</v>
      </c>
      <c r="G1620" s="1" t="s">
        <v>18681</v>
      </c>
      <c r="H1620" s="1" t="s">
        <v>18682</v>
      </c>
      <c r="I1620" s="1" t="s">
        <v>18683</v>
      </c>
      <c r="J1620" s="1">
        <v>8856913448</v>
      </c>
      <c r="K1620" s="1" t="s">
        <v>79</v>
      </c>
      <c r="L1620" s="1" t="s">
        <v>8486</v>
      </c>
      <c r="M1620" s="1" t="s">
        <v>81</v>
      </c>
      <c r="N1620" s="1" t="s">
        <v>751</v>
      </c>
      <c r="O1620" s="1"/>
      <c r="P1620" s="1"/>
      <c r="Q1620" s="1" t="s">
        <v>18684</v>
      </c>
      <c r="R1620" s="1" t="s">
        <v>649</v>
      </c>
      <c r="S1620" s="1">
        <v>9422431767</v>
      </c>
      <c r="T1620" s="1" t="s">
        <v>6725</v>
      </c>
      <c r="U1620" s="1" t="s">
        <v>301</v>
      </c>
      <c r="V1620" s="1">
        <v>8483892546</v>
      </c>
      <c r="W1620" s="1" t="s">
        <v>156</v>
      </c>
      <c r="X1620" s="1" t="s">
        <v>18685</v>
      </c>
      <c r="Y1620" s="1" t="s">
        <v>1012</v>
      </c>
      <c r="Z1620" s="1" t="s">
        <v>92</v>
      </c>
      <c r="AA1620" s="1" t="s">
        <v>18685</v>
      </c>
      <c r="AB1620" s="1" t="s">
        <v>1012</v>
      </c>
      <c r="AC1620" s="1" t="s">
        <v>92</v>
      </c>
      <c r="AD1620" s="1">
        <v>8.13</v>
      </c>
      <c r="AE1620" s="1" t="s">
        <v>93</v>
      </c>
      <c r="AF1620" s="1" t="s">
        <v>18686</v>
      </c>
      <c r="AG1620" s="1" t="s">
        <v>160</v>
      </c>
      <c r="AH1620" s="1" t="s">
        <v>162</v>
      </c>
      <c r="AI1620" s="1" t="s">
        <v>562</v>
      </c>
      <c r="AJ1620" s="1">
        <v>83.2</v>
      </c>
      <c r="AK1620" s="1"/>
      <c r="AL1620" s="1" t="s">
        <v>18687</v>
      </c>
      <c r="AM1620" s="1" t="s">
        <v>160</v>
      </c>
      <c r="AN1620" s="1" t="s">
        <v>101</v>
      </c>
      <c r="AO1620" s="1" t="s">
        <v>537</v>
      </c>
      <c r="AP1620" s="1">
        <v>66.46</v>
      </c>
      <c r="AQ1620" s="1"/>
      <c r="AR1620" s="1"/>
      <c r="AS1620" s="1"/>
      <c r="AT1620" s="1"/>
      <c r="AU1620" s="1"/>
      <c r="AV1620" s="1"/>
      <c r="AW1620" s="1"/>
      <c r="AX1620" s="1" t="s">
        <v>1017</v>
      </c>
      <c r="AY1620" s="1" t="s">
        <v>13123</v>
      </c>
      <c r="AZ1620" s="1" t="s">
        <v>201</v>
      </c>
      <c r="BA1620" s="1" t="s">
        <v>935</v>
      </c>
      <c r="BB1620" s="1">
        <v>63.2</v>
      </c>
      <c r="BC1620" s="1">
        <v>7.07</v>
      </c>
      <c r="BD1620" s="1"/>
      <c r="BE1620" s="1"/>
      <c r="BF1620" s="1"/>
      <c r="BG1620" s="1"/>
      <c r="BH1620" s="1"/>
      <c r="BI1620" s="1"/>
      <c r="BJ1620" s="1" t="s">
        <v>18688</v>
      </c>
      <c r="BK1620" s="1"/>
      <c r="BL1620" s="1"/>
      <c r="BM1620" s="1" t="s">
        <v>18689</v>
      </c>
      <c r="BN1620" s="1">
        <v>21</v>
      </c>
      <c r="BO1620" s="1" t="s">
        <v>18690</v>
      </c>
      <c r="BP1620" s="1" t="str">
        <f>HYPERLINK("https://nconnect.nicmar.ac.in/storage/profile/ProfilePhoto_P25703020_189736.jpg","Download")</f>
        <v>0</v>
      </c>
      <c r="BQ1620" s="3"/>
      <c r="BR1620" s="3"/>
    </row>
    <row r="1621" spans="1:70">
      <c r="A1621" s="1" t="s">
        <v>16711</v>
      </c>
      <c r="B1621" s="1" t="s">
        <v>441</v>
      </c>
      <c r="C1621" s="1" t="s">
        <v>18691</v>
      </c>
      <c r="D1621" s="1" t="s">
        <v>18692</v>
      </c>
      <c r="E1621" s="1"/>
      <c r="F1621" s="1" t="s">
        <v>2745</v>
      </c>
      <c r="G1621" s="1" t="s">
        <v>18693</v>
      </c>
      <c r="H1621" s="1" t="s">
        <v>18694</v>
      </c>
      <c r="I1621" s="1" t="s">
        <v>18695</v>
      </c>
      <c r="J1621" s="1">
        <v>9627176190</v>
      </c>
      <c r="K1621" s="1" t="s">
        <v>79</v>
      </c>
      <c r="L1621" s="1" t="s">
        <v>18696</v>
      </c>
      <c r="M1621" s="1" t="s">
        <v>81</v>
      </c>
      <c r="N1621" s="1" t="s">
        <v>82</v>
      </c>
      <c r="O1621" s="1"/>
      <c r="P1621" s="1" t="s">
        <v>472</v>
      </c>
      <c r="Q1621" s="1" t="s">
        <v>18697</v>
      </c>
      <c r="R1621" s="1" t="s">
        <v>18698</v>
      </c>
      <c r="S1621" s="1">
        <v>9759199626</v>
      </c>
      <c r="T1621" s="1" t="s">
        <v>154</v>
      </c>
      <c r="U1621" s="1" t="s">
        <v>18699</v>
      </c>
      <c r="V1621" s="1">
        <v>9368986593</v>
      </c>
      <c r="W1621" s="1" t="s">
        <v>89</v>
      </c>
      <c r="X1621" s="1" t="s">
        <v>18700</v>
      </c>
      <c r="Y1621" s="1" t="s">
        <v>4963</v>
      </c>
      <c r="Z1621" s="1" t="s">
        <v>534</v>
      </c>
      <c r="AA1621" s="1" t="s">
        <v>18700</v>
      </c>
      <c r="AB1621" s="1" t="s">
        <v>4963</v>
      </c>
      <c r="AC1621" s="1" t="s">
        <v>534</v>
      </c>
      <c r="AD1621" s="1">
        <v>7.59</v>
      </c>
      <c r="AE1621" s="1" t="s">
        <v>93</v>
      </c>
      <c r="AF1621" s="1" t="s">
        <v>18701</v>
      </c>
      <c r="AG1621" s="1" t="s">
        <v>18702</v>
      </c>
      <c r="AH1621" s="1" t="s">
        <v>537</v>
      </c>
      <c r="AI1621" s="1" t="s">
        <v>460</v>
      </c>
      <c r="AJ1621" s="1">
        <v>71.83</v>
      </c>
      <c r="AK1621" s="1">
        <v>7.56</v>
      </c>
      <c r="AL1621" s="1" t="s">
        <v>18701</v>
      </c>
      <c r="AM1621" s="1" t="s">
        <v>18702</v>
      </c>
      <c r="AN1621" s="1" t="s">
        <v>2273</v>
      </c>
      <c r="AO1621" s="1" t="s">
        <v>284</v>
      </c>
      <c r="AP1621" s="1">
        <v>58.4</v>
      </c>
      <c r="AQ1621" s="1">
        <v>6.14</v>
      </c>
      <c r="AR1621" s="1"/>
      <c r="AS1621" s="1"/>
      <c r="AT1621" s="1"/>
      <c r="AU1621" s="1"/>
      <c r="AV1621" s="1"/>
      <c r="AW1621" s="1"/>
      <c r="AX1621" s="1" t="s">
        <v>18703</v>
      </c>
      <c r="AY1621" s="1" t="s">
        <v>18704</v>
      </c>
      <c r="AZ1621" s="1" t="s">
        <v>1378</v>
      </c>
      <c r="BA1621" s="1" t="s">
        <v>1379</v>
      </c>
      <c r="BB1621" s="1">
        <v>71.02</v>
      </c>
      <c r="BC1621" s="1"/>
      <c r="BD1621" s="1"/>
      <c r="BE1621" s="1"/>
      <c r="BF1621" s="1"/>
      <c r="BG1621" s="1"/>
      <c r="BH1621" s="1"/>
      <c r="BI1621" s="1"/>
      <c r="BJ1621" s="1" t="s">
        <v>3326</v>
      </c>
      <c r="BK1621" s="1"/>
      <c r="BL1621" s="1"/>
      <c r="BM1621" s="1" t="s">
        <v>18705</v>
      </c>
      <c r="BN1621" s="1">
        <v>7</v>
      </c>
      <c r="BO1621" s="1" t="s">
        <v>18706</v>
      </c>
      <c r="BP1621" s="1" t="str">
        <f>HYPERLINK("https://nconnect.nicmar.ac.in/storage/profile/ProfilePhoto_P25703021_349281.jpg","Download")</f>
        <v>0</v>
      </c>
      <c r="BQ1621" s="3"/>
      <c r="BR1621" s="3"/>
    </row>
    <row r="1622" spans="1:70">
      <c r="A1622" s="1" t="s">
        <v>16711</v>
      </c>
      <c r="B1622" s="1" t="s">
        <v>441</v>
      </c>
      <c r="C1622" s="1" t="s">
        <v>18707</v>
      </c>
      <c r="D1622" s="1" t="s">
        <v>11033</v>
      </c>
      <c r="E1622" s="1" t="s">
        <v>3061</v>
      </c>
      <c r="F1622" s="1" t="s">
        <v>7079</v>
      </c>
      <c r="G1622" s="1" t="s">
        <v>18708</v>
      </c>
      <c r="H1622" s="1" t="s">
        <v>18709</v>
      </c>
      <c r="I1622" s="1" t="s">
        <v>18710</v>
      </c>
      <c r="J1622" s="1">
        <v>8767817626</v>
      </c>
      <c r="K1622" s="1" t="s">
        <v>148</v>
      </c>
      <c r="L1622" s="1" t="s">
        <v>18711</v>
      </c>
      <c r="M1622" s="1" t="s">
        <v>81</v>
      </c>
      <c r="N1622" s="1" t="s">
        <v>605</v>
      </c>
      <c r="O1622" s="1"/>
      <c r="P1622" s="1" t="s">
        <v>497</v>
      </c>
      <c r="Q1622" s="1" t="s">
        <v>18712</v>
      </c>
      <c r="R1622" s="1" t="s">
        <v>18713</v>
      </c>
      <c r="S1622" s="1">
        <v>9112618330</v>
      </c>
      <c r="T1622" s="1" t="s">
        <v>13149</v>
      </c>
      <c r="U1622" s="1" t="s">
        <v>18714</v>
      </c>
      <c r="V1622" s="1">
        <v>9325719433</v>
      </c>
      <c r="W1622" s="1" t="s">
        <v>156</v>
      </c>
      <c r="X1622" s="1" t="s">
        <v>18715</v>
      </c>
      <c r="Y1622" s="1" t="s">
        <v>91</v>
      </c>
      <c r="Z1622" s="1" t="s">
        <v>92</v>
      </c>
      <c r="AA1622" s="1" t="s">
        <v>18715</v>
      </c>
      <c r="AB1622" s="1" t="s">
        <v>91</v>
      </c>
      <c r="AC1622" s="1" t="s">
        <v>92</v>
      </c>
      <c r="AD1622" s="1">
        <v>7.46</v>
      </c>
      <c r="AE1622" s="1" t="s">
        <v>93</v>
      </c>
      <c r="AF1622" s="1" t="s">
        <v>18716</v>
      </c>
      <c r="AG1622" s="1" t="s">
        <v>1942</v>
      </c>
      <c r="AH1622" s="1" t="s">
        <v>101</v>
      </c>
      <c r="AI1622" s="1" t="s">
        <v>409</v>
      </c>
      <c r="AJ1622" s="1">
        <v>79.2</v>
      </c>
      <c r="AK1622" s="1"/>
      <c r="AL1622" s="1" t="s">
        <v>18717</v>
      </c>
      <c r="AM1622" s="1" t="s">
        <v>1942</v>
      </c>
      <c r="AN1622" s="1" t="s">
        <v>412</v>
      </c>
      <c r="AO1622" s="1" t="s">
        <v>1169</v>
      </c>
      <c r="AP1622" s="1">
        <v>90.17</v>
      </c>
      <c r="AQ1622" s="1"/>
      <c r="AR1622" s="1"/>
      <c r="AS1622" s="1"/>
      <c r="AT1622" s="1"/>
      <c r="AU1622" s="1"/>
      <c r="AV1622" s="1"/>
      <c r="AW1622" s="1"/>
      <c r="AX1622" s="1" t="s">
        <v>9524</v>
      </c>
      <c r="AY1622" s="1" t="s">
        <v>15560</v>
      </c>
      <c r="AZ1622" s="1" t="s">
        <v>828</v>
      </c>
      <c r="BA1622" s="1" t="s">
        <v>1292</v>
      </c>
      <c r="BB1622" s="1">
        <v>59.5</v>
      </c>
      <c r="BC1622" s="1">
        <v>5.95</v>
      </c>
      <c r="BD1622" s="1"/>
      <c r="BE1622" s="1"/>
      <c r="BF1622" s="1"/>
      <c r="BG1622" s="1"/>
      <c r="BH1622" s="1"/>
      <c r="BI1622" s="1"/>
      <c r="BJ1622" s="1" t="s">
        <v>3326</v>
      </c>
      <c r="BK1622" s="1"/>
      <c r="BL1622" s="1"/>
      <c r="BM1622" s="1" t="s">
        <v>18718</v>
      </c>
      <c r="BN1622" s="1">
        <v>8</v>
      </c>
      <c r="BO1622" s="1"/>
      <c r="BP1622" s="1" t="str">
        <f>HYPERLINK("https://nconnect.nicmar.ac.in/storage/profile/ProfilePhoto_P25703022_834792.jpg","Download")</f>
        <v>0</v>
      </c>
      <c r="BQ1622" s="3"/>
      <c r="BR1622" s="3"/>
    </row>
    <row r="1623" spans="1:70">
      <c r="A1623" s="1" t="s">
        <v>16711</v>
      </c>
      <c r="B1623" s="1" t="s">
        <v>441</v>
      </c>
      <c r="C1623" s="1" t="s">
        <v>18719</v>
      </c>
      <c r="D1623" s="1" t="s">
        <v>7800</v>
      </c>
      <c r="E1623" s="1"/>
      <c r="F1623" s="1" t="s">
        <v>8325</v>
      </c>
      <c r="G1623" s="1" t="s">
        <v>18720</v>
      </c>
      <c r="H1623" s="1" t="s">
        <v>18721</v>
      </c>
      <c r="I1623" s="1" t="s">
        <v>18722</v>
      </c>
      <c r="J1623" s="1">
        <v>9122423202</v>
      </c>
      <c r="K1623" s="1" t="s">
        <v>79</v>
      </c>
      <c r="L1623" s="1" t="s">
        <v>18723</v>
      </c>
      <c r="M1623" s="1" t="s">
        <v>81</v>
      </c>
      <c r="N1623" s="1" t="s">
        <v>241</v>
      </c>
      <c r="O1623" s="1"/>
      <c r="P1623" s="1" t="s">
        <v>497</v>
      </c>
      <c r="Q1623" s="1" t="s">
        <v>18724</v>
      </c>
      <c r="R1623" s="1" t="s">
        <v>18725</v>
      </c>
      <c r="S1623" s="1">
        <v>7979933985</v>
      </c>
      <c r="T1623" s="1" t="s">
        <v>18726</v>
      </c>
      <c r="U1623" s="1" t="s">
        <v>18727</v>
      </c>
      <c r="V1623" s="1">
        <v>7369000179</v>
      </c>
      <c r="W1623" s="1" t="s">
        <v>89</v>
      </c>
      <c r="X1623" s="1" t="s">
        <v>18728</v>
      </c>
      <c r="Y1623" s="1" t="s">
        <v>18729</v>
      </c>
      <c r="Z1623" s="1" t="s">
        <v>636</v>
      </c>
      <c r="AA1623" s="1" t="s">
        <v>18728</v>
      </c>
      <c r="AB1623" s="1" t="s">
        <v>18729</v>
      </c>
      <c r="AC1623" s="1" t="s">
        <v>636</v>
      </c>
      <c r="AD1623" s="1">
        <v>7.73</v>
      </c>
      <c r="AE1623" s="1" t="s">
        <v>93</v>
      </c>
      <c r="AF1623" s="1" t="s">
        <v>18730</v>
      </c>
      <c r="AG1623" s="1" t="s">
        <v>6413</v>
      </c>
      <c r="AH1623" s="1" t="s">
        <v>279</v>
      </c>
      <c r="AI1623" s="1" t="s">
        <v>165</v>
      </c>
      <c r="AJ1623" s="1">
        <v>85.5</v>
      </c>
      <c r="AK1623" s="1">
        <v>9</v>
      </c>
      <c r="AL1623" s="1" t="s">
        <v>18731</v>
      </c>
      <c r="AM1623" s="1" t="s">
        <v>6413</v>
      </c>
      <c r="AN1623" s="1" t="s">
        <v>166</v>
      </c>
      <c r="AO1623" s="1" t="s">
        <v>308</v>
      </c>
      <c r="AP1623" s="1">
        <v>66</v>
      </c>
      <c r="AQ1623" s="1"/>
      <c r="AR1623" s="1"/>
      <c r="AS1623" s="1"/>
      <c r="AT1623" s="1"/>
      <c r="AU1623" s="1"/>
      <c r="AV1623" s="1"/>
      <c r="AW1623" s="1"/>
      <c r="AX1623" s="1" t="s">
        <v>18732</v>
      </c>
      <c r="AY1623" s="1" t="s">
        <v>18733</v>
      </c>
      <c r="AZ1623" s="1" t="s">
        <v>436</v>
      </c>
      <c r="BA1623" s="1" t="s">
        <v>1219</v>
      </c>
      <c r="BB1623" s="1">
        <v>75.13</v>
      </c>
      <c r="BC1623" s="1"/>
      <c r="BD1623" s="1"/>
      <c r="BE1623" s="1"/>
      <c r="BF1623" s="1"/>
      <c r="BG1623" s="1"/>
      <c r="BH1623" s="1"/>
      <c r="BI1623" s="1"/>
      <c r="BJ1623" s="1" t="s">
        <v>3326</v>
      </c>
      <c r="BK1623" s="1"/>
      <c r="BL1623" s="1"/>
      <c r="BM1623" s="1" t="s">
        <v>18734</v>
      </c>
      <c r="BN1623" s="1">
        <v>7</v>
      </c>
      <c r="BO1623" s="1" t="s">
        <v>18735</v>
      </c>
      <c r="BP1623" s="1" t="str">
        <f>HYPERLINK("https://nconnect.nicmar.ac.in/storage/profile/ProfilePhoto_P25703023_618729.jpg","Download")</f>
        <v>0</v>
      </c>
      <c r="BQ1623" s="3"/>
      <c r="BR1623" s="3"/>
    </row>
    <row r="1624" spans="1:70">
      <c r="A1624" s="1" t="s">
        <v>16711</v>
      </c>
      <c r="B1624" s="1" t="s">
        <v>441</v>
      </c>
      <c r="C1624" s="1" t="s">
        <v>18736</v>
      </c>
      <c r="D1624" s="1" t="s">
        <v>18737</v>
      </c>
      <c r="E1624" s="1"/>
      <c r="F1624" s="1" t="s">
        <v>18738</v>
      </c>
      <c r="G1624" s="1" t="s">
        <v>18739</v>
      </c>
      <c r="H1624" s="1" t="s">
        <v>18740</v>
      </c>
      <c r="I1624" s="1" t="s">
        <v>18741</v>
      </c>
      <c r="J1624" s="1">
        <v>9861116372</v>
      </c>
      <c r="K1624" s="1" t="s">
        <v>148</v>
      </c>
      <c r="L1624" s="1" t="s">
        <v>18742</v>
      </c>
      <c r="M1624" s="1" t="s">
        <v>81</v>
      </c>
      <c r="N1624" s="1" t="s">
        <v>18743</v>
      </c>
      <c r="O1624" s="1"/>
      <c r="P1624" s="1" t="s">
        <v>497</v>
      </c>
      <c r="Q1624" s="1" t="s">
        <v>18744</v>
      </c>
      <c r="R1624" s="1" t="s">
        <v>18745</v>
      </c>
      <c r="S1624" s="1">
        <v>9337836550</v>
      </c>
      <c r="T1624" s="1" t="s">
        <v>906</v>
      </c>
      <c r="U1624" s="1" t="s">
        <v>18746</v>
      </c>
      <c r="V1624" s="1">
        <v>8249213208</v>
      </c>
      <c r="W1624" s="1" t="s">
        <v>531</v>
      </c>
      <c r="X1624" s="1" t="s">
        <v>18747</v>
      </c>
      <c r="Y1624" s="1" t="s">
        <v>1236</v>
      </c>
      <c r="Z1624" s="1" t="s">
        <v>846</v>
      </c>
      <c r="AA1624" s="1" t="s">
        <v>18747</v>
      </c>
      <c r="AB1624" s="1" t="s">
        <v>1236</v>
      </c>
      <c r="AC1624" s="1" t="s">
        <v>846</v>
      </c>
      <c r="AD1624" s="1">
        <v>9.19</v>
      </c>
      <c r="AE1624" s="1" t="s">
        <v>93</v>
      </c>
      <c r="AF1624" s="1" t="s">
        <v>18748</v>
      </c>
      <c r="AG1624" s="1" t="s">
        <v>18749</v>
      </c>
      <c r="AH1624" s="1" t="s">
        <v>1088</v>
      </c>
      <c r="AI1624" s="1" t="s">
        <v>614</v>
      </c>
      <c r="AJ1624" s="1">
        <v>81.7</v>
      </c>
      <c r="AK1624" s="1">
        <v>8.6</v>
      </c>
      <c r="AL1624" s="1" t="s">
        <v>18750</v>
      </c>
      <c r="AM1624" s="1" t="s">
        <v>18749</v>
      </c>
      <c r="AN1624" s="1" t="s">
        <v>614</v>
      </c>
      <c r="AO1624" s="1" t="s">
        <v>166</v>
      </c>
      <c r="AP1624" s="1">
        <v>60.16</v>
      </c>
      <c r="AQ1624" s="1"/>
      <c r="AR1624" s="1"/>
      <c r="AS1624" s="1"/>
      <c r="AT1624" s="1"/>
      <c r="AU1624" s="1"/>
      <c r="AV1624" s="1"/>
      <c r="AW1624" s="1"/>
      <c r="AX1624" s="1" t="s">
        <v>2006</v>
      </c>
      <c r="AY1624" s="1" t="s">
        <v>18751</v>
      </c>
      <c r="AZ1624" s="1" t="s">
        <v>1043</v>
      </c>
      <c r="BA1624" s="1" t="s">
        <v>174</v>
      </c>
      <c r="BB1624" s="1">
        <v>81.2</v>
      </c>
      <c r="BC1624" s="1">
        <v>8.12</v>
      </c>
      <c r="BD1624" s="1"/>
      <c r="BE1624" s="1"/>
      <c r="BF1624" s="1"/>
      <c r="BG1624" s="1"/>
      <c r="BH1624" s="1"/>
      <c r="BI1624" s="1"/>
      <c r="BJ1624" s="1" t="s">
        <v>18752</v>
      </c>
      <c r="BK1624" s="1"/>
      <c r="BL1624" s="1"/>
      <c r="BM1624" s="1" t="s">
        <v>18753</v>
      </c>
      <c r="BN1624" s="1">
        <v>19</v>
      </c>
      <c r="BO1624" s="1"/>
      <c r="BP1624" s="1" t="str">
        <f>HYPERLINK("https://nconnect.nicmar.ac.in/storage/profile/ProfilePhoto_P25703024_753916.jpg","Download")</f>
        <v>0</v>
      </c>
      <c r="BQ1624" s="3"/>
      <c r="BR1624" s="3"/>
    </row>
    <row r="1625" spans="1:70">
      <c r="A1625" s="1" t="s">
        <v>16711</v>
      </c>
      <c r="B1625" s="1" t="s">
        <v>441</v>
      </c>
      <c r="C1625" s="1" t="s">
        <v>18754</v>
      </c>
      <c r="D1625" s="1" t="s">
        <v>18755</v>
      </c>
      <c r="E1625" s="1" t="s">
        <v>262</v>
      </c>
      <c r="F1625" s="1" t="s">
        <v>18756</v>
      </c>
      <c r="G1625" s="1" t="s">
        <v>18757</v>
      </c>
      <c r="H1625" s="1" t="s">
        <v>18758</v>
      </c>
      <c r="I1625" s="1" t="s">
        <v>18759</v>
      </c>
      <c r="J1625" s="1">
        <v>7569202194</v>
      </c>
      <c r="K1625" s="1" t="s">
        <v>79</v>
      </c>
      <c r="L1625" s="1" t="s">
        <v>18760</v>
      </c>
      <c r="M1625" s="1" t="s">
        <v>81</v>
      </c>
      <c r="N1625" s="1" t="s">
        <v>2478</v>
      </c>
      <c r="O1625" s="1"/>
      <c r="P1625" s="1" t="s">
        <v>2035</v>
      </c>
      <c r="Q1625" s="1" t="s">
        <v>18761</v>
      </c>
      <c r="R1625" s="1" t="s">
        <v>18762</v>
      </c>
      <c r="S1625" s="1">
        <v>9848954962</v>
      </c>
      <c r="T1625" s="1" t="s">
        <v>18763</v>
      </c>
      <c r="U1625" s="1" t="s">
        <v>18764</v>
      </c>
      <c r="V1625" s="1">
        <v>9705125634</v>
      </c>
      <c r="W1625" s="1" t="s">
        <v>820</v>
      </c>
      <c r="X1625" s="1" t="s">
        <v>18765</v>
      </c>
      <c r="Y1625" s="1" t="s">
        <v>3050</v>
      </c>
      <c r="Z1625" s="1" t="s">
        <v>456</v>
      </c>
      <c r="AA1625" s="1" t="s">
        <v>18765</v>
      </c>
      <c r="AB1625" s="1" t="s">
        <v>3050</v>
      </c>
      <c r="AC1625" s="1" t="s">
        <v>456</v>
      </c>
      <c r="AD1625" s="1">
        <v>6.63</v>
      </c>
      <c r="AE1625" s="1" t="s">
        <v>93</v>
      </c>
      <c r="AF1625" s="1" t="s">
        <v>2663</v>
      </c>
      <c r="AG1625" s="1" t="s">
        <v>2645</v>
      </c>
      <c r="AH1625" s="1" t="s">
        <v>161</v>
      </c>
      <c r="AI1625" s="1" t="s">
        <v>195</v>
      </c>
      <c r="AJ1625" s="1">
        <v>80</v>
      </c>
      <c r="AK1625" s="1">
        <v>8</v>
      </c>
      <c r="AL1625" s="1" t="s">
        <v>1578</v>
      </c>
      <c r="AM1625" s="1" t="s">
        <v>3053</v>
      </c>
      <c r="AN1625" s="1" t="s">
        <v>165</v>
      </c>
      <c r="AO1625" s="1" t="s">
        <v>409</v>
      </c>
      <c r="AP1625" s="1">
        <v>66.4</v>
      </c>
      <c r="AQ1625" s="1">
        <v>6.6</v>
      </c>
      <c r="AR1625" s="1"/>
      <c r="AS1625" s="1"/>
      <c r="AT1625" s="1"/>
      <c r="AU1625" s="1"/>
      <c r="AV1625" s="1"/>
      <c r="AW1625" s="1"/>
      <c r="AX1625" s="1" t="s">
        <v>2545</v>
      </c>
      <c r="AY1625" s="1" t="s">
        <v>18766</v>
      </c>
      <c r="AZ1625" s="1" t="s">
        <v>436</v>
      </c>
      <c r="BA1625" s="1" t="s">
        <v>413</v>
      </c>
      <c r="BB1625" s="1">
        <v>70.3</v>
      </c>
      <c r="BC1625" s="1">
        <v>7.03</v>
      </c>
      <c r="BD1625" s="1"/>
      <c r="BE1625" s="1"/>
      <c r="BF1625" s="1"/>
      <c r="BG1625" s="1"/>
      <c r="BH1625" s="1"/>
      <c r="BI1625" s="1"/>
      <c r="BJ1625" s="1" t="s">
        <v>1822</v>
      </c>
      <c r="BK1625" s="1"/>
      <c r="BL1625" s="1"/>
      <c r="BM1625" s="1" t="s">
        <v>18767</v>
      </c>
      <c r="BN1625" s="1">
        <v>8</v>
      </c>
      <c r="BO1625" s="1"/>
      <c r="BP1625" s="1" t="str">
        <f>HYPERLINK("https://nconnect.nicmar.ac.in/storage/profile/ProfilePhoto_P25703025_329654.jpg","Download")</f>
        <v>0</v>
      </c>
      <c r="BQ1625" s="3"/>
      <c r="BR1625" s="3"/>
    </row>
    <row r="1626" spans="1:70">
      <c r="A1626" s="1" t="s">
        <v>16711</v>
      </c>
      <c r="B1626" s="1" t="s">
        <v>441</v>
      </c>
      <c r="C1626" s="1" t="s">
        <v>18768</v>
      </c>
      <c r="D1626" s="1" t="s">
        <v>18769</v>
      </c>
      <c r="E1626" s="1"/>
      <c r="F1626" s="1" t="s">
        <v>11652</v>
      </c>
      <c r="G1626" s="1" t="s">
        <v>18770</v>
      </c>
      <c r="H1626" s="1" t="s">
        <v>18771</v>
      </c>
      <c r="I1626" s="1" t="s">
        <v>18772</v>
      </c>
      <c r="J1626" s="1">
        <v>9792555169</v>
      </c>
      <c r="K1626" s="1" t="s">
        <v>148</v>
      </c>
      <c r="L1626" s="1" t="s">
        <v>9732</v>
      </c>
      <c r="M1626" s="1" t="s">
        <v>81</v>
      </c>
      <c r="N1626" s="1" t="s">
        <v>13165</v>
      </c>
      <c r="O1626" s="1"/>
      <c r="P1626" s="1" t="s">
        <v>497</v>
      </c>
      <c r="Q1626" s="1" t="s">
        <v>18773</v>
      </c>
      <c r="R1626" s="1" t="s">
        <v>18774</v>
      </c>
      <c r="S1626" s="1">
        <v>9125921538</v>
      </c>
      <c r="T1626" s="1" t="s">
        <v>122</v>
      </c>
      <c r="U1626" s="1" t="s">
        <v>11658</v>
      </c>
      <c r="V1626" s="1">
        <v>9511049332</v>
      </c>
      <c r="W1626" s="1" t="s">
        <v>89</v>
      </c>
      <c r="X1626" s="1" t="s">
        <v>18775</v>
      </c>
      <c r="Y1626" s="1" t="s">
        <v>18776</v>
      </c>
      <c r="Z1626" s="1" t="s">
        <v>534</v>
      </c>
      <c r="AA1626" s="1" t="s">
        <v>18775</v>
      </c>
      <c r="AB1626" s="1" t="s">
        <v>18776</v>
      </c>
      <c r="AC1626" s="1" t="s">
        <v>534</v>
      </c>
      <c r="AD1626" s="1">
        <v>8.09</v>
      </c>
      <c r="AE1626" s="1" t="s">
        <v>93</v>
      </c>
      <c r="AF1626" s="1" t="s">
        <v>18777</v>
      </c>
      <c r="AG1626" s="1" t="s">
        <v>18778</v>
      </c>
      <c r="AH1626" s="1" t="s">
        <v>97</v>
      </c>
      <c r="AI1626" s="1" t="s">
        <v>162</v>
      </c>
      <c r="AJ1626" s="1">
        <v>81.7</v>
      </c>
      <c r="AK1626" s="1">
        <v>8.6</v>
      </c>
      <c r="AL1626" s="1" t="s">
        <v>18779</v>
      </c>
      <c r="AM1626" s="1" t="s">
        <v>18780</v>
      </c>
      <c r="AN1626" s="1" t="s">
        <v>689</v>
      </c>
      <c r="AO1626" s="1" t="s">
        <v>101</v>
      </c>
      <c r="AP1626" s="1">
        <v>67.6</v>
      </c>
      <c r="AQ1626" s="1"/>
      <c r="AR1626" s="1"/>
      <c r="AS1626" s="1"/>
      <c r="AT1626" s="1"/>
      <c r="AU1626" s="1"/>
      <c r="AV1626" s="1"/>
      <c r="AW1626" s="1"/>
      <c r="AX1626" s="1" t="s">
        <v>18781</v>
      </c>
      <c r="AY1626" s="1" t="s">
        <v>18782</v>
      </c>
      <c r="AZ1626" s="1" t="s">
        <v>169</v>
      </c>
      <c r="BA1626" s="1" t="s">
        <v>436</v>
      </c>
      <c r="BB1626" s="1">
        <v>54.06</v>
      </c>
      <c r="BC1626" s="1"/>
      <c r="BD1626" s="1"/>
      <c r="BE1626" s="1"/>
      <c r="BF1626" s="1"/>
      <c r="BG1626" s="1"/>
      <c r="BH1626" s="1"/>
      <c r="BI1626" s="1"/>
      <c r="BJ1626" s="1" t="s">
        <v>18783</v>
      </c>
      <c r="BK1626" s="1" t="s">
        <v>18784</v>
      </c>
      <c r="BL1626" s="1" t="s">
        <v>1129</v>
      </c>
      <c r="BM1626" s="1" t="s">
        <v>18785</v>
      </c>
      <c r="BN1626" s="1">
        <v>20</v>
      </c>
      <c r="BO1626" s="1" t="s">
        <v>18786</v>
      </c>
      <c r="BP1626" s="1" t="str">
        <f>HYPERLINK("https://nconnect.nicmar.ac.in/storage/profile/ProfilePhoto_P25703026_473982.jpg","Download")</f>
        <v>0</v>
      </c>
      <c r="BQ1626" s="3"/>
      <c r="BR1626" s="3"/>
    </row>
    <row r="1627" spans="1:70">
      <c r="A1627" s="1" t="s">
        <v>16711</v>
      </c>
      <c r="B1627" s="1" t="s">
        <v>441</v>
      </c>
      <c r="C1627" s="1" t="s">
        <v>18787</v>
      </c>
      <c r="D1627" s="1" t="s">
        <v>18788</v>
      </c>
      <c r="E1627" s="1"/>
      <c r="F1627" s="1" t="s">
        <v>940</v>
      </c>
      <c r="G1627" s="1" t="s">
        <v>18789</v>
      </c>
      <c r="H1627" s="1" t="s">
        <v>18790</v>
      </c>
      <c r="I1627" s="1" t="s">
        <v>18791</v>
      </c>
      <c r="J1627" s="1">
        <v>9971701710</v>
      </c>
      <c r="K1627" s="1" t="s">
        <v>148</v>
      </c>
      <c r="L1627" s="1" t="s">
        <v>18792</v>
      </c>
      <c r="M1627" s="1" t="s">
        <v>150</v>
      </c>
      <c r="N1627" s="1" t="s">
        <v>241</v>
      </c>
      <c r="O1627" s="1"/>
      <c r="P1627" s="1" t="s">
        <v>497</v>
      </c>
      <c r="Q1627" s="1" t="s">
        <v>18793</v>
      </c>
      <c r="R1627" s="1" t="s">
        <v>18794</v>
      </c>
      <c r="S1627" s="1">
        <v>9971701710</v>
      </c>
      <c r="T1627" s="1" t="s">
        <v>93</v>
      </c>
      <c r="U1627" s="1" t="s">
        <v>18795</v>
      </c>
      <c r="V1627" s="1">
        <v>9530047407</v>
      </c>
      <c r="W1627" s="1" t="s">
        <v>156</v>
      </c>
      <c r="X1627" s="1" t="s">
        <v>18796</v>
      </c>
      <c r="Y1627" s="1" t="s">
        <v>2125</v>
      </c>
      <c r="Z1627" s="1" t="s">
        <v>2126</v>
      </c>
      <c r="AA1627" s="1" t="s">
        <v>18796</v>
      </c>
      <c r="AB1627" s="1" t="s">
        <v>2125</v>
      </c>
      <c r="AC1627" s="1" t="s">
        <v>2126</v>
      </c>
      <c r="AD1627" s="1">
        <v>9.82</v>
      </c>
      <c r="AE1627" s="1" t="s">
        <v>93</v>
      </c>
      <c r="AF1627" s="1" t="s">
        <v>18797</v>
      </c>
      <c r="AG1627" s="1" t="s">
        <v>688</v>
      </c>
      <c r="AH1627" s="1" t="s">
        <v>10139</v>
      </c>
      <c r="AI1627" s="1" t="s">
        <v>2176</v>
      </c>
      <c r="AJ1627" s="1">
        <v>75.4</v>
      </c>
      <c r="AK1627" s="1"/>
      <c r="AL1627" s="1" t="s">
        <v>18797</v>
      </c>
      <c r="AM1627" s="1" t="s">
        <v>688</v>
      </c>
      <c r="AN1627" s="1" t="s">
        <v>16843</v>
      </c>
      <c r="AO1627" s="1" t="s">
        <v>782</v>
      </c>
      <c r="AP1627" s="1">
        <v>71.6</v>
      </c>
      <c r="AQ1627" s="1"/>
      <c r="AR1627" s="1"/>
      <c r="AS1627" s="1"/>
      <c r="AT1627" s="1"/>
      <c r="AU1627" s="1"/>
      <c r="AV1627" s="1"/>
      <c r="AW1627" s="1"/>
      <c r="AX1627" s="1" t="s">
        <v>18798</v>
      </c>
      <c r="AY1627" s="1" t="s">
        <v>18799</v>
      </c>
      <c r="AZ1627" s="1" t="s">
        <v>249</v>
      </c>
      <c r="BA1627" s="1" t="s">
        <v>161</v>
      </c>
      <c r="BB1627" s="1">
        <v>76.4</v>
      </c>
      <c r="BC1627" s="1"/>
      <c r="BD1627" s="1" t="s">
        <v>18800</v>
      </c>
      <c r="BE1627" s="1" t="s">
        <v>18801</v>
      </c>
      <c r="BF1627" s="1" t="s">
        <v>337</v>
      </c>
      <c r="BG1627" s="1" t="s">
        <v>165</v>
      </c>
      <c r="BH1627" s="1">
        <v>74.42</v>
      </c>
      <c r="BI1627" s="1"/>
      <c r="BJ1627" s="1" t="s">
        <v>18802</v>
      </c>
      <c r="BK1627" s="1" t="s">
        <v>18803</v>
      </c>
      <c r="BL1627" s="1" t="s">
        <v>4165</v>
      </c>
      <c r="BM1627" s="1" t="s">
        <v>18804</v>
      </c>
      <c r="BN1627" s="1">
        <v>40</v>
      </c>
      <c r="BO1627" s="1" t="s">
        <v>18805</v>
      </c>
      <c r="BP1627" s="1" t="str">
        <f>HYPERLINK("https://nconnect.nicmar.ac.in/storage/profile/ProfilePhoto_P25703027_638754.jpg","Download")</f>
        <v>0</v>
      </c>
      <c r="BQ1627" s="3"/>
      <c r="BR1627" s="3"/>
    </row>
    <row r="1628" spans="1:70">
      <c r="A1628" s="1" t="s">
        <v>16711</v>
      </c>
      <c r="B1628" s="1" t="s">
        <v>441</v>
      </c>
      <c r="C1628" s="1" t="s">
        <v>18806</v>
      </c>
      <c r="D1628" s="1" t="s">
        <v>18807</v>
      </c>
      <c r="E1628" s="1" t="s">
        <v>18808</v>
      </c>
      <c r="F1628" s="1" t="s">
        <v>18809</v>
      </c>
      <c r="G1628" s="1" t="s">
        <v>18810</v>
      </c>
      <c r="H1628" s="1" t="s">
        <v>18811</v>
      </c>
      <c r="I1628" s="1" t="s">
        <v>18812</v>
      </c>
      <c r="J1628" s="1">
        <v>9765373493</v>
      </c>
      <c r="K1628" s="1" t="s">
        <v>79</v>
      </c>
      <c r="L1628" s="1" t="s">
        <v>18813</v>
      </c>
      <c r="M1628" s="1" t="s">
        <v>81</v>
      </c>
      <c r="N1628" s="1" t="s">
        <v>18814</v>
      </c>
      <c r="O1628" s="1"/>
      <c r="P1628" s="1" t="s">
        <v>472</v>
      </c>
      <c r="Q1628" s="1" t="s">
        <v>18815</v>
      </c>
      <c r="R1628" s="1" t="s">
        <v>18816</v>
      </c>
      <c r="S1628" s="1">
        <v>9665199540</v>
      </c>
      <c r="T1628" s="1" t="s">
        <v>154</v>
      </c>
      <c r="U1628" s="1" t="s">
        <v>18817</v>
      </c>
      <c r="V1628" s="1">
        <v>9665199540</v>
      </c>
      <c r="W1628" s="1" t="s">
        <v>154</v>
      </c>
      <c r="X1628" s="1" t="s">
        <v>18818</v>
      </c>
      <c r="Y1628" s="1" t="s">
        <v>219</v>
      </c>
      <c r="Z1628" s="1" t="s">
        <v>92</v>
      </c>
      <c r="AA1628" s="1" t="s">
        <v>18818</v>
      </c>
      <c r="AB1628" s="1" t="s">
        <v>219</v>
      </c>
      <c r="AC1628" s="1" t="s">
        <v>92</v>
      </c>
      <c r="AD1628" s="1" t="s">
        <v>93</v>
      </c>
      <c r="AE1628" s="1" t="s">
        <v>93</v>
      </c>
      <c r="AF1628" s="1" t="s">
        <v>18819</v>
      </c>
      <c r="AG1628" s="1" t="s">
        <v>18820</v>
      </c>
      <c r="AH1628" s="1" t="s">
        <v>130</v>
      </c>
      <c r="AI1628" s="1" t="s">
        <v>97</v>
      </c>
      <c r="AJ1628" s="1">
        <v>68.4</v>
      </c>
      <c r="AK1628" s="1"/>
      <c r="AL1628" s="1"/>
      <c r="AM1628" s="1"/>
      <c r="AN1628" s="1"/>
      <c r="AO1628" s="1"/>
      <c r="AP1628" s="1"/>
      <c r="AQ1628" s="1"/>
      <c r="AR1628" s="1" t="s">
        <v>98</v>
      </c>
      <c r="AS1628" s="1" t="s">
        <v>18821</v>
      </c>
      <c r="AT1628" s="1" t="s">
        <v>337</v>
      </c>
      <c r="AU1628" s="1" t="s">
        <v>433</v>
      </c>
      <c r="AV1628" s="1">
        <v>71.94</v>
      </c>
      <c r="AW1628" s="1"/>
      <c r="AX1628" s="1" t="s">
        <v>361</v>
      </c>
      <c r="AY1628" s="1" t="s">
        <v>18822</v>
      </c>
      <c r="AZ1628" s="1" t="s">
        <v>173</v>
      </c>
      <c r="BA1628" s="1" t="s">
        <v>935</v>
      </c>
      <c r="BB1628" s="1">
        <v>73.7</v>
      </c>
      <c r="BC1628" s="1">
        <v>8.12</v>
      </c>
      <c r="BD1628" s="1"/>
      <c r="BE1628" s="1"/>
      <c r="BF1628" s="1"/>
      <c r="BG1628" s="1"/>
      <c r="BH1628" s="1"/>
      <c r="BI1628" s="1"/>
      <c r="BJ1628" s="1" t="s">
        <v>18823</v>
      </c>
      <c r="BK1628" s="1" t="s">
        <v>18824</v>
      </c>
      <c r="BL1628" s="1" t="s">
        <v>7635</v>
      </c>
      <c r="BM1628" s="1" t="s">
        <v>18825</v>
      </c>
      <c r="BN1628" s="1">
        <v>7</v>
      </c>
      <c r="BO1628" s="1"/>
      <c r="BP1628" s="1" t="str">
        <f>HYPERLINK("https://nconnect.nicmar.ac.in/storage/profile/ProfilePhoto_P25703028_281695.jpg","Download")</f>
        <v>0</v>
      </c>
      <c r="BQ1628" s="3"/>
      <c r="BR1628" s="3"/>
    </row>
    <row r="1629" spans="1:70">
      <c r="A1629" s="1" t="s">
        <v>16711</v>
      </c>
      <c r="B1629" s="1" t="s">
        <v>441</v>
      </c>
      <c r="C1629" s="1" t="s">
        <v>18826</v>
      </c>
      <c r="D1629" s="1" t="s">
        <v>18827</v>
      </c>
      <c r="E1629" s="1"/>
      <c r="F1629" s="1" t="s">
        <v>18828</v>
      </c>
      <c r="G1629" s="1" t="s">
        <v>18829</v>
      </c>
      <c r="H1629" s="1" t="s">
        <v>18830</v>
      </c>
      <c r="I1629" s="1" t="s">
        <v>18831</v>
      </c>
      <c r="J1629" s="1">
        <v>9508582245</v>
      </c>
      <c r="K1629" s="1" t="s">
        <v>148</v>
      </c>
      <c r="L1629" s="1" t="s">
        <v>18832</v>
      </c>
      <c r="M1629" s="1" t="s">
        <v>81</v>
      </c>
      <c r="N1629" s="1" t="s">
        <v>350</v>
      </c>
      <c r="O1629" s="1"/>
      <c r="P1629" s="1" t="s">
        <v>450</v>
      </c>
      <c r="Q1629" s="1" t="s">
        <v>18833</v>
      </c>
      <c r="R1629" s="1" t="s">
        <v>18834</v>
      </c>
      <c r="S1629" s="1">
        <v>9123435051</v>
      </c>
      <c r="T1629" s="1" t="s">
        <v>906</v>
      </c>
      <c r="U1629" s="1" t="s">
        <v>18835</v>
      </c>
      <c r="V1629" s="1">
        <v>9153580282</v>
      </c>
      <c r="W1629" s="1" t="s">
        <v>156</v>
      </c>
      <c r="X1629" s="1" t="s">
        <v>18836</v>
      </c>
      <c r="Y1629" s="1" t="s">
        <v>18729</v>
      </c>
      <c r="Z1629" s="1" t="s">
        <v>636</v>
      </c>
      <c r="AA1629" s="1" t="s">
        <v>18836</v>
      </c>
      <c r="AB1629" s="1" t="s">
        <v>18729</v>
      </c>
      <c r="AC1629" s="1" t="s">
        <v>636</v>
      </c>
      <c r="AD1629" s="1" t="s">
        <v>93</v>
      </c>
      <c r="AE1629" s="1" t="s">
        <v>93</v>
      </c>
      <c r="AF1629" s="1" t="s">
        <v>18837</v>
      </c>
      <c r="AG1629" s="1" t="s">
        <v>664</v>
      </c>
      <c r="AH1629" s="1" t="s">
        <v>1089</v>
      </c>
      <c r="AI1629" s="1" t="s">
        <v>562</v>
      </c>
      <c r="AJ1629" s="1">
        <v>67</v>
      </c>
      <c r="AK1629" s="1">
        <v>7.05</v>
      </c>
      <c r="AL1629" s="1" t="s">
        <v>18838</v>
      </c>
      <c r="AM1629" s="1" t="s">
        <v>18839</v>
      </c>
      <c r="AN1629" s="1" t="s">
        <v>281</v>
      </c>
      <c r="AO1629" s="1" t="s">
        <v>104</v>
      </c>
      <c r="AP1629" s="1">
        <v>72</v>
      </c>
      <c r="AQ1629" s="1">
        <v>7.58</v>
      </c>
      <c r="AR1629" s="1"/>
      <c r="AS1629" s="1"/>
      <c r="AT1629" s="1"/>
      <c r="AU1629" s="1"/>
      <c r="AV1629" s="1"/>
      <c r="AW1629" s="1"/>
      <c r="AX1629" s="1" t="s">
        <v>18840</v>
      </c>
      <c r="AY1629" s="1" t="s">
        <v>18841</v>
      </c>
      <c r="AZ1629" s="1" t="s">
        <v>460</v>
      </c>
      <c r="BA1629" s="1" t="s">
        <v>1245</v>
      </c>
      <c r="BB1629" s="1">
        <v>72.5</v>
      </c>
      <c r="BC1629" s="1"/>
      <c r="BD1629" s="1"/>
      <c r="BE1629" s="1"/>
      <c r="BF1629" s="1"/>
      <c r="BG1629" s="1"/>
      <c r="BH1629" s="1"/>
      <c r="BI1629" s="1"/>
      <c r="BJ1629" s="1" t="s">
        <v>1822</v>
      </c>
      <c r="BK1629" s="1"/>
      <c r="BL1629" s="1"/>
      <c r="BM1629" s="1"/>
      <c r="BN1629" s="1"/>
      <c r="BO1629" s="1"/>
      <c r="BP1629" s="1" t="str">
        <f>HYPERLINK("https://nconnect.nicmar.ac.in/storage/profile/ProfilePhoto_P25703029_945782.jpg","Download")</f>
        <v>0</v>
      </c>
      <c r="BQ1629" s="3"/>
      <c r="BR1629" s="3"/>
    </row>
    <row r="1630" spans="1:70">
      <c r="A1630" s="1" t="s">
        <v>16711</v>
      </c>
      <c r="B1630" s="1" t="s">
        <v>441</v>
      </c>
      <c r="C1630" s="1" t="s">
        <v>18842</v>
      </c>
      <c r="D1630" s="1" t="s">
        <v>18843</v>
      </c>
      <c r="E1630" s="1"/>
      <c r="F1630" s="1" t="s">
        <v>6030</v>
      </c>
      <c r="G1630" s="1" t="s">
        <v>18844</v>
      </c>
      <c r="H1630" s="1" t="s">
        <v>18845</v>
      </c>
      <c r="I1630" s="1" t="s">
        <v>18846</v>
      </c>
      <c r="J1630" s="1">
        <v>9146039824</v>
      </c>
      <c r="K1630" s="1" t="s">
        <v>148</v>
      </c>
      <c r="L1630" s="1" t="s">
        <v>18847</v>
      </c>
      <c r="M1630" s="1" t="s">
        <v>81</v>
      </c>
      <c r="N1630" s="1" t="s">
        <v>13390</v>
      </c>
      <c r="O1630" s="1"/>
      <c r="P1630" s="1" t="s">
        <v>472</v>
      </c>
      <c r="Q1630" s="1" t="s">
        <v>18848</v>
      </c>
      <c r="R1630" s="1" t="s">
        <v>18849</v>
      </c>
      <c r="S1630" s="1">
        <v>7028628022</v>
      </c>
      <c r="T1630" s="1" t="s">
        <v>18850</v>
      </c>
      <c r="U1630" s="1" t="s">
        <v>18851</v>
      </c>
      <c r="V1630" s="1">
        <v>9226752018</v>
      </c>
      <c r="W1630" s="1" t="s">
        <v>156</v>
      </c>
      <c r="X1630" s="1" t="s">
        <v>18852</v>
      </c>
      <c r="Y1630" s="1" t="s">
        <v>191</v>
      </c>
      <c r="Z1630" s="1" t="s">
        <v>92</v>
      </c>
      <c r="AA1630" s="1" t="s">
        <v>18852</v>
      </c>
      <c r="AB1630" s="1" t="s">
        <v>191</v>
      </c>
      <c r="AC1630" s="1" t="s">
        <v>92</v>
      </c>
      <c r="AD1630" s="1">
        <v>8.73</v>
      </c>
      <c r="AE1630" s="1" t="s">
        <v>93</v>
      </c>
      <c r="AF1630" s="1" t="s">
        <v>18853</v>
      </c>
      <c r="AG1630" s="1" t="s">
        <v>307</v>
      </c>
      <c r="AH1630" s="1" t="s">
        <v>279</v>
      </c>
      <c r="AI1630" s="1" t="s">
        <v>383</v>
      </c>
      <c r="AJ1630" s="1">
        <v>74.1</v>
      </c>
      <c r="AK1630" s="1">
        <v>7.8</v>
      </c>
      <c r="AL1630" s="1" t="s">
        <v>18853</v>
      </c>
      <c r="AM1630" s="1" t="s">
        <v>307</v>
      </c>
      <c r="AN1630" s="1" t="s">
        <v>281</v>
      </c>
      <c r="AO1630" s="1" t="s">
        <v>308</v>
      </c>
      <c r="AP1630" s="1">
        <v>80</v>
      </c>
      <c r="AQ1630" s="1"/>
      <c r="AR1630" s="1"/>
      <c r="AS1630" s="1"/>
      <c r="AT1630" s="1"/>
      <c r="AU1630" s="1"/>
      <c r="AV1630" s="1"/>
      <c r="AW1630" s="1"/>
      <c r="AX1630" s="1" t="s">
        <v>361</v>
      </c>
      <c r="AY1630" s="1" t="s">
        <v>18854</v>
      </c>
      <c r="AZ1630" s="1" t="s">
        <v>310</v>
      </c>
      <c r="BA1630" s="1" t="s">
        <v>1777</v>
      </c>
      <c r="BB1630" s="1">
        <v>82.96</v>
      </c>
      <c r="BC1630" s="1">
        <v>8.86</v>
      </c>
      <c r="BD1630" s="1"/>
      <c r="BE1630" s="1"/>
      <c r="BF1630" s="1"/>
      <c r="BG1630" s="1"/>
      <c r="BH1630" s="1"/>
      <c r="BI1630" s="1"/>
      <c r="BJ1630" s="1" t="s">
        <v>3326</v>
      </c>
      <c r="BK1630" s="1"/>
      <c r="BL1630" s="1"/>
      <c r="BM1630" s="1" t="s">
        <v>18855</v>
      </c>
      <c r="BN1630" s="1">
        <v>23</v>
      </c>
      <c r="BO1630" s="1" t="s">
        <v>18856</v>
      </c>
      <c r="BP1630" s="1" t="str">
        <f>HYPERLINK("https://nconnect.nicmar.ac.in/storage/profile/ProfilePhoto_P25703030_982536.jpg","Download")</f>
        <v>0</v>
      </c>
      <c r="BQ1630" s="3"/>
      <c r="BR1630" s="3"/>
    </row>
    <row r="1631" spans="1:70">
      <c r="A1631" s="1" t="s">
        <v>16711</v>
      </c>
      <c r="B1631" s="1" t="s">
        <v>441</v>
      </c>
      <c r="C1631" s="1" t="s">
        <v>18857</v>
      </c>
      <c r="D1631" s="1" t="s">
        <v>18858</v>
      </c>
      <c r="E1631" s="1"/>
      <c r="F1631" s="1" t="s">
        <v>111</v>
      </c>
      <c r="G1631" s="1" t="s">
        <v>18859</v>
      </c>
      <c r="H1631" s="1" t="s">
        <v>18860</v>
      </c>
      <c r="I1631" s="1" t="s">
        <v>18861</v>
      </c>
      <c r="J1631" s="1">
        <v>8547292749</v>
      </c>
      <c r="K1631" s="1" t="s">
        <v>148</v>
      </c>
      <c r="L1631" s="1" t="s">
        <v>18862</v>
      </c>
      <c r="M1631" s="1" t="s">
        <v>81</v>
      </c>
      <c r="N1631" s="1" t="s">
        <v>3166</v>
      </c>
      <c r="O1631" s="1"/>
      <c r="P1631" s="1" t="s">
        <v>497</v>
      </c>
      <c r="Q1631" s="1" t="s">
        <v>18863</v>
      </c>
      <c r="R1631" s="1" t="s">
        <v>18864</v>
      </c>
      <c r="S1631" s="1">
        <v>9495155695</v>
      </c>
      <c r="T1631" s="1" t="s">
        <v>120</v>
      </c>
      <c r="U1631" s="1" t="s">
        <v>18865</v>
      </c>
      <c r="V1631" s="1">
        <v>9446842375</v>
      </c>
      <c r="W1631" s="1" t="s">
        <v>120</v>
      </c>
      <c r="X1631" s="1" t="s">
        <v>18866</v>
      </c>
      <c r="Y1631" s="1" t="s">
        <v>1261</v>
      </c>
      <c r="Z1631" s="1" t="s">
        <v>125</v>
      </c>
      <c r="AA1631" s="1" t="s">
        <v>18866</v>
      </c>
      <c r="AB1631" s="1" t="s">
        <v>1261</v>
      </c>
      <c r="AC1631" s="1" t="s">
        <v>125</v>
      </c>
      <c r="AD1631" s="1">
        <v>9.1</v>
      </c>
      <c r="AE1631" s="1" t="s">
        <v>93</v>
      </c>
      <c r="AF1631" s="1" t="s">
        <v>18867</v>
      </c>
      <c r="AG1631" s="1" t="s">
        <v>18868</v>
      </c>
      <c r="AH1631" s="1" t="s">
        <v>162</v>
      </c>
      <c r="AI1631" s="1" t="s">
        <v>195</v>
      </c>
      <c r="AJ1631" s="1">
        <v>89.3</v>
      </c>
      <c r="AK1631" s="1">
        <v>9.4</v>
      </c>
      <c r="AL1631" s="1" t="s">
        <v>18867</v>
      </c>
      <c r="AM1631" s="1" t="s">
        <v>18868</v>
      </c>
      <c r="AN1631" s="1" t="s">
        <v>101</v>
      </c>
      <c r="AO1631" s="1" t="s">
        <v>409</v>
      </c>
      <c r="AP1631" s="1">
        <v>93.8</v>
      </c>
      <c r="AQ1631" s="1">
        <v>0</v>
      </c>
      <c r="AR1631" s="1"/>
      <c r="AS1631" s="1"/>
      <c r="AT1631" s="1"/>
      <c r="AU1631" s="1"/>
      <c r="AV1631" s="1"/>
      <c r="AW1631" s="1"/>
      <c r="AX1631" s="1" t="s">
        <v>16846</v>
      </c>
      <c r="AY1631" s="1" t="s">
        <v>18869</v>
      </c>
      <c r="AZ1631" s="1" t="s">
        <v>539</v>
      </c>
      <c r="BA1631" s="1" t="s">
        <v>1067</v>
      </c>
      <c r="BB1631" s="1">
        <v>70.76</v>
      </c>
      <c r="BC1631" s="1">
        <v>7.07</v>
      </c>
      <c r="BD1631" s="1"/>
      <c r="BE1631" s="1"/>
      <c r="BF1631" s="1"/>
      <c r="BG1631" s="1"/>
      <c r="BH1631" s="1"/>
      <c r="BI1631" s="1"/>
      <c r="BJ1631" s="1" t="s">
        <v>18870</v>
      </c>
      <c r="BK1631" s="1"/>
      <c r="BL1631" s="1"/>
      <c r="BM1631" s="1" t="s">
        <v>18871</v>
      </c>
      <c r="BN1631" s="1">
        <v>9</v>
      </c>
      <c r="BO1631" s="1"/>
      <c r="BP1631" s="1" t="str">
        <f>HYPERLINK("https://nconnect.nicmar.ac.in/storage/profile/ProfilePhoto_P25703031_654879.jpg","Download")</f>
        <v>0</v>
      </c>
      <c r="BQ1631" s="3"/>
      <c r="BR1631" s="3"/>
    </row>
    <row r="1632" spans="1:70">
      <c r="A1632" s="1" t="s">
        <v>16711</v>
      </c>
      <c r="B1632" s="1" t="s">
        <v>441</v>
      </c>
      <c r="C1632" s="1" t="s">
        <v>18872</v>
      </c>
      <c r="D1632" s="1" t="s">
        <v>744</v>
      </c>
      <c r="E1632" s="1" t="s">
        <v>5941</v>
      </c>
      <c r="F1632" s="1" t="s">
        <v>18873</v>
      </c>
      <c r="G1632" s="1" t="s">
        <v>18874</v>
      </c>
      <c r="H1632" s="1" t="s">
        <v>18875</v>
      </c>
      <c r="I1632" s="1" t="s">
        <v>18876</v>
      </c>
      <c r="J1632" s="1">
        <v>9969358907</v>
      </c>
      <c r="K1632" s="1" t="s">
        <v>79</v>
      </c>
      <c r="L1632" s="1" t="s">
        <v>18877</v>
      </c>
      <c r="M1632" s="1" t="s">
        <v>81</v>
      </c>
      <c r="N1632" s="1" t="s">
        <v>883</v>
      </c>
      <c r="O1632" s="1"/>
      <c r="P1632" s="1" t="s">
        <v>450</v>
      </c>
      <c r="Q1632" s="1" t="s">
        <v>18878</v>
      </c>
      <c r="R1632" s="1" t="s">
        <v>5941</v>
      </c>
      <c r="S1632" s="1">
        <v>9930019435</v>
      </c>
      <c r="T1632" s="1" t="s">
        <v>632</v>
      </c>
      <c r="U1632" s="1" t="s">
        <v>7014</v>
      </c>
      <c r="V1632" s="1">
        <v>7045841499</v>
      </c>
      <c r="W1632" s="1" t="s">
        <v>632</v>
      </c>
      <c r="X1632" s="1" t="s">
        <v>18879</v>
      </c>
      <c r="Y1632" s="1" t="s">
        <v>1754</v>
      </c>
      <c r="Z1632" s="1" t="s">
        <v>92</v>
      </c>
      <c r="AA1632" s="1" t="s">
        <v>18879</v>
      </c>
      <c r="AB1632" s="1" t="s">
        <v>1754</v>
      </c>
      <c r="AC1632" s="1" t="s">
        <v>92</v>
      </c>
      <c r="AD1632" s="1" t="s">
        <v>93</v>
      </c>
      <c r="AE1632" s="1" t="s">
        <v>93</v>
      </c>
      <c r="AF1632" s="1" t="s">
        <v>18880</v>
      </c>
      <c r="AG1632" s="1" t="s">
        <v>18881</v>
      </c>
      <c r="AH1632" s="1" t="s">
        <v>101</v>
      </c>
      <c r="AI1632" s="1" t="s">
        <v>433</v>
      </c>
      <c r="AJ1632" s="1">
        <v>66</v>
      </c>
      <c r="AK1632" s="1"/>
      <c r="AL1632" s="1" t="s">
        <v>18882</v>
      </c>
      <c r="AM1632" s="1" t="s">
        <v>616</v>
      </c>
      <c r="AN1632" s="1" t="s">
        <v>173</v>
      </c>
      <c r="AO1632" s="1" t="s">
        <v>828</v>
      </c>
      <c r="AP1632" s="1">
        <v>88.17</v>
      </c>
      <c r="AQ1632" s="1"/>
      <c r="AR1632" s="1"/>
      <c r="AS1632" s="1"/>
      <c r="AT1632" s="1"/>
      <c r="AU1632" s="1"/>
      <c r="AV1632" s="1"/>
      <c r="AW1632" s="1"/>
      <c r="AX1632" s="1" t="s">
        <v>253</v>
      </c>
      <c r="AY1632" s="1" t="s">
        <v>18883</v>
      </c>
      <c r="AZ1632" s="1" t="s">
        <v>828</v>
      </c>
      <c r="BA1632" s="1" t="s">
        <v>413</v>
      </c>
      <c r="BB1632" s="1">
        <v>52.39</v>
      </c>
      <c r="BC1632" s="1"/>
      <c r="BD1632" s="1"/>
      <c r="BE1632" s="1"/>
      <c r="BF1632" s="1"/>
      <c r="BG1632" s="1"/>
      <c r="BH1632" s="1"/>
      <c r="BI1632" s="1"/>
      <c r="BJ1632" s="1" t="s">
        <v>18884</v>
      </c>
      <c r="BK1632" s="1"/>
      <c r="BL1632" s="1"/>
      <c r="BM1632" s="1" t="s">
        <v>18885</v>
      </c>
      <c r="BN1632" s="1">
        <v>7</v>
      </c>
      <c r="BO1632" s="1"/>
      <c r="BP1632" s="1" t="str">
        <f>HYPERLINK("https://nconnect.nicmar.ac.in/storage/profile/ProfilePhoto_P25703032_493712.jpg","Download")</f>
        <v>0</v>
      </c>
      <c r="BQ1632" s="3"/>
      <c r="BR1632" s="3"/>
    </row>
    <row r="1633" spans="1:70">
      <c r="A1633" s="1" t="s">
        <v>16711</v>
      </c>
      <c r="B1633" s="1" t="s">
        <v>441</v>
      </c>
      <c r="C1633" s="1" t="s">
        <v>18886</v>
      </c>
      <c r="D1633" s="1" t="s">
        <v>18887</v>
      </c>
      <c r="E1633" s="1" t="s">
        <v>9130</v>
      </c>
      <c r="F1633" s="1" t="s">
        <v>12906</v>
      </c>
      <c r="G1633" s="1" t="s">
        <v>18888</v>
      </c>
      <c r="H1633" s="1" t="s">
        <v>18889</v>
      </c>
      <c r="I1633" s="1" t="s">
        <v>18890</v>
      </c>
      <c r="J1633" s="1">
        <v>9409411468</v>
      </c>
      <c r="K1633" s="1" t="s">
        <v>79</v>
      </c>
      <c r="L1633" s="1" t="s">
        <v>18891</v>
      </c>
      <c r="M1633" s="1" t="s">
        <v>81</v>
      </c>
      <c r="N1633" s="1" t="s">
        <v>18892</v>
      </c>
      <c r="O1633" s="1"/>
      <c r="P1633" s="1" t="s">
        <v>450</v>
      </c>
      <c r="Q1633" s="1" t="s">
        <v>18893</v>
      </c>
      <c r="R1633" s="1" t="s">
        <v>18894</v>
      </c>
      <c r="S1633" s="1">
        <v>9824298968</v>
      </c>
      <c r="T1633" s="1" t="s">
        <v>271</v>
      </c>
      <c r="U1633" s="1" t="s">
        <v>18895</v>
      </c>
      <c r="V1633" s="1">
        <v>9924514924</v>
      </c>
      <c r="W1633" s="1" t="s">
        <v>531</v>
      </c>
      <c r="X1633" s="1" t="s">
        <v>18896</v>
      </c>
      <c r="Y1633" s="1" t="s">
        <v>18897</v>
      </c>
      <c r="Z1633" s="1" t="s">
        <v>662</v>
      </c>
      <c r="AA1633" s="1" t="s">
        <v>18896</v>
      </c>
      <c r="AB1633" s="1" t="s">
        <v>18897</v>
      </c>
      <c r="AC1633" s="1" t="s">
        <v>662</v>
      </c>
      <c r="AD1633" s="1">
        <v>7.9</v>
      </c>
      <c r="AE1633" s="1" t="s">
        <v>93</v>
      </c>
      <c r="AF1633" s="1" t="s">
        <v>12428</v>
      </c>
      <c r="AG1633" s="1" t="s">
        <v>10100</v>
      </c>
      <c r="AH1633" s="1" t="s">
        <v>1089</v>
      </c>
      <c r="AI1633" s="1" t="s">
        <v>195</v>
      </c>
      <c r="AJ1633" s="1">
        <v>65.5</v>
      </c>
      <c r="AK1633" s="1">
        <v>0</v>
      </c>
      <c r="AL1633" s="1" t="s">
        <v>12428</v>
      </c>
      <c r="AM1633" s="1" t="s">
        <v>10100</v>
      </c>
      <c r="AN1633" s="1" t="s">
        <v>281</v>
      </c>
      <c r="AO1633" s="1" t="s">
        <v>409</v>
      </c>
      <c r="AP1633" s="1">
        <v>61.54</v>
      </c>
      <c r="AQ1633" s="1">
        <v>0</v>
      </c>
      <c r="AR1633" s="1"/>
      <c r="AS1633" s="1"/>
      <c r="AT1633" s="1"/>
      <c r="AU1633" s="1"/>
      <c r="AV1633" s="1"/>
      <c r="AW1633" s="1"/>
      <c r="AX1633" s="1" t="s">
        <v>18898</v>
      </c>
      <c r="AY1633" s="1" t="s">
        <v>18899</v>
      </c>
      <c r="AZ1633" s="1" t="s">
        <v>310</v>
      </c>
      <c r="BA1633" s="1" t="s">
        <v>935</v>
      </c>
      <c r="BB1633" s="1">
        <v>59.75</v>
      </c>
      <c r="BC1633" s="1">
        <v>2.39</v>
      </c>
      <c r="BD1633" s="1"/>
      <c r="BE1633" s="1"/>
      <c r="BF1633" s="1"/>
      <c r="BG1633" s="1"/>
      <c r="BH1633" s="1"/>
      <c r="BI1633" s="1"/>
      <c r="BJ1633" s="1" t="s">
        <v>8321</v>
      </c>
      <c r="BK1633" s="1" t="s">
        <v>18900</v>
      </c>
      <c r="BL1633" s="1" t="s">
        <v>7466</v>
      </c>
      <c r="BM1633" s="1" t="s">
        <v>18901</v>
      </c>
      <c r="BN1633" s="1">
        <v>16</v>
      </c>
      <c r="BO1633" s="1"/>
      <c r="BP1633" s="1" t="str">
        <f>HYPERLINK("https://nconnect.nicmar.ac.in/storage/profile/ProfilePhoto_P25703033_265831.jpg","Download")</f>
        <v>0</v>
      </c>
      <c r="BQ1633" s="3"/>
      <c r="BR1633" s="3"/>
    </row>
    <row r="1634" spans="1:70">
      <c r="A1634" s="1" t="s">
        <v>16711</v>
      </c>
      <c r="B1634" s="1" t="s">
        <v>441</v>
      </c>
      <c r="C1634" s="1" t="s">
        <v>18902</v>
      </c>
      <c r="D1634" s="1" t="s">
        <v>18903</v>
      </c>
      <c r="E1634" s="1" t="s">
        <v>878</v>
      </c>
      <c r="F1634" s="1" t="s">
        <v>18904</v>
      </c>
      <c r="G1634" s="1" t="s">
        <v>18905</v>
      </c>
      <c r="H1634" s="1" t="s">
        <v>18906</v>
      </c>
      <c r="I1634" s="1" t="s">
        <v>18907</v>
      </c>
      <c r="J1634" s="1">
        <v>8605091971</v>
      </c>
      <c r="K1634" s="1" t="s">
        <v>79</v>
      </c>
      <c r="L1634" s="1" t="s">
        <v>18908</v>
      </c>
      <c r="M1634" s="1" t="s">
        <v>81</v>
      </c>
      <c r="N1634" s="1" t="s">
        <v>18909</v>
      </c>
      <c r="O1634" s="1"/>
      <c r="P1634" s="1" t="s">
        <v>497</v>
      </c>
      <c r="Q1634" s="1" t="s">
        <v>18910</v>
      </c>
      <c r="R1634" s="1" t="s">
        <v>878</v>
      </c>
      <c r="S1634" s="1">
        <v>9420739091</v>
      </c>
      <c r="T1634" s="1" t="s">
        <v>87</v>
      </c>
      <c r="U1634" s="1" t="s">
        <v>18911</v>
      </c>
      <c r="V1634" s="1">
        <v>9404740558</v>
      </c>
      <c r="W1634" s="1" t="s">
        <v>156</v>
      </c>
      <c r="X1634" s="1" t="s">
        <v>18912</v>
      </c>
      <c r="Y1634" s="1" t="s">
        <v>191</v>
      </c>
      <c r="Z1634" s="1" t="s">
        <v>92</v>
      </c>
      <c r="AA1634" s="1" t="s">
        <v>18913</v>
      </c>
      <c r="AB1634" s="1" t="s">
        <v>6127</v>
      </c>
      <c r="AC1634" s="1" t="s">
        <v>92</v>
      </c>
      <c r="AD1634" s="1">
        <v>6.54</v>
      </c>
      <c r="AE1634" s="1" t="s">
        <v>93</v>
      </c>
      <c r="AF1634" s="1" t="s">
        <v>18914</v>
      </c>
      <c r="AG1634" s="1" t="s">
        <v>160</v>
      </c>
      <c r="AH1634" s="1" t="s">
        <v>162</v>
      </c>
      <c r="AI1634" s="1" t="s">
        <v>165</v>
      </c>
      <c r="AJ1634" s="1">
        <v>73.8</v>
      </c>
      <c r="AK1634" s="1"/>
      <c r="AL1634" s="1" t="s">
        <v>18915</v>
      </c>
      <c r="AM1634" s="1" t="s">
        <v>975</v>
      </c>
      <c r="AN1634" s="1" t="s">
        <v>101</v>
      </c>
      <c r="AO1634" s="1" t="s">
        <v>433</v>
      </c>
      <c r="AP1634" s="1">
        <v>57.08</v>
      </c>
      <c r="AQ1634" s="1"/>
      <c r="AR1634" s="1"/>
      <c r="AS1634" s="1"/>
      <c r="AT1634" s="1"/>
      <c r="AU1634" s="1"/>
      <c r="AV1634" s="1"/>
      <c r="AW1634" s="1"/>
      <c r="AX1634" s="1" t="s">
        <v>3193</v>
      </c>
      <c r="AY1634" s="1" t="s">
        <v>18916</v>
      </c>
      <c r="AZ1634" s="1" t="s">
        <v>201</v>
      </c>
      <c r="BA1634" s="1" t="s">
        <v>229</v>
      </c>
      <c r="BB1634" s="1">
        <v>71.73</v>
      </c>
      <c r="BC1634" s="1">
        <v>8.06</v>
      </c>
      <c r="BD1634" s="1"/>
      <c r="BE1634" s="1"/>
      <c r="BF1634" s="1"/>
      <c r="BG1634" s="1"/>
      <c r="BH1634" s="1"/>
      <c r="BI1634" s="1"/>
      <c r="BJ1634" s="1" t="s">
        <v>18917</v>
      </c>
      <c r="BK1634" s="1"/>
      <c r="BL1634" s="1"/>
      <c r="BM1634" s="1" t="s">
        <v>18918</v>
      </c>
      <c r="BN1634" s="1">
        <v>69</v>
      </c>
      <c r="BO1634" s="1"/>
      <c r="BP1634" s="1" t="str">
        <f>HYPERLINK("https://nconnect.nicmar.ac.in/storage/profile/ProfilePhoto_P25703034_743562.jpg","Download")</f>
        <v>0</v>
      </c>
      <c r="BQ1634" s="3"/>
      <c r="BR1634" s="3"/>
    </row>
    <row r="1635" spans="1:70">
      <c r="A1635" s="1" t="s">
        <v>16711</v>
      </c>
      <c r="B1635" s="1" t="s">
        <v>441</v>
      </c>
      <c r="C1635" s="1" t="s">
        <v>18919</v>
      </c>
      <c r="D1635" s="1" t="s">
        <v>13490</v>
      </c>
      <c r="E1635" s="1" t="s">
        <v>1000</v>
      </c>
      <c r="F1635" s="1" t="s">
        <v>18920</v>
      </c>
      <c r="G1635" s="1" t="s">
        <v>18921</v>
      </c>
      <c r="H1635" s="1" t="s">
        <v>18922</v>
      </c>
      <c r="I1635" s="1" t="s">
        <v>18923</v>
      </c>
      <c r="J1635" s="1">
        <v>7264004459</v>
      </c>
      <c r="K1635" s="1" t="s">
        <v>148</v>
      </c>
      <c r="L1635" s="1" t="s">
        <v>18924</v>
      </c>
      <c r="M1635" s="1" t="s">
        <v>81</v>
      </c>
      <c r="N1635" s="1" t="s">
        <v>1140</v>
      </c>
      <c r="O1635" s="1" t="s">
        <v>18925</v>
      </c>
      <c r="P1635" s="1" t="s">
        <v>497</v>
      </c>
      <c r="Q1635" s="1" t="s">
        <v>18926</v>
      </c>
      <c r="R1635" s="1" t="s">
        <v>18927</v>
      </c>
      <c r="S1635" s="1">
        <v>9764004459</v>
      </c>
      <c r="T1635" s="1" t="s">
        <v>820</v>
      </c>
      <c r="U1635" s="1" t="s">
        <v>18928</v>
      </c>
      <c r="V1635" s="1">
        <v>9764004495</v>
      </c>
      <c r="W1635" s="1" t="s">
        <v>18929</v>
      </c>
      <c r="X1635" s="1" t="s">
        <v>18930</v>
      </c>
      <c r="Y1635" s="1" t="s">
        <v>191</v>
      </c>
      <c r="Z1635" s="1" t="s">
        <v>92</v>
      </c>
      <c r="AA1635" s="1" t="s">
        <v>18930</v>
      </c>
      <c r="AB1635" s="1" t="s">
        <v>191</v>
      </c>
      <c r="AC1635" s="1" t="s">
        <v>92</v>
      </c>
      <c r="AD1635" s="1" t="s">
        <v>93</v>
      </c>
      <c r="AE1635" s="1" t="s">
        <v>93</v>
      </c>
      <c r="AF1635" s="1" t="s">
        <v>18931</v>
      </c>
      <c r="AG1635" s="1" t="s">
        <v>1942</v>
      </c>
      <c r="AH1635" s="1" t="s">
        <v>166</v>
      </c>
      <c r="AI1635" s="1" t="s">
        <v>409</v>
      </c>
      <c r="AJ1635" s="1">
        <v>84.8</v>
      </c>
      <c r="AK1635" s="1">
        <v>0</v>
      </c>
      <c r="AL1635" s="1" t="s">
        <v>18932</v>
      </c>
      <c r="AM1635" s="1" t="s">
        <v>160</v>
      </c>
      <c r="AN1635" s="1" t="s">
        <v>173</v>
      </c>
      <c r="AO1635" s="1" t="s">
        <v>1169</v>
      </c>
      <c r="AP1635" s="1">
        <v>87</v>
      </c>
      <c r="AQ1635" s="1">
        <v>0</v>
      </c>
      <c r="AR1635" s="1"/>
      <c r="AS1635" s="1"/>
      <c r="AT1635" s="1"/>
      <c r="AU1635" s="1"/>
      <c r="AV1635" s="1"/>
      <c r="AW1635" s="1"/>
      <c r="AX1635" s="1" t="s">
        <v>18933</v>
      </c>
      <c r="AY1635" s="1" t="s">
        <v>18934</v>
      </c>
      <c r="AZ1635" s="1" t="s">
        <v>436</v>
      </c>
      <c r="BA1635" s="1" t="s">
        <v>202</v>
      </c>
      <c r="BB1635" s="1">
        <v>70.12</v>
      </c>
      <c r="BC1635" s="1">
        <v>8.25</v>
      </c>
      <c r="BD1635" s="1"/>
      <c r="BE1635" s="1"/>
      <c r="BF1635" s="1"/>
      <c r="BG1635" s="1"/>
      <c r="BH1635" s="1"/>
      <c r="BI1635" s="1"/>
      <c r="BJ1635" s="1" t="s">
        <v>1822</v>
      </c>
      <c r="BK1635" s="1" t="s">
        <v>18935</v>
      </c>
      <c r="BL1635" s="1" t="s">
        <v>1022</v>
      </c>
      <c r="BM1635" s="1"/>
      <c r="BN1635" s="1"/>
      <c r="BO1635" s="1"/>
      <c r="BP1635" s="1" t="str">
        <f>HYPERLINK("https://nconnect.nicmar.ac.in/storage/profile/ProfilePhoto_P25703035_583967.jpg","Download")</f>
        <v>0</v>
      </c>
      <c r="BQ1635" s="3"/>
      <c r="BR1635" s="3"/>
    </row>
    <row r="1636" spans="1:70">
      <c r="A1636" s="1" t="s">
        <v>16711</v>
      </c>
      <c r="B1636" s="1" t="s">
        <v>441</v>
      </c>
      <c r="C1636" s="1" t="s">
        <v>18936</v>
      </c>
      <c r="D1636" s="1" t="s">
        <v>7785</v>
      </c>
      <c r="E1636" s="1" t="s">
        <v>1074</v>
      </c>
      <c r="F1636" s="1" t="s">
        <v>1298</v>
      </c>
      <c r="G1636" s="1" t="s">
        <v>18937</v>
      </c>
      <c r="H1636" s="1" t="s">
        <v>18938</v>
      </c>
      <c r="I1636" s="1" t="s">
        <v>18939</v>
      </c>
      <c r="J1636" s="1">
        <v>9518528290</v>
      </c>
      <c r="K1636" s="1" t="s">
        <v>79</v>
      </c>
      <c r="L1636" s="1" t="s">
        <v>18940</v>
      </c>
      <c r="M1636" s="1" t="s">
        <v>81</v>
      </c>
      <c r="N1636" s="1" t="s">
        <v>2991</v>
      </c>
      <c r="O1636" s="1" t="s">
        <v>18941</v>
      </c>
      <c r="P1636" s="1" t="s">
        <v>117</v>
      </c>
      <c r="Q1636" s="1" t="s">
        <v>18942</v>
      </c>
      <c r="R1636" s="1" t="s">
        <v>6000</v>
      </c>
      <c r="S1636" s="1">
        <v>8888860058</v>
      </c>
      <c r="T1636" s="1" t="s">
        <v>632</v>
      </c>
      <c r="U1636" s="1" t="s">
        <v>18943</v>
      </c>
      <c r="V1636" s="1">
        <v>9284069189</v>
      </c>
      <c r="W1636" s="1" t="s">
        <v>273</v>
      </c>
      <c r="X1636" s="1" t="s">
        <v>18944</v>
      </c>
      <c r="Y1636" s="1" t="s">
        <v>3300</v>
      </c>
      <c r="Z1636" s="1" t="s">
        <v>1211</v>
      </c>
      <c r="AA1636" s="1" t="s">
        <v>18944</v>
      </c>
      <c r="AB1636" s="1" t="s">
        <v>3300</v>
      </c>
      <c r="AC1636" s="1" t="s">
        <v>1211</v>
      </c>
      <c r="AD1636" s="1" t="s">
        <v>93</v>
      </c>
      <c r="AE1636" s="1" t="s">
        <v>93</v>
      </c>
      <c r="AF1636" s="1" t="s">
        <v>18945</v>
      </c>
      <c r="AG1636" s="1" t="s">
        <v>18946</v>
      </c>
      <c r="AH1636" s="1" t="s">
        <v>3789</v>
      </c>
      <c r="AI1636" s="1" t="s">
        <v>1239</v>
      </c>
      <c r="AJ1636" s="1">
        <v>70.3</v>
      </c>
      <c r="AK1636" s="1">
        <v>7.4</v>
      </c>
      <c r="AL1636" s="1" t="s">
        <v>18947</v>
      </c>
      <c r="AM1636" s="1" t="s">
        <v>18948</v>
      </c>
      <c r="AN1636" s="1" t="s">
        <v>1239</v>
      </c>
      <c r="AO1636" s="1" t="s">
        <v>195</v>
      </c>
      <c r="AP1636" s="1">
        <v>59.38</v>
      </c>
      <c r="AQ1636" s="1"/>
      <c r="AR1636" s="1"/>
      <c r="AS1636" s="1"/>
      <c r="AT1636" s="1"/>
      <c r="AU1636" s="1"/>
      <c r="AV1636" s="1"/>
      <c r="AW1636" s="1"/>
      <c r="AX1636" s="1" t="s">
        <v>361</v>
      </c>
      <c r="AY1636" s="1" t="s">
        <v>18949</v>
      </c>
      <c r="AZ1636" s="1" t="s">
        <v>165</v>
      </c>
      <c r="BA1636" s="1" t="s">
        <v>105</v>
      </c>
      <c r="BB1636" s="1">
        <v>67.8</v>
      </c>
      <c r="BC1636" s="1">
        <v>7.62</v>
      </c>
      <c r="BD1636" s="1"/>
      <c r="BE1636" s="1"/>
      <c r="BF1636" s="1"/>
      <c r="BG1636" s="1"/>
      <c r="BH1636" s="1"/>
      <c r="BI1636" s="1"/>
      <c r="BJ1636" s="1" t="s">
        <v>567</v>
      </c>
      <c r="BK1636" s="1" t="s">
        <v>18950</v>
      </c>
      <c r="BL1636" s="1" t="s">
        <v>4887</v>
      </c>
      <c r="BM1636" s="1" t="s">
        <v>18951</v>
      </c>
      <c r="BN1636" s="1">
        <v>9</v>
      </c>
      <c r="BO1636" s="1"/>
      <c r="BP1636" s="1" t="str">
        <f>HYPERLINK("https://nconnect.nicmar.ac.in/storage/profile/ProfilePhoto_P25703037_975312.jpg","Download")</f>
        <v>0</v>
      </c>
      <c r="BQ1636" s="3"/>
      <c r="BR1636" s="3"/>
    </row>
    <row r="1637" spans="1:70">
      <c r="A1637" s="1" t="s">
        <v>16711</v>
      </c>
      <c r="B1637" s="1" t="s">
        <v>441</v>
      </c>
      <c r="C1637" s="1" t="s">
        <v>18952</v>
      </c>
      <c r="D1637" s="1" t="s">
        <v>18953</v>
      </c>
      <c r="E1637" s="1"/>
      <c r="F1637" s="1" t="s">
        <v>18954</v>
      </c>
      <c r="G1637" s="1" t="s">
        <v>18955</v>
      </c>
      <c r="H1637" s="1" t="s">
        <v>18956</v>
      </c>
      <c r="I1637" s="1" t="s">
        <v>18957</v>
      </c>
      <c r="J1637" s="1">
        <v>6370072487</v>
      </c>
      <c r="K1637" s="1" t="s">
        <v>79</v>
      </c>
      <c r="L1637" s="1" t="s">
        <v>18958</v>
      </c>
      <c r="M1637" s="1" t="s">
        <v>81</v>
      </c>
      <c r="N1637" s="1" t="s">
        <v>18959</v>
      </c>
      <c r="O1637" s="1"/>
      <c r="P1637" s="1" t="s">
        <v>497</v>
      </c>
      <c r="Q1637" s="1" t="s">
        <v>18960</v>
      </c>
      <c r="R1637" s="1" t="s">
        <v>18961</v>
      </c>
      <c r="S1637" s="1">
        <v>9437164912</v>
      </c>
      <c r="T1637" s="1" t="s">
        <v>820</v>
      </c>
      <c r="U1637" s="1" t="s">
        <v>18962</v>
      </c>
      <c r="V1637" s="1">
        <v>9439042314</v>
      </c>
      <c r="W1637" s="1" t="s">
        <v>4700</v>
      </c>
      <c r="X1637" s="1" t="s">
        <v>18963</v>
      </c>
      <c r="Y1637" s="1" t="s">
        <v>1236</v>
      </c>
      <c r="Z1637" s="1" t="s">
        <v>846</v>
      </c>
      <c r="AA1637" s="1" t="s">
        <v>18963</v>
      </c>
      <c r="AB1637" s="1" t="s">
        <v>1236</v>
      </c>
      <c r="AC1637" s="1" t="s">
        <v>846</v>
      </c>
      <c r="AD1637" s="1">
        <v>8.9</v>
      </c>
      <c r="AE1637" s="1" t="s">
        <v>93</v>
      </c>
      <c r="AF1637" s="1" t="s">
        <v>18964</v>
      </c>
      <c r="AG1637" s="1" t="s">
        <v>2154</v>
      </c>
      <c r="AH1637" s="1" t="s">
        <v>195</v>
      </c>
      <c r="AI1637" s="1" t="s">
        <v>166</v>
      </c>
      <c r="AJ1637" s="1">
        <v>70.16</v>
      </c>
      <c r="AK1637" s="1"/>
      <c r="AL1637" s="1" t="s">
        <v>18964</v>
      </c>
      <c r="AM1637" s="1" t="s">
        <v>2154</v>
      </c>
      <c r="AN1637" s="1" t="s">
        <v>433</v>
      </c>
      <c r="AO1637" s="1" t="s">
        <v>173</v>
      </c>
      <c r="AP1637" s="1">
        <v>52.2</v>
      </c>
      <c r="AQ1637" s="1"/>
      <c r="AR1637" s="1"/>
      <c r="AS1637" s="1"/>
      <c r="AT1637" s="1"/>
      <c r="AU1637" s="1"/>
      <c r="AV1637" s="1"/>
      <c r="AW1637" s="1"/>
      <c r="AX1637" s="1" t="s">
        <v>18965</v>
      </c>
      <c r="AY1637" s="1" t="s">
        <v>18966</v>
      </c>
      <c r="AZ1637" s="1" t="s">
        <v>170</v>
      </c>
      <c r="BA1637" s="1" t="s">
        <v>9507</v>
      </c>
      <c r="BB1637" s="1">
        <v>85.76</v>
      </c>
      <c r="BC1637" s="1"/>
      <c r="BD1637" s="1"/>
      <c r="BE1637" s="1"/>
      <c r="BF1637" s="1"/>
      <c r="BG1637" s="1"/>
      <c r="BH1637" s="1"/>
      <c r="BI1637" s="1"/>
      <c r="BJ1637" s="1" t="s">
        <v>18967</v>
      </c>
      <c r="BK1637" s="1" t="s">
        <v>18968</v>
      </c>
      <c r="BL1637" s="1" t="s">
        <v>2066</v>
      </c>
      <c r="BM1637" s="1" t="s">
        <v>18969</v>
      </c>
      <c r="BN1637" s="1">
        <v>25</v>
      </c>
      <c r="BO1637" s="1" t="s">
        <v>18970</v>
      </c>
      <c r="BP1637" s="1" t="str">
        <f>HYPERLINK("https://nconnect.nicmar.ac.in/storage/profile/ProfilePhoto_P25703038_123479.jpg","Download")</f>
        <v>0</v>
      </c>
      <c r="BQ1637" s="3"/>
      <c r="BR1637" s="3"/>
    </row>
    <row r="1638" spans="1:70">
      <c r="A1638" s="1" t="s">
        <v>16711</v>
      </c>
      <c r="B1638" s="1" t="s">
        <v>441</v>
      </c>
      <c r="C1638" s="1" t="s">
        <v>18971</v>
      </c>
      <c r="D1638" s="1" t="s">
        <v>9883</v>
      </c>
      <c r="E1638" s="1" t="s">
        <v>8954</v>
      </c>
      <c r="F1638" s="1" t="s">
        <v>10026</v>
      </c>
      <c r="G1638" s="1" t="s">
        <v>18972</v>
      </c>
      <c r="H1638" s="1" t="s">
        <v>18973</v>
      </c>
      <c r="I1638" s="1" t="s">
        <v>18974</v>
      </c>
      <c r="J1638" s="1">
        <v>9860624106</v>
      </c>
      <c r="K1638" s="1" t="s">
        <v>148</v>
      </c>
      <c r="L1638" s="1" t="s">
        <v>18975</v>
      </c>
      <c r="M1638" s="1" t="s">
        <v>81</v>
      </c>
      <c r="N1638" s="1" t="s">
        <v>605</v>
      </c>
      <c r="O1638" s="1"/>
      <c r="P1638" s="1" t="s">
        <v>450</v>
      </c>
      <c r="Q1638" s="1" t="s">
        <v>18976</v>
      </c>
      <c r="R1638" s="1" t="s">
        <v>18977</v>
      </c>
      <c r="S1638" s="1">
        <v>9657535247</v>
      </c>
      <c r="T1638" s="1" t="s">
        <v>18978</v>
      </c>
      <c r="U1638" s="1" t="s">
        <v>18979</v>
      </c>
      <c r="V1638" s="1">
        <v>9421880152</v>
      </c>
      <c r="W1638" s="1" t="s">
        <v>2539</v>
      </c>
      <c r="X1638" s="1" t="s">
        <v>18980</v>
      </c>
      <c r="Y1638" s="1" t="s">
        <v>611</v>
      </c>
      <c r="Z1638" s="1" t="s">
        <v>92</v>
      </c>
      <c r="AA1638" s="1" t="s">
        <v>18980</v>
      </c>
      <c r="AB1638" s="1" t="s">
        <v>611</v>
      </c>
      <c r="AC1638" s="1" t="s">
        <v>92</v>
      </c>
      <c r="AD1638" s="1">
        <v>7.5</v>
      </c>
      <c r="AE1638" s="1" t="s">
        <v>93</v>
      </c>
      <c r="AF1638" s="1" t="s">
        <v>954</v>
      </c>
      <c r="AG1638" s="1" t="s">
        <v>18981</v>
      </c>
      <c r="AH1638" s="1" t="s">
        <v>162</v>
      </c>
      <c r="AI1638" s="1" t="s">
        <v>165</v>
      </c>
      <c r="AJ1638" s="1">
        <v>76.8</v>
      </c>
      <c r="AK1638" s="1">
        <v>8.4</v>
      </c>
      <c r="AL1638" s="1" t="s">
        <v>18982</v>
      </c>
      <c r="AM1638" s="1" t="s">
        <v>18983</v>
      </c>
      <c r="AN1638" s="1" t="s">
        <v>101</v>
      </c>
      <c r="AO1638" s="1" t="s">
        <v>198</v>
      </c>
      <c r="AP1638" s="1">
        <v>63.38</v>
      </c>
      <c r="AQ1638" s="1"/>
      <c r="AR1638" s="1"/>
      <c r="AS1638" s="1"/>
      <c r="AT1638" s="1"/>
      <c r="AU1638" s="1"/>
      <c r="AV1638" s="1"/>
      <c r="AW1638" s="1"/>
      <c r="AX1638" s="1" t="s">
        <v>410</v>
      </c>
      <c r="AY1638" s="1" t="s">
        <v>18984</v>
      </c>
      <c r="AZ1638" s="1" t="s">
        <v>201</v>
      </c>
      <c r="BA1638" s="1" t="s">
        <v>229</v>
      </c>
      <c r="BB1638" s="1">
        <v>69.9</v>
      </c>
      <c r="BC1638" s="1">
        <v>7.74</v>
      </c>
      <c r="BD1638" s="1"/>
      <c r="BE1638" s="1"/>
      <c r="BF1638" s="1"/>
      <c r="BG1638" s="1"/>
      <c r="BH1638" s="1"/>
      <c r="BI1638" s="1"/>
      <c r="BJ1638" s="1" t="s">
        <v>18985</v>
      </c>
      <c r="BK1638" s="1"/>
      <c r="BL1638" s="1"/>
      <c r="BM1638" s="1" t="s">
        <v>18986</v>
      </c>
      <c r="BN1638" s="1">
        <v>8</v>
      </c>
      <c r="BO1638" s="1"/>
      <c r="BP1638" s="1" t="str">
        <f>HYPERLINK("https://nconnect.nicmar.ac.in/storage/profile/ProfilePhoto_P25703039_812957.jpg","Download")</f>
        <v>0</v>
      </c>
      <c r="BQ1638" s="3"/>
      <c r="BR1638" s="3"/>
    </row>
    <row r="1639" spans="1:70">
      <c r="A1639" s="1" t="s">
        <v>16711</v>
      </c>
      <c r="B1639" s="1" t="s">
        <v>441</v>
      </c>
      <c r="C1639" s="1" t="s">
        <v>18987</v>
      </c>
      <c r="D1639" s="1" t="s">
        <v>18988</v>
      </c>
      <c r="E1639" s="1" t="s">
        <v>18989</v>
      </c>
      <c r="F1639" s="1" t="s">
        <v>18990</v>
      </c>
      <c r="G1639" s="1" t="s">
        <v>18991</v>
      </c>
      <c r="H1639" s="1" t="s">
        <v>18992</v>
      </c>
      <c r="I1639" s="1" t="s">
        <v>18993</v>
      </c>
      <c r="J1639" s="1">
        <v>8698771216</v>
      </c>
      <c r="K1639" s="1" t="s">
        <v>79</v>
      </c>
      <c r="L1639" s="1" t="s">
        <v>18994</v>
      </c>
      <c r="M1639" s="1" t="s">
        <v>81</v>
      </c>
      <c r="N1639" s="1" t="s">
        <v>4976</v>
      </c>
      <c r="O1639" s="1"/>
      <c r="P1639" s="1" t="s">
        <v>450</v>
      </c>
      <c r="Q1639" s="1" t="s">
        <v>18995</v>
      </c>
      <c r="R1639" s="1" t="s">
        <v>18996</v>
      </c>
      <c r="S1639" s="1">
        <v>8329206277</v>
      </c>
      <c r="T1639" s="1" t="s">
        <v>583</v>
      </c>
      <c r="U1639" s="1" t="s">
        <v>18997</v>
      </c>
      <c r="V1639" s="1">
        <v>9604238948</v>
      </c>
      <c r="W1639" s="1" t="s">
        <v>156</v>
      </c>
      <c r="X1639" s="1" t="s">
        <v>18998</v>
      </c>
      <c r="Y1639" s="1" t="s">
        <v>191</v>
      </c>
      <c r="Z1639" s="1" t="s">
        <v>92</v>
      </c>
      <c r="AA1639" s="1" t="s">
        <v>18999</v>
      </c>
      <c r="AB1639" s="1" t="s">
        <v>5185</v>
      </c>
      <c r="AC1639" s="1" t="s">
        <v>92</v>
      </c>
      <c r="AD1639" s="1">
        <v>7.84</v>
      </c>
      <c r="AE1639" s="1" t="s">
        <v>93</v>
      </c>
      <c r="AF1639" s="1" t="s">
        <v>19000</v>
      </c>
      <c r="AG1639" s="1" t="s">
        <v>19001</v>
      </c>
      <c r="AH1639" s="1" t="s">
        <v>281</v>
      </c>
      <c r="AI1639" s="1" t="s">
        <v>409</v>
      </c>
      <c r="AJ1639" s="1">
        <v>87.2</v>
      </c>
      <c r="AK1639" s="1"/>
      <c r="AL1639" s="1" t="s">
        <v>19002</v>
      </c>
      <c r="AM1639" s="1" t="s">
        <v>19003</v>
      </c>
      <c r="AN1639" s="1" t="s">
        <v>590</v>
      </c>
      <c r="AO1639" s="1" t="s">
        <v>1169</v>
      </c>
      <c r="AP1639" s="1">
        <v>84.33</v>
      </c>
      <c r="AQ1639" s="1"/>
      <c r="AR1639" s="1"/>
      <c r="AS1639" s="1"/>
      <c r="AT1639" s="1"/>
      <c r="AU1639" s="1"/>
      <c r="AV1639" s="1"/>
      <c r="AW1639" s="1"/>
      <c r="AX1639" s="1" t="s">
        <v>361</v>
      </c>
      <c r="AY1639" s="1" t="s">
        <v>19004</v>
      </c>
      <c r="AZ1639" s="1" t="s">
        <v>436</v>
      </c>
      <c r="BA1639" s="1" t="s">
        <v>202</v>
      </c>
      <c r="BB1639" s="1">
        <v>74.6</v>
      </c>
      <c r="BC1639" s="1">
        <v>8.3</v>
      </c>
      <c r="BD1639" s="1"/>
      <c r="BE1639" s="1"/>
      <c r="BF1639" s="1"/>
      <c r="BG1639" s="1"/>
      <c r="BH1639" s="1"/>
      <c r="BI1639" s="1"/>
      <c r="BJ1639" s="1" t="s">
        <v>19005</v>
      </c>
      <c r="BK1639" s="1"/>
      <c r="BL1639" s="1"/>
      <c r="BM1639" s="1" t="s">
        <v>19006</v>
      </c>
      <c r="BN1639" s="1">
        <v>7</v>
      </c>
      <c r="BO1639" s="1" t="s">
        <v>19007</v>
      </c>
      <c r="BP1639" s="1" t="str">
        <f>HYPERLINK("https://nconnect.nicmar.ac.in/storage/profile/ProfilePhoto_P25703040_795461.jpg","Download")</f>
        <v>0</v>
      </c>
      <c r="BQ1639" s="3"/>
      <c r="BR1639" s="3"/>
    </row>
    <row r="1640" spans="1:70">
      <c r="A1640" s="1" t="s">
        <v>16711</v>
      </c>
      <c r="B1640" s="1" t="s">
        <v>441</v>
      </c>
      <c r="C1640" s="1" t="s">
        <v>19008</v>
      </c>
      <c r="D1640" s="1" t="s">
        <v>11033</v>
      </c>
      <c r="E1640" s="1" t="s">
        <v>2492</v>
      </c>
      <c r="F1640" s="1" t="s">
        <v>19009</v>
      </c>
      <c r="G1640" s="1" t="s">
        <v>19010</v>
      </c>
      <c r="H1640" s="1" t="s">
        <v>19011</v>
      </c>
      <c r="I1640" s="1" t="s">
        <v>19012</v>
      </c>
      <c r="J1640" s="1">
        <v>8109609982</v>
      </c>
      <c r="K1640" s="1" t="s">
        <v>148</v>
      </c>
      <c r="L1640" s="1" t="s">
        <v>19013</v>
      </c>
      <c r="M1640" s="1" t="s">
        <v>81</v>
      </c>
      <c r="N1640" s="1" t="s">
        <v>4213</v>
      </c>
      <c r="O1640" s="1"/>
      <c r="P1640" s="1" t="s">
        <v>450</v>
      </c>
      <c r="Q1640" s="1" t="s">
        <v>19014</v>
      </c>
      <c r="R1640" s="1" t="s">
        <v>19015</v>
      </c>
      <c r="S1640" s="1">
        <v>8319708262</v>
      </c>
      <c r="T1640" s="1" t="s">
        <v>19016</v>
      </c>
      <c r="U1640" s="1" t="s">
        <v>19017</v>
      </c>
      <c r="V1640" s="1">
        <v>9826709888</v>
      </c>
      <c r="W1640" s="1" t="s">
        <v>89</v>
      </c>
      <c r="X1640" s="1" t="s">
        <v>19018</v>
      </c>
      <c r="Y1640" s="1" t="s">
        <v>2954</v>
      </c>
      <c r="Z1640" s="1" t="s">
        <v>2955</v>
      </c>
      <c r="AA1640" s="1" t="s">
        <v>19018</v>
      </c>
      <c r="AB1640" s="1" t="s">
        <v>2954</v>
      </c>
      <c r="AC1640" s="1" t="s">
        <v>2955</v>
      </c>
      <c r="AD1640" s="1">
        <v>8.33</v>
      </c>
      <c r="AE1640" s="1" t="s">
        <v>93</v>
      </c>
      <c r="AF1640" s="1" t="s">
        <v>19019</v>
      </c>
      <c r="AG1640" s="1" t="s">
        <v>19020</v>
      </c>
      <c r="AH1640" s="1" t="s">
        <v>481</v>
      </c>
      <c r="AI1640" s="1" t="s">
        <v>308</v>
      </c>
      <c r="AJ1640" s="1">
        <v>90.6</v>
      </c>
      <c r="AK1640" s="1"/>
      <c r="AL1640" s="1" t="s">
        <v>19019</v>
      </c>
      <c r="AM1640" s="1" t="s">
        <v>19020</v>
      </c>
      <c r="AN1640" s="1" t="s">
        <v>956</v>
      </c>
      <c r="AO1640" s="1" t="s">
        <v>539</v>
      </c>
      <c r="AP1640" s="1">
        <v>95</v>
      </c>
      <c r="AQ1640" s="1"/>
      <c r="AR1640" s="1"/>
      <c r="AS1640" s="1"/>
      <c r="AT1640" s="1"/>
      <c r="AU1640" s="1"/>
      <c r="AV1640" s="1"/>
      <c r="AW1640" s="1"/>
      <c r="AX1640" s="1" t="s">
        <v>19021</v>
      </c>
      <c r="AY1640" s="1" t="s">
        <v>19022</v>
      </c>
      <c r="AZ1640" s="1" t="s">
        <v>436</v>
      </c>
      <c r="BA1640" s="1" t="s">
        <v>1292</v>
      </c>
      <c r="BB1640" s="1">
        <v>64.83</v>
      </c>
      <c r="BC1640" s="1"/>
      <c r="BD1640" s="1"/>
      <c r="BE1640" s="1"/>
      <c r="BF1640" s="1"/>
      <c r="BG1640" s="1"/>
      <c r="BH1640" s="1"/>
      <c r="BI1640" s="1"/>
      <c r="BJ1640" s="1" t="s">
        <v>1822</v>
      </c>
      <c r="BK1640" s="1"/>
      <c r="BL1640" s="1"/>
      <c r="BM1640" s="1" t="s">
        <v>19023</v>
      </c>
      <c r="BN1640" s="1">
        <v>8</v>
      </c>
      <c r="BO1640" s="1"/>
      <c r="BP1640" s="1" t="str">
        <f>HYPERLINK("https://nconnect.nicmar.ac.in/storage/profile/ProfilePhoto_P25703041_689342.jpg","Download")</f>
        <v>0</v>
      </c>
      <c r="BQ1640" s="3"/>
      <c r="BR1640" s="3"/>
    </row>
    <row r="1641" spans="1:70">
      <c r="A1641" s="1" t="s">
        <v>16711</v>
      </c>
      <c r="B1641" s="1" t="s">
        <v>441</v>
      </c>
      <c r="C1641" s="1" t="s">
        <v>19024</v>
      </c>
      <c r="D1641" s="1" t="s">
        <v>3564</v>
      </c>
      <c r="E1641" s="1" t="s">
        <v>3061</v>
      </c>
      <c r="F1641" s="1" t="s">
        <v>2914</v>
      </c>
      <c r="G1641" s="1" t="s">
        <v>19025</v>
      </c>
      <c r="H1641" s="1" t="s">
        <v>19026</v>
      </c>
      <c r="I1641" s="1" t="s">
        <v>19027</v>
      </c>
      <c r="J1641" s="1">
        <v>9823231523</v>
      </c>
      <c r="K1641" s="1" t="s">
        <v>79</v>
      </c>
      <c r="L1641" s="1" t="s">
        <v>19028</v>
      </c>
      <c r="M1641" s="1" t="s">
        <v>81</v>
      </c>
      <c r="N1641" s="1" t="s">
        <v>1448</v>
      </c>
      <c r="O1641" s="1"/>
      <c r="P1641" s="1" t="s">
        <v>450</v>
      </c>
      <c r="Q1641" s="1" t="s">
        <v>19029</v>
      </c>
      <c r="R1641" s="1" t="s">
        <v>19030</v>
      </c>
      <c r="S1641" s="1">
        <v>8806982424</v>
      </c>
      <c r="T1641" s="1" t="s">
        <v>820</v>
      </c>
      <c r="U1641" s="1" t="s">
        <v>19031</v>
      </c>
      <c r="V1641" s="1">
        <v>8806424244</v>
      </c>
      <c r="W1641" s="1" t="s">
        <v>156</v>
      </c>
      <c r="X1641" s="1" t="s">
        <v>19032</v>
      </c>
      <c r="Y1641" s="1" t="s">
        <v>1963</v>
      </c>
      <c r="Z1641" s="1" t="s">
        <v>92</v>
      </c>
      <c r="AA1641" s="1" t="s">
        <v>19032</v>
      </c>
      <c r="AB1641" s="1" t="s">
        <v>1963</v>
      </c>
      <c r="AC1641" s="1" t="s">
        <v>92</v>
      </c>
      <c r="AD1641" s="1">
        <v>7.78</v>
      </c>
      <c r="AE1641" s="1" t="s">
        <v>93</v>
      </c>
      <c r="AF1641" s="1" t="s">
        <v>19033</v>
      </c>
      <c r="AG1641" s="1" t="s">
        <v>307</v>
      </c>
      <c r="AH1641" s="1" t="s">
        <v>166</v>
      </c>
      <c r="AI1641" s="1" t="s">
        <v>308</v>
      </c>
      <c r="AJ1641" s="1">
        <v>85.2</v>
      </c>
      <c r="AK1641" s="1"/>
      <c r="AL1641" s="1" t="s">
        <v>19034</v>
      </c>
      <c r="AM1641" s="1" t="s">
        <v>307</v>
      </c>
      <c r="AN1641" s="1" t="s">
        <v>173</v>
      </c>
      <c r="AO1641" s="1" t="s">
        <v>539</v>
      </c>
      <c r="AP1641" s="1">
        <v>74.6</v>
      </c>
      <c r="AQ1641" s="1"/>
      <c r="AR1641" s="1"/>
      <c r="AS1641" s="1"/>
      <c r="AT1641" s="1"/>
      <c r="AU1641" s="1"/>
      <c r="AV1641" s="1"/>
      <c r="AW1641" s="1"/>
      <c r="AX1641" s="1" t="s">
        <v>1017</v>
      </c>
      <c r="AY1641" s="1" t="s">
        <v>1966</v>
      </c>
      <c r="AZ1641" s="1" t="s">
        <v>436</v>
      </c>
      <c r="BA1641" s="1" t="s">
        <v>829</v>
      </c>
      <c r="BB1641" s="1">
        <v>65.4</v>
      </c>
      <c r="BC1641" s="1">
        <v>7.04</v>
      </c>
      <c r="BD1641" s="1"/>
      <c r="BE1641" s="1"/>
      <c r="BF1641" s="1"/>
      <c r="BG1641" s="1"/>
      <c r="BH1641" s="1"/>
      <c r="BI1641" s="1"/>
      <c r="BJ1641" s="1" t="s">
        <v>19035</v>
      </c>
      <c r="BK1641" s="1"/>
      <c r="BL1641" s="1"/>
      <c r="BM1641" s="1" t="s">
        <v>19036</v>
      </c>
      <c r="BN1641" s="1">
        <v>27</v>
      </c>
      <c r="BO1641" s="1" t="s">
        <v>19037</v>
      </c>
      <c r="BP1641" s="1" t="str">
        <f>HYPERLINK("https://nconnect.nicmar.ac.in/storage/profile/ProfilePhoto_P25703042_139468.jpg","Download")</f>
        <v>0</v>
      </c>
      <c r="BQ1641" s="3"/>
      <c r="BR1641" s="3"/>
    </row>
    <row r="1642" spans="1:70">
      <c r="A1642" s="1" t="s">
        <v>16711</v>
      </c>
      <c r="B1642" s="1" t="s">
        <v>441</v>
      </c>
      <c r="C1642" s="1" t="s">
        <v>19038</v>
      </c>
      <c r="D1642" s="1" t="s">
        <v>19039</v>
      </c>
      <c r="E1642" s="1"/>
      <c r="F1642" s="1" t="s">
        <v>12663</v>
      </c>
      <c r="G1642" s="1" t="s">
        <v>19040</v>
      </c>
      <c r="H1642" s="1" t="s">
        <v>19041</v>
      </c>
      <c r="I1642" s="1" t="s">
        <v>19042</v>
      </c>
      <c r="J1642" s="1">
        <v>9746022021</v>
      </c>
      <c r="K1642" s="1" t="s">
        <v>79</v>
      </c>
      <c r="L1642" s="1" t="s">
        <v>19043</v>
      </c>
      <c r="M1642" s="1" t="s">
        <v>81</v>
      </c>
      <c r="N1642" s="1" t="s">
        <v>1614</v>
      </c>
      <c r="O1642" s="1" t="s">
        <v>19044</v>
      </c>
      <c r="P1642" s="1" t="s">
        <v>2035</v>
      </c>
      <c r="Q1642" s="1" t="s">
        <v>19045</v>
      </c>
      <c r="R1642" s="1" t="s">
        <v>19046</v>
      </c>
      <c r="S1642" s="1">
        <v>9447708526</v>
      </c>
      <c r="T1642" s="1" t="s">
        <v>3660</v>
      </c>
      <c r="U1642" s="1" t="s">
        <v>19047</v>
      </c>
      <c r="V1642" s="1">
        <v>9446518526</v>
      </c>
      <c r="W1642" s="1" t="s">
        <v>529</v>
      </c>
      <c r="X1642" s="1" t="s">
        <v>19048</v>
      </c>
      <c r="Y1642" s="1" t="s">
        <v>686</v>
      </c>
      <c r="Z1642" s="1" t="s">
        <v>125</v>
      </c>
      <c r="AA1642" s="1" t="s">
        <v>19048</v>
      </c>
      <c r="AB1642" s="1" t="s">
        <v>686</v>
      </c>
      <c r="AC1642" s="1" t="s">
        <v>125</v>
      </c>
      <c r="AD1642" s="1" t="s">
        <v>93</v>
      </c>
      <c r="AE1642" s="1" t="s">
        <v>93</v>
      </c>
      <c r="AF1642" s="1" t="s">
        <v>19049</v>
      </c>
      <c r="AG1642" s="1" t="s">
        <v>9038</v>
      </c>
      <c r="AH1642" s="1" t="s">
        <v>161</v>
      </c>
      <c r="AI1642" s="1" t="s">
        <v>614</v>
      </c>
      <c r="AJ1642" s="1">
        <v>85.5</v>
      </c>
      <c r="AK1642" s="1">
        <v>9</v>
      </c>
      <c r="AL1642" s="1" t="s">
        <v>19050</v>
      </c>
      <c r="AM1642" s="1" t="s">
        <v>19051</v>
      </c>
      <c r="AN1642" s="1" t="s">
        <v>162</v>
      </c>
      <c r="AO1642" s="1" t="s">
        <v>166</v>
      </c>
      <c r="AP1642" s="1">
        <v>71.41</v>
      </c>
      <c r="AQ1642" s="1"/>
      <c r="AR1642" s="1"/>
      <c r="AS1642" s="1"/>
      <c r="AT1642" s="1"/>
      <c r="AU1642" s="1"/>
      <c r="AV1642" s="1"/>
      <c r="AW1642" s="1"/>
      <c r="AX1642" s="1" t="s">
        <v>19052</v>
      </c>
      <c r="AY1642" s="1" t="s">
        <v>19053</v>
      </c>
      <c r="AZ1642" s="1" t="s">
        <v>101</v>
      </c>
      <c r="BA1642" s="1" t="s">
        <v>135</v>
      </c>
      <c r="BB1642" s="1">
        <v>64.8</v>
      </c>
      <c r="BC1642" s="1"/>
      <c r="BD1642" s="1" t="s">
        <v>19054</v>
      </c>
      <c r="BE1642" s="1" t="s">
        <v>19055</v>
      </c>
      <c r="BF1642" s="1" t="s">
        <v>135</v>
      </c>
      <c r="BG1642" s="1" t="s">
        <v>1292</v>
      </c>
      <c r="BH1642" s="1">
        <v>63.6</v>
      </c>
      <c r="BI1642" s="1"/>
      <c r="BJ1642" s="1" t="s">
        <v>19056</v>
      </c>
      <c r="BK1642" s="1"/>
      <c r="BL1642" s="1"/>
      <c r="BM1642" s="1" t="s">
        <v>19057</v>
      </c>
      <c r="BN1642" s="1">
        <v>48</v>
      </c>
      <c r="BO1642" s="1" t="s">
        <v>19058</v>
      </c>
      <c r="BP1642" s="1" t="str">
        <f>HYPERLINK("https://nconnect.nicmar.ac.in/storage/profile/ProfilePhoto_P25703043_964875.jpg","Download")</f>
        <v>0</v>
      </c>
      <c r="BQ1642" s="3"/>
      <c r="BR1642" s="3"/>
    </row>
    <row r="1643" spans="1:70">
      <c r="A1643" s="1" t="s">
        <v>16711</v>
      </c>
      <c r="B1643" s="1" t="s">
        <v>441</v>
      </c>
      <c r="C1643" s="1" t="s">
        <v>19059</v>
      </c>
      <c r="D1643" s="1" t="s">
        <v>7134</v>
      </c>
      <c r="E1643" s="1" t="s">
        <v>19060</v>
      </c>
      <c r="F1643" s="1" t="s">
        <v>19061</v>
      </c>
      <c r="G1643" s="1" t="s">
        <v>19062</v>
      </c>
      <c r="H1643" s="1" t="s">
        <v>19063</v>
      </c>
      <c r="I1643" s="1" t="s">
        <v>19064</v>
      </c>
      <c r="J1643" s="1">
        <v>9372846400</v>
      </c>
      <c r="K1643" s="1" t="s">
        <v>79</v>
      </c>
      <c r="L1643" s="1" t="s">
        <v>19065</v>
      </c>
      <c r="M1643" s="1" t="s">
        <v>81</v>
      </c>
      <c r="N1643" s="1" t="s">
        <v>1448</v>
      </c>
      <c r="O1643" s="1"/>
      <c r="P1643" s="1" t="s">
        <v>497</v>
      </c>
      <c r="Q1643" s="1" t="s">
        <v>19066</v>
      </c>
      <c r="R1643" s="1" t="s">
        <v>19060</v>
      </c>
      <c r="S1643" s="1">
        <v>9324268446</v>
      </c>
      <c r="T1643" s="1" t="s">
        <v>820</v>
      </c>
      <c r="U1643" s="1" t="s">
        <v>2676</v>
      </c>
      <c r="V1643" s="1">
        <v>9619699637</v>
      </c>
      <c r="W1643" s="1" t="s">
        <v>531</v>
      </c>
      <c r="X1643" s="1" t="s">
        <v>19067</v>
      </c>
      <c r="Y1643" s="1" t="s">
        <v>191</v>
      </c>
      <c r="Z1643" s="1" t="s">
        <v>92</v>
      </c>
      <c r="AA1643" s="1" t="s">
        <v>19067</v>
      </c>
      <c r="AB1643" s="1" t="s">
        <v>191</v>
      </c>
      <c r="AC1643" s="1" t="s">
        <v>92</v>
      </c>
      <c r="AD1643" s="1" t="s">
        <v>93</v>
      </c>
      <c r="AE1643" s="1" t="s">
        <v>93</v>
      </c>
      <c r="AF1643" s="1" t="s">
        <v>19068</v>
      </c>
      <c r="AG1643" s="1" t="s">
        <v>19069</v>
      </c>
      <c r="AH1643" s="1" t="s">
        <v>481</v>
      </c>
      <c r="AI1643" s="1" t="s">
        <v>409</v>
      </c>
      <c r="AJ1643" s="1">
        <v>64</v>
      </c>
      <c r="AK1643" s="1"/>
      <c r="AL1643" s="1" t="s">
        <v>16828</v>
      </c>
      <c r="AM1643" s="1" t="s">
        <v>19070</v>
      </c>
      <c r="AN1643" s="1" t="s">
        <v>173</v>
      </c>
      <c r="AO1643" s="1" t="s">
        <v>436</v>
      </c>
      <c r="AP1643" s="1">
        <v>75.83</v>
      </c>
      <c r="AQ1643" s="1"/>
      <c r="AR1643" s="1"/>
      <c r="AS1643" s="1"/>
      <c r="AT1643" s="1"/>
      <c r="AU1643" s="1"/>
      <c r="AV1643" s="1"/>
      <c r="AW1643" s="1"/>
      <c r="AX1643" s="1" t="s">
        <v>9524</v>
      </c>
      <c r="AY1643" s="1" t="s">
        <v>19071</v>
      </c>
      <c r="AZ1643" s="1" t="s">
        <v>828</v>
      </c>
      <c r="BA1643" s="1" t="s">
        <v>2352</v>
      </c>
      <c r="BB1643" s="1">
        <v>58</v>
      </c>
      <c r="BC1643" s="1">
        <v>7.79</v>
      </c>
      <c r="BD1643" s="1"/>
      <c r="BE1643" s="1"/>
      <c r="BF1643" s="1"/>
      <c r="BG1643" s="1"/>
      <c r="BH1643" s="1"/>
      <c r="BI1643" s="1"/>
      <c r="BJ1643" s="1" t="s">
        <v>19072</v>
      </c>
      <c r="BK1643" s="1"/>
      <c r="BL1643" s="1"/>
      <c r="BM1643" s="1" t="s">
        <v>19073</v>
      </c>
      <c r="BN1643" s="1">
        <v>50</v>
      </c>
      <c r="BO1643" s="1" t="s">
        <v>19074</v>
      </c>
      <c r="BP1643" s="1" t="str">
        <f>HYPERLINK("https://nconnect.nicmar.ac.in/storage/profile/ProfilePhoto_P25703044_175329.jpg","Download")</f>
        <v>0</v>
      </c>
      <c r="BQ1643" s="3"/>
      <c r="BR1643" s="3"/>
    </row>
    <row r="1644" spans="1:70">
      <c r="A1644" s="1" t="s">
        <v>16711</v>
      </c>
      <c r="B1644" s="1" t="s">
        <v>441</v>
      </c>
      <c r="C1644" s="1" t="s">
        <v>19075</v>
      </c>
      <c r="D1644" s="1" t="s">
        <v>19076</v>
      </c>
      <c r="E1644" s="1"/>
      <c r="F1644" s="1" t="s">
        <v>19077</v>
      </c>
      <c r="G1644" s="1" t="s">
        <v>19078</v>
      </c>
      <c r="H1644" s="1" t="s">
        <v>19079</v>
      </c>
      <c r="I1644" s="1" t="s">
        <v>19080</v>
      </c>
      <c r="J1644" s="1">
        <v>9024276546</v>
      </c>
      <c r="K1644" s="1" t="s">
        <v>148</v>
      </c>
      <c r="L1644" s="1" t="s">
        <v>19081</v>
      </c>
      <c r="M1644" s="1" t="s">
        <v>81</v>
      </c>
      <c r="N1644" s="1" t="s">
        <v>241</v>
      </c>
      <c r="O1644" s="1"/>
      <c r="P1644" s="1" t="s">
        <v>472</v>
      </c>
      <c r="Q1644" s="1" t="s">
        <v>19082</v>
      </c>
      <c r="R1644" s="1" t="s">
        <v>19083</v>
      </c>
      <c r="S1644" s="1">
        <v>9523278702</v>
      </c>
      <c r="T1644" s="1" t="s">
        <v>19084</v>
      </c>
      <c r="U1644" s="1" t="s">
        <v>19085</v>
      </c>
      <c r="V1644" s="1">
        <v>9155061866</v>
      </c>
      <c r="W1644" s="1" t="s">
        <v>273</v>
      </c>
      <c r="X1644" s="1" t="s">
        <v>19086</v>
      </c>
      <c r="Y1644" s="1" t="s">
        <v>191</v>
      </c>
      <c r="Z1644" s="1" t="s">
        <v>92</v>
      </c>
      <c r="AA1644" s="1" t="s">
        <v>19087</v>
      </c>
      <c r="AB1644" s="1" t="s">
        <v>19088</v>
      </c>
      <c r="AC1644" s="1" t="s">
        <v>2126</v>
      </c>
      <c r="AD1644" s="1">
        <v>8.31</v>
      </c>
      <c r="AE1644" s="1" t="s">
        <v>93</v>
      </c>
      <c r="AF1644" s="1" t="s">
        <v>19089</v>
      </c>
      <c r="AG1644" s="1" t="s">
        <v>19090</v>
      </c>
      <c r="AH1644" s="1" t="s">
        <v>162</v>
      </c>
      <c r="AI1644" s="1" t="s">
        <v>165</v>
      </c>
      <c r="AJ1644" s="1">
        <v>85.5</v>
      </c>
      <c r="AK1644" s="1">
        <v>9</v>
      </c>
      <c r="AL1644" s="1" t="s">
        <v>19091</v>
      </c>
      <c r="AM1644" s="1" t="s">
        <v>19090</v>
      </c>
      <c r="AN1644" s="1" t="s">
        <v>101</v>
      </c>
      <c r="AO1644" s="1" t="s">
        <v>2872</v>
      </c>
      <c r="AP1644" s="1">
        <v>58.6</v>
      </c>
      <c r="AQ1644" s="1"/>
      <c r="AR1644" s="1"/>
      <c r="AS1644" s="1"/>
      <c r="AT1644" s="1"/>
      <c r="AU1644" s="1"/>
      <c r="AV1644" s="1"/>
      <c r="AW1644" s="1"/>
      <c r="AX1644" s="1" t="s">
        <v>19092</v>
      </c>
      <c r="AY1644" s="1" t="s">
        <v>19093</v>
      </c>
      <c r="AZ1644" s="1" t="s">
        <v>871</v>
      </c>
      <c r="BA1644" s="1" t="s">
        <v>202</v>
      </c>
      <c r="BB1644" s="1">
        <v>83.2</v>
      </c>
      <c r="BC1644" s="1">
        <v>8.82</v>
      </c>
      <c r="BD1644" s="1"/>
      <c r="BE1644" s="1"/>
      <c r="BF1644" s="1"/>
      <c r="BG1644" s="1"/>
      <c r="BH1644" s="1"/>
      <c r="BI1644" s="1"/>
      <c r="BJ1644" s="1" t="s">
        <v>19094</v>
      </c>
      <c r="BK1644" s="1"/>
      <c r="BL1644" s="1"/>
      <c r="BM1644" s="1" t="s">
        <v>19095</v>
      </c>
      <c r="BN1644" s="1">
        <v>16</v>
      </c>
      <c r="BO1644" s="1" t="s">
        <v>19096</v>
      </c>
      <c r="BP1644" s="1" t="str">
        <f>HYPERLINK("https://nconnect.nicmar.ac.in/storage/profile/ProfilePhoto_P25703045_971483.jpg","Download")</f>
        <v>0</v>
      </c>
      <c r="BQ1644" s="3"/>
      <c r="BR1644" s="3"/>
    </row>
    <row r="1645" spans="1:70">
      <c r="A1645" s="1" t="s">
        <v>16711</v>
      </c>
      <c r="B1645" s="1" t="s">
        <v>441</v>
      </c>
      <c r="C1645" s="1" t="s">
        <v>19097</v>
      </c>
      <c r="D1645" s="1" t="s">
        <v>1272</v>
      </c>
      <c r="E1645" s="1"/>
      <c r="F1645" s="1" t="s">
        <v>19098</v>
      </c>
      <c r="G1645" s="1" t="s">
        <v>19099</v>
      </c>
      <c r="H1645" s="1" t="s">
        <v>19100</v>
      </c>
      <c r="I1645" s="1" t="s">
        <v>19101</v>
      </c>
      <c r="J1645" s="1">
        <v>6370492152</v>
      </c>
      <c r="K1645" s="1" t="s">
        <v>79</v>
      </c>
      <c r="L1645" s="1" t="s">
        <v>8369</v>
      </c>
      <c r="M1645" s="1" t="s">
        <v>81</v>
      </c>
      <c r="N1645" s="1" t="s">
        <v>1549</v>
      </c>
      <c r="O1645" s="1"/>
      <c r="P1645" s="1" t="s">
        <v>450</v>
      </c>
      <c r="Q1645" s="1" t="s">
        <v>19102</v>
      </c>
      <c r="R1645" s="1" t="s">
        <v>19103</v>
      </c>
      <c r="S1645" s="1">
        <v>9938822832</v>
      </c>
      <c r="T1645" s="1" t="s">
        <v>122</v>
      </c>
      <c r="U1645" s="1" t="s">
        <v>19104</v>
      </c>
      <c r="V1645" s="1">
        <v>9178244590</v>
      </c>
      <c r="W1645" s="1" t="s">
        <v>156</v>
      </c>
      <c r="X1645" s="1" t="s">
        <v>19105</v>
      </c>
      <c r="Y1645" s="1" t="s">
        <v>9559</v>
      </c>
      <c r="Z1645" s="1" t="s">
        <v>846</v>
      </c>
      <c r="AA1645" s="1" t="s">
        <v>19105</v>
      </c>
      <c r="AB1645" s="1" t="s">
        <v>9559</v>
      </c>
      <c r="AC1645" s="1" t="s">
        <v>846</v>
      </c>
      <c r="AD1645" s="1">
        <v>7.42</v>
      </c>
      <c r="AE1645" s="1" t="s">
        <v>93</v>
      </c>
      <c r="AF1645" s="1" t="s">
        <v>19106</v>
      </c>
      <c r="AG1645" s="1" t="s">
        <v>19107</v>
      </c>
      <c r="AH1645" s="1" t="s">
        <v>1374</v>
      </c>
      <c r="AI1645" s="1" t="s">
        <v>166</v>
      </c>
      <c r="AJ1645" s="1">
        <v>79.8</v>
      </c>
      <c r="AK1645" s="1"/>
      <c r="AL1645" s="1" t="s">
        <v>19106</v>
      </c>
      <c r="AM1645" s="1" t="s">
        <v>19107</v>
      </c>
      <c r="AN1645" s="1" t="s">
        <v>169</v>
      </c>
      <c r="AO1645" s="1" t="s">
        <v>590</v>
      </c>
      <c r="AP1645" s="1">
        <v>78.8</v>
      </c>
      <c r="AQ1645" s="1"/>
      <c r="AR1645" s="1"/>
      <c r="AS1645" s="1"/>
      <c r="AT1645" s="1"/>
      <c r="AU1645" s="1"/>
      <c r="AV1645" s="1"/>
      <c r="AW1645" s="1"/>
      <c r="AX1645" s="1" t="s">
        <v>9742</v>
      </c>
      <c r="AY1645" s="1" t="s">
        <v>19108</v>
      </c>
      <c r="AZ1645" s="1" t="s">
        <v>871</v>
      </c>
      <c r="BA1645" s="1" t="s">
        <v>413</v>
      </c>
      <c r="BB1645" s="1">
        <v>73.1</v>
      </c>
      <c r="BC1645" s="1">
        <v>7.81</v>
      </c>
      <c r="BD1645" s="1"/>
      <c r="BE1645" s="1"/>
      <c r="BF1645" s="1"/>
      <c r="BG1645" s="1"/>
      <c r="BH1645" s="1"/>
      <c r="BI1645" s="1"/>
      <c r="BJ1645" s="1" t="s">
        <v>19109</v>
      </c>
      <c r="BK1645" s="1"/>
      <c r="BL1645" s="1"/>
      <c r="BM1645" s="1" t="s">
        <v>19110</v>
      </c>
      <c r="BN1645" s="1">
        <v>8</v>
      </c>
      <c r="BO1645" s="1"/>
      <c r="BP1645" s="1" t="str">
        <f>HYPERLINK("https://nconnect.nicmar.ac.in/storage/profile/ProfilePhoto_P25703046_682913.jpg","Download")</f>
        <v>0</v>
      </c>
      <c r="BQ1645" s="3"/>
      <c r="BR1645" s="3"/>
    </row>
    <row r="1646" spans="1:70">
      <c r="A1646" s="1" t="s">
        <v>16711</v>
      </c>
      <c r="B1646" s="1" t="s">
        <v>441</v>
      </c>
      <c r="C1646" s="1" t="s">
        <v>19111</v>
      </c>
      <c r="D1646" s="1" t="s">
        <v>1970</v>
      </c>
      <c r="E1646" s="1" t="s">
        <v>19112</v>
      </c>
      <c r="F1646" s="1" t="s">
        <v>19113</v>
      </c>
      <c r="G1646" s="1" t="s">
        <v>19114</v>
      </c>
      <c r="H1646" s="1" t="s">
        <v>19115</v>
      </c>
      <c r="I1646" s="1" t="s">
        <v>19116</v>
      </c>
      <c r="J1646" s="1">
        <v>7848078191</v>
      </c>
      <c r="K1646" s="1" t="s">
        <v>148</v>
      </c>
      <c r="L1646" s="1" t="s">
        <v>19117</v>
      </c>
      <c r="M1646" s="1" t="s">
        <v>81</v>
      </c>
      <c r="N1646" s="1" t="s">
        <v>19118</v>
      </c>
      <c r="O1646" s="1"/>
      <c r="P1646" s="1" t="s">
        <v>450</v>
      </c>
      <c r="Q1646" s="1" t="s">
        <v>19119</v>
      </c>
      <c r="R1646" s="1" t="s">
        <v>19120</v>
      </c>
      <c r="S1646" s="1">
        <v>9040408070</v>
      </c>
      <c r="T1646" s="1" t="s">
        <v>906</v>
      </c>
      <c r="U1646" s="1" t="s">
        <v>19121</v>
      </c>
      <c r="V1646" s="1">
        <v>7008432431</v>
      </c>
      <c r="W1646" s="1" t="s">
        <v>89</v>
      </c>
      <c r="X1646" s="1" t="s">
        <v>19122</v>
      </c>
      <c r="Y1646" s="1" t="s">
        <v>4447</v>
      </c>
      <c r="Z1646" s="1" t="s">
        <v>846</v>
      </c>
      <c r="AA1646" s="1" t="s">
        <v>19122</v>
      </c>
      <c r="AB1646" s="1" t="s">
        <v>4447</v>
      </c>
      <c r="AC1646" s="1" t="s">
        <v>846</v>
      </c>
      <c r="AD1646" s="1">
        <v>7.92</v>
      </c>
      <c r="AE1646" s="1" t="s">
        <v>93</v>
      </c>
      <c r="AF1646" s="1" t="s">
        <v>19123</v>
      </c>
      <c r="AG1646" s="1" t="s">
        <v>19124</v>
      </c>
      <c r="AH1646" s="1" t="s">
        <v>433</v>
      </c>
      <c r="AI1646" s="1" t="s">
        <v>590</v>
      </c>
      <c r="AJ1646" s="1">
        <v>68</v>
      </c>
      <c r="AK1646" s="1">
        <v>0</v>
      </c>
      <c r="AL1646" s="1" t="s">
        <v>19125</v>
      </c>
      <c r="AM1646" s="1" t="s">
        <v>19126</v>
      </c>
      <c r="AN1646" s="1" t="s">
        <v>828</v>
      </c>
      <c r="AO1646" s="1" t="s">
        <v>1861</v>
      </c>
      <c r="AP1646" s="1">
        <v>81.6</v>
      </c>
      <c r="AQ1646" s="1">
        <v>0</v>
      </c>
      <c r="AR1646" s="1"/>
      <c r="AS1646" s="1"/>
      <c r="AT1646" s="1"/>
      <c r="AU1646" s="1"/>
      <c r="AV1646" s="1"/>
      <c r="AW1646" s="1"/>
      <c r="AX1646" s="1" t="s">
        <v>19127</v>
      </c>
      <c r="AY1646" s="1" t="s">
        <v>19128</v>
      </c>
      <c r="AZ1646" s="1" t="s">
        <v>1777</v>
      </c>
      <c r="BA1646" s="1" t="s">
        <v>8653</v>
      </c>
      <c r="BB1646" s="1">
        <v>76.5</v>
      </c>
      <c r="BC1646" s="1">
        <v>8.15</v>
      </c>
      <c r="BD1646" s="1"/>
      <c r="BE1646" s="1"/>
      <c r="BF1646" s="1"/>
      <c r="BG1646" s="1"/>
      <c r="BH1646" s="1"/>
      <c r="BI1646" s="1"/>
      <c r="BJ1646" s="1" t="s">
        <v>1822</v>
      </c>
      <c r="BK1646" s="1"/>
      <c r="BL1646" s="1"/>
      <c r="BM1646" s="1" t="s">
        <v>19129</v>
      </c>
      <c r="BN1646" s="1">
        <v>17</v>
      </c>
      <c r="BO1646" s="1" t="s">
        <v>19130</v>
      </c>
      <c r="BP1646" s="1" t="str">
        <f>HYPERLINK("https://nconnect.nicmar.ac.in/storage/profile/ProfilePhoto_P25703047_245896.jpg","Download")</f>
        <v>0</v>
      </c>
      <c r="BQ1646" s="3"/>
      <c r="BR1646" s="3"/>
    </row>
    <row r="1647" spans="1:70">
      <c r="A1647" s="1" t="s">
        <v>16711</v>
      </c>
      <c r="B1647" s="1" t="s">
        <v>441</v>
      </c>
      <c r="C1647" s="1" t="s">
        <v>19131</v>
      </c>
      <c r="D1647" s="1" t="s">
        <v>856</v>
      </c>
      <c r="E1647" s="1"/>
      <c r="F1647" s="1" t="s">
        <v>19132</v>
      </c>
      <c r="G1647" s="1" t="s">
        <v>19133</v>
      </c>
      <c r="H1647" s="1" t="s">
        <v>19134</v>
      </c>
      <c r="I1647" s="1" t="s">
        <v>19135</v>
      </c>
      <c r="J1647" s="1">
        <v>8219925916</v>
      </c>
      <c r="K1647" s="1" t="s">
        <v>79</v>
      </c>
      <c r="L1647" s="1" t="s">
        <v>19136</v>
      </c>
      <c r="M1647" s="1" t="s">
        <v>81</v>
      </c>
      <c r="N1647" s="1" t="s">
        <v>4289</v>
      </c>
      <c r="O1647" s="1" t="s">
        <v>19137</v>
      </c>
      <c r="P1647" s="1" t="s">
        <v>1007</v>
      </c>
      <c r="Q1647" s="1" t="s">
        <v>19138</v>
      </c>
      <c r="R1647" s="1" t="s">
        <v>19139</v>
      </c>
      <c r="S1647" s="1">
        <v>7876661552</v>
      </c>
      <c r="T1647" s="1" t="s">
        <v>529</v>
      </c>
      <c r="U1647" s="1" t="s">
        <v>19140</v>
      </c>
      <c r="V1647" s="1">
        <v>8219703855</v>
      </c>
      <c r="W1647" s="1" t="s">
        <v>89</v>
      </c>
      <c r="X1647" s="1" t="s">
        <v>19141</v>
      </c>
      <c r="Y1647" s="1" t="s">
        <v>3919</v>
      </c>
      <c r="Z1647" s="1" t="s">
        <v>2619</v>
      </c>
      <c r="AA1647" s="1" t="s">
        <v>19141</v>
      </c>
      <c r="AB1647" s="1" t="s">
        <v>3919</v>
      </c>
      <c r="AC1647" s="1" t="s">
        <v>2619</v>
      </c>
      <c r="AD1647" s="1">
        <v>7.7</v>
      </c>
      <c r="AE1647" s="1" t="s">
        <v>93</v>
      </c>
      <c r="AF1647" s="1" t="s">
        <v>19142</v>
      </c>
      <c r="AG1647" s="1" t="s">
        <v>307</v>
      </c>
      <c r="AH1647" s="1" t="s">
        <v>281</v>
      </c>
      <c r="AI1647" s="1" t="s">
        <v>308</v>
      </c>
      <c r="AJ1647" s="1">
        <v>84.6</v>
      </c>
      <c r="AK1647" s="1"/>
      <c r="AL1647" s="1" t="s">
        <v>19142</v>
      </c>
      <c r="AM1647" s="1" t="s">
        <v>307</v>
      </c>
      <c r="AN1647" s="1" t="s">
        <v>360</v>
      </c>
      <c r="AO1647" s="1" t="s">
        <v>539</v>
      </c>
      <c r="AP1647" s="1">
        <v>90.4</v>
      </c>
      <c r="AQ1647" s="1"/>
      <c r="AR1647" s="1"/>
      <c r="AS1647" s="1"/>
      <c r="AT1647" s="1"/>
      <c r="AU1647" s="1"/>
      <c r="AV1647" s="1"/>
      <c r="AW1647" s="1"/>
      <c r="AX1647" s="1" t="s">
        <v>19143</v>
      </c>
      <c r="AY1647" s="1" t="s">
        <v>19144</v>
      </c>
      <c r="AZ1647" s="1" t="s">
        <v>542</v>
      </c>
      <c r="BA1647" s="1" t="s">
        <v>1219</v>
      </c>
      <c r="BB1647" s="1">
        <v>83.3</v>
      </c>
      <c r="BC1647" s="1">
        <v>8.33</v>
      </c>
      <c r="BD1647" s="1"/>
      <c r="BE1647" s="1"/>
      <c r="BF1647" s="1"/>
      <c r="BG1647" s="1"/>
      <c r="BH1647" s="1"/>
      <c r="BI1647" s="1"/>
      <c r="BJ1647" s="1" t="s">
        <v>19145</v>
      </c>
      <c r="BK1647" s="1"/>
      <c r="BL1647" s="1"/>
      <c r="BM1647" s="1" t="s">
        <v>19146</v>
      </c>
      <c r="BN1647" s="1">
        <v>43</v>
      </c>
      <c r="BO1647" s="1"/>
      <c r="BP1647" s="1" t="str">
        <f>HYPERLINK("https://nconnect.nicmar.ac.in/storage/profile/ProfilePhoto_P25703048_983516.jpg","Download")</f>
        <v>0</v>
      </c>
      <c r="BQ1647" s="3"/>
      <c r="BR1647" s="3"/>
    </row>
    <row r="1648" spans="1:70">
      <c r="A1648" s="1" t="s">
        <v>16711</v>
      </c>
      <c r="B1648" s="1" t="s">
        <v>441</v>
      </c>
      <c r="C1648" s="1" t="s">
        <v>19147</v>
      </c>
      <c r="D1648" s="1" t="s">
        <v>9587</v>
      </c>
      <c r="E1648" s="1"/>
      <c r="F1648" s="1" t="s">
        <v>19148</v>
      </c>
      <c r="G1648" s="1" t="s">
        <v>19149</v>
      </c>
      <c r="H1648" s="1" t="s">
        <v>19150</v>
      </c>
      <c r="I1648" s="1" t="s">
        <v>19151</v>
      </c>
      <c r="J1648" s="1">
        <v>9503521182</v>
      </c>
      <c r="K1648" s="1" t="s">
        <v>148</v>
      </c>
      <c r="L1648" s="1" t="s">
        <v>19152</v>
      </c>
      <c r="M1648" s="1" t="s">
        <v>150</v>
      </c>
      <c r="N1648" s="1" t="s">
        <v>4289</v>
      </c>
      <c r="O1648" s="1" t="s">
        <v>19153</v>
      </c>
      <c r="P1648" s="1" t="s">
        <v>117</v>
      </c>
      <c r="Q1648" s="1" t="s">
        <v>19154</v>
      </c>
      <c r="R1648" s="1" t="s">
        <v>19155</v>
      </c>
      <c r="S1648" s="1">
        <v>9413108658</v>
      </c>
      <c r="T1648" s="1" t="s">
        <v>820</v>
      </c>
      <c r="U1648" s="1" t="s">
        <v>19156</v>
      </c>
      <c r="V1648" s="1">
        <v>9024555685</v>
      </c>
      <c r="W1648" s="1" t="s">
        <v>89</v>
      </c>
      <c r="X1648" s="1" t="s">
        <v>19157</v>
      </c>
      <c r="Y1648" s="1" t="s">
        <v>191</v>
      </c>
      <c r="Z1648" s="1" t="s">
        <v>92</v>
      </c>
      <c r="AA1648" s="1" t="s">
        <v>19157</v>
      </c>
      <c r="AB1648" s="1" t="s">
        <v>191</v>
      </c>
      <c r="AC1648" s="1" t="s">
        <v>92</v>
      </c>
      <c r="AD1648" s="1">
        <v>9.45</v>
      </c>
      <c r="AE1648" s="1" t="s">
        <v>93</v>
      </c>
      <c r="AF1648" s="1" t="s">
        <v>19158</v>
      </c>
      <c r="AG1648" s="1" t="s">
        <v>19159</v>
      </c>
      <c r="AH1648" s="1" t="s">
        <v>1371</v>
      </c>
      <c r="AI1648" s="1" t="s">
        <v>19160</v>
      </c>
      <c r="AJ1648" s="1">
        <v>68</v>
      </c>
      <c r="AK1648" s="1"/>
      <c r="AL1648" s="1" t="s">
        <v>19161</v>
      </c>
      <c r="AM1648" s="1" t="s">
        <v>19159</v>
      </c>
      <c r="AN1648" s="1" t="s">
        <v>19162</v>
      </c>
      <c r="AO1648" s="1" t="s">
        <v>19163</v>
      </c>
      <c r="AP1648" s="1">
        <v>68.31</v>
      </c>
      <c r="AQ1648" s="1"/>
      <c r="AR1648" s="1"/>
      <c r="AS1648" s="1"/>
      <c r="AT1648" s="1"/>
      <c r="AU1648" s="1"/>
      <c r="AV1648" s="1"/>
      <c r="AW1648" s="1"/>
      <c r="AX1648" s="1" t="s">
        <v>19164</v>
      </c>
      <c r="AY1648" s="1" t="s">
        <v>19165</v>
      </c>
      <c r="AZ1648" s="1" t="s">
        <v>19163</v>
      </c>
      <c r="BA1648" s="1" t="s">
        <v>2003</v>
      </c>
      <c r="BB1648" s="1">
        <v>57.72</v>
      </c>
      <c r="BC1648" s="1"/>
      <c r="BD1648" s="1" t="s">
        <v>19166</v>
      </c>
      <c r="BE1648" s="1" t="s">
        <v>19167</v>
      </c>
      <c r="BF1648" s="1" t="s">
        <v>19168</v>
      </c>
      <c r="BG1648" s="1" t="s">
        <v>14744</v>
      </c>
      <c r="BH1648" s="1">
        <v>56.55</v>
      </c>
      <c r="BI1648" s="1"/>
      <c r="BJ1648" s="1" t="s">
        <v>19169</v>
      </c>
      <c r="BK1648" s="1" t="s">
        <v>19170</v>
      </c>
      <c r="BL1648" s="1" t="s">
        <v>19171</v>
      </c>
      <c r="BM1648" s="1" t="s">
        <v>19172</v>
      </c>
      <c r="BN1648" s="1">
        <v>190</v>
      </c>
      <c r="BO1648" s="1" t="s">
        <v>19173</v>
      </c>
      <c r="BP1648" s="1" t="str">
        <f>HYPERLINK("https://nconnect.nicmar.ac.in/storage/profile/ProfilePhoto_P25703049_251834.jpg","Download")</f>
        <v>0</v>
      </c>
      <c r="BQ1648" s="3"/>
      <c r="BR1648" s="3"/>
    </row>
    <row r="1649" spans="1:70">
      <c r="A1649" s="1" t="s">
        <v>16711</v>
      </c>
      <c r="B1649" s="1" t="s">
        <v>441</v>
      </c>
      <c r="C1649" s="1" t="s">
        <v>19174</v>
      </c>
      <c r="D1649" s="1" t="s">
        <v>11369</v>
      </c>
      <c r="E1649" s="1" t="s">
        <v>12886</v>
      </c>
      <c r="F1649" s="1" t="s">
        <v>19175</v>
      </c>
      <c r="G1649" s="1" t="s">
        <v>19176</v>
      </c>
      <c r="H1649" s="1" t="s">
        <v>19177</v>
      </c>
      <c r="I1649" s="1" t="s">
        <v>19178</v>
      </c>
      <c r="J1649" s="1">
        <v>9307233096</v>
      </c>
      <c r="K1649" s="1" t="s">
        <v>79</v>
      </c>
      <c r="L1649" s="1" t="s">
        <v>19179</v>
      </c>
      <c r="M1649" s="1" t="s">
        <v>81</v>
      </c>
      <c r="N1649" s="1" t="s">
        <v>19180</v>
      </c>
      <c r="O1649" s="1" t="s">
        <v>19181</v>
      </c>
      <c r="P1649" s="1" t="s">
        <v>1007</v>
      </c>
      <c r="Q1649" s="1" t="s">
        <v>19182</v>
      </c>
      <c r="R1649" s="1" t="s">
        <v>19183</v>
      </c>
      <c r="S1649" s="1">
        <v>8208380543</v>
      </c>
      <c r="T1649" s="1" t="s">
        <v>154</v>
      </c>
      <c r="U1649" s="1" t="s">
        <v>19184</v>
      </c>
      <c r="V1649" s="1">
        <v>7972675544</v>
      </c>
      <c r="W1649" s="1" t="s">
        <v>156</v>
      </c>
      <c r="X1649" s="1" t="s">
        <v>19185</v>
      </c>
      <c r="Y1649" s="1" t="s">
        <v>191</v>
      </c>
      <c r="Z1649" s="1" t="s">
        <v>92</v>
      </c>
      <c r="AA1649" s="1" t="s">
        <v>19186</v>
      </c>
      <c r="AB1649" s="1" t="s">
        <v>1012</v>
      </c>
      <c r="AC1649" s="1" t="s">
        <v>92</v>
      </c>
      <c r="AD1649" s="1" t="s">
        <v>93</v>
      </c>
      <c r="AE1649" s="1" t="s">
        <v>93</v>
      </c>
      <c r="AF1649" s="1" t="s">
        <v>19187</v>
      </c>
      <c r="AG1649" s="1" t="s">
        <v>975</v>
      </c>
      <c r="AH1649" s="1" t="s">
        <v>162</v>
      </c>
      <c r="AI1649" s="1" t="s">
        <v>165</v>
      </c>
      <c r="AJ1649" s="1">
        <v>88.8</v>
      </c>
      <c r="AK1649" s="1">
        <v>0</v>
      </c>
      <c r="AL1649" s="1" t="s">
        <v>19188</v>
      </c>
      <c r="AM1649" s="1" t="s">
        <v>19189</v>
      </c>
      <c r="AN1649" s="1" t="s">
        <v>101</v>
      </c>
      <c r="AO1649" s="1" t="s">
        <v>433</v>
      </c>
      <c r="AP1649" s="1">
        <v>63.69</v>
      </c>
      <c r="AQ1649" s="1">
        <v>0</v>
      </c>
      <c r="AR1649" s="1"/>
      <c r="AS1649" s="1"/>
      <c r="AT1649" s="1"/>
      <c r="AU1649" s="1"/>
      <c r="AV1649" s="1"/>
      <c r="AW1649" s="1"/>
      <c r="AX1649" s="1" t="s">
        <v>1862</v>
      </c>
      <c r="AY1649" s="1" t="s">
        <v>19190</v>
      </c>
      <c r="AZ1649" s="1" t="s">
        <v>310</v>
      </c>
      <c r="BA1649" s="1" t="s">
        <v>7373</v>
      </c>
      <c r="BB1649" s="1">
        <v>55</v>
      </c>
      <c r="BC1649" s="1">
        <v>6.02</v>
      </c>
      <c r="BD1649" s="1"/>
      <c r="BE1649" s="1"/>
      <c r="BF1649" s="1"/>
      <c r="BG1649" s="1"/>
      <c r="BH1649" s="1"/>
      <c r="BI1649" s="1"/>
      <c r="BJ1649" s="1" t="s">
        <v>19191</v>
      </c>
      <c r="BK1649" s="1" t="s">
        <v>19192</v>
      </c>
      <c r="BL1649" s="1" t="s">
        <v>1335</v>
      </c>
      <c r="BM1649" s="1" t="s">
        <v>19193</v>
      </c>
      <c r="BN1649" s="1">
        <v>30</v>
      </c>
      <c r="BO1649" s="1"/>
      <c r="BP1649" s="1" t="str">
        <f>HYPERLINK("https://nconnect.nicmar.ac.in/storage/profile/ProfilePhoto_P25703050_934657.jpg","Download")</f>
        <v>0</v>
      </c>
      <c r="BQ1649" s="3"/>
      <c r="BR1649" s="3"/>
    </row>
    <row r="1650" spans="1:70">
      <c r="A1650" s="1" t="s">
        <v>16711</v>
      </c>
      <c r="B1650" s="1" t="s">
        <v>441</v>
      </c>
      <c r="C1650" s="1" t="s">
        <v>19194</v>
      </c>
      <c r="D1650" s="1" t="s">
        <v>19195</v>
      </c>
      <c r="E1650" s="1"/>
      <c r="F1650" s="1" t="s">
        <v>19196</v>
      </c>
      <c r="G1650" s="1" t="s">
        <v>19197</v>
      </c>
      <c r="H1650" s="1" t="s">
        <v>19198</v>
      </c>
      <c r="I1650" s="1" t="s">
        <v>19199</v>
      </c>
      <c r="J1650" s="1">
        <v>9149518010</v>
      </c>
      <c r="K1650" s="1" t="s">
        <v>148</v>
      </c>
      <c r="L1650" s="1" t="s">
        <v>19200</v>
      </c>
      <c r="M1650" s="1" t="s">
        <v>81</v>
      </c>
      <c r="N1650" s="1" t="s">
        <v>19201</v>
      </c>
      <c r="O1650" s="1" t="s">
        <v>19202</v>
      </c>
      <c r="P1650" s="1" t="s">
        <v>1007</v>
      </c>
      <c r="Q1650" s="1" t="s">
        <v>19203</v>
      </c>
      <c r="R1650" s="1" t="s">
        <v>19204</v>
      </c>
      <c r="S1650" s="1">
        <v>9906272595</v>
      </c>
      <c r="T1650" s="1" t="s">
        <v>1595</v>
      </c>
      <c r="U1650" s="1" t="s">
        <v>19205</v>
      </c>
      <c r="V1650" s="1">
        <v>9596953999</v>
      </c>
      <c r="W1650" s="1" t="s">
        <v>156</v>
      </c>
      <c r="X1650" s="1" t="s">
        <v>19206</v>
      </c>
      <c r="Y1650" s="1" t="s">
        <v>19207</v>
      </c>
      <c r="Z1650" s="1" t="s">
        <v>8877</v>
      </c>
      <c r="AA1650" s="1" t="s">
        <v>19206</v>
      </c>
      <c r="AB1650" s="1" t="s">
        <v>19207</v>
      </c>
      <c r="AC1650" s="1" t="s">
        <v>8877</v>
      </c>
      <c r="AD1650" s="1">
        <v>7.34</v>
      </c>
      <c r="AE1650" s="1" t="s">
        <v>93</v>
      </c>
      <c r="AF1650" s="1" t="s">
        <v>19208</v>
      </c>
      <c r="AG1650" s="1" t="s">
        <v>19209</v>
      </c>
      <c r="AH1650" s="1" t="s">
        <v>481</v>
      </c>
      <c r="AI1650" s="1" t="s">
        <v>308</v>
      </c>
      <c r="AJ1650" s="1">
        <v>91.2</v>
      </c>
      <c r="AK1650" s="1">
        <v>9.6</v>
      </c>
      <c r="AL1650" s="1" t="s">
        <v>19210</v>
      </c>
      <c r="AM1650" s="1" t="s">
        <v>19211</v>
      </c>
      <c r="AN1650" s="1" t="s">
        <v>956</v>
      </c>
      <c r="AO1650" s="1" t="s">
        <v>539</v>
      </c>
      <c r="AP1650" s="1">
        <v>75.6</v>
      </c>
      <c r="AQ1650" s="1"/>
      <c r="AR1650" s="1"/>
      <c r="AS1650" s="1"/>
      <c r="AT1650" s="1"/>
      <c r="AU1650" s="1"/>
      <c r="AV1650" s="1"/>
      <c r="AW1650" s="1"/>
      <c r="AX1650" s="1" t="s">
        <v>19212</v>
      </c>
      <c r="AY1650" s="1" t="s">
        <v>19212</v>
      </c>
      <c r="AZ1650" s="1" t="s">
        <v>593</v>
      </c>
      <c r="BA1650" s="1" t="s">
        <v>202</v>
      </c>
      <c r="BB1650" s="1">
        <v>67.2</v>
      </c>
      <c r="BC1650" s="1">
        <v>6.72</v>
      </c>
      <c r="BD1650" s="1"/>
      <c r="BE1650" s="1"/>
      <c r="BF1650" s="1"/>
      <c r="BG1650" s="1"/>
      <c r="BH1650" s="1"/>
      <c r="BI1650" s="1"/>
      <c r="BJ1650" s="1" t="s">
        <v>1822</v>
      </c>
      <c r="BK1650" s="1"/>
      <c r="BL1650" s="1"/>
      <c r="BM1650" s="1" t="s">
        <v>19213</v>
      </c>
      <c r="BN1650" s="1">
        <v>14</v>
      </c>
      <c r="BO1650" s="1" t="s">
        <v>19214</v>
      </c>
      <c r="BP1650" s="1" t="str">
        <f>HYPERLINK("https://nconnect.nicmar.ac.in/storage/profile/ProfilePhoto_P25703051_276439.jpg","Download")</f>
        <v>0</v>
      </c>
      <c r="BQ1650" s="3"/>
      <c r="BR1650" s="3"/>
    </row>
    <row r="1651" spans="1:70">
      <c r="A1651" s="1" t="s">
        <v>16711</v>
      </c>
      <c r="B1651" s="1" t="s">
        <v>441</v>
      </c>
      <c r="C1651" s="1" t="s">
        <v>19215</v>
      </c>
      <c r="D1651" s="1" t="s">
        <v>19216</v>
      </c>
      <c r="E1651" s="1" t="s">
        <v>1298</v>
      </c>
      <c r="F1651" s="1" t="s">
        <v>939</v>
      </c>
      <c r="G1651" s="1" t="s">
        <v>19217</v>
      </c>
      <c r="H1651" s="1" t="s">
        <v>19218</v>
      </c>
      <c r="I1651" s="1" t="s">
        <v>19219</v>
      </c>
      <c r="J1651" s="1">
        <v>8789287176</v>
      </c>
      <c r="K1651" s="1" t="s">
        <v>79</v>
      </c>
      <c r="L1651" s="1" t="s">
        <v>7139</v>
      </c>
      <c r="M1651" s="1" t="s">
        <v>81</v>
      </c>
      <c r="N1651" s="1" t="s">
        <v>2054</v>
      </c>
      <c r="O1651" s="1"/>
      <c r="P1651" s="1" t="s">
        <v>472</v>
      </c>
      <c r="Q1651" s="1" t="s">
        <v>19220</v>
      </c>
      <c r="R1651" s="1" t="s">
        <v>19221</v>
      </c>
      <c r="S1651" s="1">
        <v>8539077469</v>
      </c>
      <c r="T1651" s="1" t="s">
        <v>5510</v>
      </c>
      <c r="U1651" s="1" t="s">
        <v>19222</v>
      </c>
      <c r="V1651" s="1">
        <v>9430286828</v>
      </c>
      <c r="W1651" s="1" t="s">
        <v>156</v>
      </c>
      <c r="X1651" s="1" t="s">
        <v>19223</v>
      </c>
      <c r="Y1651" s="1" t="s">
        <v>191</v>
      </c>
      <c r="Z1651" s="1" t="s">
        <v>92</v>
      </c>
      <c r="AA1651" s="1" t="s">
        <v>19224</v>
      </c>
      <c r="AB1651" s="1" t="s">
        <v>635</v>
      </c>
      <c r="AC1651" s="1" t="s">
        <v>636</v>
      </c>
      <c r="AD1651" s="1">
        <v>7.26</v>
      </c>
      <c r="AE1651" s="1" t="s">
        <v>93</v>
      </c>
      <c r="AF1651" s="1" t="s">
        <v>19225</v>
      </c>
      <c r="AG1651" s="1" t="s">
        <v>9038</v>
      </c>
      <c r="AH1651" s="1" t="s">
        <v>3940</v>
      </c>
      <c r="AI1651" s="1" t="s">
        <v>166</v>
      </c>
      <c r="AJ1651" s="1">
        <v>58.5</v>
      </c>
      <c r="AK1651" s="1"/>
      <c r="AL1651" s="1" t="s">
        <v>19225</v>
      </c>
      <c r="AM1651" s="1" t="s">
        <v>9038</v>
      </c>
      <c r="AN1651" s="1" t="s">
        <v>169</v>
      </c>
      <c r="AO1651" s="1" t="s">
        <v>173</v>
      </c>
      <c r="AP1651" s="1">
        <v>61.4</v>
      </c>
      <c r="AQ1651" s="1"/>
      <c r="AR1651" s="1"/>
      <c r="AS1651" s="1"/>
      <c r="AT1651" s="1"/>
      <c r="AU1651" s="1"/>
      <c r="AV1651" s="1"/>
      <c r="AW1651" s="1"/>
      <c r="AX1651" s="1" t="s">
        <v>8711</v>
      </c>
      <c r="AY1651" s="1" t="s">
        <v>19226</v>
      </c>
      <c r="AZ1651" s="1" t="s">
        <v>436</v>
      </c>
      <c r="BA1651" s="1" t="s">
        <v>2352</v>
      </c>
      <c r="BB1651" s="1">
        <v>72.87</v>
      </c>
      <c r="BC1651" s="1">
        <v>7.67</v>
      </c>
      <c r="BD1651" s="1"/>
      <c r="BE1651" s="1"/>
      <c r="BF1651" s="1"/>
      <c r="BG1651" s="1"/>
      <c r="BH1651" s="1"/>
      <c r="BI1651" s="1"/>
      <c r="BJ1651" s="1" t="s">
        <v>1822</v>
      </c>
      <c r="BK1651" s="1"/>
      <c r="BL1651" s="1"/>
      <c r="BM1651" s="1" t="s">
        <v>19227</v>
      </c>
      <c r="BN1651" s="1">
        <v>8</v>
      </c>
      <c r="BO1651" s="1" t="s">
        <v>19228</v>
      </c>
      <c r="BP1651" s="1" t="str">
        <f>HYPERLINK("https://nconnect.nicmar.ac.in/storage/profile/ProfilePhoto_P25703052_721359.jpg","Download")</f>
        <v>0</v>
      </c>
      <c r="BQ1651" s="3"/>
      <c r="BR1651" s="3"/>
    </row>
    <row r="1652" spans="1:70">
      <c r="A1652" s="1" t="s">
        <v>16711</v>
      </c>
      <c r="B1652" s="1" t="s">
        <v>441</v>
      </c>
      <c r="C1652" s="1" t="s">
        <v>19229</v>
      </c>
      <c r="D1652" s="1" t="s">
        <v>6936</v>
      </c>
      <c r="E1652" s="1" t="s">
        <v>5755</v>
      </c>
      <c r="F1652" s="1" t="s">
        <v>3120</v>
      </c>
      <c r="G1652" s="1" t="s">
        <v>19230</v>
      </c>
      <c r="H1652" s="1" t="s">
        <v>19231</v>
      </c>
      <c r="I1652" s="1" t="s">
        <v>19232</v>
      </c>
      <c r="J1652" s="1">
        <v>7757997698</v>
      </c>
      <c r="K1652" s="1" t="s">
        <v>79</v>
      </c>
      <c r="L1652" s="1" t="s">
        <v>19233</v>
      </c>
      <c r="M1652" s="1" t="s">
        <v>81</v>
      </c>
      <c r="N1652" s="1" t="s">
        <v>3587</v>
      </c>
      <c r="O1652" s="1"/>
      <c r="P1652" s="1" t="s">
        <v>497</v>
      </c>
      <c r="Q1652" s="1" t="s">
        <v>19234</v>
      </c>
      <c r="R1652" s="1" t="s">
        <v>5755</v>
      </c>
      <c r="S1652" s="1">
        <v>9850240410</v>
      </c>
      <c r="T1652" s="1" t="s">
        <v>820</v>
      </c>
      <c r="U1652" s="1" t="s">
        <v>3019</v>
      </c>
      <c r="V1652" s="1">
        <v>8600358985</v>
      </c>
      <c r="W1652" s="1" t="s">
        <v>820</v>
      </c>
      <c r="X1652" s="1" t="s">
        <v>19235</v>
      </c>
      <c r="Y1652" s="1" t="s">
        <v>91</v>
      </c>
      <c r="Z1652" s="1" t="s">
        <v>92</v>
      </c>
      <c r="AA1652" s="1" t="s">
        <v>19235</v>
      </c>
      <c r="AB1652" s="1" t="s">
        <v>91</v>
      </c>
      <c r="AC1652" s="1" t="s">
        <v>92</v>
      </c>
      <c r="AD1652" s="1" t="s">
        <v>93</v>
      </c>
      <c r="AE1652" s="1" t="s">
        <v>93</v>
      </c>
      <c r="AF1652" s="1" t="s">
        <v>19236</v>
      </c>
      <c r="AG1652" s="1" t="s">
        <v>160</v>
      </c>
      <c r="AH1652" s="1" t="s">
        <v>101</v>
      </c>
      <c r="AI1652" s="1" t="s">
        <v>409</v>
      </c>
      <c r="AJ1652" s="1">
        <v>60.8</v>
      </c>
      <c r="AK1652" s="1"/>
      <c r="AL1652" s="1" t="s">
        <v>19237</v>
      </c>
      <c r="AM1652" s="1" t="s">
        <v>160</v>
      </c>
      <c r="AN1652" s="1" t="s">
        <v>460</v>
      </c>
      <c r="AO1652" s="1" t="s">
        <v>1169</v>
      </c>
      <c r="AP1652" s="1">
        <v>76.83</v>
      </c>
      <c r="AQ1652" s="1"/>
      <c r="AR1652" s="1"/>
      <c r="AS1652" s="1"/>
      <c r="AT1652" s="1"/>
      <c r="AU1652" s="1"/>
      <c r="AV1652" s="1"/>
      <c r="AW1652" s="1"/>
      <c r="AX1652" s="1" t="s">
        <v>19238</v>
      </c>
      <c r="AY1652" s="1" t="s">
        <v>4412</v>
      </c>
      <c r="AZ1652" s="1" t="s">
        <v>593</v>
      </c>
      <c r="BA1652" s="1" t="s">
        <v>1292</v>
      </c>
      <c r="BB1652" s="1">
        <v>67.1</v>
      </c>
      <c r="BC1652" s="1">
        <v>6.71</v>
      </c>
      <c r="BD1652" s="1"/>
      <c r="BE1652" s="1"/>
      <c r="BF1652" s="1"/>
      <c r="BG1652" s="1"/>
      <c r="BH1652" s="1"/>
      <c r="BI1652" s="1"/>
      <c r="BJ1652" s="1" t="s">
        <v>19239</v>
      </c>
      <c r="BK1652" s="1"/>
      <c r="BL1652" s="1"/>
      <c r="BM1652" s="1" t="s">
        <v>19240</v>
      </c>
      <c r="BN1652" s="1">
        <v>9</v>
      </c>
      <c r="BO1652" s="1"/>
      <c r="BP1652" s="1" t="str">
        <f>HYPERLINK("https://nconnect.nicmar.ac.in/storage/profile/ProfilePhoto_P25703053_389456.jpg","Download")</f>
        <v>0</v>
      </c>
      <c r="BQ1652" s="3"/>
      <c r="BR1652" s="3"/>
    </row>
    <row r="1653" spans="1:70">
      <c r="A1653" s="1" t="s">
        <v>16711</v>
      </c>
      <c r="B1653" s="1" t="s">
        <v>441</v>
      </c>
      <c r="C1653" s="1" t="s">
        <v>19241</v>
      </c>
      <c r="D1653" s="1" t="s">
        <v>11633</v>
      </c>
      <c r="E1653" s="1" t="s">
        <v>10274</v>
      </c>
      <c r="F1653" s="1" t="s">
        <v>1156</v>
      </c>
      <c r="G1653" s="1" t="s">
        <v>19242</v>
      </c>
      <c r="H1653" s="1" t="s">
        <v>19243</v>
      </c>
      <c r="I1653" s="1" t="s">
        <v>19244</v>
      </c>
      <c r="J1653" s="1">
        <v>9021655495</v>
      </c>
      <c r="K1653" s="1" t="s">
        <v>79</v>
      </c>
      <c r="L1653" s="1" t="s">
        <v>19245</v>
      </c>
      <c r="M1653" s="1" t="s">
        <v>81</v>
      </c>
      <c r="N1653" s="1" t="s">
        <v>605</v>
      </c>
      <c r="O1653" s="1" t="s">
        <v>19246</v>
      </c>
      <c r="P1653" s="1" t="s">
        <v>497</v>
      </c>
      <c r="Q1653" s="1" t="s">
        <v>19247</v>
      </c>
      <c r="R1653" s="1" t="s">
        <v>10274</v>
      </c>
      <c r="S1653" s="1">
        <v>9403717695</v>
      </c>
      <c r="T1653" s="1" t="s">
        <v>154</v>
      </c>
      <c r="U1653" s="1" t="s">
        <v>19248</v>
      </c>
      <c r="V1653" s="1">
        <v>9423166507</v>
      </c>
      <c r="W1653" s="1" t="s">
        <v>122</v>
      </c>
      <c r="X1653" s="1" t="s">
        <v>19249</v>
      </c>
      <c r="Y1653" s="1" t="s">
        <v>191</v>
      </c>
      <c r="Z1653" s="1" t="s">
        <v>92</v>
      </c>
      <c r="AA1653" s="1" t="s">
        <v>19250</v>
      </c>
      <c r="AB1653" s="1" t="s">
        <v>5663</v>
      </c>
      <c r="AC1653" s="1" t="s">
        <v>92</v>
      </c>
      <c r="AD1653" s="1" t="s">
        <v>93</v>
      </c>
      <c r="AE1653" s="1" t="s">
        <v>93</v>
      </c>
      <c r="AF1653" s="1" t="s">
        <v>19251</v>
      </c>
      <c r="AG1653" s="1" t="s">
        <v>19252</v>
      </c>
      <c r="AH1653" s="1" t="s">
        <v>165</v>
      </c>
      <c r="AI1653" s="1" t="s">
        <v>281</v>
      </c>
      <c r="AJ1653" s="1">
        <v>60.4</v>
      </c>
      <c r="AK1653" s="1">
        <v>6.36</v>
      </c>
      <c r="AL1653" s="1" t="s">
        <v>19253</v>
      </c>
      <c r="AM1653" s="1" t="s">
        <v>19254</v>
      </c>
      <c r="AN1653" s="1" t="s">
        <v>433</v>
      </c>
      <c r="AO1653" s="1" t="s">
        <v>590</v>
      </c>
      <c r="AP1653" s="1">
        <v>77.23</v>
      </c>
      <c r="AQ1653" s="1">
        <v>8.13</v>
      </c>
      <c r="AR1653" s="1"/>
      <c r="AS1653" s="1"/>
      <c r="AT1653" s="1"/>
      <c r="AU1653" s="1"/>
      <c r="AV1653" s="1"/>
      <c r="AW1653" s="1"/>
      <c r="AX1653" s="1" t="s">
        <v>19255</v>
      </c>
      <c r="AY1653" s="1" t="s">
        <v>19256</v>
      </c>
      <c r="AZ1653" s="1" t="s">
        <v>1622</v>
      </c>
      <c r="BA1653" s="1" t="s">
        <v>935</v>
      </c>
      <c r="BB1653" s="1">
        <v>64.59</v>
      </c>
      <c r="BC1653" s="1"/>
      <c r="BD1653" s="1"/>
      <c r="BE1653" s="1"/>
      <c r="BF1653" s="1"/>
      <c r="BG1653" s="1"/>
      <c r="BH1653" s="1"/>
      <c r="BI1653" s="1"/>
      <c r="BJ1653" s="1" t="s">
        <v>19257</v>
      </c>
      <c r="BK1653" s="1"/>
      <c r="BL1653" s="1"/>
      <c r="BM1653" s="1" t="s">
        <v>19258</v>
      </c>
      <c r="BN1653" s="1">
        <v>54</v>
      </c>
      <c r="BO1653" s="1" t="s">
        <v>19259</v>
      </c>
      <c r="BP1653" s="1" t="str">
        <f>HYPERLINK("https://nconnect.nicmar.ac.in/storage/profile/ProfilePhoto_P25703054_851264.jpg","Download")</f>
        <v>0</v>
      </c>
      <c r="BQ1653" s="3"/>
      <c r="BR1653" s="3"/>
    </row>
    <row r="1654" spans="1:70">
      <c r="A1654" s="1" t="s">
        <v>16711</v>
      </c>
      <c r="B1654" s="1" t="s">
        <v>441</v>
      </c>
      <c r="C1654" s="1" t="s">
        <v>19260</v>
      </c>
      <c r="D1654" s="1" t="s">
        <v>19261</v>
      </c>
      <c r="E1654" s="1"/>
      <c r="F1654" s="1" t="s">
        <v>19262</v>
      </c>
      <c r="G1654" s="1" t="s">
        <v>19263</v>
      </c>
      <c r="H1654" s="1" t="s">
        <v>19264</v>
      </c>
      <c r="I1654" s="1" t="s">
        <v>19265</v>
      </c>
      <c r="J1654" s="1">
        <v>9926754431</v>
      </c>
      <c r="K1654" s="1" t="s">
        <v>79</v>
      </c>
      <c r="L1654" s="1" t="s">
        <v>19266</v>
      </c>
      <c r="M1654" s="1" t="s">
        <v>81</v>
      </c>
      <c r="N1654" s="1" t="s">
        <v>82</v>
      </c>
      <c r="O1654" s="1" t="s">
        <v>19267</v>
      </c>
      <c r="P1654" s="1" t="s">
        <v>497</v>
      </c>
      <c r="Q1654" s="1" t="s">
        <v>19268</v>
      </c>
      <c r="R1654" s="1" t="s">
        <v>19269</v>
      </c>
      <c r="S1654" s="1">
        <v>9516907229</v>
      </c>
      <c r="T1654" s="1" t="s">
        <v>4496</v>
      </c>
      <c r="U1654" s="1" t="s">
        <v>19270</v>
      </c>
      <c r="V1654" s="1">
        <v>9179566049</v>
      </c>
      <c r="W1654" s="1" t="s">
        <v>19271</v>
      </c>
      <c r="X1654" s="1" t="s">
        <v>19272</v>
      </c>
      <c r="Y1654" s="1" t="s">
        <v>7935</v>
      </c>
      <c r="Z1654" s="1" t="s">
        <v>3437</v>
      </c>
      <c r="AA1654" s="1" t="s">
        <v>19273</v>
      </c>
      <c r="AB1654" s="1" t="s">
        <v>7935</v>
      </c>
      <c r="AC1654" s="1" t="s">
        <v>3437</v>
      </c>
      <c r="AD1654" s="1">
        <v>7.36</v>
      </c>
      <c r="AE1654" s="1" t="s">
        <v>93</v>
      </c>
      <c r="AF1654" s="1" t="s">
        <v>19274</v>
      </c>
      <c r="AG1654" s="1" t="s">
        <v>307</v>
      </c>
      <c r="AH1654" s="1" t="s">
        <v>101</v>
      </c>
      <c r="AI1654" s="1" t="s">
        <v>308</v>
      </c>
      <c r="AJ1654" s="1">
        <v>74.4</v>
      </c>
      <c r="AK1654" s="1"/>
      <c r="AL1654" s="1" t="s">
        <v>19274</v>
      </c>
      <c r="AM1654" s="1" t="s">
        <v>19275</v>
      </c>
      <c r="AN1654" s="1" t="s">
        <v>460</v>
      </c>
      <c r="AO1654" s="1" t="s">
        <v>826</v>
      </c>
      <c r="AP1654" s="1">
        <v>75.2</v>
      </c>
      <c r="AQ1654" s="1"/>
      <c r="AR1654" s="1"/>
      <c r="AS1654" s="1"/>
      <c r="AT1654" s="1"/>
      <c r="AU1654" s="1"/>
      <c r="AV1654" s="1"/>
      <c r="AW1654" s="1"/>
      <c r="AX1654" s="1" t="s">
        <v>18661</v>
      </c>
      <c r="AY1654" s="1" t="s">
        <v>19276</v>
      </c>
      <c r="AZ1654" s="1" t="s">
        <v>135</v>
      </c>
      <c r="BA1654" s="1" t="s">
        <v>413</v>
      </c>
      <c r="BB1654" s="1">
        <v>64.7</v>
      </c>
      <c r="BC1654" s="1">
        <v>6.47</v>
      </c>
      <c r="BD1654" s="1"/>
      <c r="BE1654" s="1"/>
      <c r="BF1654" s="1"/>
      <c r="BG1654" s="1"/>
      <c r="BH1654" s="1"/>
      <c r="BI1654" s="1"/>
      <c r="BJ1654" s="1" t="s">
        <v>19277</v>
      </c>
      <c r="BK1654" s="1"/>
      <c r="BL1654" s="1"/>
      <c r="BM1654" s="1" t="s">
        <v>19278</v>
      </c>
      <c r="BN1654" s="1">
        <v>14</v>
      </c>
      <c r="BO1654" s="1" t="s">
        <v>19279</v>
      </c>
      <c r="BP1654" s="1" t="str">
        <f>HYPERLINK("https://nconnect.nicmar.ac.in/storage/profile/ProfilePhoto_P25703055_376895.jpg","Download")</f>
        <v>0</v>
      </c>
      <c r="BQ1654" s="3"/>
      <c r="BR1654" s="3"/>
    </row>
    <row r="1655" spans="1:70">
      <c r="A1655" s="1" t="s">
        <v>16711</v>
      </c>
      <c r="B1655" s="1" t="s">
        <v>441</v>
      </c>
      <c r="C1655" s="1" t="s">
        <v>19280</v>
      </c>
      <c r="D1655" s="1" t="s">
        <v>19281</v>
      </c>
      <c r="E1655" s="1"/>
      <c r="F1655" s="1" t="s">
        <v>19282</v>
      </c>
      <c r="G1655" s="1" t="s">
        <v>19283</v>
      </c>
      <c r="H1655" s="1" t="s">
        <v>19284</v>
      </c>
      <c r="I1655" s="1" t="s">
        <v>19285</v>
      </c>
      <c r="J1655" s="1">
        <v>8208019446</v>
      </c>
      <c r="K1655" s="1" t="s">
        <v>79</v>
      </c>
      <c r="L1655" s="1" t="s">
        <v>13561</v>
      </c>
      <c r="M1655" s="1" t="s">
        <v>81</v>
      </c>
      <c r="N1655" s="1" t="s">
        <v>19286</v>
      </c>
      <c r="O1655" s="1"/>
      <c r="P1655" s="1" t="s">
        <v>497</v>
      </c>
      <c r="Q1655" s="1" t="s">
        <v>19287</v>
      </c>
      <c r="R1655" s="1" t="s">
        <v>19288</v>
      </c>
      <c r="S1655" s="1">
        <v>8788115585</v>
      </c>
      <c r="T1655" s="1" t="s">
        <v>1938</v>
      </c>
      <c r="U1655" s="1" t="s">
        <v>19289</v>
      </c>
      <c r="V1655" s="1">
        <v>8788115585</v>
      </c>
      <c r="W1655" s="1" t="s">
        <v>122</v>
      </c>
      <c r="X1655" s="1" t="s">
        <v>19290</v>
      </c>
      <c r="Y1655" s="1" t="s">
        <v>11204</v>
      </c>
      <c r="Z1655" s="1" t="s">
        <v>6544</v>
      </c>
      <c r="AA1655" s="1" t="s">
        <v>19290</v>
      </c>
      <c r="AB1655" s="1" t="s">
        <v>11204</v>
      </c>
      <c r="AC1655" s="1" t="s">
        <v>6544</v>
      </c>
      <c r="AD1655" s="1" t="s">
        <v>93</v>
      </c>
      <c r="AE1655" s="1" t="s">
        <v>93</v>
      </c>
      <c r="AF1655" s="1" t="s">
        <v>19291</v>
      </c>
      <c r="AG1655" s="1" t="s">
        <v>19292</v>
      </c>
      <c r="AH1655" s="1" t="s">
        <v>1191</v>
      </c>
      <c r="AI1655" s="1" t="s">
        <v>131</v>
      </c>
      <c r="AJ1655" s="1">
        <v>79.8</v>
      </c>
      <c r="AK1655" s="1">
        <v>8.4</v>
      </c>
      <c r="AL1655" s="1" t="s">
        <v>19293</v>
      </c>
      <c r="AM1655" s="1" t="s">
        <v>19294</v>
      </c>
      <c r="AN1655" s="1" t="s">
        <v>689</v>
      </c>
      <c r="AO1655" s="1" t="s">
        <v>166</v>
      </c>
      <c r="AP1655" s="1">
        <v>56.8</v>
      </c>
      <c r="AQ1655" s="1"/>
      <c r="AR1655" s="1"/>
      <c r="AS1655" s="1"/>
      <c r="AT1655" s="1"/>
      <c r="AU1655" s="1"/>
      <c r="AV1655" s="1"/>
      <c r="AW1655" s="1"/>
      <c r="AX1655" s="1" t="s">
        <v>11208</v>
      </c>
      <c r="AY1655" s="1" t="s">
        <v>19295</v>
      </c>
      <c r="AZ1655" s="1" t="s">
        <v>433</v>
      </c>
      <c r="BA1655" s="1" t="s">
        <v>543</v>
      </c>
      <c r="BB1655" s="1">
        <v>61.8</v>
      </c>
      <c r="BC1655" s="1"/>
      <c r="BD1655" s="1"/>
      <c r="BE1655" s="1"/>
      <c r="BF1655" s="1"/>
      <c r="BG1655" s="1"/>
      <c r="BH1655" s="1"/>
      <c r="BI1655" s="1"/>
      <c r="BJ1655" s="1" t="s">
        <v>1822</v>
      </c>
      <c r="BK1655" s="1"/>
      <c r="BL1655" s="1"/>
      <c r="BM1655" s="1" t="s">
        <v>19296</v>
      </c>
      <c r="BN1655" s="1">
        <v>8</v>
      </c>
      <c r="BO1655" s="1"/>
      <c r="BP1655" s="1" t="str">
        <f>HYPERLINK("https://nconnect.nicmar.ac.in/storage/profile/ProfilePhoto_P25703056_384126.jpg","Download")</f>
        <v>0</v>
      </c>
      <c r="BQ1655" s="3"/>
      <c r="BR1655" s="3"/>
    </row>
    <row r="1656" spans="1:70">
      <c r="A1656" s="1" t="s">
        <v>16711</v>
      </c>
      <c r="B1656" s="1" t="s">
        <v>441</v>
      </c>
      <c r="C1656" s="1" t="s">
        <v>19297</v>
      </c>
      <c r="D1656" s="1" t="s">
        <v>7693</v>
      </c>
      <c r="E1656" s="1" t="s">
        <v>6329</v>
      </c>
      <c r="F1656" s="1" t="s">
        <v>19298</v>
      </c>
      <c r="G1656" s="1" t="s">
        <v>19299</v>
      </c>
      <c r="H1656" s="1" t="s">
        <v>19300</v>
      </c>
      <c r="I1656" s="1" t="s">
        <v>19301</v>
      </c>
      <c r="J1656" s="1">
        <v>7249749790</v>
      </c>
      <c r="K1656" s="1" t="s">
        <v>79</v>
      </c>
      <c r="L1656" s="1" t="s">
        <v>816</v>
      </c>
      <c r="M1656" s="1" t="s">
        <v>81</v>
      </c>
      <c r="N1656" s="1" t="s">
        <v>9898</v>
      </c>
      <c r="O1656" s="1" t="s">
        <v>19302</v>
      </c>
      <c r="P1656" s="1" t="s">
        <v>497</v>
      </c>
      <c r="Q1656" s="1" t="s">
        <v>19303</v>
      </c>
      <c r="R1656" s="1" t="s">
        <v>19304</v>
      </c>
      <c r="S1656" s="1">
        <v>9518920789</v>
      </c>
      <c r="T1656" s="1" t="s">
        <v>820</v>
      </c>
      <c r="U1656" s="1" t="s">
        <v>19305</v>
      </c>
      <c r="V1656" s="1">
        <v>9527791227</v>
      </c>
      <c r="W1656" s="1" t="s">
        <v>19306</v>
      </c>
      <c r="X1656" s="1" t="s">
        <v>19307</v>
      </c>
      <c r="Y1656" s="1" t="s">
        <v>890</v>
      </c>
      <c r="Z1656" s="1" t="s">
        <v>92</v>
      </c>
      <c r="AA1656" s="1" t="s">
        <v>19307</v>
      </c>
      <c r="AB1656" s="1" t="s">
        <v>890</v>
      </c>
      <c r="AC1656" s="1" t="s">
        <v>92</v>
      </c>
      <c r="AD1656" s="1">
        <v>7.27</v>
      </c>
      <c r="AE1656" s="1" t="s">
        <v>93</v>
      </c>
      <c r="AF1656" s="1" t="s">
        <v>19308</v>
      </c>
      <c r="AG1656" s="1" t="s">
        <v>19309</v>
      </c>
      <c r="AH1656" s="1" t="s">
        <v>281</v>
      </c>
      <c r="AI1656" s="1" t="s">
        <v>409</v>
      </c>
      <c r="AJ1656" s="1">
        <v>84.8</v>
      </c>
      <c r="AK1656" s="1"/>
      <c r="AL1656" s="1" t="s">
        <v>19310</v>
      </c>
      <c r="AM1656" s="1" t="s">
        <v>19309</v>
      </c>
      <c r="AN1656" s="1" t="s">
        <v>956</v>
      </c>
      <c r="AO1656" s="1" t="s">
        <v>1169</v>
      </c>
      <c r="AP1656" s="1">
        <v>89.5</v>
      </c>
      <c r="AQ1656" s="1"/>
      <c r="AR1656" s="1"/>
      <c r="AS1656" s="1"/>
      <c r="AT1656" s="1"/>
      <c r="AU1656" s="1"/>
      <c r="AV1656" s="1"/>
      <c r="AW1656" s="1"/>
      <c r="AX1656" s="1" t="s">
        <v>19311</v>
      </c>
      <c r="AY1656" s="1" t="s">
        <v>19312</v>
      </c>
      <c r="AZ1656" s="1" t="s">
        <v>828</v>
      </c>
      <c r="BA1656" s="1" t="s">
        <v>4109</v>
      </c>
      <c r="BB1656" s="1">
        <v>67.7</v>
      </c>
      <c r="BC1656" s="1"/>
      <c r="BD1656" s="1"/>
      <c r="BE1656" s="1"/>
      <c r="BF1656" s="1"/>
      <c r="BG1656" s="1"/>
      <c r="BH1656" s="1"/>
      <c r="BI1656" s="1"/>
      <c r="BJ1656" s="1" t="s">
        <v>1822</v>
      </c>
      <c r="BK1656" s="1"/>
      <c r="BL1656" s="1"/>
      <c r="BM1656" s="1" t="s">
        <v>19313</v>
      </c>
      <c r="BN1656" s="1">
        <v>8</v>
      </c>
      <c r="BO1656" s="1" t="s">
        <v>19314</v>
      </c>
      <c r="BP1656" s="1" t="str">
        <f>HYPERLINK("https://nconnect.nicmar.ac.in/storage/profile/ProfilePhoto_P25703057_537942.jpg","Download")</f>
        <v>0</v>
      </c>
      <c r="BQ1656" s="3"/>
      <c r="BR1656" s="3"/>
    </row>
    <row r="1657" spans="1:70">
      <c r="A1657" s="1" t="s">
        <v>16711</v>
      </c>
      <c r="B1657" s="1" t="s">
        <v>441</v>
      </c>
      <c r="C1657" s="1" t="s">
        <v>19315</v>
      </c>
      <c r="D1657" s="1" t="s">
        <v>599</v>
      </c>
      <c r="E1657" s="1" t="s">
        <v>8885</v>
      </c>
      <c r="F1657" s="1" t="s">
        <v>19316</v>
      </c>
      <c r="G1657" s="1" t="s">
        <v>19317</v>
      </c>
      <c r="H1657" s="1" t="s">
        <v>19318</v>
      </c>
      <c r="I1657" s="1" t="s">
        <v>19319</v>
      </c>
      <c r="J1657" s="1">
        <v>7083885804</v>
      </c>
      <c r="K1657" s="1" t="s">
        <v>79</v>
      </c>
      <c r="L1657" s="1" t="s">
        <v>19320</v>
      </c>
      <c r="M1657" s="1" t="s">
        <v>81</v>
      </c>
      <c r="N1657" s="1" t="s">
        <v>19321</v>
      </c>
      <c r="O1657" s="1"/>
      <c r="P1657" s="1" t="s">
        <v>472</v>
      </c>
      <c r="Q1657" s="1" t="s">
        <v>19322</v>
      </c>
      <c r="R1657" s="1" t="s">
        <v>19323</v>
      </c>
      <c r="S1657" s="1">
        <v>9766707043</v>
      </c>
      <c r="T1657" s="1" t="s">
        <v>906</v>
      </c>
      <c r="U1657" s="1" t="s">
        <v>19324</v>
      </c>
      <c r="V1657" s="1">
        <v>9881278108</v>
      </c>
      <c r="W1657" s="1" t="s">
        <v>89</v>
      </c>
      <c r="X1657" s="1" t="s">
        <v>19325</v>
      </c>
      <c r="Y1657" s="1" t="s">
        <v>191</v>
      </c>
      <c r="Z1657" s="1" t="s">
        <v>92</v>
      </c>
      <c r="AA1657" s="1" t="s">
        <v>19325</v>
      </c>
      <c r="AB1657" s="1" t="s">
        <v>191</v>
      </c>
      <c r="AC1657" s="1" t="s">
        <v>92</v>
      </c>
      <c r="AD1657" s="1">
        <v>7.63</v>
      </c>
      <c r="AE1657" s="1" t="s">
        <v>93</v>
      </c>
      <c r="AF1657" s="1" t="s">
        <v>19326</v>
      </c>
      <c r="AG1657" s="1" t="s">
        <v>160</v>
      </c>
      <c r="AH1657" s="1" t="s">
        <v>101</v>
      </c>
      <c r="AI1657" s="1" t="s">
        <v>409</v>
      </c>
      <c r="AJ1657" s="1">
        <v>75</v>
      </c>
      <c r="AK1657" s="1"/>
      <c r="AL1657" s="1" t="s">
        <v>19327</v>
      </c>
      <c r="AM1657" s="1" t="s">
        <v>160</v>
      </c>
      <c r="AN1657" s="1" t="s">
        <v>173</v>
      </c>
      <c r="AO1657" s="1" t="s">
        <v>2273</v>
      </c>
      <c r="AP1657" s="1">
        <v>71.5</v>
      </c>
      <c r="AQ1657" s="1"/>
      <c r="AR1657" s="1"/>
      <c r="AS1657" s="1"/>
      <c r="AT1657" s="1"/>
      <c r="AU1657" s="1"/>
      <c r="AV1657" s="1"/>
      <c r="AW1657" s="1"/>
      <c r="AX1657" s="1" t="s">
        <v>361</v>
      </c>
      <c r="AY1657" s="1" t="s">
        <v>19327</v>
      </c>
      <c r="AZ1657" s="1" t="s">
        <v>542</v>
      </c>
      <c r="BA1657" s="1" t="s">
        <v>202</v>
      </c>
      <c r="BB1657" s="1">
        <v>75.47</v>
      </c>
      <c r="BC1657" s="1">
        <v>8.48</v>
      </c>
      <c r="BD1657" s="1"/>
      <c r="BE1657" s="1"/>
      <c r="BF1657" s="1"/>
      <c r="BG1657" s="1"/>
      <c r="BH1657" s="1"/>
      <c r="BI1657" s="1"/>
      <c r="BJ1657" s="1" t="s">
        <v>19328</v>
      </c>
      <c r="BK1657" s="1" t="s">
        <v>19329</v>
      </c>
      <c r="BL1657" s="1" t="s">
        <v>1048</v>
      </c>
      <c r="BM1657" s="1" t="s">
        <v>19330</v>
      </c>
      <c r="BN1657" s="1">
        <v>113</v>
      </c>
      <c r="BO1657" s="1" t="s">
        <v>19331</v>
      </c>
      <c r="BP1657" s="1" t="str">
        <f>HYPERLINK("https://nconnect.nicmar.ac.in/storage/profile/ProfilePhoto_P25703058_486527.jpg","Download")</f>
        <v>0</v>
      </c>
      <c r="BQ1657" s="3"/>
      <c r="BR1657" s="3"/>
    </row>
    <row r="1658" spans="1:70">
      <c r="A1658" s="1" t="s">
        <v>16711</v>
      </c>
      <c r="B1658" s="1" t="s">
        <v>441</v>
      </c>
      <c r="C1658" s="1" t="s">
        <v>19332</v>
      </c>
      <c r="D1658" s="1" t="s">
        <v>10168</v>
      </c>
      <c r="E1658" s="1" t="s">
        <v>4712</v>
      </c>
      <c r="F1658" s="1" t="s">
        <v>3120</v>
      </c>
      <c r="G1658" s="1" t="s">
        <v>19333</v>
      </c>
      <c r="H1658" s="1" t="s">
        <v>19334</v>
      </c>
      <c r="I1658" s="1" t="s">
        <v>19335</v>
      </c>
      <c r="J1658" s="1">
        <v>9665170705</v>
      </c>
      <c r="K1658" s="1" t="s">
        <v>148</v>
      </c>
      <c r="L1658" s="1" t="s">
        <v>5309</v>
      </c>
      <c r="M1658" s="1" t="s">
        <v>81</v>
      </c>
      <c r="N1658" s="1" t="s">
        <v>3518</v>
      </c>
      <c r="O1658" s="1"/>
      <c r="P1658" s="1" t="s">
        <v>497</v>
      </c>
      <c r="Q1658" s="1" t="s">
        <v>19336</v>
      </c>
      <c r="R1658" s="1" t="s">
        <v>19337</v>
      </c>
      <c r="S1658" s="1">
        <v>9423518813</v>
      </c>
      <c r="T1658" s="1" t="s">
        <v>8979</v>
      </c>
      <c r="U1658" s="1" t="s">
        <v>19338</v>
      </c>
      <c r="V1658" s="1">
        <v>9404868957</v>
      </c>
      <c r="W1658" s="1" t="s">
        <v>531</v>
      </c>
      <c r="X1658" s="1" t="s">
        <v>19339</v>
      </c>
      <c r="Y1658" s="1" t="s">
        <v>191</v>
      </c>
      <c r="Z1658" s="1" t="s">
        <v>92</v>
      </c>
      <c r="AA1658" s="1" t="s">
        <v>19340</v>
      </c>
      <c r="AB1658" s="1" t="s">
        <v>246</v>
      </c>
      <c r="AC1658" s="1" t="s">
        <v>92</v>
      </c>
      <c r="AD1658" s="1">
        <v>8.01</v>
      </c>
      <c r="AE1658" s="1" t="s">
        <v>93</v>
      </c>
      <c r="AF1658" s="1" t="s">
        <v>19341</v>
      </c>
      <c r="AG1658" s="1" t="s">
        <v>1576</v>
      </c>
      <c r="AH1658" s="1" t="s">
        <v>614</v>
      </c>
      <c r="AI1658" s="1" t="s">
        <v>195</v>
      </c>
      <c r="AJ1658" s="1">
        <v>91</v>
      </c>
      <c r="AK1658" s="1">
        <v>0</v>
      </c>
      <c r="AL1658" s="1" t="s">
        <v>19342</v>
      </c>
      <c r="AM1658" s="1" t="s">
        <v>1576</v>
      </c>
      <c r="AN1658" s="1" t="s">
        <v>166</v>
      </c>
      <c r="AO1658" s="1" t="s">
        <v>198</v>
      </c>
      <c r="AP1658" s="1">
        <v>74</v>
      </c>
      <c r="AQ1658" s="1">
        <v>0</v>
      </c>
      <c r="AR1658" s="1"/>
      <c r="AS1658" s="1"/>
      <c r="AT1658" s="1"/>
      <c r="AU1658" s="1"/>
      <c r="AV1658" s="1"/>
      <c r="AW1658" s="1"/>
      <c r="AX1658" s="1" t="s">
        <v>19343</v>
      </c>
      <c r="AY1658" s="1" t="s">
        <v>19344</v>
      </c>
      <c r="AZ1658" s="1" t="s">
        <v>1019</v>
      </c>
      <c r="BA1658" s="1" t="s">
        <v>413</v>
      </c>
      <c r="BB1658" s="1">
        <v>82</v>
      </c>
      <c r="BC1658" s="1">
        <v>8.28</v>
      </c>
      <c r="BD1658" s="1"/>
      <c r="BE1658" s="1"/>
      <c r="BF1658" s="1"/>
      <c r="BG1658" s="1"/>
      <c r="BH1658" s="1"/>
      <c r="BI1658" s="1"/>
      <c r="BJ1658" s="1" t="s">
        <v>1822</v>
      </c>
      <c r="BK1658" s="1"/>
      <c r="BL1658" s="1"/>
      <c r="BM1658" s="1" t="s">
        <v>19345</v>
      </c>
      <c r="BN1658" s="1">
        <v>8</v>
      </c>
      <c r="BO1658" s="1"/>
      <c r="BP1658" s="1" t="str">
        <f>HYPERLINK("https://nconnect.nicmar.ac.in/storage/profile/ProfilePhoto_P25703059_751834.jpg","Download")</f>
        <v>0</v>
      </c>
      <c r="BQ1658" s="3"/>
      <c r="BR1658" s="3"/>
    </row>
    <row r="1659" spans="1:70">
      <c r="A1659" s="1" t="s">
        <v>16711</v>
      </c>
      <c r="B1659" s="1" t="s">
        <v>441</v>
      </c>
      <c r="C1659" s="1" t="s">
        <v>19346</v>
      </c>
      <c r="D1659" s="1" t="s">
        <v>19347</v>
      </c>
      <c r="E1659" s="1" t="s">
        <v>9441</v>
      </c>
      <c r="F1659" s="1" t="s">
        <v>11490</v>
      </c>
      <c r="G1659" s="1" t="s">
        <v>19348</v>
      </c>
      <c r="H1659" s="1" t="s">
        <v>19349</v>
      </c>
      <c r="I1659" s="1" t="s">
        <v>19350</v>
      </c>
      <c r="J1659" s="1">
        <v>9104020090</v>
      </c>
      <c r="K1659" s="1" t="s">
        <v>79</v>
      </c>
      <c r="L1659" s="1" t="s">
        <v>19351</v>
      </c>
      <c r="M1659" s="1" t="s">
        <v>81</v>
      </c>
      <c r="N1659" s="1" t="s">
        <v>7173</v>
      </c>
      <c r="O1659" s="1" t="s">
        <v>19352</v>
      </c>
      <c r="P1659" s="1" t="s">
        <v>497</v>
      </c>
      <c r="Q1659" s="1" t="s">
        <v>19353</v>
      </c>
      <c r="R1659" s="1" t="s">
        <v>19354</v>
      </c>
      <c r="S1659" s="1">
        <v>9712383176</v>
      </c>
      <c r="T1659" s="1" t="s">
        <v>632</v>
      </c>
      <c r="U1659" s="1" t="s">
        <v>19355</v>
      </c>
      <c r="V1659" s="1">
        <v>7874026925</v>
      </c>
      <c r="W1659" s="1" t="s">
        <v>156</v>
      </c>
      <c r="X1659" s="1" t="s">
        <v>19356</v>
      </c>
      <c r="Y1659" s="1" t="s">
        <v>661</v>
      </c>
      <c r="Z1659" s="1" t="s">
        <v>662</v>
      </c>
      <c r="AA1659" s="1" t="s">
        <v>19356</v>
      </c>
      <c r="AB1659" s="1" t="s">
        <v>661</v>
      </c>
      <c r="AC1659" s="1" t="s">
        <v>662</v>
      </c>
      <c r="AD1659" s="1">
        <v>7.31</v>
      </c>
      <c r="AE1659" s="1" t="s">
        <v>93</v>
      </c>
      <c r="AF1659" s="1" t="s">
        <v>19357</v>
      </c>
      <c r="AG1659" s="1" t="s">
        <v>14808</v>
      </c>
      <c r="AH1659" s="1" t="s">
        <v>433</v>
      </c>
      <c r="AI1659" s="1" t="s">
        <v>590</v>
      </c>
      <c r="AJ1659" s="1">
        <v>70</v>
      </c>
      <c r="AK1659" s="1"/>
      <c r="AL1659" s="1" t="s">
        <v>19358</v>
      </c>
      <c r="AM1659" s="1" t="s">
        <v>14808</v>
      </c>
      <c r="AN1659" s="1" t="s">
        <v>828</v>
      </c>
      <c r="AO1659" s="1" t="s">
        <v>511</v>
      </c>
      <c r="AP1659" s="1">
        <v>76.8</v>
      </c>
      <c r="AQ1659" s="1"/>
      <c r="AR1659" s="1"/>
      <c r="AS1659" s="1"/>
      <c r="AT1659" s="1"/>
      <c r="AU1659" s="1"/>
      <c r="AV1659" s="1"/>
      <c r="AW1659" s="1"/>
      <c r="AX1659" s="1" t="s">
        <v>13359</v>
      </c>
      <c r="AY1659" s="1" t="s">
        <v>19359</v>
      </c>
      <c r="AZ1659" s="1" t="s">
        <v>105</v>
      </c>
      <c r="BA1659" s="1" t="s">
        <v>594</v>
      </c>
      <c r="BB1659" s="1">
        <v>70.1</v>
      </c>
      <c r="BC1659" s="1">
        <v>7.01</v>
      </c>
      <c r="BD1659" s="1"/>
      <c r="BE1659" s="1"/>
      <c r="BF1659" s="1"/>
      <c r="BG1659" s="1"/>
      <c r="BH1659" s="1"/>
      <c r="BI1659" s="1"/>
      <c r="BJ1659" s="1" t="s">
        <v>3326</v>
      </c>
      <c r="BK1659" s="1"/>
      <c r="BL1659" s="1"/>
      <c r="BM1659" s="1" t="s">
        <v>19360</v>
      </c>
      <c r="BN1659" s="1">
        <v>8</v>
      </c>
      <c r="BO1659" s="1"/>
      <c r="BP1659" s="1" t="str">
        <f>HYPERLINK("https://nconnect.nicmar.ac.in/storage/profile/ProfilePhoto_P25703060_274865.jpg","Download")</f>
        <v>0</v>
      </c>
      <c r="BQ1659" s="3"/>
      <c r="BR1659" s="3"/>
    </row>
    <row r="1660" spans="1:70">
      <c r="A1660" s="1" t="s">
        <v>16711</v>
      </c>
      <c r="B1660" s="1" t="s">
        <v>441</v>
      </c>
      <c r="C1660" s="1" t="s">
        <v>19361</v>
      </c>
      <c r="D1660" s="1" t="s">
        <v>19362</v>
      </c>
      <c r="E1660" s="1"/>
      <c r="F1660" s="1" t="s">
        <v>17685</v>
      </c>
      <c r="G1660" s="1" t="s">
        <v>19363</v>
      </c>
      <c r="H1660" s="1" t="s">
        <v>19364</v>
      </c>
      <c r="I1660" s="1" t="s">
        <v>19365</v>
      </c>
      <c r="J1660" s="1">
        <v>7903276484</v>
      </c>
      <c r="K1660" s="1" t="s">
        <v>79</v>
      </c>
      <c r="L1660" s="1" t="s">
        <v>2190</v>
      </c>
      <c r="M1660" s="1" t="s">
        <v>81</v>
      </c>
      <c r="N1660" s="1" t="s">
        <v>19366</v>
      </c>
      <c r="O1660" s="1"/>
      <c r="P1660" s="1" t="s">
        <v>1994</v>
      </c>
      <c r="Q1660" s="1" t="s">
        <v>19367</v>
      </c>
      <c r="R1660" s="1" t="s">
        <v>19368</v>
      </c>
      <c r="S1660" s="1">
        <v>8969849559</v>
      </c>
      <c r="T1660" s="1" t="s">
        <v>820</v>
      </c>
      <c r="U1660" s="1" t="s">
        <v>19369</v>
      </c>
      <c r="V1660" s="1">
        <v>9931592851</v>
      </c>
      <c r="W1660" s="1" t="s">
        <v>273</v>
      </c>
      <c r="X1660" s="1" t="s">
        <v>19370</v>
      </c>
      <c r="Y1660" s="1" t="s">
        <v>19371</v>
      </c>
      <c r="Z1660" s="1" t="s">
        <v>636</v>
      </c>
      <c r="AA1660" s="1" t="s">
        <v>19370</v>
      </c>
      <c r="AB1660" s="1" t="s">
        <v>19371</v>
      </c>
      <c r="AC1660" s="1" t="s">
        <v>636</v>
      </c>
      <c r="AD1660" s="1" t="s">
        <v>93</v>
      </c>
      <c r="AE1660" s="1" t="s">
        <v>93</v>
      </c>
      <c r="AF1660" s="1" t="s">
        <v>19372</v>
      </c>
      <c r="AG1660" s="1" t="s">
        <v>307</v>
      </c>
      <c r="AH1660" s="1" t="s">
        <v>689</v>
      </c>
      <c r="AI1660" s="1" t="s">
        <v>166</v>
      </c>
      <c r="AJ1660" s="1">
        <v>67.83</v>
      </c>
      <c r="AK1660" s="1"/>
      <c r="AL1660" s="1" t="s">
        <v>19373</v>
      </c>
      <c r="AM1660" s="1" t="s">
        <v>307</v>
      </c>
      <c r="AN1660" s="1" t="s">
        <v>101</v>
      </c>
      <c r="AO1660" s="1" t="s">
        <v>173</v>
      </c>
      <c r="AP1660" s="1">
        <v>69.83</v>
      </c>
      <c r="AQ1660" s="1"/>
      <c r="AR1660" s="1"/>
      <c r="AS1660" s="1"/>
      <c r="AT1660" s="1"/>
      <c r="AU1660" s="1"/>
      <c r="AV1660" s="1"/>
      <c r="AW1660" s="1"/>
      <c r="AX1660" s="1" t="s">
        <v>19374</v>
      </c>
      <c r="AY1660" s="1" t="s">
        <v>19375</v>
      </c>
      <c r="AZ1660" s="1" t="s">
        <v>173</v>
      </c>
      <c r="BA1660" s="1" t="s">
        <v>386</v>
      </c>
      <c r="BB1660" s="1">
        <v>51.97</v>
      </c>
      <c r="BC1660" s="1"/>
      <c r="BD1660" s="1"/>
      <c r="BE1660" s="1"/>
      <c r="BF1660" s="1"/>
      <c r="BG1660" s="1"/>
      <c r="BH1660" s="1"/>
      <c r="BI1660" s="1"/>
      <c r="BJ1660" s="1" t="s">
        <v>3326</v>
      </c>
      <c r="BK1660" s="1"/>
      <c r="BL1660" s="1"/>
      <c r="BM1660" s="1" t="s">
        <v>19376</v>
      </c>
      <c r="BN1660" s="1">
        <v>7</v>
      </c>
      <c r="BO1660" s="1" t="s">
        <v>19377</v>
      </c>
      <c r="BP1660" s="1" t="str">
        <f>HYPERLINK("https://nconnect.nicmar.ac.in/storage/profile/ProfilePhoto_P25703061_518749.jpg","Download")</f>
        <v>0</v>
      </c>
      <c r="BQ1660" s="3"/>
      <c r="BR1660" s="3"/>
    </row>
    <row r="1661" spans="1:70">
      <c r="A1661" s="1" t="s">
        <v>16711</v>
      </c>
      <c r="B1661" s="1" t="s">
        <v>441</v>
      </c>
      <c r="C1661" s="1" t="s">
        <v>19378</v>
      </c>
      <c r="D1661" s="1" t="s">
        <v>19379</v>
      </c>
      <c r="E1661" s="1"/>
      <c r="F1661" s="1" t="s">
        <v>19380</v>
      </c>
      <c r="G1661" s="1" t="s">
        <v>19381</v>
      </c>
      <c r="H1661" s="1" t="s">
        <v>19382</v>
      </c>
      <c r="I1661" s="1" t="s">
        <v>19383</v>
      </c>
      <c r="J1661" s="1">
        <v>6302202455</v>
      </c>
      <c r="K1661" s="1" t="s">
        <v>148</v>
      </c>
      <c r="L1661" s="1" t="s">
        <v>19384</v>
      </c>
      <c r="M1661" s="1" t="s">
        <v>81</v>
      </c>
      <c r="N1661" s="1" t="s">
        <v>8469</v>
      </c>
      <c r="O1661" s="1" t="s">
        <v>19385</v>
      </c>
      <c r="P1661" s="1" t="s">
        <v>450</v>
      </c>
      <c r="Q1661" s="1" t="s">
        <v>19386</v>
      </c>
      <c r="R1661" s="1" t="s">
        <v>19387</v>
      </c>
      <c r="S1661" s="1">
        <v>9848311963</v>
      </c>
      <c r="T1661" s="1" t="s">
        <v>820</v>
      </c>
      <c r="U1661" s="1" t="s">
        <v>19388</v>
      </c>
      <c r="V1661" s="1">
        <v>7799042431</v>
      </c>
      <c r="W1661" s="1" t="s">
        <v>2539</v>
      </c>
      <c r="X1661" s="1" t="s">
        <v>19389</v>
      </c>
      <c r="Y1661" s="1" t="s">
        <v>1432</v>
      </c>
      <c r="Z1661" s="1" t="s">
        <v>276</v>
      </c>
      <c r="AA1661" s="1" t="s">
        <v>19389</v>
      </c>
      <c r="AB1661" s="1" t="s">
        <v>1432</v>
      </c>
      <c r="AC1661" s="1" t="s">
        <v>276</v>
      </c>
      <c r="AD1661" s="1" t="s">
        <v>93</v>
      </c>
      <c r="AE1661" s="1" t="s">
        <v>93</v>
      </c>
      <c r="AF1661" s="1" t="s">
        <v>19390</v>
      </c>
      <c r="AG1661" s="1" t="s">
        <v>6287</v>
      </c>
      <c r="AH1661" s="1" t="s">
        <v>162</v>
      </c>
      <c r="AI1661" s="1" t="s">
        <v>689</v>
      </c>
      <c r="AJ1661" s="1">
        <v>87.4</v>
      </c>
      <c r="AK1661" s="1">
        <v>9.2</v>
      </c>
      <c r="AL1661" s="1" t="s">
        <v>19391</v>
      </c>
      <c r="AM1661" s="1" t="s">
        <v>1398</v>
      </c>
      <c r="AN1661" s="1" t="s">
        <v>101</v>
      </c>
      <c r="AO1661" s="1" t="s">
        <v>537</v>
      </c>
      <c r="AP1661" s="1">
        <v>63.75</v>
      </c>
      <c r="AQ1661" s="1">
        <v>6.71</v>
      </c>
      <c r="AR1661" s="1"/>
      <c r="AS1661" s="1"/>
      <c r="AT1661" s="1"/>
      <c r="AU1661" s="1"/>
      <c r="AV1661" s="1"/>
      <c r="AW1661" s="1"/>
      <c r="AX1661" s="1" t="s">
        <v>2664</v>
      </c>
      <c r="AY1661" s="1" t="s">
        <v>19392</v>
      </c>
      <c r="AZ1661" s="1" t="s">
        <v>1148</v>
      </c>
      <c r="BA1661" s="1" t="s">
        <v>5282</v>
      </c>
      <c r="BB1661" s="1">
        <v>61.6</v>
      </c>
      <c r="BC1661" s="1">
        <v>6.91</v>
      </c>
      <c r="BD1661" s="1"/>
      <c r="BE1661" s="1"/>
      <c r="BF1661" s="1"/>
      <c r="BG1661" s="1"/>
      <c r="BH1661" s="1"/>
      <c r="BI1661" s="1"/>
      <c r="BJ1661" s="1" t="s">
        <v>19393</v>
      </c>
      <c r="BK1661" s="1"/>
      <c r="BL1661" s="1"/>
      <c r="BM1661" s="1" t="s">
        <v>19394</v>
      </c>
      <c r="BN1661" s="1">
        <v>8</v>
      </c>
      <c r="BO1661" s="1" t="s">
        <v>19395</v>
      </c>
      <c r="BP1661" s="1" t="str">
        <f>HYPERLINK("https://nconnect.nicmar.ac.in/storage/profile/ProfilePhoto_P25703062_538147.jpg","Download")</f>
        <v>0</v>
      </c>
      <c r="BQ1661" s="3"/>
      <c r="BR1661" s="3"/>
    </row>
    <row r="1662" spans="1:70">
      <c r="A1662" s="1" t="s">
        <v>16711</v>
      </c>
      <c r="B1662" s="1" t="s">
        <v>441</v>
      </c>
      <c r="C1662" s="1" t="s">
        <v>19396</v>
      </c>
      <c r="D1662" s="1" t="s">
        <v>9883</v>
      </c>
      <c r="E1662" s="1"/>
      <c r="F1662" s="1" t="s">
        <v>520</v>
      </c>
      <c r="G1662" s="1" t="s">
        <v>19397</v>
      </c>
      <c r="H1662" s="1" t="s">
        <v>19398</v>
      </c>
      <c r="I1662" s="1" t="s">
        <v>19399</v>
      </c>
      <c r="J1662" s="1">
        <v>7300031188</v>
      </c>
      <c r="K1662" s="1" t="s">
        <v>148</v>
      </c>
      <c r="L1662" s="1" t="s">
        <v>19400</v>
      </c>
      <c r="M1662" s="1" t="s">
        <v>81</v>
      </c>
      <c r="N1662" s="1" t="s">
        <v>4289</v>
      </c>
      <c r="O1662" s="1"/>
      <c r="P1662" s="1" t="s">
        <v>450</v>
      </c>
      <c r="Q1662" s="1" t="s">
        <v>19401</v>
      </c>
      <c r="R1662" s="1" t="s">
        <v>19402</v>
      </c>
      <c r="S1662" s="1">
        <v>9983002605</v>
      </c>
      <c r="T1662" s="1" t="s">
        <v>19403</v>
      </c>
      <c r="U1662" s="1" t="s">
        <v>19404</v>
      </c>
      <c r="V1662" s="1">
        <v>9983003388</v>
      </c>
      <c r="W1662" s="1" t="s">
        <v>531</v>
      </c>
      <c r="X1662" s="1" t="s">
        <v>19405</v>
      </c>
      <c r="Y1662" s="1" t="s">
        <v>8170</v>
      </c>
      <c r="Z1662" s="1" t="s">
        <v>2126</v>
      </c>
      <c r="AA1662" s="1" t="s">
        <v>19405</v>
      </c>
      <c r="AB1662" s="1" t="s">
        <v>8170</v>
      </c>
      <c r="AC1662" s="1" t="s">
        <v>2126</v>
      </c>
      <c r="AD1662" s="1" t="s">
        <v>93</v>
      </c>
      <c r="AE1662" s="1" t="s">
        <v>93</v>
      </c>
      <c r="AF1662" s="1" t="s">
        <v>1039</v>
      </c>
      <c r="AG1662" s="1" t="s">
        <v>307</v>
      </c>
      <c r="AH1662" s="1" t="s">
        <v>537</v>
      </c>
      <c r="AI1662" s="1" t="s">
        <v>1019</v>
      </c>
      <c r="AJ1662" s="1">
        <v>69.83</v>
      </c>
      <c r="AK1662" s="1">
        <v>0</v>
      </c>
      <c r="AL1662" s="1" t="s">
        <v>1039</v>
      </c>
      <c r="AM1662" s="1" t="s">
        <v>307</v>
      </c>
      <c r="AN1662" s="1" t="s">
        <v>2273</v>
      </c>
      <c r="AO1662" s="1" t="s">
        <v>105</v>
      </c>
      <c r="AP1662" s="1">
        <v>76.4</v>
      </c>
      <c r="AQ1662" s="1">
        <v>0</v>
      </c>
      <c r="AR1662" s="1"/>
      <c r="AS1662" s="1"/>
      <c r="AT1662" s="1"/>
      <c r="AU1662" s="1"/>
      <c r="AV1662" s="1"/>
      <c r="AW1662" s="1"/>
      <c r="AX1662" s="1" t="s">
        <v>19406</v>
      </c>
      <c r="AY1662" s="1" t="s">
        <v>19407</v>
      </c>
      <c r="AZ1662" s="1" t="s">
        <v>1378</v>
      </c>
      <c r="BA1662" s="1" t="s">
        <v>543</v>
      </c>
      <c r="BB1662" s="1">
        <v>53.62</v>
      </c>
      <c r="BC1662" s="1">
        <v>5.87</v>
      </c>
      <c r="BD1662" s="1"/>
      <c r="BE1662" s="1"/>
      <c r="BF1662" s="1"/>
      <c r="BG1662" s="1"/>
      <c r="BH1662" s="1"/>
      <c r="BI1662" s="1"/>
      <c r="BJ1662" s="1" t="s">
        <v>3326</v>
      </c>
      <c r="BK1662" s="1"/>
      <c r="BL1662" s="1"/>
      <c r="BM1662" s="1" t="s">
        <v>19408</v>
      </c>
      <c r="BN1662" s="1">
        <v>8</v>
      </c>
      <c r="BO1662" s="1"/>
      <c r="BP1662" s="1" t="str">
        <f>HYPERLINK("https://nconnect.nicmar.ac.in/storage/profile/ProfilePhoto_P25703063_326758.jpg","Download")</f>
        <v>0</v>
      </c>
      <c r="BQ1662" s="3"/>
      <c r="BR1662" s="3"/>
    </row>
    <row r="1663" spans="1:70">
      <c r="A1663" s="1" t="s">
        <v>16711</v>
      </c>
      <c r="B1663" s="1" t="s">
        <v>441</v>
      </c>
      <c r="C1663" s="1" t="s">
        <v>19409</v>
      </c>
      <c r="D1663" s="1" t="s">
        <v>19410</v>
      </c>
      <c r="E1663" s="1" t="s">
        <v>4267</v>
      </c>
      <c r="F1663" s="1" t="s">
        <v>19411</v>
      </c>
      <c r="G1663" s="1" t="s">
        <v>19412</v>
      </c>
      <c r="H1663" s="1" t="s">
        <v>19413</v>
      </c>
      <c r="I1663" s="1" t="s">
        <v>19414</v>
      </c>
      <c r="J1663" s="1">
        <v>9373052834</v>
      </c>
      <c r="K1663" s="1" t="s">
        <v>148</v>
      </c>
      <c r="L1663" s="1" t="s">
        <v>18290</v>
      </c>
      <c r="M1663" s="1" t="s">
        <v>81</v>
      </c>
      <c r="N1663" s="1" t="s">
        <v>19415</v>
      </c>
      <c r="O1663" s="1" t="s">
        <v>19416</v>
      </c>
      <c r="P1663" s="1" t="s">
        <v>497</v>
      </c>
      <c r="Q1663" s="1" t="s">
        <v>19417</v>
      </c>
      <c r="R1663" s="1" t="s">
        <v>4267</v>
      </c>
      <c r="S1663" s="1">
        <v>9975886564</v>
      </c>
      <c r="T1663" s="1" t="s">
        <v>154</v>
      </c>
      <c r="U1663" s="1" t="s">
        <v>5275</v>
      </c>
      <c r="V1663" s="1">
        <v>9096671764</v>
      </c>
      <c r="W1663" s="1" t="s">
        <v>156</v>
      </c>
      <c r="X1663" s="1" t="s">
        <v>19418</v>
      </c>
      <c r="Y1663" s="1" t="s">
        <v>1754</v>
      </c>
      <c r="Z1663" s="1" t="s">
        <v>92</v>
      </c>
      <c r="AA1663" s="1" t="s">
        <v>19418</v>
      </c>
      <c r="AB1663" s="1" t="s">
        <v>1754</v>
      </c>
      <c r="AC1663" s="1" t="s">
        <v>92</v>
      </c>
      <c r="AD1663" s="1">
        <v>7.67</v>
      </c>
      <c r="AE1663" s="1" t="s">
        <v>93</v>
      </c>
      <c r="AF1663" s="1" t="s">
        <v>19419</v>
      </c>
      <c r="AG1663" s="1" t="s">
        <v>160</v>
      </c>
      <c r="AH1663" s="1" t="s">
        <v>7319</v>
      </c>
      <c r="AI1663" s="1" t="s">
        <v>409</v>
      </c>
      <c r="AJ1663" s="1">
        <v>88.6</v>
      </c>
      <c r="AK1663" s="1"/>
      <c r="AL1663" s="1" t="s">
        <v>19420</v>
      </c>
      <c r="AM1663" s="1" t="s">
        <v>307</v>
      </c>
      <c r="AN1663" s="1" t="s">
        <v>537</v>
      </c>
      <c r="AO1663" s="1" t="s">
        <v>542</v>
      </c>
      <c r="AP1663" s="1">
        <v>75</v>
      </c>
      <c r="AQ1663" s="1"/>
      <c r="AR1663" s="1"/>
      <c r="AS1663" s="1"/>
      <c r="AT1663" s="1"/>
      <c r="AU1663" s="1"/>
      <c r="AV1663" s="1"/>
      <c r="AW1663" s="1"/>
      <c r="AX1663" s="1" t="s">
        <v>9524</v>
      </c>
      <c r="AY1663" s="1" t="s">
        <v>19421</v>
      </c>
      <c r="AZ1663" s="1" t="s">
        <v>542</v>
      </c>
      <c r="BA1663" s="1" t="s">
        <v>413</v>
      </c>
      <c r="BB1663" s="1">
        <v>62.39</v>
      </c>
      <c r="BC1663" s="1">
        <v>6.68</v>
      </c>
      <c r="BD1663" s="1"/>
      <c r="BE1663" s="1"/>
      <c r="BF1663" s="1"/>
      <c r="BG1663" s="1"/>
      <c r="BH1663" s="1"/>
      <c r="BI1663" s="1"/>
      <c r="BJ1663" s="1" t="s">
        <v>19422</v>
      </c>
      <c r="BK1663" s="1"/>
      <c r="BL1663" s="1"/>
      <c r="BM1663" s="1" t="s">
        <v>19423</v>
      </c>
      <c r="BN1663" s="1">
        <v>24</v>
      </c>
      <c r="BO1663" s="1"/>
      <c r="BP1663" s="1" t="str">
        <f>HYPERLINK("https://nconnect.nicmar.ac.in/storage/profile/ProfilePhoto_P25703064_951836.jpg","Download")</f>
        <v>0</v>
      </c>
      <c r="BQ1663" s="3"/>
      <c r="BR1663" s="3"/>
    </row>
    <row r="1664" spans="1:70">
      <c r="A1664" s="1" t="s">
        <v>16711</v>
      </c>
      <c r="B1664" s="1" t="s">
        <v>441</v>
      </c>
      <c r="C1664" s="1" t="s">
        <v>19424</v>
      </c>
      <c r="D1664" s="1" t="s">
        <v>5754</v>
      </c>
      <c r="E1664" s="1" t="s">
        <v>5941</v>
      </c>
      <c r="F1664" s="1" t="s">
        <v>19425</v>
      </c>
      <c r="G1664" s="1" t="s">
        <v>19426</v>
      </c>
      <c r="H1664" s="1" t="s">
        <v>19427</v>
      </c>
      <c r="I1664" s="1" t="s">
        <v>19428</v>
      </c>
      <c r="J1664" s="1">
        <v>7447508250</v>
      </c>
      <c r="K1664" s="1" t="s">
        <v>79</v>
      </c>
      <c r="L1664" s="1" t="s">
        <v>19429</v>
      </c>
      <c r="M1664" s="1" t="s">
        <v>81</v>
      </c>
      <c r="N1664" s="1" t="s">
        <v>185</v>
      </c>
      <c r="O1664" s="1"/>
      <c r="P1664" s="1" t="s">
        <v>472</v>
      </c>
      <c r="Q1664" s="1" t="s">
        <v>19430</v>
      </c>
      <c r="R1664" s="1" t="s">
        <v>5941</v>
      </c>
      <c r="S1664" s="1">
        <v>9423218654</v>
      </c>
      <c r="T1664" s="1" t="s">
        <v>11257</v>
      </c>
      <c r="U1664" s="1" t="s">
        <v>8113</v>
      </c>
      <c r="V1664" s="1">
        <v>9404239022</v>
      </c>
      <c r="W1664" s="1" t="s">
        <v>6725</v>
      </c>
      <c r="X1664" s="1" t="s">
        <v>19431</v>
      </c>
      <c r="Y1664" s="1" t="s">
        <v>191</v>
      </c>
      <c r="Z1664" s="1" t="s">
        <v>92</v>
      </c>
      <c r="AA1664" s="1" t="s">
        <v>19431</v>
      </c>
      <c r="AB1664" s="1" t="s">
        <v>191</v>
      </c>
      <c r="AC1664" s="1" t="s">
        <v>92</v>
      </c>
      <c r="AD1664" s="1" t="s">
        <v>93</v>
      </c>
      <c r="AE1664" s="1" t="s">
        <v>93</v>
      </c>
      <c r="AF1664" s="1" t="s">
        <v>19432</v>
      </c>
      <c r="AG1664" s="1" t="s">
        <v>19433</v>
      </c>
      <c r="AH1664" s="1" t="s">
        <v>433</v>
      </c>
      <c r="AI1664" s="1" t="s">
        <v>173</v>
      </c>
      <c r="AJ1664" s="1">
        <v>78</v>
      </c>
      <c r="AK1664" s="1"/>
      <c r="AL1664" s="1" t="s">
        <v>18644</v>
      </c>
      <c r="AM1664" s="1" t="s">
        <v>19433</v>
      </c>
      <c r="AN1664" s="1" t="s">
        <v>436</v>
      </c>
      <c r="AO1664" s="1" t="s">
        <v>1378</v>
      </c>
      <c r="AP1664" s="1">
        <v>57.17</v>
      </c>
      <c r="AQ1664" s="1"/>
      <c r="AR1664" s="1"/>
      <c r="AS1664" s="1"/>
      <c r="AT1664" s="1"/>
      <c r="AU1664" s="1"/>
      <c r="AV1664" s="1"/>
      <c r="AW1664" s="1"/>
      <c r="AX1664" s="1" t="s">
        <v>361</v>
      </c>
      <c r="AY1664" s="1" t="s">
        <v>19434</v>
      </c>
      <c r="AZ1664" s="1" t="s">
        <v>105</v>
      </c>
      <c r="BA1664" s="1" t="s">
        <v>829</v>
      </c>
      <c r="BB1664" s="1">
        <v>76.19</v>
      </c>
      <c r="BC1664" s="1">
        <v>8.02</v>
      </c>
      <c r="BD1664" s="1"/>
      <c r="BE1664" s="1"/>
      <c r="BF1664" s="1"/>
      <c r="BG1664" s="1"/>
      <c r="BH1664" s="1"/>
      <c r="BI1664" s="1"/>
      <c r="BJ1664" s="1" t="s">
        <v>19435</v>
      </c>
      <c r="BK1664" s="1"/>
      <c r="BL1664" s="1"/>
      <c r="BM1664" s="1" t="s">
        <v>19436</v>
      </c>
      <c r="BN1664" s="1">
        <v>9</v>
      </c>
      <c r="BO1664" s="1"/>
      <c r="BP1664" s="1" t="str">
        <f>HYPERLINK("https://nconnect.nicmar.ac.in/storage/profile/ProfilePhoto_P25703065_946527.jpg","Download")</f>
        <v>0</v>
      </c>
      <c r="BQ1664" s="3"/>
      <c r="BR1664" s="3"/>
    </row>
    <row r="1665" spans="1:70">
      <c r="A1665" s="1" t="s">
        <v>16711</v>
      </c>
      <c r="B1665" s="1" t="s">
        <v>441</v>
      </c>
      <c r="C1665" s="1" t="s">
        <v>19437</v>
      </c>
      <c r="D1665" s="1" t="s">
        <v>19438</v>
      </c>
      <c r="E1665" s="1" t="s">
        <v>19439</v>
      </c>
      <c r="F1665" s="1" t="s">
        <v>19440</v>
      </c>
      <c r="G1665" s="1" t="s">
        <v>19441</v>
      </c>
      <c r="H1665" s="1" t="s">
        <v>19442</v>
      </c>
      <c r="I1665" s="1" t="s">
        <v>19443</v>
      </c>
      <c r="J1665" s="1">
        <v>8169845690</v>
      </c>
      <c r="K1665" s="1" t="s">
        <v>79</v>
      </c>
      <c r="L1665" s="1" t="s">
        <v>19444</v>
      </c>
      <c r="M1665" s="1" t="s">
        <v>81</v>
      </c>
      <c r="N1665" s="1" t="s">
        <v>19445</v>
      </c>
      <c r="O1665" s="1"/>
      <c r="P1665" s="1" t="s">
        <v>472</v>
      </c>
      <c r="Q1665" s="1" t="s">
        <v>19446</v>
      </c>
      <c r="R1665" s="1" t="s">
        <v>19447</v>
      </c>
      <c r="S1665" s="1">
        <v>9860215269</v>
      </c>
      <c r="T1665" s="1" t="s">
        <v>820</v>
      </c>
      <c r="U1665" s="1" t="s">
        <v>19448</v>
      </c>
      <c r="V1665" s="1">
        <v>7219018300</v>
      </c>
      <c r="W1665" s="1" t="s">
        <v>531</v>
      </c>
      <c r="X1665" s="1" t="s">
        <v>19449</v>
      </c>
      <c r="Y1665" s="1" t="s">
        <v>4313</v>
      </c>
      <c r="Z1665" s="1" t="s">
        <v>92</v>
      </c>
      <c r="AA1665" s="1" t="s">
        <v>19449</v>
      </c>
      <c r="AB1665" s="1" t="s">
        <v>4313</v>
      </c>
      <c r="AC1665" s="1" t="s">
        <v>92</v>
      </c>
      <c r="AD1665" s="1">
        <v>6.92</v>
      </c>
      <c r="AE1665" s="1" t="s">
        <v>93</v>
      </c>
      <c r="AF1665" s="1" t="s">
        <v>8134</v>
      </c>
      <c r="AG1665" s="1" t="s">
        <v>160</v>
      </c>
      <c r="AH1665" s="1" t="s">
        <v>166</v>
      </c>
      <c r="AI1665" s="1" t="s">
        <v>409</v>
      </c>
      <c r="AJ1665" s="1">
        <v>71</v>
      </c>
      <c r="AK1665" s="1"/>
      <c r="AL1665" s="1" t="s">
        <v>19450</v>
      </c>
      <c r="AM1665" s="1" t="s">
        <v>160</v>
      </c>
      <c r="AN1665" s="1" t="s">
        <v>460</v>
      </c>
      <c r="AO1665" s="1" t="s">
        <v>1169</v>
      </c>
      <c r="AP1665" s="1">
        <v>78.33</v>
      </c>
      <c r="AQ1665" s="1"/>
      <c r="AR1665" s="1"/>
      <c r="AS1665" s="1"/>
      <c r="AT1665" s="1"/>
      <c r="AU1665" s="1"/>
      <c r="AV1665" s="1"/>
      <c r="AW1665" s="1"/>
      <c r="AX1665" s="1" t="s">
        <v>666</v>
      </c>
      <c r="AY1665" s="1" t="s">
        <v>19451</v>
      </c>
      <c r="AZ1665" s="1" t="s">
        <v>539</v>
      </c>
      <c r="BA1665" s="1" t="s">
        <v>2352</v>
      </c>
      <c r="BB1665" s="1">
        <v>62.5</v>
      </c>
      <c r="BC1665" s="1">
        <v>7.33</v>
      </c>
      <c r="BD1665" s="1"/>
      <c r="BE1665" s="1"/>
      <c r="BF1665" s="1"/>
      <c r="BG1665" s="1"/>
      <c r="BH1665" s="1"/>
      <c r="BI1665" s="1"/>
      <c r="BJ1665" s="1" t="s">
        <v>19452</v>
      </c>
      <c r="BK1665" s="1"/>
      <c r="BL1665" s="1"/>
      <c r="BM1665" s="1" t="s">
        <v>19453</v>
      </c>
      <c r="BN1665" s="1">
        <v>17</v>
      </c>
      <c r="BO1665" s="1" t="s">
        <v>19454</v>
      </c>
      <c r="BP1665" s="1" t="str">
        <f>HYPERLINK("https://nconnect.nicmar.ac.in/storage/profile/ProfilePhoto_P25703066_498361.jpg","Download")</f>
        <v>0</v>
      </c>
      <c r="BQ1665" s="3"/>
      <c r="BR1665" s="3"/>
    </row>
    <row r="1666" spans="1:70">
      <c r="A1666" s="1" t="s">
        <v>16711</v>
      </c>
      <c r="B1666" s="1" t="s">
        <v>441</v>
      </c>
      <c r="C1666" s="1" t="s">
        <v>19455</v>
      </c>
      <c r="D1666" s="1" t="s">
        <v>19456</v>
      </c>
      <c r="E1666" s="1"/>
      <c r="F1666" s="1" t="s">
        <v>15444</v>
      </c>
      <c r="G1666" s="1" t="s">
        <v>19457</v>
      </c>
      <c r="H1666" s="1" t="s">
        <v>19458</v>
      </c>
      <c r="I1666" s="1" t="s">
        <v>19459</v>
      </c>
      <c r="J1666" s="1">
        <v>8839930021</v>
      </c>
      <c r="K1666" s="1" t="s">
        <v>148</v>
      </c>
      <c r="L1666" s="1" t="s">
        <v>19460</v>
      </c>
      <c r="M1666" s="1" t="s">
        <v>81</v>
      </c>
      <c r="N1666" s="1" t="s">
        <v>82</v>
      </c>
      <c r="O1666" s="1" t="s">
        <v>19461</v>
      </c>
      <c r="P1666" s="1" t="s">
        <v>450</v>
      </c>
      <c r="Q1666" s="1" t="s">
        <v>19462</v>
      </c>
      <c r="R1666" s="1" t="s">
        <v>19463</v>
      </c>
      <c r="S1666" s="1">
        <v>7620471414</v>
      </c>
      <c r="T1666" s="1" t="s">
        <v>87</v>
      </c>
      <c r="U1666" s="1" t="s">
        <v>19464</v>
      </c>
      <c r="V1666" s="1">
        <v>7803959500</v>
      </c>
      <c r="W1666" s="1" t="s">
        <v>156</v>
      </c>
      <c r="X1666" s="1" t="s">
        <v>19465</v>
      </c>
      <c r="Y1666" s="1" t="s">
        <v>5339</v>
      </c>
      <c r="Z1666" s="1" t="s">
        <v>2955</v>
      </c>
      <c r="AA1666" s="1" t="s">
        <v>19465</v>
      </c>
      <c r="AB1666" s="1" t="s">
        <v>5339</v>
      </c>
      <c r="AC1666" s="1" t="s">
        <v>2955</v>
      </c>
      <c r="AD1666" s="1" t="s">
        <v>93</v>
      </c>
      <c r="AE1666" s="1" t="s">
        <v>93</v>
      </c>
      <c r="AF1666" s="1" t="s">
        <v>19466</v>
      </c>
      <c r="AG1666" s="1" t="s">
        <v>19467</v>
      </c>
      <c r="AH1666" s="1" t="s">
        <v>383</v>
      </c>
      <c r="AI1666" s="1" t="s">
        <v>166</v>
      </c>
      <c r="AJ1666" s="1">
        <v>84.66</v>
      </c>
      <c r="AK1666" s="1">
        <v>0</v>
      </c>
      <c r="AL1666" s="1" t="s">
        <v>19466</v>
      </c>
      <c r="AM1666" s="1" t="s">
        <v>19467</v>
      </c>
      <c r="AN1666" s="1" t="s">
        <v>310</v>
      </c>
      <c r="AO1666" s="1" t="s">
        <v>173</v>
      </c>
      <c r="AP1666" s="1">
        <v>80.8</v>
      </c>
      <c r="AQ1666" s="1">
        <v>0</v>
      </c>
      <c r="AR1666" s="1"/>
      <c r="AS1666" s="1"/>
      <c r="AT1666" s="1"/>
      <c r="AU1666" s="1"/>
      <c r="AV1666" s="1"/>
      <c r="AW1666" s="1"/>
      <c r="AX1666" s="1" t="s">
        <v>19468</v>
      </c>
      <c r="AY1666" s="1" t="s">
        <v>19469</v>
      </c>
      <c r="AZ1666" s="1" t="s">
        <v>173</v>
      </c>
      <c r="BA1666" s="1" t="s">
        <v>386</v>
      </c>
      <c r="BB1666" s="1">
        <v>78.27</v>
      </c>
      <c r="BC1666" s="1"/>
      <c r="BD1666" s="1" t="s">
        <v>19470</v>
      </c>
      <c r="BE1666" s="1" t="s">
        <v>19167</v>
      </c>
      <c r="BF1666" s="1" t="s">
        <v>386</v>
      </c>
      <c r="BG1666" s="1" t="s">
        <v>5344</v>
      </c>
      <c r="BH1666" s="1">
        <v>63.95</v>
      </c>
      <c r="BI1666" s="1"/>
      <c r="BJ1666" s="1" t="s">
        <v>3326</v>
      </c>
      <c r="BK1666" s="1"/>
      <c r="BL1666" s="1"/>
      <c r="BM1666" s="1" t="s">
        <v>19471</v>
      </c>
      <c r="BN1666" s="1">
        <v>8</v>
      </c>
      <c r="BO1666" s="1" t="s">
        <v>19472</v>
      </c>
      <c r="BP1666" s="1" t="str">
        <f>HYPERLINK("https://nconnect.nicmar.ac.in/storage/profile/ProfilePhoto_P25703067_814359.jpg","Download")</f>
        <v>0</v>
      </c>
      <c r="BQ1666" s="3"/>
      <c r="BR1666" s="3"/>
    </row>
    <row r="1667" spans="1:70">
      <c r="A1667" s="1" t="s">
        <v>16711</v>
      </c>
      <c r="B1667" s="1" t="s">
        <v>441</v>
      </c>
      <c r="C1667" s="1" t="s">
        <v>19473</v>
      </c>
      <c r="D1667" s="1" t="s">
        <v>5369</v>
      </c>
      <c r="E1667" s="1" t="s">
        <v>208</v>
      </c>
      <c r="F1667" s="1" t="s">
        <v>19474</v>
      </c>
      <c r="G1667" s="1" t="s">
        <v>19475</v>
      </c>
      <c r="H1667" s="1" t="s">
        <v>19476</v>
      </c>
      <c r="I1667" s="1" t="s">
        <v>19477</v>
      </c>
      <c r="J1667" s="1">
        <v>8080879711</v>
      </c>
      <c r="K1667" s="1" t="s">
        <v>148</v>
      </c>
      <c r="L1667" s="1" t="s">
        <v>12855</v>
      </c>
      <c r="M1667" s="1" t="s">
        <v>81</v>
      </c>
      <c r="N1667" s="1" t="s">
        <v>19478</v>
      </c>
      <c r="O1667" s="1"/>
      <c r="P1667" s="1" t="s">
        <v>472</v>
      </c>
      <c r="Q1667" s="1" t="s">
        <v>19479</v>
      </c>
      <c r="R1667" s="1" t="s">
        <v>19480</v>
      </c>
      <c r="S1667" s="1">
        <v>8080879711</v>
      </c>
      <c r="T1667" s="1" t="s">
        <v>529</v>
      </c>
      <c r="U1667" s="1" t="s">
        <v>19481</v>
      </c>
      <c r="V1667" s="1">
        <v>9579801266</v>
      </c>
      <c r="W1667" s="1" t="s">
        <v>156</v>
      </c>
      <c r="X1667" s="1" t="s">
        <v>19482</v>
      </c>
      <c r="Y1667" s="1" t="s">
        <v>328</v>
      </c>
      <c r="Z1667" s="1" t="s">
        <v>92</v>
      </c>
      <c r="AA1667" s="1" t="s">
        <v>19482</v>
      </c>
      <c r="AB1667" s="1" t="s">
        <v>328</v>
      </c>
      <c r="AC1667" s="1" t="s">
        <v>92</v>
      </c>
      <c r="AD1667" s="1" t="s">
        <v>93</v>
      </c>
      <c r="AE1667" s="1" t="s">
        <v>93</v>
      </c>
      <c r="AF1667" s="1" t="s">
        <v>19483</v>
      </c>
      <c r="AG1667" s="1" t="s">
        <v>9038</v>
      </c>
      <c r="AH1667" s="1" t="s">
        <v>562</v>
      </c>
      <c r="AI1667" s="1" t="s">
        <v>173</v>
      </c>
      <c r="AJ1667" s="1">
        <v>63.2</v>
      </c>
      <c r="AK1667" s="1">
        <v>6.65</v>
      </c>
      <c r="AL1667" s="1" t="s">
        <v>19484</v>
      </c>
      <c r="AM1667" s="1" t="s">
        <v>975</v>
      </c>
      <c r="AN1667" s="1" t="s">
        <v>1019</v>
      </c>
      <c r="AO1667" s="1" t="s">
        <v>284</v>
      </c>
      <c r="AP1667" s="1">
        <v>86.5</v>
      </c>
      <c r="AQ1667" s="1">
        <v>8.65</v>
      </c>
      <c r="AR1667" s="1"/>
      <c r="AS1667" s="1"/>
      <c r="AT1667" s="1"/>
      <c r="AU1667" s="1"/>
      <c r="AV1667" s="1"/>
      <c r="AW1667" s="1"/>
      <c r="AX1667" s="1" t="s">
        <v>335</v>
      </c>
      <c r="AY1667" s="1" t="s">
        <v>19485</v>
      </c>
      <c r="AZ1667" s="1" t="s">
        <v>4727</v>
      </c>
      <c r="BA1667" s="1" t="s">
        <v>1379</v>
      </c>
      <c r="BB1667" s="1">
        <v>62.7</v>
      </c>
      <c r="BC1667" s="1">
        <v>6.6</v>
      </c>
      <c r="BD1667" s="1"/>
      <c r="BE1667" s="1"/>
      <c r="BF1667" s="1"/>
      <c r="BG1667" s="1"/>
      <c r="BH1667" s="1"/>
      <c r="BI1667" s="1"/>
      <c r="BJ1667" s="1" t="s">
        <v>19486</v>
      </c>
      <c r="BK1667" s="1"/>
      <c r="BL1667" s="1"/>
      <c r="BM1667" s="1"/>
      <c r="BN1667" s="1"/>
      <c r="BO1667" s="1" t="s">
        <v>19487</v>
      </c>
      <c r="BP1667" s="1" t="str">
        <f>HYPERLINK("https://nconnect.nicmar.ac.in/storage/profile/ProfilePhoto_P25703069_368529.jpg","Download")</f>
        <v>0</v>
      </c>
      <c r="BQ1667" s="3"/>
      <c r="BR1667" s="3"/>
    </row>
    <row r="1668" spans="1:70">
      <c r="A1668" s="1" t="s">
        <v>16711</v>
      </c>
      <c r="B1668" s="1" t="s">
        <v>441</v>
      </c>
      <c r="C1668" s="1" t="s">
        <v>19488</v>
      </c>
      <c r="D1668" s="1" t="s">
        <v>19489</v>
      </c>
      <c r="E1668" s="1"/>
      <c r="F1668" s="1" t="s">
        <v>520</v>
      </c>
      <c r="G1668" s="1" t="s">
        <v>19490</v>
      </c>
      <c r="H1668" s="1" t="s">
        <v>19491</v>
      </c>
      <c r="I1668" s="1" t="s">
        <v>19492</v>
      </c>
      <c r="J1668" s="1">
        <v>9556069753</v>
      </c>
      <c r="K1668" s="1" t="s">
        <v>79</v>
      </c>
      <c r="L1668" s="1" t="s">
        <v>19493</v>
      </c>
      <c r="M1668" s="1" t="s">
        <v>81</v>
      </c>
      <c r="N1668" s="1" t="s">
        <v>241</v>
      </c>
      <c r="O1668" s="1"/>
      <c r="P1668" s="1" t="s">
        <v>472</v>
      </c>
      <c r="Q1668" s="1" t="s">
        <v>19494</v>
      </c>
      <c r="R1668" s="1" t="s">
        <v>19495</v>
      </c>
      <c r="S1668" s="1">
        <v>9777446361</v>
      </c>
      <c r="T1668" s="1" t="s">
        <v>13738</v>
      </c>
      <c r="U1668" s="1" t="s">
        <v>19496</v>
      </c>
      <c r="V1668" s="1">
        <v>9777446361</v>
      </c>
      <c r="W1668" s="1" t="s">
        <v>273</v>
      </c>
      <c r="X1668" s="1" t="s">
        <v>19497</v>
      </c>
      <c r="Y1668" s="1" t="s">
        <v>19498</v>
      </c>
      <c r="Z1668" s="1" t="s">
        <v>534</v>
      </c>
      <c r="AA1668" s="1" t="s">
        <v>19497</v>
      </c>
      <c r="AB1668" s="1" t="s">
        <v>19498</v>
      </c>
      <c r="AC1668" s="1" t="s">
        <v>534</v>
      </c>
      <c r="AD1668" s="1">
        <v>8.07</v>
      </c>
      <c r="AE1668" s="1" t="s">
        <v>93</v>
      </c>
      <c r="AF1668" s="1" t="s">
        <v>19499</v>
      </c>
      <c r="AG1668" s="1" t="s">
        <v>19500</v>
      </c>
      <c r="AH1668" s="1" t="s">
        <v>4449</v>
      </c>
      <c r="AI1668" s="1" t="s">
        <v>2130</v>
      </c>
      <c r="AJ1668" s="1">
        <v>71.8</v>
      </c>
      <c r="AK1668" s="1"/>
      <c r="AL1668" s="1" t="s">
        <v>19499</v>
      </c>
      <c r="AM1668" s="1" t="s">
        <v>19500</v>
      </c>
      <c r="AN1668" s="1" t="s">
        <v>2176</v>
      </c>
      <c r="AO1668" s="1" t="s">
        <v>331</v>
      </c>
      <c r="AP1668" s="1">
        <v>61.6</v>
      </c>
      <c r="AQ1668" s="1"/>
      <c r="AR1668" s="1" t="s">
        <v>4644</v>
      </c>
      <c r="AS1668" s="1" t="s">
        <v>19501</v>
      </c>
      <c r="AT1668" s="1" t="s">
        <v>128</v>
      </c>
      <c r="AU1668" s="1" t="s">
        <v>161</v>
      </c>
      <c r="AV1668" s="1">
        <v>64.82</v>
      </c>
      <c r="AW1668" s="1"/>
      <c r="AX1668" s="1" t="s">
        <v>19502</v>
      </c>
      <c r="AY1668" s="1" t="s">
        <v>19503</v>
      </c>
      <c r="AZ1668" s="1" t="s">
        <v>337</v>
      </c>
      <c r="BA1668" s="1" t="s">
        <v>169</v>
      </c>
      <c r="BB1668" s="1">
        <v>72.8</v>
      </c>
      <c r="BC1668" s="1">
        <v>7.78</v>
      </c>
      <c r="BD1668" s="1"/>
      <c r="BE1668" s="1"/>
      <c r="BF1668" s="1"/>
      <c r="BG1668" s="1"/>
      <c r="BH1668" s="1"/>
      <c r="BI1668" s="1"/>
      <c r="BJ1668" s="1" t="s">
        <v>1822</v>
      </c>
      <c r="BK1668" s="1" t="s">
        <v>19504</v>
      </c>
      <c r="BL1668" s="1" t="s">
        <v>3944</v>
      </c>
      <c r="BM1668" s="1" t="s">
        <v>19505</v>
      </c>
      <c r="BN1668" s="1">
        <v>13</v>
      </c>
      <c r="BO1668" s="1" t="s">
        <v>19506</v>
      </c>
      <c r="BP1668" s="1" t="str">
        <f>HYPERLINK("https://nconnect.nicmar.ac.in/storage/profile/ProfilePhoto_P25703070_916348.jpg","Download")</f>
        <v>0</v>
      </c>
      <c r="BQ1668" s="3"/>
      <c r="BR1668" s="3"/>
    </row>
    <row r="1669" spans="1:70">
      <c r="A1669" s="1" t="s">
        <v>16711</v>
      </c>
      <c r="B1669" s="1" t="s">
        <v>441</v>
      </c>
      <c r="C1669" s="1" t="s">
        <v>19507</v>
      </c>
      <c r="D1669" s="1" t="s">
        <v>1096</v>
      </c>
      <c r="E1669" s="1" t="s">
        <v>19508</v>
      </c>
      <c r="F1669" s="1" t="s">
        <v>19509</v>
      </c>
      <c r="G1669" s="1" t="s">
        <v>19510</v>
      </c>
      <c r="H1669" s="1" t="s">
        <v>19511</v>
      </c>
      <c r="I1669" s="1" t="s">
        <v>19512</v>
      </c>
      <c r="J1669" s="1">
        <v>8208743302</v>
      </c>
      <c r="K1669" s="1" t="s">
        <v>79</v>
      </c>
      <c r="L1669" s="1" t="s">
        <v>19513</v>
      </c>
      <c r="M1669" s="1" t="s">
        <v>81</v>
      </c>
      <c r="N1669" s="1" t="s">
        <v>751</v>
      </c>
      <c r="O1669" s="1"/>
      <c r="P1669" s="1" t="s">
        <v>497</v>
      </c>
      <c r="Q1669" s="1" t="s">
        <v>19514</v>
      </c>
      <c r="R1669" s="1" t="s">
        <v>19515</v>
      </c>
      <c r="S1669" s="1">
        <v>9923102205</v>
      </c>
      <c r="T1669" s="1" t="s">
        <v>19516</v>
      </c>
      <c r="U1669" s="1" t="s">
        <v>19517</v>
      </c>
      <c r="V1669" s="1">
        <v>7588156681</v>
      </c>
      <c r="W1669" s="1" t="s">
        <v>156</v>
      </c>
      <c r="X1669" s="1" t="s">
        <v>19518</v>
      </c>
      <c r="Y1669" s="1" t="s">
        <v>91</v>
      </c>
      <c r="Z1669" s="1" t="s">
        <v>92</v>
      </c>
      <c r="AA1669" s="1" t="s">
        <v>19518</v>
      </c>
      <c r="AB1669" s="1" t="s">
        <v>91</v>
      </c>
      <c r="AC1669" s="1" t="s">
        <v>92</v>
      </c>
      <c r="AD1669" s="1" t="s">
        <v>93</v>
      </c>
      <c r="AE1669" s="1" t="s">
        <v>93</v>
      </c>
      <c r="AF1669" s="1" t="s">
        <v>19519</v>
      </c>
      <c r="AG1669" s="1" t="s">
        <v>307</v>
      </c>
      <c r="AH1669" s="1" t="s">
        <v>433</v>
      </c>
      <c r="AI1669" s="1" t="s">
        <v>173</v>
      </c>
      <c r="AJ1669" s="1">
        <v>60.83</v>
      </c>
      <c r="AK1669" s="1"/>
      <c r="AL1669" s="1" t="s">
        <v>7955</v>
      </c>
      <c r="AM1669" s="1" t="s">
        <v>19520</v>
      </c>
      <c r="AN1669" s="1" t="s">
        <v>539</v>
      </c>
      <c r="AO1669" s="1" t="s">
        <v>284</v>
      </c>
      <c r="AP1669" s="1">
        <v>74</v>
      </c>
      <c r="AQ1669" s="1"/>
      <c r="AR1669" s="1"/>
      <c r="AS1669" s="1"/>
      <c r="AT1669" s="1"/>
      <c r="AU1669" s="1"/>
      <c r="AV1669" s="1"/>
      <c r="AW1669" s="1"/>
      <c r="AX1669" s="1" t="s">
        <v>4281</v>
      </c>
      <c r="AY1669" s="1" t="s">
        <v>19521</v>
      </c>
      <c r="AZ1669" s="1" t="s">
        <v>1378</v>
      </c>
      <c r="BA1669" s="1" t="s">
        <v>829</v>
      </c>
      <c r="BB1669" s="1">
        <v>63.6</v>
      </c>
      <c r="BC1669" s="1">
        <v>6.36</v>
      </c>
      <c r="BD1669" s="1"/>
      <c r="BE1669" s="1"/>
      <c r="BF1669" s="1"/>
      <c r="BG1669" s="1"/>
      <c r="BH1669" s="1"/>
      <c r="BI1669" s="1"/>
      <c r="BJ1669" s="1" t="s">
        <v>1822</v>
      </c>
      <c r="BK1669" s="1"/>
      <c r="BL1669" s="1"/>
      <c r="BM1669" s="1" t="s">
        <v>19522</v>
      </c>
      <c r="BN1669" s="1">
        <v>9</v>
      </c>
      <c r="BO1669" s="1"/>
      <c r="BP1669" s="1" t="str">
        <f>HYPERLINK("https://nconnect.nicmar.ac.in/storage/profile/ProfilePhoto_P25703071_927836.jpg","Download")</f>
        <v>0</v>
      </c>
      <c r="BQ1669" s="3"/>
      <c r="BR1669" s="3"/>
    </row>
    <row r="1670" spans="1:70">
      <c r="A1670" s="1" t="s">
        <v>16711</v>
      </c>
      <c r="B1670" s="1" t="s">
        <v>441</v>
      </c>
      <c r="C1670" s="1" t="s">
        <v>19523</v>
      </c>
      <c r="D1670" s="1" t="s">
        <v>19524</v>
      </c>
      <c r="E1670" s="1" t="s">
        <v>12924</v>
      </c>
      <c r="F1670" s="1" t="s">
        <v>1847</v>
      </c>
      <c r="G1670" s="1" t="s">
        <v>19525</v>
      </c>
      <c r="H1670" s="1" t="s">
        <v>19526</v>
      </c>
      <c r="I1670" s="1" t="s">
        <v>19527</v>
      </c>
      <c r="J1670" s="1">
        <v>8108011850</v>
      </c>
      <c r="K1670" s="1" t="s">
        <v>79</v>
      </c>
      <c r="L1670" s="1" t="s">
        <v>19528</v>
      </c>
      <c r="M1670" s="1" t="s">
        <v>81</v>
      </c>
      <c r="N1670" s="1" t="s">
        <v>2424</v>
      </c>
      <c r="O1670" s="1" t="s">
        <v>19529</v>
      </c>
      <c r="P1670" s="1" t="s">
        <v>497</v>
      </c>
      <c r="Q1670" s="1" t="s">
        <v>19530</v>
      </c>
      <c r="R1670" s="1" t="s">
        <v>12924</v>
      </c>
      <c r="S1670" s="1">
        <v>9702542764</v>
      </c>
      <c r="T1670" s="1" t="s">
        <v>632</v>
      </c>
      <c r="U1670" s="1" t="s">
        <v>19531</v>
      </c>
      <c r="V1670" s="1">
        <v>7039284345</v>
      </c>
      <c r="W1670" s="1" t="s">
        <v>89</v>
      </c>
      <c r="X1670" s="1" t="s">
        <v>19532</v>
      </c>
      <c r="Y1670" s="1" t="s">
        <v>2229</v>
      </c>
      <c r="Z1670" s="1" t="s">
        <v>92</v>
      </c>
      <c r="AA1670" s="1" t="s">
        <v>19532</v>
      </c>
      <c r="AB1670" s="1" t="s">
        <v>2229</v>
      </c>
      <c r="AC1670" s="1" t="s">
        <v>92</v>
      </c>
      <c r="AD1670" s="1">
        <v>9.2</v>
      </c>
      <c r="AE1670" s="1" t="s">
        <v>93</v>
      </c>
      <c r="AF1670" s="1" t="s">
        <v>19533</v>
      </c>
      <c r="AG1670" s="1" t="s">
        <v>6253</v>
      </c>
      <c r="AH1670" s="1" t="s">
        <v>2736</v>
      </c>
      <c r="AI1670" s="1" t="s">
        <v>129</v>
      </c>
      <c r="AJ1670" s="1">
        <v>80.6</v>
      </c>
      <c r="AK1670" s="1"/>
      <c r="AL1670" s="1" t="s">
        <v>19534</v>
      </c>
      <c r="AM1670" s="1" t="s">
        <v>6253</v>
      </c>
      <c r="AN1670" s="1" t="s">
        <v>1239</v>
      </c>
      <c r="AO1670" s="1" t="s">
        <v>131</v>
      </c>
      <c r="AP1670" s="1">
        <v>70</v>
      </c>
      <c r="AQ1670" s="1"/>
      <c r="AR1670" s="1"/>
      <c r="AS1670" s="1"/>
      <c r="AT1670" s="1"/>
      <c r="AU1670" s="1"/>
      <c r="AV1670" s="1"/>
      <c r="AW1670" s="1"/>
      <c r="AX1670" s="1" t="s">
        <v>253</v>
      </c>
      <c r="AY1670" s="1" t="s">
        <v>19535</v>
      </c>
      <c r="AZ1670" s="1" t="s">
        <v>131</v>
      </c>
      <c r="BA1670" s="1" t="s">
        <v>308</v>
      </c>
      <c r="BB1670" s="1">
        <v>57.65</v>
      </c>
      <c r="BC1670" s="1">
        <v>6.43</v>
      </c>
      <c r="BD1670" s="1"/>
      <c r="BE1670" s="1"/>
      <c r="BF1670" s="1"/>
      <c r="BG1670" s="1"/>
      <c r="BH1670" s="1"/>
      <c r="BI1670" s="1"/>
      <c r="BJ1670" s="1" t="s">
        <v>19536</v>
      </c>
      <c r="BK1670" s="1" t="s">
        <v>19537</v>
      </c>
      <c r="BL1670" s="1" t="s">
        <v>12833</v>
      </c>
      <c r="BM1670" s="1" t="s">
        <v>19538</v>
      </c>
      <c r="BN1670" s="1">
        <v>19</v>
      </c>
      <c r="BO1670" s="1" t="s">
        <v>19539</v>
      </c>
      <c r="BP1670" s="1" t="str">
        <f>HYPERLINK("https://nconnect.nicmar.ac.in/storage/profile/ProfilePhoto_P25703072_791563.jpg","Download")</f>
        <v>0</v>
      </c>
      <c r="BQ1670" s="3"/>
      <c r="BR1670" s="3"/>
    </row>
    <row r="1671" spans="1:70">
      <c r="A1671" s="1" t="s">
        <v>16711</v>
      </c>
      <c r="B1671" s="1" t="s">
        <v>441</v>
      </c>
      <c r="C1671" s="1" t="s">
        <v>19540</v>
      </c>
      <c r="D1671" s="1" t="s">
        <v>2838</v>
      </c>
      <c r="E1671" s="1" t="s">
        <v>5672</v>
      </c>
      <c r="F1671" s="1" t="s">
        <v>1156</v>
      </c>
      <c r="G1671" s="1" t="s">
        <v>19541</v>
      </c>
      <c r="H1671" s="1" t="s">
        <v>19542</v>
      </c>
      <c r="I1671" s="1" t="s">
        <v>19543</v>
      </c>
      <c r="J1671" s="1">
        <v>7743859567</v>
      </c>
      <c r="K1671" s="1" t="s">
        <v>79</v>
      </c>
      <c r="L1671" s="1" t="s">
        <v>19544</v>
      </c>
      <c r="M1671" s="1" t="s">
        <v>81</v>
      </c>
      <c r="N1671" s="1" t="s">
        <v>4976</v>
      </c>
      <c r="O1671" s="1"/>
      <c r="P1671" s="1" t="s">
        <v>450</v>
      </c>
      <c r="Q1671" s="1" t="s">
        <v>19545</v>
      </c>
      <c r="R1671" s="1" t="s">
        <v>19546</v>
      </c>
      <c r="S1671" s="1">
        <v>9422181910</v>
      </c>
      <c r="T1671" s="1" t="s">
        <v>820</v>
      </c>
      <c r="U1671" s="1" t="s">
        <v>19547</v>
      </c>
      <c r="V1671" s="1">
        <v>9422324187</v>
      </c>
      <c r="W1671" s="1" t="s">
        <v>2972</v>
      </c>
      <c r="X1671" s="1" t="s">
        <v>19548</v>
      </c>
      <c r="Y1671" s="1" t="s">
        <v>191</v>
      </c>
      <c r="Z1671" s="1" t="s">
        <v>92</v>
      </c>
      <c r="AA1671" s="1" t="s">
        <v>19549</v>
      </c>
      <c r="AB1671" s="1" t="s">
        <v>246</v>
      </c>
      <c r="AC1671" s="1" t="s">
        <v>92</v>
      </c>
      <c r="AD1671" s="1">
        <v>7.2</v>
      </c>
      <c r="AE1671" s="1" t="s">
        <v>93</v>
      </c>
      <c r="AF1671" s="1" t="s">
        <v>19550</v>
      </c>
      <c r="AG1671" s="1" t="s">
        <v>1576</v>
      </c>
      <c r="AH1671" s="1" t="s">
        <v>614</v>
      </c>
      <c r="AI1671" s="1" t="s">
        <v>195</v>
      </c>
      <c r="AJ1671" s="1">
        <v>73.2</v>
      </c>
      <c r="AK1671" s="1">
        <v>0</v>
      </c>
      <c r="AL1671" s="1" t="s">
        <v>19551</v>
      </c>
      <c r="AM1671" s="1" t="s">
        <v>1576</v>
      </c>
      <c r="AN1671" s="1" t="s">
        <v>166</v>
      </c>
      <c r="AO1671" s="1" t="s">
        <v>198</v>
      </c>
      <c r="AP1671" s="1">
        <v>66.77</v>
      </c>
      <c r="AQ1671" s="1">
        <v>0</v>
      </c>
      <c r="AR1671" s="1"/>
      <c r="AS1671" s="1"/>
      <c r="AT1671" s="1"/>
      <c r="AU1671" s="1"/>
      <c r="AV1671" s="1"/>
      <c r="AW1671" s="1"/>
      <c r="AX1671" s="1" t="s">
        <v>19343</v>
      </c>
      <c r="AY1671" s="1" t="s">
        <v>19552</v>
      </c>
      <c r="AZ1671" s="1" t="s">
        <v>1019</v>
      </c>
      <c r="BA1671" s="1" t="s">
        <v>413</v>
      </c>
      <c r="BB1671" s="1">
        <v>77.1</v>
      </c>
      <c r="BC1671" s="1">
        <v>7.7</v>
      </c>
      <c r="BD1671" s="1"/>
      <c r="BE1671" s="1"/>
      <c r="BF1671" s="1"/>
      <c r="BG1671" s="1"/>
      <c r="BH1671" s="1"/>
      <c r="BI1671" s="1"/>
      <c r="BJ1671" s="1" t="s">
        <v>1822</v>
      </c>
      <c r="BK1671" s="1"/>
      <c r="BL1671" s="1"/>
      <c r="BM1671" s="1" t="s">
        <v>19553</v>
      </c>
      <c r="BN1671" s="1">
        <v>66</v>
      </c>
      <c r="BO1671" s="1" t="s">
        <v>19554</v>
      </c>
      <c r="BP1671" s="1" t="str">
        <f>HYPERLINK("https://nconnect.nicmar.ac.in/storage/profile/ProfilePhoto_P25703073_853419.jpg","Download")</f>
        <v>0</v>
      </c>
      <c r="BQ1671" s="3"/>
      <c r="BR1671" s="3"/>
    </row>
    <row r="1672" spans="1:70">
      <c r="A1672" s="1" t="s">
        <v>16711</v>
      </c>
      <c r="B1672" s="1" t="s">
        <v>441</v>
      </c>
      <c r="C1672" s="1" t="s">
        <v>19555</v>
      </c>
      <c r="D1672" s="1" t="s">
        <v>4712</v>
      </c>
      <c r="E1672" s="1" t="s">
        <v>19556</v>
      </c>
      <c r="F1672" s="1" t="s">
        <v>6802</v>
      </c>
      <c r="G1672" s="1" t="s">
        <v>19557</v>
      </c>
      <c r="H1672" s="1" t="s">
        <v>19558</v>
      </c>
      <c r="I1672" s="1" t="s">
        <v>19559</v>
      </c>
      <c r="J1672" s="1">
        <v>7517880354</v>
      </c>
      <c r="K1672" s="1" t="s">
        <v>79</v>
      </c>
      <c r="L1672" s="1" t="s">
        <v>19560</v>
      </c>
      <c r="M1672" s="1" t="s">
        <v>81</v>
      </c>
      <c r="N1672" s="1" t="s">
        <v>5476</v>
      </c>
      <c r="O1672" s="1"/>
      <c r="P1672" s="1" t="s">
        <v>1007</v>
      </c>
      <c r="Q1672" s="1" t="s">
        <v>19561</v>
      </c>
      <c r="R1672" s="1" t="s">
        <v>19562</v>
      </c>
      <c r="S1672" s="1">
        <v>7774964929</v>
      </c>
      <c r="T1672" s="1" t="s">
        <v>19563</v>
      </c>
      <c r="U1672" s="1" t="s">
        <v>19564</v>
      </c>
      <c r="V1672" s="1">
        <v>9226466945</v>
      </c>
      <c r="W1672" s="1" t="s">
        <v>19563</v>
      </c>
      <c r="X1672" s="1" t="s">
        <v>19565</v>
      </c>
      <c r="Y1672" s="1" t="s">
        <v>2678</v>
      </c>
      <c r="Z1672" s="1" t="s">
        <v>92</v>
      </c>
      <c r="AA1672" s="1" t="s">
        <v>19565</v>
      </c>
      <c r="AB1672" s="1" t="s">
        <v>2678</v>
      </c>
      <c r="AC1672" s="1" t="s">
        <v>92</v>
      </c>
      <c r="AD1672" s="1" t="s">
        <v>93</v>
      </c>
      <c r="AE1672" s="1" t="s">
        <v>93</v>
      </c>
      <c r="AF1672" s="1" t="s">
        <v>19566</v>
      </c>
      <c r="AG1672" s="1" t="s">
        <v>19567</v>
      </c>
      <c r="AH1672" s="1" t="s">
        <v>165</v>
      </c>
      <c r="AI1672" s="1" t="s">
        <v>281</v>
      </c>
      <c r="AJ1672" s="1">
        <v>81.2</v>
      </c>
      <c r="AK1672" s="1"/>
      <c r="AL1672" s="1" t="s">
        <v>19568</v>
      </c>
      <c r="AM1672" s="1" t="s">
        <v>19569</v>
      </c>
      <c r="AN1672" s="1" t="s">
        <v>433</v>
      </c>
      <c r="AO1672" s="1" t="s">
        <v>360</v>
      </c>
      <c r="AP1672" s="1">
        <v>72.31</v>
      </c>
      <c r="AQ1672" s="1"/>
      <c r="AR1672" s="1"/>
      <c r="AS1672" s="1"/>
      <c r="AT1672" s="1"/>
      <c r="AU1672" s="1"/>
      <c r="AV1672" s="1"/>
      <c r="AW1672" s="1"/>
      <c r="AX1672" s="1" t="s">
        <v>19570</v>
      </c>
      <c r="AY1672" s="1" t="s">
        <v>19571</v>
      </c>
      <c r="AZ1672" s="1" t="s">
        <v>1148</v>
      </c>
      <c r="BA1672" s="1" t="s">
        <v>543</v>
      </c>
      <c r="BB1672" s="1">
        <v>70.6</v>
      </c>
      <c r="BC1672" s="1">
        <v>7.06</v>
      </c>
      <c r="BD1672" s="1"/>
      <c r="BE1672" s="1"/>
      <c r="BF1672" s="1"/>
      <c r="BG1672" s="1"/>
      <c r="BH1672" s="1"/>
      <c r="BI1672" s="1"/>
      <c r="BJ1672" s="1" t="s">
        <v>19572</v>
      </c>
      <c r="BK1672" s="1"/>
      <c r="BL1672" s="1"/>
      <c r="BM1672" s="1" t="s">
        <v>19573</v>
      </c>
      <c r="BN1672" s="1">
        <v>7</v>
      </c>
      <c r="BO1672" s="1" t="s">
        <v>9910</v>
      </c>
      <c r="BP1672" s="1" t="str">
        <f>HYPERLINK("https://nconnect.nicmar.ac.in/storage/profile/ProfilePhoto_P25703075_735968.jpg","Download")</f>
        <v>0</v>
      </c>
      <c r="BQ1672" s="3"/>
      <c r="BR1672" s="3"/>
    </row>
    <row r="1673" spans="1:70">
      <c r="A1673" s="1" t="s">
        <v>16711</v>
      </c>
      <c r="B1673" s="1" t="s">
        <v>441</v>
      </c>
      <c r="C1673" s="1" t="s">
        <v>19574</v>
      </c>
      <c r="D1673" s="1" t="s">
        <v>11051</v>
      </c>
      <c r="E1673" s="1"/>
      <c r="F1673" s="1" t="s">
        <v>19575</v>
      </c>
      <c r="G1673" s="1" t="s">
        <v>19576</v>
      </c>
      <c r="H1673" s="1" t="s">
        <v>19577</v>
      </c>
      <c r="I1673" s="1" t="s">
        <v>19578</v>
      </c>
      <c r="J1673" s="1">
        <v>7752901132</v>
      </c>
      <c r="K1673" s="1" t="s">
        <v>79</v>
      </c>
      <c r="L1673" s="1" t="s">
        <v>19579</v>
      </c>
      <c r="M1673" s="1" t="s">
        <v>81</v>
      </c>
      <c r="N1673" s="1" t="s">
        <v>4289</v>
      </c>
      <c r="O1673" s="1"/>
      <c r="P1673" s="1" t="s">
        <v>497</v>
      </c>
      <c r="Q1673" s="1" t="s">
        <v>19580</v>
      </c>
      <c r="R1673" s="1" t="s">
        <v>19581</v>
      </c>
      <c r="S1673" s="1">
        <v>9648776435</v>
      </c>
      <c r="T1673" s="1" t="s">
        <v>154</v>
      </c>
      <c r="U1673" s="1" t="s">
        <v>19582</v>
      </c>
      <c r="V1673" s="1">
        <v>9235361317</v>
      </c>
      <c r="W1673" s="1" t="s">
        <v>273</v>
      </c>
      <c r="X1673" s="1" t="s">
        <v>19583</v>
      </c>
      <c r="Y1673" s="1" t="s">
        <v>19498</v>
      </c>
      <c r="Z1673" s="1" t="s">
        <v>534</v>
      </c>
      <c r="AA1673" s="1" t="s">
        <v>19583</v>
      </c>
      <c r="AB1673" s="1" t="s">
        <v>19498</v>
      </c>
      <c r="AC1673" s="1" t="s">
        <v>534</v>
      </c>
      <c r="AD1673" s="1" t="s">
        <v>93</v>
      </c>
      <c r="AE1673" s="1" t="s">
        <v>93</v>
      </c>
      <c r="AF1673" s="1" t="s">
        <v>18310</v>
      </c>
      <c r="AG1673" s="1" t="s">
        <v>19584</v>
      </c>
      <c r="AH1673" s="1" t="s">
        <v>310</v>
      </c>
      <c r="AI1673" s="1" t="s">
        <v>1019</v>
      </c>
      <c r="AJ1673" s="1">
        <v>56</v>
      </c>
      <c r="AK1673" s="1"/>
      <c r="AL1673" s="1" t="s">
        <v>19585</v>
      </c>
      <c r="AM1673" s="1" t="s">
        <v>307</v>
      </c>
      <c r="AN1673" s="1" t="s">
        <v>2273</v>
      </c>
      <c r="AO1673" s="1" t="s">
        <v>1777</v>
      </c>
      <c r="AP1673" s="1">
        <v>51.16</v>
      </c>
      <c r="AQ1673" s="1"/>
      <c r="AR1673" s="1"/>
      <c r="AS1673" s="1"/>
      <c r="AT1673" s="1"/>
      <c r="AU1673" s="1"/>
      <c r="AV1673" s="1"/>
      <c r="AW1673" s="1"/>
      <c r="AX1673" s="1" t="s">
        <v>19586</v>
      </c>
      <c r="AY1673" s="1" t="s">
        <v>19587</v>
      </c>
      <c r="AZ1673" s="1" t="s">
        <v>105</v>
      </c>
      <c r="BA1673" s="1" t="s">
        <v>1379</v>
      </c>
      <c r="BB1673" s="1">
        <v>60.32</v>
      </c>
      <c r="BC1673" s="1">
        <v>6.35</v>
      </c>
      <c r="BD1673" s="1"/>
      <c r="BE1673" s="1"/>
      <c r="BF1673" s="1"/>
      <c r="BG1673" s="1"/>
      <c r="BH1673" s="1"/>
      <c r="BI1673" s="1"/>
      <c r="BJ1673" s="1" t="s">
        <v>3326</v>
      </c>
      <c r="BK1673" s="1"/>
      <c r="BL1673" s="1"/>
      <c r="BM1673" s="1"/>
      <c r="BN1673" s="1"/>
      <c r="BO1673" s="1" t="s">
        <v>19588</v>
      </c>
      <c r="BP1673" s="1" t="str">
        <f>HYPERLINK("https://nconnect.nicmar.ac.in/storage/profile/ProfilePhoto_P25703076_758314.jpg","Download")</f>
        <v>0</v>
      </c>
      <c r="BQ1673" s="3"/>
      <c r="BR1673" s="3"/>
    </row>
    <row r="1674" spans="1:70">
      <c r="A1674" s="1" t="s">
        <v>16711</v>
      </c>
      <c r="B1674" s="1" t="s">
        <v>441</v>
      </c>
      <c r="C1674" s="1" t="s">
        <v>19589</v>
      </c>
      <c r="D1674" s="1" t="s">
        <v>181</v>
      </c>
      <c r="E1674" s="1" t="s">
        <v>19590</v>
      </c>
      <c r="F1674" s="1" t="s">
        <v>7978</v>
      </c>
      <c r="G1674" s="1" t="s">
        <v>19591</v>
      </c>
      <c r="H1674" s="1" t="s">
        <v>19592</v>
      </c>
      <c r="I1674" s="1" t="s">
        <v>19593</v>
      </c>
      <c r="J1674" s="1">
        <v>8830177969</v>
      </c>
      <c r="K1674" s="1" t="s">
        <v>79</v>
      </c>
      <c r="L1674" s="1" t="s">
        <v>19594</v>
      </c>
      <c r="M1674" s="1" t="s">
        <v>81</v>
      </c>
      <c r="N1674" s="1" t="s">
        <v>605</v>
      </c>
      <c r="O1674" s="1"/>
      <c r="P1674" s="1" t="s">
        <v>450</v>
      </c>
      <c r="Q1674" s="1" t="s">
        <v>19595</v>
      </c>
      <c r="R1674" s="1" t="s">
        <v>19590</v>
      </c>
      <c r="S1674" s="1">
        <v>9822213592</v>
      </c>
      <c r="T1674" s="1" t="s">
        <v>820</v>
      </c>
      <c r="U1674" s="1" t="s">
        <v>19596</v>
      </c>
      <c r="V1674" s="1">
        <v>8007177969</v>
      </c>
      <c r="W1674" s="1" t="s">
        <v>156</v>
      </c>
      <c r="X1674" s="1" t="s">
        <v>19597</v>
      </c>
      <c r="Y1674" s="1" t="s">
        <v>191</v>
      </c>
      <c r="Z1674" s="1" t="s">
        <v>92</v>
      </c>
      <c r="AA1674" s="1" t="s">
        <v>19597</v>
      </c>
      <c r="AB1674" s="1" t="s">
        <v>191</v>
      </c>
      <c r="AC1674" s="1" t="s">
        <v>92</v>
      </c>
      <c r="AD1674" s="1">
        <v>8.13</v>
      </c>
      <c r="AE1674" s="1" t="s">
        <v>93</v>
      </c>
      <c r="AF1674" s="1" t="s">
        <v>19598</v>
      </c>
      <c r="AG1674" s="1" t="s">
        <v>307</v>
      </c>
      <c r="AH1674" s="1" t="s">
        <v>481</v>
      </c>
      <c r="AI1674" s="1" t="s">
        <v>308</v>
      </c>
      <c r="AJ1674" s="1">
        <v>77.8</v>
      </c>
      <c r="AK1674" s="1"/>
      <c r="AL1674" s="1" t="s">
        <v>13516</v>
      </c>
      <c r="AM1674" s="1" t="s">
        <v>19599</v>
      </c>
      <c r="AN1674" s="1" t="s">
        <v>201</v>
      </c>
      <c r="AO1674" s="1" t="s">
        <v>436</v>
      </c>
      <c r="AP1674" s="1">
        <v>87.17</v>
      </c>
      <c r="AQ1674" s="1"/>
      <c r="AR1674" s="1"/>
      <c r="AS1674" s="1"/>
      <c r="AT1674" s="1"/>
      <c r="AU1674" s="1"/>
      <c r="AV1674" s="1"/>
      <c r="AW1674" s="1"/>
      <c r="AX1674" s="1" t="s">
        <v>17056</v>
      </c>
      <c r="AY1674" s="1" t="s">
        <v>17056</v>
      </c>
      <c r="AZ1674" s="1" t="s">
        <v>436</v>
      </c>
      <c r="BA1674" s="1" t="s">
        <v>413</v>
      </c>
      <c r="BB1674" s="1">
        <v>83.66</v>
      </c>
      <c r="BC1674" s="1">
        <v>8.36</v>
      </c>
      <c r="BD1674" s="1"/>
      <c r="BE1674" s="1"/>
      <c r="BF1674" s="1"/>
      <c r="BG1674" s="1"/>
      <c r="BH1674" s="1"/>
      <c r="BI1674" s="1"/>
      <c r="BJ1674" s="1" t="s">
        <v>1822</v>
      </c>
      <c r="BK1674" s="1"/>
      <c r="BL1674" s="1"/>
      <c r="BM1674" s="1" t="s">
        <v>19600</v>
      </c>
      <c r="BN1674" s="1">
        <v>45</v>
      </c>
      <c r="BO1674" s="1"/>
      <c r="BP1674" s="1" t="str">
        <f>HYPERLINK("https://nconnect.nicmar.ac.in/storage/profile/ProfilePhoto_P25703077_591873.jpg","Download")</f>
        <v>0</v>
      </c>
      <c r="BQ1674" s="3"/>
      <c r="BR1674" s="3"/>
    </row>
    <row r="1675" spans="1:70">
      <c r="A1675" s="1" t="s">
        <v>16711</v>
      </c>
      <c r="B1675" s="1" t="s">
        <v>441</v>
      </c>
      <c r="C1675" s="1" t="s">
        <v>19601</v>
      </c>
      <c r="D1675" s="1" t="s">
        <v>8577</v>
      </c>
      <c r="E1675" s="1" t="s">
        <v>19602</v>
      </c>
      <c r="F1675" s="1" t="s">
        <v>1847</v>
      </c>
      <c r="G1675" s="1" t="s">
        <v>19603</v>
      </c>
      <c r="H1675" s="1" t="s">
        <v>19604</v>
      </c>
      <c r="I1675" s="1" t="s">
        <v>19605</v>
      </c>
      <c r="J1675" s="1">
        <v>9373435275</v>
      </c>
      <c r="K1675" s="1" t="s">
        <v>148</v>
      </c>
      <c r="L1675" s="1" t="s">
        <v>19606</v>
      </c>
      <c r="M1675" s="1" t="s">
        <v>81</v>
      </c>
      <c r="N1675" s="1" t="s">
        <v>1140</v>
      </c>
      <c r="O1675" s="1" t="s">
        <v>19607</v>
      </c>
      <c r="P1675" s="1" t="s">
        <v>450</v>
      </c>
      <c r="Q1675" s="1" t="s">
        <v>19608</v>
      </c>
      <c r="R1675" s="1" t="s">
        <v>19602</v>
      </c>
      <c r="S1675" s="1">
        <v>9730160532</v>
      </c>
      <c r="T1675" s="1" t="s">
        <v>154</v>
      </c>
      <c r="U1675" s="1" t="s">
        <v>1103</v>
      </c>
      <c r="V1675" s="1">
        <v>9503840633</v>
      </c>
      <c r="W1675" s="1" t="s">
        <v>156</v>
      </c>
      <c r="X1675" s="1" t="s">
        <v>19609</v>
      </c>
      <c r="Y1675" s="1" t="s">
        <v>1012</v>
      </c>
      <c r="Z1675" s="1" t="s">
        <v>92</v>
      </c>
      <c r="AA1675" s="1" t="s">
        <v>19609</v>
      </c>
      <c r="AB1675" s="1" t="s">
        <v>1012</v>
      </c>
      <c r="AC1675" s="1" t="s">
        <v>92</v>
      </c>
      <c r="AD1675" s="1" t="s">
        <v>93</v>
      </c>
      <c r="AE1675" s="1" t="s">
        <v>93</v>
      </c>
      <c r="AF1675" s="1" t="s">
        <v>19610</v>
      </c>
      <c r="AG1675" s="1" t="s">
        <v>19611</v>
      </c>
      <c r="AH1675" s="1" t="s">
        <v>433</v>
      </c>
      <c r="AI1675" s="1" t="s">
        <v>590</v>
      </c>
      <c r="AJ1675" s="1">
        <v>84.8</v>
      </c>
      <c r="AK1675" s="1">
        <v>0</v>
      </c>
      <c r="AL1675" s="1" t="s">
        <v>19612</v>
      </c>
      <c r="AM1675" s="1" t="s">
        <v>19611</v>
      </c>
      <c r="AN1675" s="1" t="s">
        <v>828</v>
      </c>
      <c r="AO1675" s="1" t="s">
        <v>1861</v>
      </c>
      <c r="AP1675" s="1">
        <v>72.33</v>
      </c>
      <c r="AQ1675" s="1">
        <v>0</v>
      </c>
      <c r="AR1675" s="1"/>
      <c r="AS1675" s="1"/>
      <c r="AT1675" s="1"/>
      <c r="AU1675" s="1"/>
      <c r="AV1675" s="1"/>
      <c r="AW1675" s="1"/>
      <c r="AX1675" s="1" t="s">
        <v>7072</v>
      </c>
      <c r="AY1675" s="1" t="s">
        <v>19613</v>
      </c>
      <c r="AZ1675" s="1" t="s">
        <v>284</v>
      </c>
      <c r="BA1675" s="1" t="s">
        <v>829</v>
      </c>
      <c r="BB1675" s="1">
        <v>74.98</v>
      </c>
      <c r="BC1675" s="1">
        <v>8.03</v>
      </c>
      <c r="BD1675" s="1"/>
      <c r="BE1675" s="1"/>
      <c r="BF1675" s="1"/>
      <c r="BG1675" s="1"/>
      <c r="BH1675" s="1"/>
      <c r="BI1675" s="1"/>
      <c r="BJ1675" s="1" t="s">
        <v>19614</v>
      </c>
      <c r="BK1675" s="1"/>
      <c r="BL1675" s="1"/>
      <c r="BM1675" s="1"/>
      <c r="BN1675" s="1"/>
      <c r="BO1675" s="1"/>
      <c r="BP1675" s="1" t="str">
        <f>HYPERLINK("https://nconnect.nicmar.ac.in/storage/profile/ProfilePhoto_P25703078_978462.jpg","Download")</f>
        <v>0</v>
      </c>
      <c r="BQ1675" s="3"/>
      <c r="BR1675" s="3"/>
    </row>
    <row r="1676" spans="1:70">
      <c r="A1676" s="1" t="s">
        <v>16711</v>
      </c>
      <c r="B1676" s="1" t="s">
        <v>441</v>
      </c>
      <c r="C1676" s="1" t="s">
        <v>19615</v>
      </c>
      <c r="D1676" s="1" t="s">
        <v>1025</v>
      </c>
      <c r="E1676" s="1" t="s">
        <v>2071</v>
      </c>
      <c r="F1676" s="1" t="s">
        <v>1847</v>
      </c>
      <c r="G1676" s="1" t="s">
        <v>19616</v>
      </c>
      <c r="H1676" s="1" t="s">
        <v>19617</v>
      </c>
      <c r="I1676" s="1" t="s">
        <v>19618</v>
      </c>
      <c r="J1676" s="1">
        <v>7558235037</v>
      </c>
      <c r="K1676" s="1" t="s">
        <v>79</v>
      </c>
      <c r="L1676" s="1" t="s">
        <v>19619</v>
      </c>
      <c r="M1676" s="1" t="s">
        <v>81</v>
      </c>
      <c r="N1676" s="1" t="s">
        <v>605</v>
      </c>
      <c r="O1676" s="1"/>
      <c r="P1676" s="1" t="s">
        <v>450</v>
      </c>
      <c r="Q1676" s="1" t="s">
        <v>19620</v>
      </c>
      <c r="R1676" s="1" t="s">
        <v>5744</v>
      </c>
      <c r="S1676" s="1">
        <v>9422037003</v>
      </c>
      <c r="T1676" s="1" t="s">
        <v>6725</v>
      </c>
      <c r="U1676" s="1" t="s">
        <v>19621</v>
      </c>
      <c r="V1676" s="1">
        <v>9922770998</v>
      </c>
      <c r="W1676" s="1" t="s">
        <v>156</v>
      </c>
      <c r="X1676" s="1" t="s">
        <v>19622</v>
      </c>
      <c r="Y1676" s="1" t="s">
        <v>1963</v>
      </c>
      <c r="Z1676" s="1" t="s">
        <v>92</v>
      </c>
      <c r="AA1676" s="1" t="s">
        <v>19622</v>
      </c>
      <c r="AB1676" s="1" t="s">
        <v>1963</v>
      </c>
      <c r="AC1676" s="1" t="s">
        <v>92</v>
      </c>
      <c r="AD1676" s="1">
        <v>7.61</v>
      </c>
      <c r="AE1676" s="1" t="s">
        <v>93</v>
      </c>
      <c r="AF1676" s="1" t="s">
        <v>19623</v>
      </c>
      <c r="AG1676" s="1" t="s">
        <v>19624</v>
      </c>
      <c r="AH1676" s="1" t="s">
        <v>281</v>
      </c>
      <c r="AI1676" s="1" t="s">
        <v>409</v>
      </c>
      <c r="AJ1676" s="1">
        <v>89.2</v>
      </c>
      <c r="AK1676" s="1"/>
      <c r="AL1676" s="1" t="s">
        <v>19625</v>
      </c>
      <c r="AM1676" s="1" t="s">
        <v>19626</v>
      </c>
      <c r="AN1676" s="1" t="s">
        <v>433</v>
      </c>
      <c r="AO1676" s="1" t="s">
        <v>828</v>
      </c>
      <c r="AP1676" s="1">
        <v>81.67</v>
      </c>
      <c r="AQ1676" s="1"/>
      <c r="AR1676" s="1"/>
      <c r="AS1676" s="1"/>
      <c r="AT1676" s="1"/>
      <c r="AU1676" s="1"/>
      <c r="AV1676" s="1"/>
      <c r="AW1676" s="1"/>
      <c r="AX1676" s="1" t="s">
        <v>1017</v>
      </c>
      <c r="AY1676" s="1" t="s">
        <v>19627</v>
      </c>
      <c r="AZ1676" s="1" t="s">
        <v>436</v>
      </c>
      <c r="BA1676" s="1" t="s">
        <v>829</v>
      </c>
      <c r="BB1676" s="1">
        <v>72.1</v>
      </c>
      <c r="BC1676" s="1">
        <v>7.71</v>
      </c>
      <c r="BD1676" s="1"/>
      <c r="BE1676" s="1"/>
      <c r="BF1676" s="1"/>
      <c r="BG1676" s="1"/>
      <c r="BH1676" s="1"/>
      <c r="BI1676" s="1"/>
      <c r="BJ1676" s="1" t="s">
        <v>19628</v>
      </c>
      <c r="BK1676" s="1"/>
      <c r="BL1676" s="1"/>
      <c r="BM1676" s="1" t="s">
        <v>19629</v>
      </c>
      <c r="BN1676" s="1">
        <v>20</v>
      </c>
      <c r="BO1676" s="1"/>
      <c r="BP1676" s="1" t="str">
        <f>HYPERLINK("https://nconnect.nicmar.ac.in/storage/profile/ProfilePhoto_P25703080_396475.jpg","Download")</f>
        <v>0</v>
      </c>
      <c r="BQ1676" s="3"/>
      <c r="BR1676" s="3"/>
    </row>
    <row r="1677" spans="1:70">
      <c r="A1677" s="1" t="s">
        <v>16711</v>
      </c>
      <c r="B1677" s="1" t="s">
        <v>441</v>
      </c>
      <c r="C1677" s="1" t="s">
        <v>19630</v>
      </c>
      <c r="D1677" s="1" t="s">
        <v>13629</v>
      </c>
      <c r="E1677" s="1" t="s">
        <v>5755</v>
      </c>
      <c r="F1677" s="1" t="s">
        <v>236</v>
      </c>
      <c r="G1677" s="1" t="s">
        <v>19631</v>
      </c>
      <c r="H1677" s="1" t="s">
        <v>19632</v>
      </c>
      <c r="I1677" s="1" t="s">
        <v>19632</v>
      </c>
      <c r="J1677" s="1">
        <v>7378759253</v>
      </c>
      <c r="K1677" s="1" t="s">
        <v>79</v>
      </c>
      <c r="L1677" s="1" t="s">
        <v>19633</v>
      </c>
      <c r="M1677" s="1" t="s">
        <v>81</v>
      </c>
      <c r="N1677" s="1" t="s">
        <v>751</v>
      </c>
      <c r="O1677" s="1"/>
      <c r="P1677" s="1" t="s">
        <v>472</v>
      </c>
      <c r="Q1677" s="1" t="s">
        <v>19634</v>
      </c>
      <c r="R1677" s="1" t="s">
        <v>19635</v>
      </c>
      <c r="S1677" s="1">
        <v>9403558646</v>
      </c>
      <c r="T1677" s="1" t="s">
        <v>122</v>
      </c>
      <c r="U1677" s="1" t="s">
        <v>19636</v>
      </c>
      <c r="V1677" s="1">
        <v>9403558646</v>
      </c>
      <c r="W1677" s="1" t="s">
        <v>19637</v>
      </c>
      <c r="X1677" s="1" t="s">
        <v>19638</v>
      </c>
      <c r="Y1677" s="1" t="s">
        <v>6127</v>
      </c>
      <c r="Z1677" s="1" t="s">
        <v>92</v>
      </c>
      <c r="AA1677" s="1" t="s">
        <v>19638</v>
      </c>
      <c r="AB1677" s="1" t="s">
        <v>6127</v>
      </c>
      <c r="AC1677" s="1" t="s">
        <v>92</v>
      </c>
      <c r="AD1677" s="1">
        <v>8.83</v>
      </c>
      <c r="AE1677" s="1" t="s">
        <v>93</v>
      </c>
      <c r="AF1677" s="1" t="s">
        <v>18914</v>
      </c>
      <c r="AG1677" s="1" t="s">
        <v>2755</v>
      </c>
      <c r="AH1677" s="1" t="s">
        <v>162</v>
      </c>
      <c r="AI1677" s="1" t="s">
        <v>195</v>
      </c>
      <c r="AJ1677" s="1">
        <v>74.8</v>
      </c>
      <c r="AK1677" s="1"/>
      <c r="AL1677" s="1" t="s">
        <v>19639</v>
      </c>
      <c r="AM1677" s="1" t="s">
        <v>1942</v>
      </c>
      <c r="AN1677" s="1" t="s">
        <v>166</v>
      </c>
      <c r="AO1677" s="1" t="s">
        <v>198</v>
      </c>
      <c r="AP1677" s="1">
        <v>67.69</v>
      </c>
      <c r="AQ1677" s="1"/>
      <c r="AR1677" s="1"/>
      <c r="AS1677" s="1"/>
      <c r="AT1677" s="1"/>
      <c r="AU1677" s="1"/>
      <c r="AV1677" s="1"/>
      <c r="AW1677" s="1"/>
      <c r="AX1677" s="1" t="s">
        <v>3193</v>
      </c>
      <c r="AY1677" s="1" t="s">
        <v>19640</v>
      </c>
      <c r="AZ1677" s="1" t="s">
        <v>201</v>
      </c>
      <c r="BA1677" s="1" t="s">
        <v>229</v>
      </c>
      <c r="BB1677" s="1">
        <v>72.8</v>
      </c>
      <c r="BC1677" s="1">
        <v>8.18</v>
      </c>
      <c r="BD1677" s="1"/>
      <c r="BE1677" s="1"/>
      <c r="BF1677" s="1"/>
      <c r="BG1677" s="1"/>
      <c r="BH1677" s="1"/>
      <c r="BI1677" s="1"/>
      <c r="BJ1677" s="1" t="s">
        <v>19641</v>
      </c>
      <c r="BK1677" s="1" t="s">
        <v>19642</v>
      </c>
      <c r="BL1677" s="1" t="s">
        <v>1048</v>
      </c>
      <c r="BM1677" s="1" t="s">
        <v>19643</v>
      </c>
      <c r="BN1677" s="1">
        <v>8</v>
      </c>
      <c r="BO1677" s="1"/>
      <c r="BP1677" s="1" t="str">
        <f>HYPERLINK("https://nconnect.nicmar.ac.in/storage/profile/ProfilePhoto_P25703036_347852.jpg","Download")</f>
        <v>0</v>
      </c>
      <c r="BQ1677" s="3"/>
      <c r="BR1677" s="3"/>
    </row>
    <row r="1678" spans="1:70">
      <c r="A1678" s="1" t="s">
        <v>19644</v>
      </c>
      <c r="B1678" s="1" t="s">
        <v>441</v>
      </c>
      <c r="C1678" s="1" t="s">
        <v>19645</v>
      </c>
      <c r="D1678" s="1" t="s">
        <v>3237</v>
      </c>
      <c r="E1678" s="1" t="s">
        <v>19646</v>
      </c>
      <c r="F1678" s="1" t="s">
        <v>5843</v>
      </c>
      <c r="G1678" s="1" t="s">
        <v>19647</v>
      </c>
      <c r="H1678" s="1" t="s">
        <v>19648</v>
      </c>
      <c r="I1678" s="1" t="s">
        <v>19649</v>
      </c>
      <c r="J1678" s="1">
        <v>7397991328</v>
      </c>
      <c r="K1678" s="1" t="s">
        <v>79</v>
      </c>
      <c r="L1678" s="1" t="s">
        <v>19650</v>
      </c>
      <c r="M1678" s="1" t="s">
        <v>81</v>
      </c>
      <c r="N1678" s="1" t="s">
        <v>3587</v>
      </c>
      <c r="O1678" s="1" t="s">
        <v>152</v>
      </c>
      <c r="P1678" s="1" t="s">
        <v>497</v>
      </c>
      <c r="Q1678" s="1" t="s">
        <v>19651</v>
      </c>
      <c r="R1678" s="1" t="s">
        <v>19652</v>
      </c>
      <c r="S1678" s="1">
        <v>7030701647</v>
      </c>
      <c r="T1678" s="1" t="s">
        <v>19653</v>
      </c>
      <c r="U1678" s="1" t="s">
        <v>19654</v>
      </c>
      <c r="V1678" s="1">
        <v>9922014858</v>
      </c>
      <c r="W1678" s="1" t="s">
        <v>273</v>
      </c>
      <c r="X1678" s="1" t="s">
        <v>19655</v>
      </c>
      <c r="Y1678" s="1" t="s">
        <v>191</v>
      </c>
      <c r="Z1678" s="1" t="s">
        <v>92</v>
      </c>
      <c r="AA1678" s="1" t="s">
        <v>19655</v>
      </c>
      <c r="AB1678" s="1" t="s">
        <v>191</v>
      </c>
      <c r="AC1678" s="1" t="s">
        <v>92</v>
      </c>
      <c r="AD1678" s="1">
        <v>8.65</v>
      </c>
      <c r="AE1678" s="1" t="s">
        <v>93</v>
      </c>
      <c r="AF1678" s="1" t="s">
        <v>19656</v>
      </c>
      <c r="AG1678" s="1" t="s">
        <v>160</v>
      </c>
      <c r="AH1678" s="1" t="s">
        <v>101</v>
      </c>
      <c r="AI1678" s="1" t="s">
        <v>433</v>
      </c>
      <c r="AJ1678" s="1">
        <v>61.2</v>
      </c>
      <c r="AK1678" s="1"/>
      <c r="AL1678" s="1"/>
      <c r="AM1678" s="1"/>
      <c r="AN1678" s="1"/>
      <c r="AO1678" s="1"/>
      <c r="AP1678" s="1"/>
      <c r="AQ1678" s="1"/>
      <c r="AR1678" s="1" t="s">
        <v>19657</v>
      </c>
      <c r="AS1678" s="1" t="s">
        <v>19658</v>
      </c>
      <c r="AT1678" s="1" t="s">
        <v>310</v>
      </c>
      <c r="AU1678" s="1" t="s">
        <v>1378</v>
      </c>
      <c r="AV1678" s="1">
        <v>81.11</v>
      </c>
      <c r="AW1678" s="1"/>
      <c r="AX1678" s="1" t="s">
        <v>19659</v>
      </c>
      <c r="AY1678" s="1" t="s">
        <v>19660</v>
      </c>
      <c r="AZ1678" s="1" t="s">
        <v>1864</v>
      </c>
      <c r="BA1678" s="1" t="s">
        <v>829</v>
      </c>
      <c r="BB1678" s="1">
        <v>61.14</v>
      </c>
      <c r="BC1678" s="1">
        <v>6.87</v>
      </c>
      <c r="BD1678" s="1"/>
      <c r="BE1678" s="1"/>
      <c r="BF1678" s="1"/>
      <c r="BG1678" s="1"/>
      <c r="BH1678" s="1"/>
      <c r="BI1678" s="1"/>
      <c r="BJ1678" s="1" t="s">
        <v>19661</v>
      </c>
      <c r="BK1678" s="1"/>
      <c r="BL1678" s="1"/>
      <c r="BM1678" s="1" t="s">
        <v>19662</v>
      </c>
      <c r="BN1678" s="1">
        <v>12</v>
      </c>
      <c r="BO1678" s="1" t="s">
        <v>19663</v>
      </c>
      <c r="BP1678" s="1" t="str">
        <f>HYPERLINK("https://nconnect.nicmar.ac.in/storage/profile/ProfilePhoto_P25707001_689247.jpg","Download")</f>
        <v>0</v>
      </c>
      <c r="BQ1678" s="3"/>
      <c r="BR1678" s="3"/>
    </row>
    <row r="1679" spans="1:70">
      <c r="A1679" s="1" t="s">
        <v>19644</v>
      </c>
      <c r="B1679" s="1" t="s">
        <v>441</v>
      </c>
      <c r="C1679" s="1" t="s">
        <v>19664</v>
      </c>
      <c r="D1679" s="1" t="s">
        <v>19665</v>
      </c>
      <c r="E1679" s="1"/>
      <c r="F1679" s="1" t="s">
        <v>19666</v>
      </c>
      <c r="G1679" s="1" t="s">
        <v>19667</v>
      </c>
      <c r="H1679" s="1" t="s">
        <v>19668</v>
      </c>
      <c r="I1679" s="1" t="s">
        <v>19669</v>
      </c>
      <c r="J1679" s="1">
        <v>6281993458</v>
      </c>
      <c r="K1679" s="1" t="s">
        <v>79</v>
      </c>
      <c r="L1679" s="1" t="s">
        <v>6517</v>
      </c>
      <c r="M1679" s="1" t="s">
        <v>81</v>
      </c>
      <c r="N1679" s="1" t="s">
        <v>1788</v>
      </c>
      <c r="O1679" s="1"/>
      <c r="P1679" s="1" t="s">
        <v>450</v>
      </c>
      <c r="Q1679" s="1" t="s">
        <v>19670</v>
      </c>
      <c r="R1679" s="1" t="s">
        <v>19671</v>
      </c>
      <c r="S1679" s="1">
        <v>7702066075</v>
      </c>
      <c r="T1679" s="1" t="s">
        <v>3605</v>
      </c>
      <c r="U1679" s="1" t="s">
        <v>19672</v>
      </c>
      <c r="V1679" s="1">
        <v>7702066075</v>
      </c>
      <c r="W1679" s="1" t="s">
        <v>1595</v>
      </c>
      <c r="X1679" s="1" t="s">
        <v>19673</v>
      </c>
      <c r="Y1679" s="1" t="s">
        <v>1432</v>
      </c>
      <c r="Z1679" s="1" t="s">
        <v>276</v>
      </c>
      <c r="AA1679" s="1" t="s">
        <v>19673</v>
      </c>
      <c r="AB1679" s="1" t="s">
        <v>1432</v>
      </c>
      <c r="AC1679" s="1" t="s">
        <v>276</v>
      </c>
      <c r="AD1679" s="1">
        <v>9.14</v>
      </c>
      <c r="AE1679" s="1" t="s">
        <v>93</v>
      </c>
      <c r="AF1679" s="1" t="s">
        <v>19674</v>
      </c>
      <c r="AG1679" s="1" t="s">
        <v>1396</v>
      </c>
      <c r="AH1679" s="1" t="s">
        <v>165</v>
      </c>
      <c r="AI1679" s="1" t="s">
        <v>281</v>
      </c>
      <c r="AJ1679" s="1">
        <v>98</v>
      </c>
      <c r="AK1679" s="1">
        <v>9.8</v>
      </c>
      <c r="AL1679" s="1"/>
      <c r="AM1679" s="1"/>
      <c r="AN1679" s="1"/>
      <c r="AO1679" s="1"/>
      <c r="AP1679" s="1"/>
      <c r="AQ1679" s="1"/>
      <c r="AR1679" s="1" t="s">
        <v>434</v>
      </c>
      <c r="AS1679" s="1" t="s">
        <v>19675</v>
      </c>
      <c r="AT1679" s="1" t="s">
        <v>101</v>
      </c>
      <c r="AU1679" s="1" t="s">
        <v>2273</v>
      </c>
      <c r="AV1679" s="1">
        <v>82.28</v>
      </c>
      <c r="AW1679" s="1"/>
      <c r="AX1679" s="1" t="s">
        <v>19676</v>
      </c>
      <c r="AY1679" s="1" t="s">
        <v>19677</v>
      </c>
      <c r="AZ1679" s="1" t="s">
        <v>135</v>
      </c>
      <c r="BA1679" s="1" t="s">
        <v>1292</v>
      </c>
      <c r="BB1679" s="1">
        <v>76.4</v>
      </c>
      <c r="BC1679" s="1">
        <v>8.39</v>
      </c>
      <c r="BD1679" s="1"/>
      <c r="BE1679" s="1"/>
      <c r="BF1679" s="1"/>
      <c r="BG1679" s="1"/>
      <c r="BH1679" s="1"/>
      <c r="BI1679" s="1"/>
      <c r="BJ1679" s="1" t="s">
        <v>19678</v>
      </c>
      <c r="BK1679" s="1"/>
      <c r="BL1679" s="1"/>
      <c r="BM1679" s="1" t="s">
        <v>19679</v>
      </c>
      <c r="BN1679" s="1">
        <v>45</v>
      </c>
      <c r="BO1679" s="1" t="s">
        <v>19680</v>
      </c>
      <c r="BP1679" s="1" t="str">
        <f>HYPERLINK("https://nconnect.nicmar.ac.in/storage/profile/ProfilePhoto_P25707002_857632.jpg","Download")</f>
        <v>0</v>
      </c>
      <c r="BQ1679" s="3"/>
      <c r="BR1679" s="3"/>
    </row>
    <row r="1680" spans="1:70">
      <c r="A1680" s="1" t="s">
        <v>19644</v>
      </c>
      <c r="B1680" s="1" t="s">
        <v>441</v>
      </c>
      <c r="C1680" s="1" t="s">
        <v>19681</v>
      </c>
      <c r="D1680" s="1" t="s">
        <v>19682</v>
      </c>
      <c r="E1680" s="1" t="s">
        <v>19683</v>
      </c>
      <c r="F1680" s="1" t="s">
        <v>19684</v>
      </c>
      <c r="G1680" s="1" t="s">
        <v>19685</v>
      </c>
      <c r="H1680" s="1" t="s">
        <v>19686</v>
      </c>
      <c r="I1680" s="1" t="s">
        <v>19687</v>
      </c>
      <c r="J1680" s="1">
        <v>7264940210</v>
      </c>
      <c r="K1680" s="1" t="s">
        <v>148</v>
      </c>
      <c r="L1680" s="1" t="s">
        <v>19688</v>
      </c>
      <c r="M1680" s="1" t="s">
        <v>81</v>
      </c>
      <c r="N1680" s="1" t="s">
        <v>605</v>
      </c>
      <c r="O1680" s="1" t="s">
        <v>19689</v>
      </c>
      <c r="P1680" s="1" t="s">
        <v>214</v>
      </c>
      <c r="Q1680" s="1" t="s">
        <v>19690</v>
      </c>
      <c r="R1680" s="1" t="s">
        <v>19691</v>
      </c>
      <c r="S1680" s="1">
        <v>7841021061</v>
      </c>
      <c r="T1680" s="1" t="s">
        <v>93</v>
      </c>
      <c r="U1680" s="1" t="s">
        <v>19692</v>
      </c>
      <c r="V1680" s="1">
        <v>9960289259</v>
      </c>
      <c r="W1680" s="1" t="s">
        <v>154</v>
      </c>
      <c r="X1680" s="1" t="s">
        <v>19693</v>
      </c>
      <c r="Y1680" s="1" t="s">
        <v>1012</v>
      </c>
      <c r="Z1680" s="1" t="s">
        <v>92</v>
      </c>
      <c r="AA1680" s="1" t="s">
        <v>19694</v>
      </c>
      <c r="AB1680" s="1" t="s">
        <v>1012</v>
      </c>
      <c r="AC1680" s="1" t="s">
        <v>92</v>
      </c>
      <c r="AD1680" s="1">
        <v>9.51</v>
      </c>
      <c r="AE1680" s="1" t="s">
        <v>93</v>
      </c>
      <c r="AF1680" s="1" t="s">
        <v>19695</v>
      </c>
      <c r="AG1680" s="1" t="s">
        <v>160</v>
      </c>
      <c r="AH1680" s="1" t="s">
        <v>161</v>
      </c>
      <c r="AI1680" s="1" t="s">
        <v>162</v>
      </c>
      <c r="AJ1680" s="1">
        <v>94.6</v>
      </c>
      <c r="AK1680" s="1"/>
      <c r="AL1680" s="1" t="s">
        <v>19696</v>
      </c>
      <c r="AM1680" s="1" t="s">
        <v>160</v>
      </c>
      <c r="AN1680" s="1" t="s">
        <v>165</v>
      </c>
      <c r="AO1680" s="1" t="s">
        <v>166</v>
      </c>
      <c r="AP1680" s="1">
        <v>79.54</v>
      </c>
      <c r="AQ1680" s="1"/>
      <c r="AR1680" s="1"/>
      <c r="AS1680" s="1"/>
      <c r="AT1680" s="1"/>
      <c r="AU1680" s="1"/>
      <c r="AV1680" s="1"/>
      <c r="AW1680" s="1"/>
      <c r="AX1680" s="1" t="s">
        <v>361</v>
      </c>
      <c r="AY1680" s="1" t="s">
        <v>19697</v>
      </c>
      <c r="AZ1680" s="1" t="s">
        <v>201</v>
      </c>
      <c r="BA1680" s="1" t="s">
        <v>174</v>
      </c>
      <c r="BB1680" s="1">
        <v>84.74</v>
      </c>
      <c r="BC1680" s="1">
        <v>8.92</v>
      </c>
      <c r="BD1680" s="1"/>
      <c r="BE1680" s="1"/>
      <c r="BF1680" s="1"/>
      <c r="BG1680" s="1"/>
      <c r="BH1680" s="1"/>
      <c r="BI1680" s="1"/>
      <c r="BJ1680" s="1" t="s">
        <v>19698</v>
      </c>
      <c r="BK1680" s="1" t="s">
        <v>19699</v>
      </c>
      <c r="BL1680" s="1" t="s">
        <v>1048</v>
      </c>
      <c r="BM1680" s="1" t="s">
        <v>19700</v>
      </c>
      <c r="BN1680" s="1">
        <v>15</v>
      </c>
      <c r="BO1680" s="1" t="s">
        <v>19701</v>
      </c>
      <c r="BP1680" s="1" t="str">
        <f>HYPERLINK("https://nconnect.nicmar.ac.in/storage/profile/ProfilePhoto_P25707003_426789.jpg","Download")</f>
        <v>0</v>
      </c>
      <c r="BQ1680" s="3"/>
      <c r="BR1680" s="3"/>
    </row>
    <row r="1681" spans="1:70">
      <c r="A1681" s="1" t="s">
        <v>19644</v>
      </c>
      <c r="B1681" s="1" t="s">
        <v>441</v>
      </c>
      <c r="C1681" s="1" t="s">
        <v>19702</v>
      </c>
      <c r="D1681" s="1" t="s">
        <v>19703</v>
      </c>
      <c r="E1681" s="1" t="s">
        <v>19704</v>
      </c>
      <c r="F1681" s="1" t="s">
        <v>19705</v>
      </c>
      <c r="G1681" s="1" t="s">
        <v>19706</v>
      </c>
      <c r="H1681" s="1" t="s">
        <v>19707</v>
      </c>
      <c r="I1681" s="1" t="s">
        <v>19708</v>
      </c>
      <c r="J1681" s="1">
        <v>9496455900</v>
      </c>
      <c r="K1681" s="1" t="s">
        <v>148</v>
      </c>
      <c r="L1681" s="1" t="s">
        <v>19709</v>
      </c>
      <c r="M1681" s="1" t="s">
        <v>81</v>
      </c>
      <c r="N1681" s="1" t="s">
        <v>19710</v>
      </c>
      <c r="O1681" s="1"/>
      <c r="P1681" s="1" t="s">
        <v>472</v>
      </c>
      <c r="Q1681" s="1" t="s">
        <v>19711</v>
      </c>
      <c r="R1681" s="1" t="s">
        <v>19712</v>
      </c>
      <c r="S1681" s="1">
        <v>9400000124</v>
      </c>
      <c r="T1681" s="1" t="s">
        <v>19713</v>
      </c>
      <c r="U1681" s="1" t="s">
        <v>19714</v>
      </c>
      <c r="V1681" s="1">
        <v>9496455800</v>
      </c>
      <c r="W1681" s="1" t="s">
        <v>156</v>
      </c>
      <c r="X1681" s="1" t="s">
        <v>19715</v>
      </c>
      <c r="Y1681" s="1" t="s">
        <v>686</v>
      </c>
      <c r="Z1681" s="1" t="s">
        <v>125</v>
      </c>
      <c r="AA1681" s="1" t="s">
        <v>19715</v>
      </c>
      <c r="AB1681" s="1" t="s">
        <v>686</v>
      </c>
      <c r="AC1681" s="1" t="s">
        <v>125</v>
      </c>
      <c r="AD1681" s="1">
        <v>8.88</v>
      </c>
      <c r="AE1681" s="1" t="s">
        <v>93</v>
      </c>
      <c r="AF1681" s="1" t="s">
        <v>19716</v>
      </c>
      <c r="AG1681" s="1" t="s">
        <v>1696</v>
      </c>
      <c r="AH1681" s="1" t="s">
        <v>2736</v>
      </c>
      <c r="AI1681" s="1" t="s">
        <v>129</v>
      </c>
      <c r="AJ1681" s="1">
        <v>83.6</v>
      </c>
      <c r="AK1681" s="1">
        <v>8.8</v>
      </c>
      <c r="AL1681" s="1" t="s">
        <v>19716</v>
      </c>
      <c r="AM1681" s="1" t="s">
        <v>307</v>
      </c>
      <c r="AN1681" s="1" t="s">
        <v>1239</v>
      </c>
      <c r="AO1681" s="1" t="s">
        <v>131</v>
      </c>
      <c r="AP1681" s="1">
        <v>81.6</v>
      </c>
      <c r="AQ1681" s="1"/>
      <c r="AR1681" s="1"/>
      <c r="AS1681" s="1"/>
      <c r="AT1681" s="1"/>
      <c r="AU1681" s="1"/>
      <c r="AV1681" s="1"/>
      <c r="AW1681" s="1"/>
      <c r="AX1681" s="1" t="s">
        <v>691</v>
      </c>
      <c r="AY1681" s="1" t="s">
        <v>19717</v>
      </c>
      <c r="AZ1681" s="1" t="s">
        <v>131</v>
      </c>
      <c r="BA1681" s="1" t="s">
        <v>310</v>
      </c>
      <c r="BB1681" s="1">
        <v>66.45</v>
      </c>
      <c r="BC1681" s="1">
        <v>7.02</v>
      </c>
      <c r="BD1681" s="1"/>
      <c r="BE1681" s="1"/>
      <c r="BF1681" s="1"/>
      <c r="BG1681" s="1"/>
      <c r="BH1681" s="1"/>
      <c r="BI1681" s="1"/>
      <c r="BJ1681" s="1" t="s">
        <v>3832</v>
      </c>
      <c r="BK1681" s="1" t="s">
        <v>19718</v>
      </c>
      <c r="BL1681" s="1" t="s">
        <v>1129</v>
      </c>
      <c r="BM1681" s="1" t="s">
        <v>19719</v>
      </c>
      <c r="BN1681" s="1">
        <v>1</v>
      </c>
      <c r="BO1681" s="1" t="s">
        <v>19720</v>
      </c>
      <c r="BP1681" s="1" t="str">
        <f>HYPERLINK("https://nconnect.nicmar.ac.in/storage/profile/ProfilePhoto_P25707004_475816.jpg","Download")</f>
        <v>0</v>
      </c>
      <c r="BQ1681" s="3"/>
      <c r="BR1681" s="3"/>
    </row>
    <row r="1682" spans="1:70">
      <c r="A1682" s="1" t="s">
        <v>19644</v>
      </c>
      <c r="B1682" s="1" t="s">
        <v>441</v>
      </c>
      <c r="C1682" s="1" t="s">
        <v>19721</v>
      </c>
      <c r="D1682" s="1" t="s">
        <v>19722</v>
      </c>
      <c r="E1682" s="1"/>
      <c r="F1682" s="1" t="s">
        <v>19723</v>
      </c>
      <c r="G1682" s="1" t="s">
        <v>19724</v>
      </c>
      <c r="H1682" s="1" t="s">
        <v>19725</v>
      </c>
      <c r="I1682" s="1" t="s">
        <v>19726</v>
      </c>
      <c r="J1682" s="1">
        <v>9663116476</v>
      </c>
      <c r="K1682" s="1" t="s">
        <v>79</v>
      </c>
      <c r="L1682" s="1" t="s">
        <v>5159</v>
      </c>
      <c r="M1682" s="1" t="s">
        <v>81</v>
      </c>
      <c r="N1682" s="1" t="s">
        <v>19727</v>
      </c>
      <c r="O1682" s="1"/>
      <c r="P1682" s="1" t="s">
        <v>1007</v>
      </c>
      <c r="Q1682" s="1" t="s">
        <v>19728</v>
      </c>
      <c r="R1682" s="1" t="s">
        <v>19729</v>
      </c>
      <c r="S1682" s="1">
        <v>9164580389</v>
      </c>
      <c r="T1682" s="1" t="s">
        <v>377</v>
      </c>
      <c r="U1682" s="1" t="s">
        <v>19730</v>
      </c>
      <c r="V1682" s="1">
        <v>7922897285</v>
      </c>
      <c r="W1682" s="1" t="s">
        <v>531</v>
      </c>
      <c r="X1682" s="1" t="s">
        <v>19731</v>
      </c>
      <c r="Y1682" s="1" t="s">
        <v>9053</v>
      </c>
      <c r="Z1682" s="1" t="s">
        <v>1187</v>
      </c>
      <c r="AA1682" s="1" t="s">
        <v>19731</v>
      </c>
      <c r="AB1682" s="1" t="s">
        <v>9053</v>
      </c>
      <c r="AC1682" s="1" t="s">
        <v>1187</v>
      </c>
      <c r="AD1682" s="1">
        <v>7.51</v>
      </c>
      <c r="AE1682" s="1" t="s">
        <v>93</v>
      </c>
      <c r="AF1682" s="1" t="s">
        <v>19732</v>
      </c>
      <c r="AG1682" s="1" t="s">
        <v>19733</v>
      </c>
      <c r="AH1682" s="1" t="s">
        <v>3303</v>
      </c>
      <c r="AI1682" s="1" t="s">
        <v>689</v>
      </c>
      <c r="AJ1682" s="1">
        <v>77.9</v>
      </c>
      <c r="AK1682" s="1">
        <v>8.2</v>
      </c>
      <c r="AL1682" s="1" t="s">
        <v>19734</v>
      </c>
      <c r="AM1682" s="1" t="s">
        <v>19735</v>
      </c>
      <c r="AN1682" s="1" t="s">
        <v>162</v>
      </c>
      <c r="AO1682" s="1" t="s">
        <v>409</v>
      </c>
      <c r="AP1682" s="1">
        <v>57</v>
      </c>
      <c r="AQ1682" s="1"/>
      <c r="AR1682" s="1"/>
      <c r="AS1682" s="1"/>
      <c r="AT1682" s="1"/>
      <c r="AU1682" s="1"/>
      <c r="AV1682" s="1"/>
      <c r="AW1682" s="1"/>
      <c r="AX1682" s="1" t="s">
        <v>19736</v>
      </c>
      <c r="AY1682" s="1" t="s">
        <v>19735</v>
      </c>
      <c r="AZ1682" s="1" t="s">
        <v>310</v>
      </c>
      <c r="BA1682" s="1" t="s">
        <v>1109</v>
      </c>
      <c r="BB1682" s="1">
        <v>0</v>
      </c>
      <c r="BC1682" s="1"/>
      <c r="BD1682" s="1"/>
      <c r="BE1682" s="1"/>
      <c r="BF1682" s="1"/>
      <c r="BG1682" s="1"/>
      <c r="BH1682" s="1"/>
      <c r="BI1682" s="1"/>
      <c r="BJ1682" s="1" t="s">
        <v>1822</v>
      </c>
      <c r="BK1682" s="1"/>
      <c r="BL1682" s="1"/>
      <c r="BM1682" s="1" t="s">
        <v>19737</v>
      </c>
      <c r="BN1682" s="1">
        <v>20</v>
      </c>
      <c r="BO1682" s="1"/>
      <c r="BP1682" s="1" t="str">
        <f>HYPERLINK("https://nconnect.nicmar.ac.in/storage/profile/ProfilePhoto_P25707005_192873.jpg","Download")</f>
        <v>0</v>
      </c>
      <c r="BQ1682" s="3"/>
      <c r="BR1682" s="3"/>
    </row>
    <row r="1683" spans="1:70">
      <c r="A1683" s="1" t="s">
        <v>19644</v>
      </c>
      <c r="B1683" s="1" t="s">
        <v>441</v>
      </c>
      <c r="C1683" s="1" t="s">
        <v>19738</v>
      </c>
      <c r="D1683" s="1" t="s">
        <v>19739</v>
      </c>
      <c r="E1683" s="1"/>
      <c r="F1683" s="1" t="s">
        <v>19740</v>
      </c>
      <c r="G1683" s="1" t="s">
        <v>19741</v>
      </c>
      <c r="H1683" s="1" t="s">
        <v>19742</v>
      </c>
      <c r="I1683" s="1" t="s">
        <v>19743</v>
      </c>
      <c r="J1683" s="1">
        <v>9502853807</v>
      </c>
      <c r="K1683" s="1" t="s">
        <v>79</v>
      </c>
      <c r="L1683" s="1" t="s">
        <v>19744</v>
      </c>
      <c r="M1683" s="1" t="s">
        <v>81</v>
      </c>
      <c r="N1683" s="1" t="s">
        <v>19745</v>
      </c>
      <c r="O1683" s="1"/>
      <c r="P1683" s="1" t="s">
        <v>497</v>
      </c>
      <c r="Q1683" s="1" t="s">
        <v>19746</v>
      </c>
      <c r="R1683" s="1" t="s">
        <v>19747</v>
      </c>
      <c r="S1683" s="1">
        <v>9618386467</v>
      </c>
      <c r="T1683" s="1" t="s">
        <v>154</v>
      </c>
      <c r="U1683" s="1" t="s">
        <v>19748</v>
      </c>
      <c r="V1683" s="1">
        <v>8897348079</v>
      </c>
      <c r="W1683" s="1" t="s">
        <v>19749</v>
      </c>
      <c r="X1683" s="1" t="s">
        <v>19750</v>
      </c>
      <c r="Y1683" s="1" t="s">
        <v>3609</v>
      </c>
      <c r="Z1683" s="1" t="s">
        <v>276</v>
      </c>
      <c r="AA1683" s="1" t="s">
        <v>19750</v>
      </c>
      <c r="AB1683" s="1" t="s">
        <v>3609</v>
      </c>
      <c r="AC1683" s="1" t="s">
        <v>276</v>
      </c>
      <c r="AD1683" s="1">
        <v>9.27</v>
      </c>
      <c r="AE1683" s="1" t="s">
        <v>93</v>
      </c>
      <c r="AF1683" s="1" t="s">
        <v>19751</v>
      </c>
      <c r="AG1683" s="1" t="s">
        <v>2310</v>
      </c>
      <c r="AH1683" s="1" t="s">
        <v>165</v>
      </c>
      <c r="AI1683" s="1" t="s">
        <v>281</v>
      </c>
      <c r="AJ1683" s="1">
        <v>87</v>
      </c>
      <c r="AK1683" s="1">
        <v>8.7</v>
      </c>
      <c r="AL1683" s="1" t="s">
        <v>1818</v>
      </c>
      <c r="AM1683" s="1" t="s">
        <v>2312</v>
      </c>
      <c r="AN1683" s="1" t="s">
        <v>101</v>
      </c>
      <c r="AO1683" s="1" t="s">
        <v>590</v>
      </c>
      <c r="AP1683" s="1">
        <v>74.7</v>
      </c>
      <c r="AQ1683" s="1">
        <v>7.84</v>
      </c>
      <c r="AR1683" s="1"/>
      <c r="AS1683" s="1"/>
      <c r="AT1683" s="1"/>
      <c r="AU1683" s="1"/>
      <c r="AV1683" s="1"/>
      <c r="AW1683" s="1"/>
      <c r="AX1683" s="1" t="s">
        <v>19752</v>
      </c>
      <c r="AY1683" s="1" t="s">
        <v>19753</v>
      </c>
      <c r="AZ1683" s="1" t="s">
        <v>460</v>
      </c>
      <c r="BA1683" s="1" t="s">
        <v>413</v>
      </c>
      <c r="BB1683" s="1">
        <v>85.1</v>
      </c>
      <c r="BC1683" s="1">
        <v>8.51</v>
      </c>
      <c r="BD1683" s="1"/>
      <c r="BE1683" s="1"/>
      <c r="BF1683" s="1"/>
      <c r="BG1683" s="1"/>
      <c r="BH1683" s="1"/>
      <c r="BI1683" s="1"/>
      <c r="BJ1683" s="1" t="s">
        <v>19754</v>
      </c>
      <c r="BK1683" s="1"/>
      <c r="BL1683" s="1"/>
      <c r="BM1683" s="1" t="s">
        <v>19755</v>
      </c>
      <c r="BN1683" s="1">
        <v>26</v>
      </c>
      <c r="BO1683" s="1" t="s">
        <v>19756</v>
      </c>
      <c r="BP1683" s="1" t="str">
        <f>HYPERLINK("https://nconnect.nicmar.ac.in/storage/profile/ProfilePhoto_P25707007_687459.jpg","Download")</f>
        <v>0</v>
      </c>
      <c r="BQ1683" s="3"/>
      <c r="BR1683" s="3"/>
    </row>
    <row r="1684" spans="1:70">
      <c r="A1684" s="1" t="s">
        <v>19644</v>
      </c>
      <c r="B1684" s="1" t="s">
        <v>441</v>
      </c>
      <c r="C1684" s="1" t="s">
        <v>19757</v>
      </c>
      <c r="D1684" s="1" t="s">
        <v>674</v>
      </c>
      <c r="E1684" s="1"/>
      <c r="F1684" s="1" t="s">
        <v>19758</v>
      </c>
      <c r="G1684" s="1" t="s">
        <v>19759</v>
      </c>
      <c r="H1684" s="1" t="s">
        <v>19760</v>
      </c>
      <c r="I1684" s="1" t="s">
        <v>19761</v>
      </c>
      <c r="J1684" s="1">
        <v>7907781254</v>
      </c>
      <c r="K1684" s="1" t="s">
        <v>148</v>
      </c>
      <c r="L1684" s="1" t="s">
        <v>19762</v>
      </c>
      <c r="M1684" s="1" t="s">
        <v>81</v>
      </c>
      <c r="N1684" s="1" t="s">
        <v>1278</v>
      </c>
      <c r="O1684" s="1"/>
      <c r="P1684" s="1" t="s">
        <v>497</v>
      </c>
      <c r="Q1684" s="1" t="s">
        <v>19763</v>
      </c>
      <c r="R1684" s="1" t="s">
        <v>19764</v>
      </c>
      <c r="S1684" s="1">
        <v>9048715537</v>
      </c>
      <c r="T1684" s="1" t="s">
        <v>820</v>
      </c>
      <c r="U1684" s="1" t="s">
        <v>19765</v>
      </c>
      <c r="V1684" s="1">
        <v>9946909937</v>
      </c>
      <c r="W1684" s="1" t="s">
        <v>1791</v>
      </c>
      <c r="X1684" s="1" t="s">
        <v>19766</v>
      </c>
      <c r="Y1684" s="1" t="s">
        <v>124</v>
      </c>
      <c r="Z1684" s="1" t="s">
        <v>125</v>
      </c>
      <c r="AA1684" s="1" t="s">
        <v>19766</v>
      </c>
      <c r="AB1684" s="1" t="s">
        <v>124</v>
      </c>
      <c r="AC1684" s="1" t="s">
        <v>125</v>
      </c>
      <c r="AD1684" s="1">
        <v>9.55</v>
      </c>
      <c r="AE1684" s="1" t="s">
        <v>93</v>
      </c>
      <c r="AF1684" s="1" t="s">
        <v>19767</v>
      </c>
      <c r="AG1684" s="1" t="s">
        <v>5973</v>
      </c>
      <c r="AH1684" s="1" t="s">
        <v>1190</v>
      </c>
      <c r="AI1684" s="1" t="s">
        <v>505</v>
      </c>
      <c r="AJ1684" s="1">
        <v>95</v>
      </c>
      <c r="AK1684" s="1"/>
      <c r="AL1684" s="1" t="s">
        <v>19768</v>
      </c>
      <c r="AM1684" s="1" t="s">
        <v>19769</v>
      </c>
      <c r="AN1684" s="1" t="s">
        <v>161</v>
      </c>
      <c r="AO1684" s="1" t="s">
        <v>1089</v>
      </c>
      <c r="AP1684" s="1">
        <v>96</v>
      </c>
      <c r="AQ1684" s="1"/>
      <c r="AR1684" s="1"/>
      <c r="AS1684" s="1"/>
      <c r="AT1684" s="1"/>
      <c r="AU1684" s="1"/>
      <c r="AV1684" s="1"/>
      <c r="AW1684" s="1"/>
      <c r="AX1684" s="1" t="s">
        <v>19770</v>
      </c>
      <c r="AY1684" s="1" t="s">
        <v>19771</v>
      </c>
      <c r="AZ1684" s="1" t="s">
        <v>134</v>
      </c>
      <c r="BA1684" s="1" t="s">
        <v>1622</v>
      </c>
      <c r="BB1684" s="1">
        <v>73.95</v>
      </c>
      <c r="BC1684" s="1">
        <v>7.77</v>
      </c>
      <c r="BD1684" s="1"/>
      <c r="BE1684" s="1"/>
      <c r="BF1684" s="1"/>
      <c r="BG1684" s="1"/>
      <c r="BH1684" s="1"/>
      <c r="BI1684" s="1"/>
      <c r="BJ1684" s="1" t="s">
        <v>19772</v>
      </c>
      <c r="BK1684" s="1" t="s">
        <v>19773</v>
      </c>
      <c r="BL1684" s="1" t="s">
        <v>7996</v>
      </c>
      <c r="BM1684" s="1" t="s">
        <v>19774</v>
      </c>
      <c r="BN1684" s="1">
        <v>10</v>
      </c>
      <c r="BO1684" s="1" t="s">
        <v>19775</v>
      </c>
      <c r="BP1684" s="1" t="str">
        <f>HYPERLINK("https://nconnect.nicmar.ac.in/storage/profile/ProfilePhoto_P25707008_267589.jpg","Download")</f>
        <v>0</v>
      </c>
      <c r="BQ1684" s="3"/>
      <c r="BR1684" s="3"/>
    </row>
    <row r="1685" spans="1:70">
      <c r="A1685" s="1" t="s">
        <v>17142</v>
      </c>
      <c r="B1685" s="1" t="s">
        <v>441</v>
      </c>
      <c r="C1685" s="1" t="s">
        <v>19776</v>
      </c>
      <c r="D1685" s="1" t="s">
        <v>19777</v>
      </c>
      <c r="E1685" s="1"/>
      <c r="F1685" s="1" t="s">
        <v>1298</v>
      </c>
      <c r="G1685" s="1" t="s">
        <v>19778</v>
      </c>
      <c r="H1685" s="1" t="s">
        <v>19779</v>
      </c>
      <c r="I1685" s="1" t="s">
        <v>19780</v>
      </c>
      <c r="J1685" s="1">
        <v>9361199118</v>
      </c>
      <c r="K1685" s="1" t="s">
        <v>79</v>
      </c>
      <c r="L1685" s="1" t="s">
        <v>9297</v>
      </c>
      <c r="M1685" s="1" t="s">
        <v>81</v>
      </c>
      <c r="N1685" s="1" t="s">
        <v>19781</v>
      </c>
      <c r="O1685" s="1"/>
      <c r="P1685" s="1" t="s">
        <v>5905</v>
      </c>
      <c r="Q1685" s="1" t="s">
        <v>19782</v>
      </c>
      <c r="R1685" s="1" t="s">
        <v>19783</v>
      </c>
      <c r="S1685" s="1">
        <v>9443007880</v>
      </c>
      <c r="T1685" s="1" t="s">
        <v>19784</v>
      </c>
      <c r="U1685" s="1" t="s">
        <v>19785</v>
      </c>
      <c r="V1685" s="1">
        <v>9486273559</v>
      </c>
      <c r="W1685" s="1" t="s">
        <v>273</v>
      </c>
      <c r="X1685" s="1" t="s">
        <v>19786</v>
      </c>
      <c r="Y1685" s="1" t="s">
        <v>9001</v>
      </c>
      <c r="Z1685" s="1" t="s">
        <v>559</v>
      </c>
      <c r="AA1685" s="1" t="s">
        <v>19786</v>
      </c>
      <c r="AB1685" s="1" t="s">
        <v>9001</v>
      </c>
      <c r="AC1685" s="1" t="s">
        <v>559</v>
      </c>
      <c r="AD1685" s="1">
        <v>8.37</v>
      </c>
      <c r="AE1685" s="1" t="s">
        <v>93</v>
      </c>
      <c r="AF1685" s="1" t="s">
        <v>19787</v>
      </c>
      <c r="AG1685" s="1" t="s">
        <v>19788</v>
      </c>
      <c r="AH1685" s="1" t="s">
        <v>96</v>
      </c>
      <c r="AI1685" s="1" t="s">
        <v>1088</v>
      </c>
      <c r="AJ1685" s="1">
        <v>97</v>
      </c>
      <c r="AK1685" s="1"/>
      <c r="AL1685" s="1" t="s">
        <v>19787</v>
      </c>
      <c r="AM1685" s="1" t="s">
        <v>19788</v>
      </c>
      <c r="AN1685" s="1" t="s">
        <v>162</v>
      </c>
      <c r="AO1685" s="1" t="s">
        <v>195</v>
      </c>
      <c r="AP1685" s="1">
        <v>59</v>
      </c>
      <c r="AQ1685" s="1"/>
      <c r="AR1685" s="1"/>
      <c r="AS1685" s="1"/>
      <c r="AT1685" s="1"/>
      <c r="AU1685" s="1"/>
      <c r="AV1685" s="1"/>
      <c r="AW1685" s="1"/>
      <c r="AX1685" s="1" t="s">
        <v>564</v>
      </c>
      <c r="AY1685" s="1" t="s">
        <v>19789</v>
      </c>
      <c r="AZ1685" s="1" t="s">
        <v>1043</v>
      </c>
      <c r="BA1685" s="1" t="s">
        <v>229</v>
      </c>
      <c r="BB1685" s="1">
        <v>73</v>
      </c>
      <c r="BC1685" s="1">
        <v>7.33</v>
      </c>
      <c r="BD1685" s="1"/>
      <c r="BE1685" s="1"/>
      <c r="BF1685" s="1"/>
      <c r="BG1685" s="1"/>
      <c r="BH1685" s="1"/>
      <c r="BI1685" s="1"/>
      <c r="BJ1685" s="1" t="s">
        <v>19790</v>
      </c>
      <c r="BK1685" s="1"/>
      <c r="BL1685" s="1"/>
      <c r="BM1685" s="1" t="s">
        <v>19791</v>
      </c>
      <c r="BN1685" s="1">
        <v>25</v>
      </c>
      <c r="BO1685" s="1" t="s">
        <v>19792</v>
      </c>
      <c r="BP1685" s="1" t="str">
        <f>HYPERLINK("https://nconnect.nicmar.ac.in/storage/profile/ProfilePhoto_P25706001_497368.jpg","Download")</f>
        <v>0</v>
      </c>
      <c r="BQ1685" s="3"/>
      <c r="BR1685" s="3"/>
    </row>
    <row r="1686" spans="1:70">
      <c r="A1686" s="1" t="s">
        <v>17142</v>
      </c>
      <c r="B1686" s="1" t="s">
        <v>441</v>
      </c>
      <c r="C1686" s="1" t="s">
        <v>19793</v>
      </c>
      <c r="D1686" s="1" t="s">
        <v>13490</v>
      </c>
      <c r="E1686" s="1" t="s">
        <v>8125</v>
      </c>
      <c r="F1686" s="1" t="s">
        <v>8126</v>
      </c>
      <c r="G1686" s="1" t="s">
        <v>19794</v>
      </c>
      <c r="H1686" s="1" t="s">
        <v>19795</v>
      </c>
      <c r="I1686" s="1" t="s">
        <v>19796</v>
      </c>
      <c r="J1686" s="1">
        <v>8767396335</v>
      </c>
      <c r="K1686" s="1" t="s">
        <v>148</v>
      </c>
      <c r="L1686" s="1" t="s">
        <v>8130</v>
      </c>
      <c r="M1686" s="1" t="s">
        <v>81</v>
      </c>
      <c r="N1686" s="1" t="s">
        <v>19797</v>
      </c>
      <c r="O1686" s="1"/>
      <c r="P1686" s="1" t="s">
        <v>497</v>
      </c>
      <c r="Q1686" s="1" t="s">
        <v>19798</v>
      </c>
      <c r="R1686" s="1" t="s">
        <v>8125</v>
      </c>
      <c r="S1686" s="1">
        <v>8999722459</v>
      </c>
      <c r="T1686" s="1" t="s">
        <v>19799</v>
      </c>
      <c r="U1686" s="1" t="s">
        <v>6212</v>
      </c>
      <c r="V1686" s="1">
        <v>8788934800</v>
      </c>
      <c r="W1686" s="1" t="s">
        <v>156</v>
      </c>
      <c r="X1686" s="1" t="s">
        <v>19800</v>
      </c>
      <c r="Y1686" s="1" t="s">
        <v>1857</v>
      </c>
      <c r="Z1686" s="1" t="s">
        <v>92</v>
      </c>
      <c r="AA1686" s="1" t="s">
        <v>19800</v>
      </c>
      <c r="AB1686" s="1" t="s">
        <v>1857</v>
      </c>
      <c r="AC1686" s="1" t="s">
        <v>92</v>
      </c>
      <c r="AD1686" s="1">
        <v>7.85</v>
      </c>
      <c r="AE1686" s="1" t="s">
        <v>93</v>
      </c>
      <c r="AF1686" s="1" t="s">
        <v>8134</v>
      </c>
      <c r="AG1686" s="1" t="s">
        <v>17934</v>
      </c>
      <c r="AH1686" s="1" t="s">
        <v>562</v>
      </c>
      <c r="AI1686" s="1" t="s">
        <v>101</v>
      </c>
      <c r="AJ1686" s="1">
        <v>54.6</v>
      </c>
      <c r="AK1686" s="1">
        <v>5.74</v>
      </c>
      <c r="AL1686" s="1"/>
      <c r="AM1686" s="1"/>
      <c r="AN1686" s="1"/>
      <c r="AO1686" s="1"/>
      <c r="AP1686" s="1"/>
      <c r="AQ1686" s="1"/>
      <c r="AR1686" s="1" t="s">
        <v>434</v>
      </c>
      <c r="AS1686" s="1" t="s">
        <v>8136</v>
      </c>
      <c r="AT1686" s="1" t="s">
        <v>1043</v>
      </c>
      <c r="AU1686" s="1" t="s">
        <v>436</v>
      </c>
      <c r="AV1686" s="1">
        <v>94.11</v>
      </c>
      <c r="AW1686" s="1">
        <v>9.66</v>
      </c>
      <c r="AX1686" s="1" t="s">
        <v>253</v>
      </c>
      <c r="AY1686" s="1" t="s">
        <v>19801</v>
      </c>
      <c r="AZ1686" s="1" t="s">
        <v>542</v>
      </c>
      <c r="BA1686" s="1" t="s">
        <v>1219</v>
      </c>
      <c r="BB1686" s="1">
        <v>58.96</v>
      </c>
      <c r="BC1686" s="1">
        <v>6.48</v>
      </c>
      <c r="BD1686" s="1"/>
      <c r="BE1686" s="1"/>
      <c r="BF1686" s="1"/>
      <c r="BG1686" s="1"/>
      <c r="BH1686" s="1"/>
      <c r="BI1686" s="1"/>
      <c r="BJ1686" s="1" t="s">
        <v>6436</v>
      </c>
      <c r="BK1686" s="1"/>
      <c r="BL1686" s="1"/>
      <c r="BM1686" s="1" t="s">
        <v>19802</v>
      </c>
      <c r="BN1686" s="1">
        <v>12</v>
      </c>
      <c r="BO1686" s="1" t="s">
        <v>19803</v>
      </c>
      <c r="BP1686" s="1" t="str">
        <f>HYPERLINK("https://nconnect.nicmar.ac.in/storage/profile/ProfilePhoto_P25706002_764851.jpg","Download")</f>
        <v>0</v>
      </c>
      <c r="BQ1686" s="3"/>
      <c r="BR1686" s="3"/>
    </row>
    <row r="1687" spans="1:70">
      <c r="A1687" s="1" t="s">
        <v>17142</v>
      </c>
      <c r="B1687" s="1" t="s">
        <v>441</v>
      </c>
      <c r="C1687" s="1" t="s">
        <v>19804</v>
      </c>
      <c r="D1687" s="1" t="s">
        <v>2838</v>
      </c>
      <c r="E1687" s="1" t="s">
        <v>7260</v>
      </c>
      <c r="F1687" s="1" t="s">
        <v>3565</v>
      </c>
      <c r="G1687" s="1" t="s">
        <v>19805</v>
      </c>
      <c r="H1687" s="1" t="s">
        <v>19806</v>
      </c>
      <c r="I1687" s="1" t="s">
        <v>19807</v>
      </c>
      <c r="J1687" s="1">
        <v>8714062285</v>
      </c>
      <c r="K1687" s="1" t="s">
        <v>79</v>
      </c>
      <c r="L1687" s="1" t="s">
        <v>19808</v>
      </c>
      <c r="M1687" s="1" t="s">
        <v>81</v>
      </c>
      <c r="N1687" s="1" t="s">
        <v>19809</v>
      </c>
      <c r="O1687" s="1"/>
      <c r="P1687" s="1" t="s">
        <v>1007</v>
      </c>
      <c r="Q1687" s="1" t="s">
        <v>19810</v>
      </c>
      <c r="R1687" s="1" t="s">
        <v>19811</v>
      </c>
      <c r="S1687" s="1">
        <v>8129913184</v>
      </c>
      <c r="T1687" s="1" t="s">
        <v>14597</v>
      </c>
      <c r="U1687" s="1" t="s">
        <v>19812</v>
      </c>
      <c r="V1687" s="1">
        <v>7994274119</v>
      </c>
      <c r="W1687" s="1" t="s">
        <v>122</v>
      </c>
      <c r="X1687" s="1" t="s">
        <v>19813</v>
      </c>
      <c r="Y1687" s="1" t="s">
        <v>4921</v>
      </c>
      <c r="Z1687" s="1" t="s">
        <v>125</v>
      </c>
      <c r="AA1687" s="1" t="s">
        <v>19813</v>
      </c>
      <c r="AB1687" s="1" t="s">
        <v>4921</v>
      </c>
      <c r="AC1687" s="1" t="s">
        <v>125</v>
      </c>
      <c r="AD1687" s="1">
        <v>9.38</v>
      </c>
      <c r="AE1687" s="1" t="s">
        <v>93</v>
      </c>
      <c r="AF1687" s="1" t="s">
        <v>19814</v>
      </c>
      <c r="AG1687" s="1" t="s">
        <v>19815</v>
      </c>
      <c r="AH1687" s="1" t="s">
        <v>1455</v>
      </c>
      <c r="AI1687" s="1" t="s">
        <v>308</v>
      </c>
      <c r="AJ1687" s="1">
        <v>91.4</v>
      </c>
      <c r="AK1687" s="1"/>
      <c r="AL1687" s="1" t="s">
        <v>19814</v>
      </c>
      <c r="AM1687" s="1" t="s">
        <v>19815</v>
      </c>
      <c r="AN1687" s="1" t="s">
        <v>360</v>
      </c>
      <c r="AO1687" s="1" t="s">
        <v>539</v>
      </c>
      <c r="AP1687" s="1">
        <v>95.2</v>
      </c>
      <c r="AQ1687" s="1"/>
      <c r="AR1687" s="1"/>
      <c r="AS1687" s="1"/>
      <c r="AT1687" s="1"/>
      <c r="AU1687" s="1"/>
      <c r="AV1687" s="1"/>
      <c r="AW1687" s="1"/>
      <c r="AX1687" s="1" t="s">
        <v>19816</v>
      </c>
      <c r="AY1687" s="1" t="s">
        <v>19817</v>
      </c>
      <c r="AZ1687" s="1" t="s">
        <v>852</v>
      </c>
      <c r="BA1687" s="1" t="s">
        <v>1379</v>
      </c>
      <c r="BB1687" s="1">
        <v>69.4</v>
      </c>
      <c r="BC1687" s="1">
        <v>6.94</v>
      </c>
      <c r="BD1687" s="1"/>
      <c r="BE1687" s="1"/>
      <c r="BF1687" s="1"/>
      <c r="BG1687" s="1"/>
      <c r="BH1687" s="1"/>
      <c r="BI1687" s="1"/>
      <c r="BJ1687" s="1" t="s">
        <v>17160</v>
      </c>
      <c r="BK1687" s="1"/>
      <c r="BL1687" s="1"/>
      <c r="BM1687" s="1" t="s">
        <v>19818</v>
      </c>
      <c r="BN1687" s="1">
        <v>22</v>
      </c>
      <c r="BO1687" s="1"/>
      <c r="BP1687" s="1" t="str">
        <f>HYPERLINK("https://nconnect.nicmar.ac.in/storage/profile/ProfilePhoto_P25706003_729314.jpg","Download")</f>
        <v>0</v>
      </c>
      <c r="BQ1687" s="3"/>
      <c r="BR1687" s="3"/>
    </row>
    <row r="1688" spans="1:70">
      <c r="A1688" s="1" t="s">
        <v>17142</v>
      </c>
      <c r="B1688" s="1" t="s">
        <v>441</v>
      </c>
      <c r="C1688" s="1" t="s">
        <v>19819</v>
      </c>
      <c r="D1688" s="1" t="s">
        <v>10071</v>
      </c>
      <c r="E1688" s="1"/>
      <c r="F1688" s="1" t="s">
        <v>19820</v>
      </c>
      <c r="G1688" s="1" t="s">
        <v>19821</v>
      </c>
      <c r="H1688" s="1" t="s">
        <v>19822</v>
      </c>
      <c r="I1688" s="1" t="s">
        <v>19823</v>
      </c>
      <c r="J1688" s="1">
        <v>8319054647</v>
      </c>
      <c r="K1688" s="1" t="s">
        <v>148</v>
      </c>
      <c r="L1688" s="1" t="s">
        <v>19824</v>
      </c>
      <c r="M1688" s="1" t="s">
        <v>81</v>
      </c>
      <c r="N1688" s="1" t="s">
        <v>1140</v>
      </c>
      <c r="O1688" s="1" t="s">
        <v>19825</v>
      </c>
      <c r="P1688" s="1" t="s">
        <v>450</v>
      </c>
      <c r="Q1688" s="1" t="s">
        <v>19826</v>
      </c>
      <c r="R1688" s="1" t="s">
        <v>19827</v>
      </c>
      <c r="S1688" s="1">
        <v>9752475429</v>
      </c>
      <c r="T1688" s="1" t="s">
        <v>18098</v>
      </c>
      <c r="U1688" s="1" t="s">
        <v>19828</v>
      </c>
      <c r="V1688" s="1">
        <v>8718097538</v>
      </c>
      <c r="W1688" s="1" t="s">
        <v>89</v>
      </c>
      <c r="X1688" s="1" t="s">
        <v>19829</v>
      </c>
      <c r="Y1688" s="1" t="s">
        <v>191</v>
      </c>
      <c r="Z1688" s="1" t="s">
        <v>92</v>
      </c>
      <c r="AA1688" s="1" t="s">
        <v>19830</v>
      </c>
      <c r="AB1688" s="1" t="s">
        <v>5339</v>
      </c>
      <c r="AC1688" s="1" t="s">
        <v>2955</v>
      </c>
      <c r="AD1688" s="1">
        <v>9.91</v>
      </c>
      <c r="AE1688" s="1" t="s">
        <v>93</v>
      </c>
      <c r="AF1688" s="1" t="s">
        <v>19831</v>
      </c>
      <c r="AG1688" s="1" t="s">
        <v>9038</v>
      </c>
      <c r="AH1688" s="1" t="s">
        <v>279</v>
      </c>
      <c r="AI1688" s="1" t="s">
        <v>165</v>
      </c>
      <c r="AJ1688" s="1">
        <v>95</v>
      </c>
      <c r="AK1688" s="1">
        <v>10</v>
      </c>
      <c r="AL1688" s="1" t="s">
        <v>19831</v>
      </c>
      <c r="AM1688" s="1" t="s">
        <v>9038</v>
      </c>
      <c r="AN1688" s="1" t="s">
        <v>481</v>
      </c>
      <c r="AO1688" s="1" t="s">
        <v>308</v>
      </c>
      <c r="AP1688" s="1">
        <v>87.6</v>
      </c>
      <c r="AQ1688" s="1"/>
      <c r="AR1688" s="1"/>
      <c r="AS1688" s="1"/>
      <c r="AT1688" s="1"/>
      <c r="AU1688" s="1"/>
      <c r="AV1688" s="1"/>
      <c r="AW1688" s="1"/>
      <c r="AX1688" s="1" t="s">
        <v>11751</v>
      </c>
      <c r="AY1688" s="1" t="s">
        <v>19832</v>
      </c>
      <c r="AZ1688" s="1" t="s">
        <v>310</v>
      </c>
      <c r="BA1688" s="1" t="s">
        <v>1067</v>
      </c>
      <c r="BB1688" s="1">
        <v>85.7</v>
      </c>
      <c r="BC1688" s="1">
        <v>9.07</v>
      </c>
      <c r="BD1688" s="1"/>
      <c r="BE1688" s="1"/>
      <c r="BF1688" s="1"/>
      <c r="BG1688" s="1"/>
      <c r="BH1688" s="1"/>
      <c r="BI1688" s="1"/>
      <c r="BJ1688" s="1" t="s">
        <v>19833</v>
      </c>
      <c r="BK1688" s="1" t="s">
        <v>19834</v>
      </c>
      <c r="BL1688" s="1" t="s">
        <v>2569</v>
      </c>
      <c r="BM1688" s="1" t="s">
        <v>19835</v>
      </c>
      <c r="BN1688" s="1">
        <v>22</v>
      </c>
      <c r="BO1688" s="1" t="s">
        <v>19836</v>
      </c>
      <c r="BP1688" s="1" t="str">
        <f>HYPERLINK("https://nconnect.nicmar.ac.in/storage/profile/ProfilePhoto_P25706004_745293.jpg","Download")</f>
        <v>0</v>
      </c>
      <c r="BQ1688" s="3"/>
      <c r="BR1688" s="3"/>
    </row>
    <row r="1689" spans="1:70">
      <c r="A1689" s="1" t="s">
        <v>17142</v>
      </c>
      <c r="B1689" s="1" t="s">
        <v>441</v>
      </c>
      <c r="C1689" s="1" t="s">
        <v>19837</v>
      </c>
      <c r="D1689" s="1" t="s">
        <v>6971</v>
      </c>
      <c r="E1689" s="1"/>
      <c r="F1689" s="1" t="s">
        <v>19838</v>
      </c>
      <c r="G1689" s="1" t="s">
        <v>19839</v>
      </c>
      <c r="H1689" s="1" t="s">
        <v>19840</v>
      </c>
      <c r="I1689" s="1" t="s">
        <v>19841</v>
      </c>
      <c r="J1689" s="1">
        <v>9606169448</v>
      </c>
      <c r="K1689" s="1" t="s">
        <v>148</v>
      </c>
      <c r="L1689" s="1" t="s">
        <v>19842</v>
      </c>
      <c r="M1689" s="1" t="s">
        <v>81</v>
      </c>
      <c r="N1689" s="1" t="s">
        <v>10851</v>
      </c>
      <c r="O1689" s="1"/>
      <c r="P1689" s="1" t="s">
        <v>472</v>
      </c>
      <c r="Q1689" s="1" t="s">
        <v>19843</v>
      </c>
      <c r="R1689" s="1" t="s">
        <v>19844</v>
      </c>
      <c r="S1689" s="1">
        <v>9606169448</v>
      </c>
      <c r="T1689" s="1" t="s">
        <v>9818</v>
      </c>
      <c r="U1689" s="1" t="s">
        <v>19845</v>
      </c>
      <c r="V1689" s="1">
        <v>8970752252</v>
      </c>
      <c r="W1689" s="1" t="s">
        <v>6706</v>
      </c>
      <c r="X1689" s="1" t="s">
        <v>19846</v>
      </c>
      <c r="Y1689" s="1" t="s">
        <v>19847</v>
      </c>
      <c r="Z1689" s="1" t="s">
        <v>1187</v>
      </c>
      <c r="AA1689" s="1" t="s">
        <v>19848</v>
      </c>
      <c r="AB1689" s="1" t="s">
        <v>19847</v>
      </c>
      <c r="AC1689" s="1" t="s">
        <v>1187</v>
      </c>
      <c r="AD1689" s="1">
        <v>8.74</v>
      </c>
      <c r="AE1689" s="1" t="s">
        <v>93</v>
      </c>
      <c r="AF1689" s="1" t="s">
        <v>19849</v>
      </c>
      <c r="AG1689" s="1" t="s">
        <v>1920</v>
      </c>
      <c r="AH1689" s="1" t="s">
        <v>165</v>
      </c>
      <c r="AI1689" s="1" t="s">
        <v>481</v>
      </c>
      <c r="AJ1689" s="1">
        <v>89.12</v>
      </c>
      <c r="AK1689" s="1">
        <v>0</v>
      </c>
      <c r="AL1689" s="1" t="s">
        <v>19849</v>
      </c>
      <c r="AM1689" s="1" t="s">
        <v>4027</v>
      </c>
      <c r="AN1689" s="1" t="s">
        <v>101</v>
      </c>
      <c r="AO1689" s="1" t="s">
        <v>590</v>
      </c>
      <c r="AP1689" s="1">
        <v>83.8</v>
      </c>
      <c r="AQ1689" s="1">
        <v>0</v>
      </c>
      <c r="AR1689" s="1"/>
      <c r="AS1689" s="1"/>
      <c r="AT1689" s="1"/>
      <c r="AU1689" s="1"/>
      <c r="AV1689" s="1"/>
      <c r="AW1689" s="1"/>
      <c r="AX1689" s="1" t="s">
        <v>19736</v>
      </c>
      <c r="AY1689" s="1" t="s">
        <v>19850</v>
      </c>
      <c r="AZ1689" s="1" t="s">
        <v>363</v>
      </c>
      <c r="BA1689" s="1" t="s">
        <v>1245</v>
      </c>
      <c r="BB1689" s="1">
        <v>70.86</v>
      </c>
      <c r="BC1689" s="1">
        <v>7.1</v>
      </c>
      <c r="BD1689" s="1"/>
      <c r="BE1689" s="1"/>
      <c r="BF1689" s="1"/>
      <c r="BG1689" s="1"/>
      <c r="BH1689" s="1"/>
      <c r="BI1689" s="1"/>
      <c r="BJ1689" s="1" t="s">
        <v>19851</v>
      </c>
      <c r="BK1689" s="1"/>
      <c r="BL1689" s="1"/>
      <c r="BM1689" s="1" t="s">
        <v>19852</v>
      </c>
      <c r="BN1689" s="1">
        <v>13</v>
      </c>
      <c r="BO1689" s="1"/>
      <c r="BP1689" s="1" t="str">
        <f>HYPERLINK("https://nconnect.nicmar.ac.in/storage/profile/ProfilePhoto_P25706005_369741.jpg","Download")</f>
        <v>0</v>
      </c>
      <c r="BQ1689" s="3"/>
      <c r="BR1689" s="3"/>
    </row>
    <row r="1690" spans="1:70">
      <c r="A1690" s="1" t="s">
        <v>17142</v>
      </c>
      <c r="B1690" s="1" t="s">
        <v>441</v>
      </c>
      <c r="C1690" s="1" t="s">
        <v>19853</v>
      </c>
      <c r="D1690" s="1" t="s">
        <v>19854</v>
      </c>
      <c r="E1690" s="1" t="s">
        <v>19855</v>
      </c>
      <c r="F1690" s="1" t="s">
        <v>9650</v>
      </c>
      <c r="G1690" s="1" t="s">
        <v>19856</v>
      </c>
      <c r="H1690" s="1" t="s">
        <v>19857</v>
      </c>
      <c r="I1690" s="1" t="s">
        <v>19858</v>
      </c>
      <c r="J1690" s="1">
        <v>8928234154</v>
      </c>
      <c r="K1690" s="1" t="s">
        <v>79</v>
      </c>
      <c r="L1690" s="1" t="s">
        <v>19859</v>
      </c>
      <c r="M1690" s="1" t="s">
        <v>81</v>
      </c>
      <c r="N1690" s="1" t="s">
        <v>19860</v>
      </c>
      <c r="O1690" s="1"/>
      <c r="P1690" s="1" t="s">
        <v>497</v>
      </c>
      <c r="Q1690" s="1" t="s">
        <v>19861</v>
      </c>
      <c r="R1690" s="1" t="s">
        <v>19862</v>
      </c>
      <c r="S1690" s="1">
        <v>8097449154</v>
      </c>
      <c r="T1690" s="1" t="s">
        <v>19863</v>
      </c>
      <c r="U1690" s="1" t="s">
        <v>19864</v>
      </c>
      <c r="V1690" s="1">
        <v>8850515128</v>
      </c>
      <c r="W1690" s="1" t="s">
        <v>1234</v>
      </c>
      <c r="X1690" s="1" t="s">
        <v>19865</v>
      </c>
      <c r="Y1690" s="1" t="s">
        <v>1857</v>
      </c>
      <c r="Z1690" s="1" t="s">
        <v>92</v>
      </c>
      <c r="AA1690" s="1" t="s">
        <v>19865</v>
      </c>
      <c r="AB1690" s="1" t="s">
        <v>1857</v>
      </c>
      <c r="AC1690" s="1" t="s">
        <v>92</v>
      </c>
      <c r="AD1690" s="1">
        <v>8.99</v>
      </c>
      <c r="AE1690" s="1" t="s">
        <v>93</v>
      </c>
      <c r="AF1690" s="1" t="s">
        <v>19866</v>
      </c>
      <c r="AG1690" s="1" t="s">
        <v>975</v>
      </c>
      <c r="AH1690" s="1" t="s">
        <v>165</v>
      </c>
      <c r="AI1690" s="1" t="s">
        <v>281</v>
      </c>
      <c r="AJ1690" s="1">
        <v>74.4</v>
      </c>
      <c r="AK1690" s="1"/>
      <c r="AL1690" s="1"/>
      <c r="AM1690" s="1"/>
      <c r="AN1690" s="1"/>
      <c r="AO1690" s="1"/>
      <c r="AP1690" s="1"/>
      <c r="AQ1690" s="1"/>
      <c r="AR1690" s="1" t="s">
        <v>19867</v>
      </c>
      <c r="AS1690" s="1" t="s">
        <v>19868</v>
      </c>
      <c r="AT1690" s="1" t="s">
        <v>1043</v>
      </c>
      <c r="AU1690" s="1" t="s">
        <v>436</v>
      </c>
      <c r="AV1690" s="1">
        <v>87.72</v>
      </c>
      <c r="AW1690" s="1"/>
      <c r="AX1690" s="1" t="s">
        <v>666</v>
      </c>
      <c r="AY1690" s="1" t="s">
        <v>19869</v>
      </c>
      <c r="AZ1690" s="1" t="s">
        <v>436</v>
      </c>
      <c r="BA1690" s="1" t="s">
        <v>413</v>
      </c>
      <c r="BB1690" s="1">
        <v>69.07</v>
      </c>
      <c r="BC1690" s="1">
        <v>7.83</v>
      </c>
      <c r="BD1690" s="1"/>
      <c r="BE1690" s="1"/>
      <c r="BF1690" s="1"/>
      <c r="BG1690" s="1"/>
      <c r="BH1690" s="1"/>
      <c r="BI1690" s="1"/>
      <c r="BJ1690" s="1" t="s">
        <v>19870</v>
      </c>
      <c r="BK1690" s="1" t="s">
        <v>19871</v>
      </c>
      <c r="BL1690" s="1" t="s">
        <v>287</v>
      </c>
      <c r="BM1690" s="1" t="s">
        <v>19872</v>
      </c>
      <c r="BN1690" s="1">
        <v>9</v>
      </c>
      <c r="BO1690" s="1"/>
      <c r="BP1690" s="1" t="str">
        <f>HYPERLINK("https://nconnect.nicmar.ac.in/storage/profile/ProfilePhoto_P25706006_148672.jpg","Download")</f>
        <v>0</v>
      </c>
      <c r="BQ1690" s="3"/>
      <c r="BR1690" s="3"/>
    </row>
    <row r="1691" spans="1:70">
      <c r="A1691" s="1" t="s">
        <v>17142</v>
      </c>
      <c r="B1691" s="1" t="s">
        <v>441</v>
      </c>
      <c r="C1691" s="1" t="s">
        <v>19873</v>
      </c>
      <c r="D1691" s="1" t="s">
        <v>1053</v>
      </c>
      <c r="E1691" s="1" t="s">
        <v>4053</v>
      </c>
      <c r="F1691" s="1" t="s">
        <v>19874</v>
      </c>
      <c r="G1691" s="1" t="s">
        <v>19875</v>
      </c>
      <c r="H1691" s="1" t="s">
        <v>19876</v>
      </c>
      <c r="I1691" s="1" t="s">
        <v>19877</v>
      </c>
      <c r="J1691" s="1">
        <v>6301180283</v>
      </c>
      <c r="K1691" s="1" t="s">
        <v>79</v>
      </c>
      <c r="L1691" s="1" t="s">
        <v>19878</v>
      </c>
      <c r="M1691" s="1" t="s">
        <v>81</v>
      </c>
      <c r="N1691" s="1" t="s">
        <v>1427</v>
      </c>
      <c r="O1691" s="1"/>
      <c r="P1691" s="1" t="s">
        <v>2694</v>
      </c>
      <c r="Q1691" s="1" t="s">
        <v>19879</v>
      </c>
      <c r="R1691" s="1" t="s">
        <v>19880</v>
      </c>
      <c r="S1691" s="1">
        <v>9959680113</v>
      </c>
      <c r="T1691" s="1" t="s">
        <v>19881</v>
      </c>
      <c r="U1691" s="1" t="s">
        <v>19882</v>
      </c>
      <c r="V1691" s="1">
        <v>9000605652</v>
      </c>
      <c r="W1691" s="1" t="s">
        <v>531</v>
      </c>
      <c r="X1691" s="1" t="s">
        <v>19883</v>
      </c>
      <c r="Y1691" s="1" t="s">
        <v>3050</v>
      </c>
      <c r="Z1691" s="1" t="s">
        <v>456</v>
      </c>
      <c r="AA1691" s="1" t="s">
        <v>19883</v>
      </c>
      <c r="AB1691" s="1" t="s">
        <v>3050</v>
      </c>
      <c r="AC1691" s="1" t="s">
        <v>456</v>
      </c>
      <c r="AD1691" s="1">
        <v>9.5</v>
      </c>
      <c r="AE1691" s="1" t="s">
        <v>93</v>
      </c>
      <c r="AF1691" s="1" t="s">
        <v>19884</v>
      </c>
      <c r="AG1691" s="1" t="s">
        <v>19885</v>
      </c>
      <c r="AH1691" s="1" t="s">
        <v>96</v>
      </c>
      <c r="AI1691" s="1" t="s">
        <v>97</v>
      </c>
      <c r="AJ1691" s="1">
        <v>87</v>
      </c>
      <c r="AK1691" s="1">
        <v>8.7</v>
      </c>
      <c r="AL1691" s="1" t="s">
        <v>3052</v>
      </c>
      <c r="AM1691" s="1" t="s">
        <v>3053</v>
      </c>
      <c r="AN1691" s="1" t="s">
        <v>162</v>
      </c>
      <c r="AO1691" s="1" t="s">
        <v>195</v>
      </c>
      <c r="AP1691" s="1">
        <v>87.1</v>
      </c>
      <c r="AQ1691" s="1">
        <v>8.71</v>
      </c>
      <c r="AR1691" s="1"/>
      <c r="AS1691" s="1"/>
      <c r="AT1691" s="1"/>
      <c r="AU1691" s="1"/>
      <c r="AV1691" s="1"/>
      <c r="AW1691" s="1"/>
      <c r="AX1691" s="1" t="s">
        <v>1798</v>
      </c>
      <c r="AY1691" s="1" t="s">
        <v>19886</v>
      </c>
      <c r="AZ1691" s="1" t="s">
        <v>165</v>
      </c>
      <c r="BA1691" s="1" t="s">
        <v>4109</v>
      </c>
      <c r="BB1691" s="1">
        <v>57.9</v>
      </c>
      <c r="BC1691" s="1">
        <v>6.29</v>
      </c>
      <c r="BD1691" s="1"/>
      <c r="BE1691" s="1"/>
      <c r="BF1691" s="1"/>
      <c r="BG1691" s="1"/>
      <c r="BH1691" s="1"/>
      <c r="BI1691" s="1"/>
      <c r="BJ1691" s="1" t="s">
        <v>19887</v>
      </c>
      <c r="BK1691" s="1" t="s">
        <v>19888</v>
      </c>
      <c r="BL1691" s="1" t="s">
        <v>2434</v>
      </c>
      <c r="BM1691" s="1" t="s">
        <v>19889</v>
      </c>
      <c r="BN1691" s="1">
        <v>9</v>
      </c>
      <c r="BO1691" s="1"/>
      <c r="BP1691" s="1" t="str">
        <f>HYPERLINK("https://nconnect.nicmar.ac.in/storage/profile/ProfilePhoto_P25706007_459328.jpg","Download")</f>
        <v>0</v>
      </c>
      <c r="BQ1691" s="3"/>
      <c r="BR1691" s="3"/>
    </row>
    <row r="1692" spans="1:70">
      <c r="A1692" s="1" t="s">
        <v>17142</v>
      </c>
      <c r="B1692" s="1" t="s">
        <v>441</v>
      </c>
      <c r="C1692" s="1" t="s">
        <v>19890</v>
      </c>
      <c r="D1692" s="1" t="s">
        <v>19891</v>
      </c>
      <c r="E1692" s="1"/>
      <c r="F1692" s="1" t="s">
        <v>19892</v>
      </c>
      <c r="G1692" s="1" t="s">
        <v>19893</v>
      </c>
      <c r="H1692" s="1" t="s">
        <v>19894</v>
      </c>
      <c r="I1692" s="1" t="s">
        <v>19895</v>
      </c>
      <c r="J1692" s="1">
        <v>9715208646</v>
      </c>
      <c r="K1692" s="1" t="s">
        <v>79</v>
      </c>
      <c r="L1692" s="1" t="s">
        <v>11018</v>
      </c>
      <c r="M1692" s="1" t="s">
        <v>81</v>
      </c>
      <c r="N1692" s="1" t="s">
        <v>2325</v>
      </c>
      <c r="O1692" s="1"/>
      <c r="P1692" s="1" t="s">
        <v>497</v>
      </c>
      <c r="Q1692" s="1" t="s">
        <v>19896</v>
      </c>
      <c r="R1692" s="1" t="s">
        <v>6925</v>
      </c>
      <c r="S1692" s="1">
        <v>8838717125</v>
      </c>
      <c r="T1692" s="1" t="s">
        <v>3414</v>
      </c>
      <c r="U1692" s="1" t="s">
        <v>19897</v>
      </c>
      <c r="V1692" s="1">
        <v>7305110126</v>
      </c>
      <c r="W1692" s="1" t="s">
        <v>156</v>
      </c>
      <c r="X1692" s="1" t="s">
        <v>19898</v>
      </c>
      <c r="Y1692" s="1" t="s">
        <v>19899</v>
      </c>
      <c r="Z1692" s="1" t="s">
        <v>559</v>
      </c>
      <c r="AA1692" s="1" t="s">
        <v>19898</v>
      </c>
      <c r="AB1692" s="1" t="s">
        <v>19899</v>
      </c>
      <c r="AC1692" s="1" t="s">
        <v>559</v>
      </c>
      <c r="AD1692" s="1">
        <v>8.32</v>
      </c>
      <c r="AE1692" s="1" t="s">
        <v>93</v>
      </c>
      <c r="AF1692" s="1" t="s">
        <v>19900</v>
      </c>
      <c r="AG1692" s="1" t="s">
        <v>307</v>
      </c>
      <c r="AH1692" s="1" t="s">
        <v>162</v>
      </c>
      <c r="AI1692" s="1" t="s">
        <v>165</v>
      </c>
      <c r="AJ1692" s="1">
        <v>84.5</v>
      </c>
      <c r="AK1692" s="1">
        <v>9</v>
      </c>
      <c r="AL1692" s="1" t="s">
        <v>19901</v>
      </c>
      <c r="AM1692" s="1" t="s">
        <v>307</v>
      </c>
      <c r="AN1692" s="1" t="s">
        <v>101</v>
      </c>
      <c r="AO1692" s="1" t="s">
        <v>308</v>
      </c>
      <c r="AP1692" s="1">
        <v>73.6</v>
      </c>
      <c r="AQ1692" s="1">
        <v>7.74</v>
      </c>
      <c r="AR1692" s="1"/>
      <c r="AS1692" s="1"/>
      <c r="AT1692" s="1"/>
      <c r="AU1692" s="1"/>
      <c r="AV1692" s="1"/>
      <c r="AW1692" s="1"/>
      <c r="AX1692" s="1" t="s">
        <v>19902</v>
      </c>
      <c r="AY1692" s="1" t="s">
        <v>19903</v>
      </c>
      <c r="AZ1692" s="1" t="s">
        <v>310</v>
      </c>
      <c r="BA1692" s="1" t="s">
        <v>935</v>
      </c>
      <c r="BB1692" s="1">
        <v>80</v>
      </c>
      <c r="BC1692" s="1">
        <v>8</v>
      </c>
      <c r="BD1692" s="1"/>
      <c r="BE1692" s="1"/>
      <c r="BF1692" s="1"/>
      <c r="BG1692" s="1"/>
      <c r="BH1692" s="1"/>
      <c r="BI1692" s="1"/>
      <c r="BJ1692" s="1" t="s">
        <v>6436</v>
      </c>
      <c r="BK1692" s="1"/>
      <c r="BL1692" s="1"/>
      <c r="BM1692" s="1" t="s">
        <v>19904</v>
      </c>
      <c r="BN1692" s="1">
        <v>8</v>
      </c>
      <c r="BO1692" s="1"/>
      <c r="BP1692" s="1" t="str">
        <f>HYPERLINK("https://nconnect.nicmar.ac.in/storage/profile/ProfilePhoto_P25706008_824173.jpg","Download")</f>
        <v>0</v>
      </c>
      <c r="BQ1692" s="3"/>
      <c r="BR1692" s="3"/>
    </row>
    <row r="1693" spans="1:70">
      <c r="A1693" s="1" t="s">
        <v>17142</v>
      </c>
      <c r="B1693" s="1" t="s">
        <v>441</v>
      </c>
      <c r="C1693" s="1" t="s">
        <v>19905</v>
      </c>
      <c r="D1693" s="1" t="s">
        <v>6944</v>
      </c>
      <c r="E1693" s="1" t="s">
        <v>3077</v>
      </c>
      <c r="F1693" s="1" t="s">
        <v>19906</v>
      </c>
      <c r="G1693" s="1" t="s">
        <v>19907</v>
      </c>
      <c r="H1693" s="1" t="s">
        <v>19908</v>
      </c>
      <c r="I1693" s="1" t="s">
        <v>19909</v>
      </c>
      <c r="J1693" s="1">
        <v>9373022458</v>
      </c>
      <c r="K1693" s="1" t="s">
        <v>148</v>
      </c>
      <c r="L1693" s="1" t="s">
        <v>6958</v>
      </c>
      <c r="M1693" s="1" t="s">
        <v>81</v>
      </c>
      <c r="N1693" s="1" t="s">
        <v>19860</v>
      </c>
      <c r="O1693" s="1" t="s">
        <v>19910</v>
      </c>
      <c r="P1693" s="1" t="s">
        <v>497</v>
      </c>
      <c r="Q1693" s="1" t="s">
        <v>19911</v>
      </c>
      <c r="R1693" s="1" t="s">
        <v>19912</v>
      </c>
      <c r="S1693" s="1">
        <v>8550987765</v>
      </c>
      <c r="T1693" s="1" t="s">
        <v>19913</v>
      </c>
      <c r="U1693" s="1" t="s">
        <v>19914</v>
      </c>
      <c r="V1693" s="1">
        <v>7875757765</v>
      </c>
      <c r="W1693" s="1" t="s">
        <v>19915</v>
      </c>
      <c r="X1693" s="1" t="s">
        <v>19916</v>
      </c>
      <c r="Y1693" s="1" t="s">
        <v>191</v>
      </c>
      <c r="Z1693" s="1" t="s">
        <v>92</v>
      </c>
      <c r="AA1693" s="1" t="s">
        <v>19917</v>
      </c>
      <c r="AB1693" s="1" t="s">
        <v>191</v>
      </c>
      <c r="AC1693" s="1" t="s">
        <v>92</v>
      </c>
      <c r="AD1693" s="1">
        <v>9.69</v>
      </c>
      <c r="AE1693" s="1" t="s">
        <v>93</v>
      </c>
      <c r="AF1693" s="1" t="s">
        <v>19918</v>
      </c>
      <c r="AG1693" s="1" t="s">
        <v>19919</v>
      </c>
      <c r="AH1693" s="1" t="s">
        <v>101</v>
      </c>
      <c r="AI1693" s="1" t="s">
        <v>433</v>
      </c>
      <c r="AJ1693" s="1">
        <v>89.6</v>
      </c>
      <c r="AK1693" s="1"/>
      <c r="AL1693" s="1" t="s">
        <v>19920</v>
      </c>
      <c r="AM1693" s="1" t="s">
        <v>19919</v>
      </c>
      <c r="AN1693" s="1" t="s">
        <v>173</v>
      </c>
      <c r="AO1693" s="1" t="s">
        <v>436</v>
      </c>
      <c r="AP1693" s="1">
        <v>88.67</v>
      </c>
      <c r="AQ1693" s="1"/>
      <c r="AR1693" s="1"/>
      <c r="AS1693" s="1"/>
      <c r="AT1693" s="1"/>
      <c r="AU1693" s="1"/>
      <c r="AV1693" s="1"/>
      <c r="AW1693" s="1"/>
      <c r="AX1693" s="1" t="s">
        <v>19921</v>
      </c>
      <c r="AY1693" s="1" t="s">
        <v>19922</v>
      </c>
      <c r="AZ1693" s="1" t="s">
        <v>852</v>
      </c>
      <c r="BA1693" s="1" t="s">
        <v>543</v>
      </c>
      <c r="BB1693" s="1">
        <v>76.19</v>
      </c>
      <c r="BC1693" s="1">
        <v>8.02</v>
      </c>
      <c r="BD1693" s="1"/>
      <c r="BE1693" s="1"/>
      <c r="BF1693" s="1"/>
      <c r="BG1693" s="1"/>
      <c r="BH1693" s="1"/>
      <c r="BI1693" s="1"/>
      <c r="BJ1693" s="1" t="s">
        <v>19923</v>
      </c>
      <c r="BK1693" s="1"/>
      <c r="BL1693" s="1"/>
      <c r="BM1693" s="1" t="s">
        <v>19924</v>
      </c>
      <c r="BN1693" s="1">
        <v>21</v>
      </c>
      <c r="BO1693" s="1" t="s">
        <v>19925</v>
      </c>
      <c r="BP1693" s="1" t="str">
        <f>HYPERLINK("https://nconnect.nicmar.ac.in/storage/profile/ProfilePhoto_P25706009_795423.jpg","Download")</f>
        <v>0</v>
      </c>
      <c r="BQ1693" s="3"/>
      <c r="BR1693" s="3"/>
    </row>
    <row r="1694" spans="1:70">
      <c r="A1694" s="1" t="s">
        <v>17142</v>
      </c>
      <c r="B1694" s="1" t="s">
        <v>441</v>
      </c>
      <c r="C1694" s="1" t="s">
        <v>19926</v>
      </c>
      <c r="D1694" s="1" t="s">
        <v>18562</v>
      </c>
      <c r="E1694" s="1"/>
      <c r="F1694" s="1" t="s">
        <v>19927</v>
      </c>
      <c r="G1694" s="1" t="s">
        <v>19928</v>
      </c>
      <c r="H1694" s="1" t="s">
        <v>19929</v>
      </c>
      <c r="I1694" s="1" t="s">
        <v>19930</v>
      </c>
      <c r="J1694" s="1">
        <v>9168339222</v>
      </c>
      <c r="K1694" s="1" t="s">
        <v>148</v>
      </c>
      <c r="L1694" s="1" t="s">
        <v>19931</v>
      </c>
      <c r="M1694" s="1" t="s">
        <v>81</v>
      </c>
      <c r="N1694" s="1" t="s">
        <v>19932</v>
      </c>
      <c r="O1694" s="1" t="s">
        <v>19933</v>
      </c>
      <c r="P1694" s="1" t="s">
        <v>2035</v>
      </c>
      <c r="Q1694" s="1" t="s">
        <v>19934</v>
      </c>
      <c r="R1694" s="1" t="s">
        <v>19935</v>
      </c>
      <c r="S1694" s="1">
        <v>9730753535</v>
      </c>
      <c r="T1694" s="1" t="s">
        <v>632</v>
      </c>
      <c r="U1694" s="1" t="s">
        <v>19936</v>
      </c>
      <c r="V1694" s="1">
        <v>9168339222</v>
      </c>
      <c r="W1694" s="1" t="s">
        <v>19937</v>
      </c>
      <c r="X1694" s="1" t="s">
        <v>19938</v>
      </c>
      <c r="Y1694" s="1" t="s">
        <v>191</v>
      </c>
      <c r="Z1694" s="1" t="s">
        <v>92</v>
      </c>
      <c r="AA1694" s="1" t="s">
        <v>19938</v>
      </c>
      <c r="AB1694" s="1" t="s">
        <v>191</v>
      </c>
      <c r="AC1694" s="1" t="s">
        <v>92</v>
      </c>
      <c r="AD1694" s="1">
        <v>9.43</v>
      </c>
      <c r="AE1694" s="1" t="s">
        <v>93</v>
      </c>
      <c r="AF1694" s="1" t="s">
        <v>19939</v>
      </c>
      <c r="AG1694" s="1" t="s">
        <v>19940</v>
      </c>
      <c r="AH1694" s="1" t="s">
        <v>433</v>
      </c>
      <c r="AI1694" s="1" t="s">
        <v>173</v>
      </c>
      <c r="AJ1694" s="1">
        <v>96.6</v>
      </c>
      <c r="AK1694" s="1"/>
      <c r="AL1694" s="1" t="s">
        <v>19941</v>
      </c>
      <c r="AM1694" s="1" t="s">
        <v>19942</v>
      </c>
      <c r="AN1694" s="1" t="s">
        <v>871</v>
      </c>
      <c r="AO1694" s="1" t="s">
        <v>284</v>
      </c>
      <c r="AP1694" s="1">
        <v>94.5</v>
      </c>
      <c r="AQ1694" s="1"/>
      <c r="AR1694" s="1"/>
      <c r="AS1694" s="1"/>
      <c r="AT1694" s="1"/>
      <c r="AU1694" s="1"/>
      <c r="AV1694" s="1"/>
      <c r="AW1694" s="1"/>
      <c r="AX1694" s="1" t="s">
        <v>361</v>
      </c>
      <c r="AY1694" s="1" t="s">
        <v>3982</v>
      </c>
      <c r="AZ1694" s="1" t="s">
        <v>1378</v>
      </c>
      <c r="BA1694" s="1" t="s">
        <v>543</v>
      </c>
      <c r="BB1694" s="1">
        <v>85.52</v>
      </c>
      <c r="BC1694" s="1">
        <v>9.21</v>
      </c>
      <c r="BD1694" s="1"/>
      <c r="BE1694" s="1"/>
      <c r="BF1694" s="1"/>
      <c r="BG1694" s="1"/>
      <c r="BH1694" s="1"/>
      <c r="BI1694" s="1"/>
      <c r="BJ1694" s="1" t="s">
        <v>19943</v>
      </c>
      <c r="BK1694" s="1"/>
      <c r="BL1694" s="1"/>
      <c r="BM1694" s="1" t="s">
        <v>19944</v>
      </c>
      <c r="BN1694" s="1">
        <v>8</v>
      </c>
      <c r="BO1694" s="1"/>
      <c r="BP1694" s="1" t="str">
        <f>HYPERLINK("https://nconnect.nicmar.ac.in/storage/profile/ProfilePhoto_P25706010_137249.jpg","Download")</f>
        <v>0</v>
      </c>
      <c r="BQ1694" s="3"/>
      <c r="BR1694" s="3"/>
    </row>
    <row r="1695" spans="1:70">
      <c r="A1695" s="1" t="s">
        <v>17142</v>
      </c>
      <c r="B1695" s="1" t="s">
        <v>441</v>
      </c>
      <c r="C1695" s="1" t="s">
        <v>19945</v>
      </c>
      <c r="D1695" s="1" t="s">
        <v>417</v>
      </c>
      <c r="E1695" s="1" t="s">
        <v>649</v>
      </c>
      <c r="F1695" s="1" t="s">
        <v>19946</v>
      </c>
      <c r="G1695" s="1" t="s">
        <v>19947</v>
      </c>
      <c r="H1695" s="1" t="s">
        <v>19948</v>
      </c>
      <c r="I1695" s="1" t="s">
        <v>19949</v>
      </c>
      <c r="J1695" s="1">
        <v>7709765680</v>
      </c>
      <c r="K1695" s="1" t="s">
        <v>148</v>
      </c>
      <c r="L1695" s="1" t="s">
        <v>4756</v>
      </c>
      <c r="M1695" s="1" t="s">
        <v>81</v>
      </c>
      <c r="N1695" s="1" t="s">
        <v>1058</v>
      </c>
      <c r="O1695" s="1"/>
      <c r="P1695" s="1" t="s">
        <v>497</v>
      </c>
      <c r="Q1695" s="1" t="s">
        <v>19950</v>
      </c>
      <c r="R1695" s="1" t="s">
        <v>19951</v>
      </c>
      <c r="S1695" s="1">
        <v>9881461032</v>
      </c>
      <c r="T1695" s="1" t="s">
        <v>120</v>
      </c>
      <c r="U1695" s="1" t="s">
        <v>19952</v>
      </c>
      <c r="V1695" s="1">
        <v>9881461031</v>
      </c>
      <c r="W1695" s="1" t="s">
        <v>632</v>
      </c>
      <c r="X1695" s="1" t="s">
        <v>19953</v>
      </c>
      <c r="Y1695" s="1" t="s">
        <v>191</v>
      </c>
      <c r="Z1695" s="1" t="s">
        <v>92</v>
      </c>
      <c r="AA1695" s="1" t="s">
        <v>19953</v>
      </c>
      <c r="AB1695" s="1" t="s">
        <v>191</v>
      </c>
      <c r="AC1695" s="1" t="s">
        <v>92</v>
      </c>
      <c r="AD1695" s="1">
        <v>8.31</v>
      </c>
      <c r="AE1695" s="1" t="s">
        <v>93</v>
      </c>
      <c r="AF1695" s="1" t="s">
        <v>19954</v>
      </c>
      <c r="AG1695" s="1" t="s">
        <v>19955</v>
      </c>
      <c r="AH1695" s="1" t="s">
        <v>1088</v>
      </c>
      <c r="AI1695" s="1" t="s">
        <v>614</v>
      </c>
      <c r="AJ1695" s="1">
        <v>85.5</v>
      </c>
      <c r="AK1695" s="1">
        <v>9</v>
      </c>
      <c r="AL1695" s="1" t="s">
        <v>19956</v>
      </c>
      <c r="AM1695" s="1" t="s">
        <v>19957</v>
      </c>
      <c r="AN1695" s="1" t="s">
        <v>383</v>
      </c>
      <c r="AO1695" s="1" t="s">
        <v>101</v>
      </c>
      <c r="AP1695" s="1">
        <v>65.23</v>
      </c>
      <c r="AQ1695" s="1"/>
      <c r="AR1695" s="1"/>
      <c r="AS1695" s="1"/>
      <c r="AT1695" s="1"/>
      <c r="AU1695" s="1"/>
      <c r="AV1695" s="1"/>
      <c r="AW1695" s="1"/>
      <c r="AX1695" s="1" t="s">
        <v>19958</v>
      </c>
      <c r="AY1695" s="1" t="s">
        <v>19959</v>
      </c>
      <c r="AZ1695" s="1" t="s">
        <v>201</v>
      </c>
      <c r="BA1695" s="1" t="s">
        <v>1067</v>
      </c>
      <c r="BB1695" s="1">
        <v>67.2</v>
      </c>
      <c r="BC1695" s="1">
        <v>7.03</v>
      </c>
      <c r="BD1695" s="1"/>
      <c r="BE1695" s="1"/>
      <c r="BF1695" s="1"/>
      <c r="BG1695" s="1"/>
      <c r="BH1695" s="1"/>
      <c r="BI1695" s="1"/>
      <c r="BJ1695" s="1" t="s">
        <v>19960</v>
      </c>
      <c r="BK1695" s="1"/>
      <c r="BL1695" s="1"/>
      <c r="BM1695" s="1" t="s">
        <v>19961</v>
      </c>
      <c r="BN1695" s="1">
        <v>30</v>
      </c>
      <c r="BO1695" s="1" t="s">
        <v>19962</v>
      </c>
      <c r="BP1695" s="1" t="str">
        <f>HYPERLINK("https://nconnect.nicmar.ac.in/storage/profile/ProfilePhoto_P25706011_687321.jpg","Download")</f>
        <v>0</v>
      </c>
      <c r="BQ1695" s="3"/>
      <c r="BR1695" s="3"/>
    </row>
    <row r="1696" spans="1:70">
      <c r="A1696" s="1" t="s">
        <v>17142</v>
      </c>
      <c r="B1696" s="1" t="s">
        <v>441</v>
      </c>
      <c r="C1696" s="1" t="s">
        <v>19963</v>
      </c>
      <c r="D1696" s="1" t="s">
        <v>6135</v>
      </c>
      <c r="E1696" s="1"/>
      <c r="F1696" s="1" t="s">
        <v>19964</v>
      </c>
      <c r="G1696" s="1" t="s">
        <v>19965</v>
      </c>
      <c r="H1696" s="1" t="s">
        <v>19966</v>
      </c>
      <c r="I1696" s="1" t="s">
        <v>19967</v>
      </c>
      <c r="J1696" s="1">
        <v>8928716199</v>
      </c>
      <c r="K1696" s="1" t="s">
        <v>79</v>
      </c>
      <c r="L1696" s="1" t="s">
        <v>19968</v>
      </c>
      <c r="M1696" s="1" t="s">
        <v>81</v>
      </c>
      <c r="N1696" s="1" t="s">
        <v>82</v>
      </c>
      <c r="O1696" s="1" t="s">
        <v>19969</v>
      </c>
      <c r="P1696" s="1" t="s">
        <v>450</v>
      </c>
      <c r="Q1696" s="1" t="s">
        <v>19970</v>
      </c>
      <c r="R1696" s="1" t="s">
        <v>19971</v>
      </c>
      <c r="S1696" s="1">
        <v>8591610630</v>
      </c>
      <c r="T1696" s="1" t="s">
        <v>122</v>
      </c>
      <c r="U1696" s="1" t="s">
        <v>19972</v>
      </c>
      <c r="V1696" s="1">
        <v>7506955528</v>
      </c>
      <c r="W1696" s="1" t="s">
        <v>122</v>
      </c>
      <c r="X1696" s="1" t="s">
        <v>19973</v>
      </c>
      <c r="Y1696" s="1" t="s">
        <v>991</v>
      </c>
      <c r="Z1696" s="1" t="s">
        <v>92</v>
      </c>
      <c r="AA1696" s="1" t="s">
        <v>19973</v>
      </c>
      <c r="AB1696" s="1" t="s">
        <v>991</v>
      </c>
      <c r="AC1696" s="1" t="s">
        <v>92</v>
      </c>
      <c r="AD1696" s="1">
        <v>9.76</v>
      </c>
      <c r="AE1696" s="1" t="s">
        <v>93</v>
      </c>
      <c r="AF1696" s="1" t="s">
        <v>19974</v>
      </c>
      <c r="AG1696" s="1" t="s">
        <v>1942</v>
      </c>
      <c r="AH1696" s="1" t="s">
        <v>101</v>
      </c>
      <c r="AI1696" s="1" t="s">
        <v>409</v>
      </c>
      <c r="AJ1696" s="1">
        <v>82.6</v>
      </c>
      <c r="AK1696" s="1"/>
      <c r="AL1696" s="1" t="s">
        <v>19975</v>
      </c>
      <c r="AM1696" s="1" t="s">
        <v>1942</v>
      </c>
      <c r="AN1696" s="1" t="s">
        <v>460</v>
      </c>
      <c r="AO1696" s="1" t="s">
        <v>436</v>
      </c>
      <c r="AP1696" s="1">
        <v>90.33</v>
      </c>
      <c r="AQ1696" s="1"/>
      <c r="AR1696" s="1"/>
      <c r="AS1696" s="1"/>
      <c r="AT1696" s="1"/>
      <c r="AU1696" s="1"/>
      <c r="AV1696" s="1"/>
      <c r="AW1696" s="1"/>
      <c r="AX1696" s="1" t="s">
        <v>361</v>
      </c>
      <c r="AY1696" s="1" t="s">
        <v>19976</v>
      </c>
      <c r="AZ1696" s="1" t="s">
        <v>542</v>
      </c>
      <c r="BA1696" s="1" t="s">
        <v>543</v>
      </c>
      <c r="BB1696" s="1">
        <v>63.32</v>
      </c>
      <c r="BC1696" s="1">
        <v>6.9</v>
      </c>
      <c r="BD1696" s="1"/>
      <c r="BE1696" s="1"/>
      <c r="BF1696" s="1"/>
      <c r="BG1696" s="1"/>
      <c r="BH1696" s="1"/>
      <c r="BI1696" s="1"/>
      <c r="BJ1696" s="1" t="s">
        <v>17160</v>
      </c>
      <c r="BK1696" s="1"/>
      <c r="BL1696" s="1"/>
      <c r="BM1696" s="1" t="s">
        <v>19977</v>
      </c>
      <c r="BN1696" s="1">
        <v>9</v>
      </c>
      <c r="BO1696" s="1"/>
      <c r="BP1696" s="1" t="str">
        <f>HYPERLINK("https://nconnect.nicmar.ac.in/storage/profile/ProfilePhoto_P25706012_485726.jpg","Download")</f>
        <v>0</v>
      </c>
      <c r="BQ1696" s="3"/>
      <c r="BR1696" s="3"/>
    </row>
    <row r="1697" spans="1:70">
      <c r="A1697" s="1" t="s">
        <v>17142</v>
      </c>
      <c r="B1697" s="1" t="s">
        <v>441</v>
      </c>
      <c r="C1697" s="1" t="s">
        <v>19978</v>
      </c>
      <c r="D1697" s="1" t="s">
        <v>3581</v>
      </c>
      <c r="E1697" s="1" t="s">
        <v>13031</v>
      </c>
      <c r="F1697" s="1" t="s">
        <v>3120</v>
      </c>
      <c r="G1697" s="1" t="s">
        <v>19979</v>
      </c>
      <c r="H1697" s="1" t="s">
        <v>19980</v>
      </c>
      <c r="I1697" s="1" t="s">
        <v>19981</v>
      </c>
      <c r="J1697" s="1">
        <v>9322877802</v>
      </c>
      <c r="K1697" s="1" t="s">
        <v>79</v>
      </c>
      <c r="L1697" s="1" t="s">
        <v>7593</v>
      </c>
      <c r="M1697" s="1" t="s">
        <v>81</v>
      </c>
      <c r="N1697" s="1" t="s">
        <v>3065</v>
      </c>
      <c r="O1697" s="1"/>
      <c r="P1697" s="1" t="s">
        <v>497</v>
      </c>
      <c r="Q1697" s="1" t="s">
        <v>19982</v>
      </c>
      <c r="R1697" s="1" t="s">
        <v>19983</v>
      </c>
      <c r="S1697" s="1">
        <v>7588434615</v>
      </c>
      <c r="T1697" s="1" t="s">
        <v>154</v>
      </c>
      <c r="U1697" s="1" t="s">
        <v>19984</v>
      </c>
      <c r="V1697" s="1">
        <v>9403813448</v>
      </c>
      <c r="W1697" s="1" t="s">
        <v>156</v>
      </c>
      <c r="X1697" s="1" t="s">
        <v>19985</v>
      </c>
      <c r="Y1697" s="1" t="s">
        <v>5034</v>
      </c>
      <c r="Z1697" s="1" t="s">
        <v>92</v>
      </c>
      <c r="AA1697" s="1" t="s">
        <v>19985</v>
      </c>
      <c r="AB1697" s="1" t="s">
        <v>5034</v>
      </c>
      <c r="AC1697" s="1" t="s">
        <v>92</v>
      </c>
      <c r="AD1697" s="1">
        <v>8.99</v>
      </c>
      <c r="AE1697" s="1" t="s">
        <v>93</v>
      </c>
      <c r="AF1697" s="1" t="s">
        <v>19986</v>
      </c>
      <c r="AG1697" s="1" t="s">
        <v>307</v>
      </c>
      <c r="AH1697" s="1" t="s">
        <v>7319</v>
      </c>
      <c r="AI1697" s="1" t="s">
        <v>101</v>
      </c>
      <c r="AJ1697" s="1">
        <v>56</v>
      </c>
      <c r="AK1697" s="1"/>
      <c r="AL1697" s="1" t="s">
        <v>19987</v>
      </c>
      <c r="AM1697" s="1" t="s">
        <v>19988</v>
      </c>
      <c r="AN1697" s="1" t="s">
        <v>433</v>
      </c>
      <c r="AO1697" s="1" t="s">
        <v>412</v>
      </c>
      <c r="AP1697" s="1">
        <v>77.38</v>
      </c>
      <c r="AQ1697" s="1"/>
      <c r="AR1697" s="1"/>
      <c r="AS1697" s="1"/>
      <c r="AT1697" s="1"/>
      <c r="AU1697" s="1"/>
      <c r="AV1697" s="1"/>
      <c r="AW1697" s="1"/>
      <c r="AX1697" s="1" t="s">
        <v>19989</v>
      </c>
      <c r="AY1697" s="1" t="s">
        <v>7019</v>
      </c>
      <c r="AZ1697" s="1" t="s">
        <v>363</v>
      </c>
      <c r="BA1697" s="1" t="s">
        <v>5344</v>
      </c>
      <c r="BB1697" s="1">
        <v>61.6</v>
      </c>
      <c r="BC1697" s="1">
        <v>6.66</v>
      </c>
      <c r="BD1697" s="1"/>
      <c r="BE1697" s="1"/>
      <c r="BF1697" s="1"/>
      <c r="BG1697" s="1"/>
      <c r="BH1697" s="1"/>
      <c r="BI1697" s="1"/>
      <c r="BJ1697" s="1" t="s">
        <v>19990</v>
      </c>
      <c r="BK1697" s="1"/>
      <c r="BL1697" s="1"/>
      <c r="BM1697" s="1" t="s">
        <v>19991</v>
      </c>
      <c r="BN1697" s="1">
        <v>21</v>
      </c>
      <c r="BO1697" s="1" t="s">
        <v>19992</v>
      </c>
      <c r="BP1697" s="1" t="str">
        <f>HYPERLINK("https://nconnect.nicmar.ac.in/storage/profile/ProfilePhoto_P25706013_549263.jpg","Download")</f>
        <v>0</v>
      </c>
      <c r="BQ1697" s="3"/>
      <c r="BR1697" s="3"/>
    </row>
    <row r="1698" spans="1:70">
      <c r="A1698" s="1" t="s">
        <v>17142</v>
      </c>
      <c r="B1698" s="1" t="s">
        <v>441</v>
      </c>
      <c r="C1698" s="1" t="s">
        <v>19993</v>
      </c>
      <c r="D1698" s="1" t="s">
        <v>19994</v>
      </c>
      <c r="E1698" s="1" t="s">
        <v>19995</v>
      </c>
      <c r="F1698" s="1" t="s">
        <v>2651</v>
      </c>
      <c r="G1698" s="1" t="s">
        <v>19996</v>
      </c>
      <c r="H1698" s="1" t="s">
        <v>19997</v>
      </c>
      <c r="I1698" s="1" t="s">
        <v>19998</v>
      </c>
      <c r="J1698" s="1">
        <v>9347078940</v>
      </c>
      <c r="K1698" s="1" t="s">
        <v>148</v>
      </c>
      <c r="L1698" s="1" t="s">
        <v>19999</v>
      </c>
      <c r="M1698" s="1" t="s">
        <v>81</v>
      </c>
      <c r="N1698" s="1" t="s">
        <v>20000</v>
      </c>
      <c r="O1698" s="1"/>
      <c r="P1698" s="1" t="s">
        <v>1007</v>
      </c>
      <c r="Q1698" s="1" t="s">
        <v>20001</v>
      </c>
      <c r="R1698" s="1" t="s">
        <v>20002</v>
      </c>
      <c r="S1698" s="1">
        <v>9848099087</v>
      </c>
      <c r="T1698" s="1" t="s">
        <v>20003</v>
      </c>
      <c r="U1698" s="1" t="s">
        <v>20004</v>
      </c>
      <c r="V1698" s="1">
        <v>9441270786</v>
      </c>
      <c r="W1698" s="1" t="s">
        <v>531</v>
      </c>
      <c r="X1698" s="1" t="s">
        <v>20005</v>
      </c>
      <c r="Y1698" s="1" t="s">
        <v>3151</v>
      </c>
      <c r="Z1698" s="1" t="s">
        <v>1187</v>
      </c>
      <c r="AA1698" s="1" t="s">
        <v>20006</v>
      </c>
      <c r="AB1698" s="1" t="s">
        <v>711</v>
      </c>
      <c r="AC1698" s="1" t="s">
        <v>276</v>
      </c>
      <c r="AD1698" s="1">
        <v>8.47</v>
      </c>
      <c r="AE1698" s="1" t="s">
        <v>93</v>
      </c>
      <c r="AF1698" s="1" t="s">
        <v>20007</v>
      </c>
      <c r="AG1698" s="1" t="s">
        <v>20008</v>
      </c>
      <c r="AH1698" s="1" t="s">
        <v>279</v>
      </c>
      <c r="AI1698" s="1" t="s">
        <v>562</v>
      </c>
      <c r="AJ1698" s="1">
        <v>95</v>
      </c>
      <c r="AK1698" s="1">
        <v>10</v>
      </c>
      <c r="AL1698" s="1" t="s">
        <v>20009</v>
      </c>
      <c r="AM1698" s="1" t="s">
        <v>20010</v>
      </c>
      <c r="AN1698" s="1" t="s">
        <v>165</v>
      </c>
      <c r="AO1698" s="1" t="s">
        <v>537</v>
      </c>
      <c r="AP1698" s="1">
        <v>85.9</v>
      </c>
      <c r="AQ1698" s="1">
        <v>8.5</v>
      </c>
      <c r="AR1698" s="1"/>
      <c r="AS1698" s="1"/>
      <c r="AT1698" s="1"/>
      <c r="AU1698" s="1"/>
      <c r="AV1698" s="1"/>
      <c r="AW1698" s="1"/>
      <c r="AX1698" s="1" t="s">
        <v>1194</v>
      </c>
      <c r="AY1698" s="1" t="s">
        <v>20011</v>
      </c>
      <c r="AZ1698" s="1" t="s">
        <v>1019</v>
      </c>
      <c r="BA1698" s="1" t="s">
        <v>1379</v>
      </c>
      <c r="BB1698" s="1">
        <v>64.2</v>
      </c>
      <c r="BC1698" s="1">
        <v>7.17</v>
      </c>
      <c r="BD1698" s="1"/>
      <c r="BE1698" s="1"/>
      <c r="BF1698" s="1"/>
      <c r="BG1698" s="1"/>
      <c r="BH1698" s="1"/>
      <c r="BI1698" s="1"/>
      <c r="BJ1698" s="1" t="s">
        <v>20012</v>
      </c>
      <c r="BK1698" s="1"/>
      <c r="BL1698" s="1"/>
      <c r="BM1698" s="1" t="s">
        <v>20013</v>
      </c>
      <c r="BN1698" s="1">
        <v>8</v>
      </c>
      <c r="BO1698" s="1" t="s">
        <v>20014</v>
      </c>
      <c r="BP1698" s="1" t="str">
        <f>HYPERLINK("https://nconnect.nicmar.ac.in/storage/profile/ProfilePhoto_P25706014_412957.jpg","Download")</f>
        <v>0</v>
      </c>
      <c r="BQ1698" s="3"/>
      <c r="BR1698" s="3"/>
    </row>
    <row r="1699" spans="1:70">
      <c r="A1699" s="1" t="s">
        <v>17142</v>
      </c>
      <c r="B1699" s="1" t="s">
        <v>441</v>
      </c>
      <c r="C1699" s="1" t="s">
        <v>20015</v>
      </c>
      <c r="D1699" s="1" t="s">
        <v>3237</v>
      </c>
      <c r="E1699" s="1" t="s">
        <v>20016</v>
      </c>
      <c r="F1699" s="1" t="s">
        <v>392</v>
      </c>
      <c r="G1699" s="1" t="s">
        <v>20017</v>
      </c>
      <c r="H1699" s="1" t="s">
        <v>20018</v>
      </c>
      <c r="I1699" s="1" t="s">
        <v>20019</v>
      </c>
      <c r="J1699" s="1">
        <v>8766764405</v>
      </c>
      <c r="K1699" s="1" t="s">
        <v>148</v>
      </c>
      <c r="L1699" s="1" t="s">
        <v>20020</v>
      </c>
      <c r="M1699" s="1" t="s">
        <v>81</v>
      </c>
      <c r="N1699" s="1" t="s">
        <v>1140</v>
      </c>
      <c r="O1699" s="1"/>
      <c r="P1699" s="1" t="s">
        <v>497</v>
      </c>
      <c r="Q1699" s="1" t="s">
        <v>20021</v>
      </c>
      <c r="R1699" s="1" t="s">
        <v>20022</v>
      </c>
      <c r="S1699" s="1">
        <v>7498507226</v>
      </c>
      <c r="T1699" s="1" t="s">
        <v>583</v>
      </c>
      <c r="U1699" s="1" t="s">
        <v>20023</v>
      </c>
      <c r="V1699" s="1">
        <v>7498507226</v>
      </c>
      <c r="W1699" s="1" t="s">
        <v>583</v>
      </c>
      <c r="X1699" s="1" t="s">
        <v>20024</v>
      </c>
      <c r="Y1699" s="1" t="s">
        <v>379</v>
      </c>
      <c r="Z1699" s="1" t="s">
        <v>92</v>
      </c>
      <c r="AA1699" s="1" t="s">
        <v>20024</v>
      </c>
      <c r="AB1699" s="1" t="s">
        <v>379</v>
      </c>
      <c r="AC1699" s="1" t="s">
        <v>92</v>
      </c>
      <c r="AD1699" s="1">
        <v>9.22</v>
      </c>
      <c r="AE1699" s="1" t="s">
        <v>93</v>
      </c>
      <c r="AF1699" s="1" t="s">
        <v>20025</v>
      </c>
      <c r="AG1699" s="1" t="s">
        <v>160</v>
      </c>
      <c r="AH1699" s="1" t="s">
        <v>1559</v>
      </c>
      <c r="AI1699" s="1" t="s">
        <v>505</v>
      </c>
      <c r="AJ1699" s="1">
        <v>75</v>
      </c>
      <c r="AK1699" s="1"/>
      <c r="AL1699" s="1" t="s">
        <v>20026</v>
      </c>
      <c r="AM1699" s="1" t="s">
        <v>160</v>
      </c>
      <c r="AN1699" s="1" t="s">
        <v>337</v>
      </c>
      <c r="AO1699" s="1" t="s">
        <v>507</v>
      </c>
      <c r="AP1699" s="1">
        <v>59.38</v>
      </c>
      <c r="AQ1699" s="1"/>
      <c r="AR1699" s="1"/>
      <c r="AS1699" s="1"/>
      <c r="AT1699" s="1"/>
      <c r="AU1699" s="1"/>
      <c r="AV1699" s="1"/>
      <c r="AW1699" s="1"/>
      <c r="AX1699" s="1" t="s">
        <v>20027</v>
      </c>
      <c r="AY1699" s="1" t="s">
        <v>20028</v>
      </c>
      <c r="AZ1699" s="1" t="s">
        <v>1374</v>
      </c>
      <c r="BA1699" s="1" t="s">
        <v>170</v>
      </c>
      <c r="BB1699" s="1">
        <v>76.8</v>
      </c>
      <c r="BC1699" s="1">
        <v>8.43</v>
      </c>
      <c r="BD1699" s="1" t="s">
        <v>20027</v>
      </c>
      <c r="BE1699" s="1" t="s">
        <v>1561</v>
      </c>
      <c r="BF1699" s="1" t="s">
        <v>173</v>
      </c>
      <c r="BG1699" s="1" t="s">
        <v>105</v>
      </c>
      <c r="BH1699" s="1">
        <v>79.6</v>
      </c>
      <c r="BI1699" s="1">
        <v>8.71</v>
      </c>
      <c r="BJ1699" s="1" t="s">
        <v>20029</v>
      </c>
      <c r="BK1699" s="1"/>
      <c r="BL1699" s="1"/>
      <c r="BM1699" s="1" t="s">
        <v>20030</v>
      </c>
      <c r="BN1699" s="1">
        <v>108</v>
      </c>
      <c r="BO1699" s="1" t="s">
        <v>20031</v>
      </c>
      <c r="BP1699" s="1" t="str">
        <f>HYPERLINK("https://nconnect.nicmar.ac.in/storage/profile/ProfilePhoto_P25706015_614758.jpg","Download")</f>
        <v>0</v>
      </c>
      <c r="BQ1699" s="3"/>
      <c r="BR1699" s="3"/>
    </row>
    <row r="1700" spans="1:70">
      <c r="A1700" s="1" t="s">
        <v>17142</v>
      </c>
      <c r="B1700" s="1" t="s">
        <v>441</v>
      </c>
      <c r="C1700" s="1" t="s">
        <v>20032</v>
      </c>
      <c r="D1700" s="1" t="s">
        <v>20033</v>
      </c>
      <c r="E1700" s="1"/>
      <c r="F1700" s="1" t="s">
        <v>20034</v>
      </c>
      <c r="G1700" s="1" t="s">
        <v>20035</v>
      </c>
      <c r="H1700" s="1" t="s">
        <v>20036</v>
      </c>
      <c r="I1700" s="1" t="s">
        <v>20037</v>
      </c>
      <c r="J1700" s="1">
        <v>8762320684</v>
      </c>
      <c r="K1700" s="1" t="s">
        <v>148</v>
      </c>
      <c r="L1700" s="1" t="s">
        <v>10704</v>
      </c>
      <c r="M1700" s="1" t="s">
        <v>81</v>
      </c>
      <c r="N1700" s="1" t="s">
        <v>3996</v>
      </c>
      <c r="O1700" s="1"/>
      <c r="P1700" s="1" t="s">
        <v>450</v>
      </c>
      <c r="Q1700" s="1" t="s">
        <v>20038</v>
      </c>
      <c r="R1700" s="1" t="s">
        <v>20039</v>
      </c>
      <c r="S1700" s="1">
        <v>9741957096</v>
      </c>
      <c r="T1700" s="1" t="s">
        <v>820</v>
      </c>
      <c r="U1700" s="1" t="s">
        <v>20040</v>
      </c>
      <c r="V1700" s="1">
        <v>9902634494</v>
      </c>
      <c r="W1700" s="1" t="s">
        <v>156</v>
      </c>
      <c r="X1700" s="1" t="s">
        <v>20041</v>
      </c>
      <c r="Y1700" s="1" t="s">
        <v>1186</v>
      </c>
      <c r="Z1700" s="1" t="s">
        <v>1187</v>
      </c>
      <c r="AA1700" s="1" t="s">
        <v>20041</v>
      </c>
      <c r="AB1700" s="1" t="s">
        <v>1186</v>
      </c>
      <c r="AC1700" s="1" t="s">
        <v>1187</v>
      </c>
      <c r="AD1700" s="1">
        <v>9.5</v>
      </c>
      <c r="AE1700" s="1" t="s">
        <v>93</v>
      </c>
      <c r="AF1700" s="1" t="s">
        <v>20042</v>
      </c>
      <c r="AG1700" s="1" t="s">
        <v>20043</v>
      </c>
      <c r="AH1700" s="1" t="s">
        <v>101</v>
      </c>
      <c r="AI1700" s="1" t="s">
        <v>198</v>
      </c>
      <c r="AJ1700" s="1">
        <v>81.33</v>
      </c>
      <c r="AK1700" s="1"/>
      <c r="AL1700" s="1" t="s">
        <v>20044</v>
      </c>
      <c r="AM1700" s="1" t="s">
        <v>20045</v>
      </c>
      <c r="AN1700" s="1" t="s">
        <v>412</v>
      </c>
      <c r="AO1700" s="1" t="s">
        <v>828</v>
      </c>
      <c r="AP1700" s="1">
        <v>94.5</v>
      </c>
      <c r="AQ1700" s="1"/>
      <c r="AR1700" s="1"/>
      <c r="AS1700" s="1"/>
      <c r="AT1700" s="1"/>
      <c r="AU1700" s="1"/>
      <c r="AV1700" s="1"/>
      <c r="AW1700" s="1"/>
      <c r="AX1700" s="1" t="s">
        <v>4028</v>
      </c>
      <c r="AY1700" s="1" t="s">
        <v>20046</v>
      </c>
      <c r="AZ1700" s="1" t="s">
        <v>852</v>
      </c>
      <c r="BA1700" s="1" t="s">
        <v>829</v>
      </c>
      <c r="BB1700" s="1">
        <v>84.4</v>
      </c>
      <c r="BC1700" s="1">
        <v>9.19</v>
      </c>
      <c r="BD1700" s="1"/>
      <c r="BE1700" s="1"/>
      <c r="BF1700" s="1"/>
      <c r="BG1700" s="1"/>
      <c r="BH1700" s="1"/>
      <c r="BI1700" s="1"/>
      <c r="BJ1700" s="1" t="s">
        <v>20047</v>
      </c>
      <c r="BK1700" s="1"/>
      <c r="BL1700" s="1"/>
      <c r="BM1700" s="1" t="s">
        <v>20048</v>
      </c>
      <c r="BN1700" s="1">
        <v>39</v>
      </c>
      <c r="BO1700" s="1"/>
      <c r="BP1700" s="1" t="str">
        <f>HYPERLINK("https://nconnect.nicmar.ac.in/storage/profile/ProfilePhoto_P25706016_356284.jpg","Download")</f>
        <v>0</v>
      </c>
      <c r="BQ1700" s="3"/>
      <c r="BR1700" s="3"/>
    </row>
    <row r="1701" spans="1:70">
      <c r="A1701" s="1" t="s">
        <v>17142</v>
      </c>
      <c r="B1701" s="1" t="s">
        <v>441</v>
      </c>
      <c r="C1701" s="1" t="s">
        <v>20049</v>
      </c>
      <c r="D1701" s="1" t="s">
        <v>20050</v>
      </c>
      <c r="E1701" s="1"/>
      <c r="F1701" s="1" t="s">
        <v>20051</v>
      </c>
      <c r="G1701" s="1" t="s">
        <v>20052</v>
      </c>
      <c r="H1701" s="1" t="s">
        <v>20053</v>
      </c>
      <c r="I1701" s="1" t="s">
        <v>20054</v>
      </c>
      <c r="J1701" s="1">
        <v>8137051093</v>
      </c>
      <c r="K1701" s="1" t="s">
        <v>79</v>
      </c>
      <c r="L1701" s="1" t="s">
        <v>7910</v>
      </c>
      <c r="M1701" s="1" t="s">
        <v>81</v>
      </c>
      <c r="N1701" s="1" t="s">
        <v>20055</v>
      </c>
      <c r="O1701" s="1"/>
      <c r="P1701" s="1" t="s">
        <v>472</v>
      </c>
      <c r="Q1701" s="1" t="s">
        <v>20056</v>
      </c>
      <c r="R1701" s="1" t="s">
        <v>20057</v>
      </c>
      <c r="S1701" s="1">
        <v>9967631093</v>
      </c>
      <c r="T1701" s="1" t="s">
        <v>2193</v>
      </c>
      <c r="U1701" s="1" t="s">
        <v>20058</v>
      </c>
      <c r="V1701" s="1">
        <v>7012228236</v>
      </c>
      <c r="W1701" s="1" t="s">
        <v>122</v>
      </c>
      <c r="X1701" s="1" t="s">
        <v>20059</v>
      </c>
      <c r="Y1701" s="1" t="s">
        <v>3209</v>
      </c>
      <c r="Z1701" s="1" t="s">
        <v>125</v>
      </c>
      <c r="AA1701" s="1" t="s">
        <v>20059</v>
      </c>
      <c r="AB1701" s="1" t="s">
        <v>3209</v>
      </c>
      <c r="AC1701" s="1" t="s">
        <v>125</v>
      </c>
      <c r="AD1701" s="1">
        <v>9.42</v>
      </c>
      <c r="AE1701" s="1" t="s">
        <v>93</v>
      </c>
      <c r="AF1701" s="1" t="s">
        <v>20060</v>
      </c>
      <c r="AG1701" s="1" t="s">
        <v>20061</v>
      </c>
      <c r="AH1701" s="1" t="s">
        <v>101</v>
      </c>
      <c r="AI1701" s="1" t="s">
        <v>310</v>
      </c>
      <c r="AJ1701" s="1">
        <v>94.4</v>
      </c>
      <c r="AK1701" s="1"/>
      <c r="AL1701" s="1" t="s">
        <v>20062</v>
      </c>
      <c r="AM1701" s="1" t="s">
        <v>20063</v>
      </c>
      <c r="AN1701" s="1" t="s">
        <v>173</v>
      </c>
      <c r="AO1701" s="1" t="s">
        <v>539</v>
      </c>
      <c r="AP1701" s="1">
        <v>99.33</v>
      </c>
      <c r="AQ1701" s="1"/>
      <c r="AR1701" s="1"/>
      <c r="AS1701" s="1"/>
      <c r="AT1701" s="1"/>
      <c r="AU1701" s="1"/>
      <c r="AV1701" s="1"/>
      <c r="AW1701" s="1"/>
      <c r="AX1701" s="1" t="s">
        <v>132</v>
      </c>
      <c r="AY1701" s="1" t="s">
        <v>20064</v>
      </c>
      <c r="AZ1701" s="1" t="s">
        <v>542</v>
      </c>
      <c r="BA1701" s="1" t="s">
        <v>829</v>
      </c>
      <c r="BB1701" s="1">
        <v>83.3</v>
      </c>
      <c r="BC1701" s="1">
        <v>8.33</v>
      </c>
      <c r="BD1701" s="1"/>
      <c r="BE1701" s="1"/>
      <c r="BF1701" s="1"/>
      <c r="BG1701" s="1"/>
      <c r="BH1701" s="1"/>
      <c r="BI1701" s="1"/>
      <c r="BJ1701" s="1" t="s">
        <v>20065</v>
      </c>
      <c r="BK1701" s="1"/>
      <c r="BL1701" s="1"/>
      <c r="BM1701" s="1" t="s">
        <v>20066</v>
      </c>
      <c r="BN1701" s="1">
        <v>10</v>
      </c>
      <c r="BO1701" s="1"/>
      <c r="BP1701" s="1" t="str">
        <f>HYPERLINK("https://nconnect.nicmar.ac.in/storage/profile/ProfilePhoto_P25706017_423976.jpg","Download")</f>
        <v>0</v>
      </c>
      <c r="BQ1701" s="3"/>
      <c r="BR1701" s="3"/>
    </row>
    <row r="1702" spans="1:70">
      <c r="A1702" s="1" t="s">
        <v>17142</v>
      </c>
      <c r="B1702" s="1" t="s">
        <v>441</v>
      </c>
      <c r="C1702" s="1" t="s">
        <v>20067</v>
      </c>
      <c r="D1702" s="1" t="s">
        <v>724</v>
      </c>
      <c r="E1702" s="1" t="s">
        <v>4321</v>
      </c>
      <c r="F1702" s="1" t="s">
        <v>4170</v>
      </c>
      <c r="G1702" s="1" t="s">
        <v>20068</v>
      </c>
      <c r="H1702" s="1" t="s">
        <v>20069</v>
      </c>
      <c r="I1702" s="1" t="s">
        <v>20070</v>
      </c>
      <c r="J1702" s="1">
        <v>9284847427</v>
      </c>
      <c r="K1702" s="1" t="s">
        <v>148</v>
      </c>
      <c r="L1702" s="1" t="s">
        <v>20071</v>
      </c>
      <c r="M1702" s="1" t="s">
        <v>81</v>
      </c>
      <c r="N1702" s="1" t="s">
        <v>1140</v>
      </c>
      <c r="O1702" s="1" t="s">
        <v>20072</v>
      </c>
      <c r="P1702" s="1" t="s">
        <v>450</v>
      </c>
      <c r="Q1702" s="1" t="s">
        <v>20073</v>
      </c>
      <c r="R1702" s="1" t="s">
        <v>20074</v>
      </c>
      <c r="S1702" s="1">
        <v>8208760243</v>
      </c>
      <c r="T1702" s="1" t="s">
        <v>20075</v>
      </c>
      <c r="U1702" s="1" t="s">
        <v>20076</v>
      </c>
      <c r="V1702" s="1">
        <v>8080584637</v>
      </c>
      <c r="W1702" s="1" t="s">
        <v>156</v>
      </c>
      <c r="X1702" s="1" t="s">
        <v>20077</v>
      </c>
      <c r="Y1702" s="1" t="s">
        <v>304</v>
      </c>
      <c r="Z1702" s="1" t="s">
        <v>92</v>
      </c>
      <c r="AA1702" s="1" t="s">
        <v>20077</v>
      </c>
      <c r="AB1702" s="1" t="s">
        <v>304</v>
      </c>
      <c r="AC1702" s="1" t="s">
        <v>92</v>
      </c>
      <c r="AD1702" s="1">
        <v>8.6</v>
      </c>
      <c r="AE1702" s="1" t="s">
        <v>93</v>
      </c>
      <c r="AF1702" s="1" t="s">
        <v>20078</v>
      </c>
      <c r="AG1702" s="1" t="s">
        <v>20079</v>
      </c>
      <c r="AH1702" s="1" t="s">
        <v>165</v>
      </c>
      <c r="AI1702" s="1" t="s">
        <v>281</v>
      </c>
      <c r="AJ1702" s="1">
        <v>74.2</v>
      </c>
      <c r="AK1702" s="1">
        <v>7.81</v>
      </c>
      <c r="AL1702" s="1" t="s">
        <v>20078</v>
      </c>
      <c r="AM1702" s="1" t="s">
        <v>20079</v>
      </c>
      <c r="AN1702" s="1" t="s">
        <v>310</v>
      </c>
      <c r="AO1702" s="1" t="s">
        <v>360</v>
      </c>
      <c r="AP1702" s="1">
        <v>54</v>
      </c>
      <c r="AQ1702" s="1">
        <v>5.6</v>
      </c>
      <c r="AR1702" s="1"/>
      <c r="AS1702" s="1"/>
      <c r="AT1702" s="1"/>
      <c r="AU1702" s="1"/>
      <c r="AV1702" s="1"/>
      <c r="AW1702" s="1"/>
      <c r="AX1702" s="1" t="s">
        <v>361</v>
      </c>
      <c r="AY1702" s="1" t="s">
        <v>20080</v>
      </c>
      <c r="AZ1702" s="1" t="s">
        <v>1148</v>
      </c>
      <c r="BA1702" s="1" t="s">
        <v>829</v>
      </c>
      <c r="BB1702" s="1">
        <v>61.41</v>
      </c>
      <c r="BC1702" s="1">
        <v>6.94</v>
      </c>
      <c r="BD1702" s="1"/>
      <c r="BE1702" s="1"/>
      <c r="BF1702" s="1"/>
      <c r="BG1702" s="1"/>
      <c r="BH1702" s="1"/>
      <c r="BI1702" s="1"/>
      <c r="BJ1702" s="1" t="s">
        <v>20081</v>
      </c>
      <c r="BK1702" s="1"/>
      <c r="BL1702" s="1"/>
      <c r="BM1702" s="1" t="s">
        <v>20082</v>
      </c>
      <c r="BN1702" s="1">
        <v>21</v>
      </c>
      <c r="BO1702" s="1" t="s">
        <v>20083</v>
      </c>
      <c r="BP1702" s="1" t="str">
        <f>HYPERLINK("https://nconnect.nicmar.ac.in/storage/profile/ProfilePhoto_P25706018_657438.jpg","Download")</f>
        <v>0</v>
      </c>
      <c r="BQ1702" s="3"/>
      <c r="BR1702" s="3"/>
    </row>
    <row r="1703" spans="1:70">
      <c r="A1703" s="1" t="s">
        <v>17142</v>
      </c>
      <c r="B1703" s="1" t="s">
        <v>441</v>
      </c>
      <c r="C1703" s="1" t="s">
        <v>20084</v>
      </c>
      <c r="D1703" s="1" t="s">
        <v>8036</v>
      </c>
      <c r="E1703" s="1"/>
      <c r="F1703" s="1" t="s">
        <v>111</v>
      </c>
      <c r="G1703" s="1" t="s">
        <v>20085</v>
      </c>
      <c r="H1703" s="1" t="s">
        <v>20086</v>
      </c>
      <c r="I1703" s="1" t="s">
        <v>20087</v>
      </c>
      <c r="J1703" s="1">
        <v>7561060571</v>
      </c>
      <c r="K1703" s="1" t="s">
        <v>79</v>
      </c>
      <c r="L1703" s="1" t="s">
        <v>14437</v>
      </c>
      <c r="M1703" s="1" t="s">
        <v>81</v>
      </c>
      <c r="N1703" s="1" t="s">
        <v>20088</v>
      </c>
      <c r="O1703" s="1"/>
      <c r="P1703" s="1" t="s">
        <v>472</v>
      </c>
      <c r="Q1703" s="1" t="s">
        <v>20089</v>
      </c>
      <c r="R1703" s="1" t="s">
        <v>20090</v>
      </c>
      <c r="S1703" s="1">
        <v>9880100998</v>
      </c>
      <c r="T1703" s="1" t="s">
        <v>20091</v>
      </c>
      <c r="U1703" s="1" t="s">
        <v>20092</v>
      </c>
      <c r="V1703" s="1">
        <v>9656736475</v>
      </c>
      <c r="W1703" s="1" t="s">
        <v>20091</v>
      </c>
      <c r="X1703" s="1" t="s">
        <v>20093</v>
      </c>
      <c r="Y1703" s="1" t="s">
        <v>1261</v>
      </c>
      <c r="Z1703" s="1" t="s">
        <v>125</v>
      </c>
      <c r="AA1703" s="1" t="s">
        <v>20093</v>
      </c>
      <c r="AB1703" s="1" t="s">
        <v>1261</v>
      </c>
      <c r="AC1703" s="1" t="s">
        <v>125</v>
      </c>
      <c r="AD1703" s="1">
        <v>7.88</v>
      </c>
      <c r="AE1703" s="1" t="s">
        <v>93</v>
      </c>
      <c r="AF1703" s="1" t="s">
        <v>20094</v>
      </c>
      <c r="AG1703" s="1" t="s">
        <v>2467</v>
      </c>
      <c r="AH1703" s="1" t="s">
        <v>96</v>
      </c>
      <c r="AI1703" s="1" t="s">
        <v>131</v>
      </c>
      <c r="AJ1703" s="1">
        <v>91.2</v>
      </c>
      <c r="AK1703" s="1">
        <v>9.6</v>
      </c>
      <c r="AL1703" s="1" t="s">
        <v>20095</v>
      </c>
      <c r="AM1703" s="1" t="s">
        <v>20096</v>
      </c>
      <c r="AN1703" s="1" t="s">
        <v>161</v>
      </c>
      <c r="AO1703" s="1" t="s">
        <v>562</v>
      </c>
      <c r="AP1703" s="1">
        <v>75.66</v>
      </c>
      <c r="AQ1703" s="1"/>
      <c r="AR1703" s="1"/>
      <c r="AS1703" s="1"/>
      <c r="AT1703" s="1"/>
      <c r="AU1703" s="1"/>
      <c r="AV1703" s="1"/>
      <c r="AW1703" s="1"/>
      <c r="AX1703" s="1" t="s">
        <v>20097</v>
      </c>
      <c r="AY1703" s="1" t="s">
        <v>20098</v>
      </c>
      <c r="AZ1703" s="1" t="s">
        <v>383</v>
      </c>
      <c r="BA1703" s="1" t="s">
        <v>915</v>
      </c>
      <c r="BB1703" s="1">
        <v>61.45</v>
      </c>
      <c r="BC1703" s="1">
        <v>6.52</v>
      </c>
      <c r="BD1703" s="1"/>
      <c r="BE1703" s="1"/>
      <c r="BF1703" s="1"/>
      <c r="BG1703" s="1"/>
      <c r="BH1703" s="1"/>
      <c r="BI1703" s="1"/>
      <c r="BJ1703" s="1" t="s">
        <v>20099</v>
      </c>
      <c r="BK1703" s="1"/>
      <c r="BL1703" s="1"/>
      <c r="BM1703" s="1" t="s">
        <v>20100</v>
      </c>
      <c r="BN1703" s="1">
        <v>124</v>
      </c>
      <c r="BO1703" s="1"/>
      <c r="BP1703" s="1" t="str">
        <f>HYPERLINK("https://nconnect.nicmar.ac.in/storage/profile/ProfilePhoto_P25706019_479825.jpg","Download")</f>
        <v>0</v>
      </c>
      <c r="BQ1703" s="3"/>
      <c r="BR1703" s="3"/>
    </row>
    <row r="1704" spans="1:70">
      <c r="A1704" s="1" t="s">
        <v>17142</v>
      </c>
      <c r="B1704" s="1" t="s">
        <v>441</v>
      </c>
      <c r="C1704" s="1" t="s">
        <v>20101</v>
      </c>
      <c r="D1704" s="1" t="s">
        <v>20102</v>
      </c>
      <c r="E1704" s="1" t="s">
        <v>20103</v>
      </c>
      <c r="F1704" s="1" t="s">
        <v>9650</v>
      </c>
      <c r="G1704" s="1" t="s">
        <v>20104</v>
      </c>
      <c r="H1704" s="1" t="s">
        <v>20105</v>
      </c>
      <c r="I1704" s="1" t="s">
        <v>20106</v>
      </c>
      <c r="J1704" s="1">
        <v>9004206301</v>
      </c>
      <c r="K1704" s="1" t="s">
        <v>79</v>
      </c>
      <c r="L1704" s="1" t="s">
        <v>10380</v>
      </c>
      <c r="M1704" s="1" t="s">
        <v>81</v>
      </c>
      <c r="N1704" s="1" t="s">
        <v>605</v>
      </c>
      <c r="O1704" s="1"/>
      <c r="P1704" s="1" t="s">
        <v>450</v>
      </c>
      <c r="Q1704" s="1" t="s">
        <v>20107</v>
      </c>
      <c r="R1704" s="1" t="s">
        <v>20108</v>
      </c>
      <c r="S1704" s="1">
        <v>9004206301</v>
      </c>
      <c r="T1704" s="1" t="s">
        <v>20109</v>
      </c>
      <c r="U1704" s="1" t="s">
        <v>20110</v>
      </c>
      <c r="V1704" s="1">
        <v>9004526650</v>
      </c>
      <c r="W1704" s="1" t="s">
        <v>156</v>
      </c>
      <c r="X1704" s="1" t="s">
        <v>20111</v>
      </c>
      <c r="Y1704" s="1" t="s">
        <v>1857</v>
      </c>
      <c r="Z1704" s="1" t="s">
        <v>92</v>
      </c>
      <c r="AA1704" s="1" t="s">
        <v>20111</v>
      </c>
      <c r="AB1704" s="1" t="s">
        <v>1857</v>
      </c>
      <c r="AC1704" s="1" t="s">
        <v>92</v>
      </c>
      <c r="AD1704" s="1">
        <v>8.64</v>
      </c>
      <c r="AE1704" s="1" t="s">
        <v>93</v>
      </c>
      <c r="AF1704" s="1" t="s">
        <v>18880</v>
      </c>
      <c r="AG1704" s="1" t="s">
        <v>4335</v>
      </c>
      <c r="AH1704" s="1" t="s">
        <v>165</v>
      </c>
      <c r="AI1704" s="1" t="s">
        <v>281</v>
      </c>
      <c r="AJ1704" s="1">
        <v>79.6</v>
      </c>
      <c r="AK1704" s="1"/>
      <c r="AL1704" s="1"/>
      <c r="AM1704" s="1"/>
      <c r="AN1704" s="1"/>
      <c r="AO1704" s="1"/>
      <c r="AP1704" s="1"/>
      <c r="AQ1704" s="1"/>
      <c r="AR1704" s="1" t="s">
        <v>17431</v>
      </c>
      <c r="AS1704" s="1" t="s">
        <v>20112</v>
      </c>
      <c r="AT1704" s="1" t="s">
        <v>1043</v>
      </c>
      <c r="AU1704" s="1" t="s">
        <v>436</v>
      </c>
      <c r="AV1704" s="1">
        <v>94.94</v>
      </c>
      <c r="AW1704" s="1"/>
      <c r="AX1704" s="1" t="s">
        <v>666</v>
      </c>
      <c r="AY1704" s="1" t="s">
        <v>20113</v>
      </c>
      <c r="AZ1704" s="1" t="s">
        <v>436</v>
      </c>
      <c r="BA1704" s="1" t="s">
        <v>413</v>
      </c>
      <c r="BB1704" s="1">
        <v>71.25</v>
      </c>
      <c r="BC1704" s="1">
        <v>8.16</v>
      </c>
      <c r="BD1704" s="1"/>
      <c r="BE1704" s="1"/>
      <c r="BF1704" s="1"/>
      <c r="BG1704" s="1"/>
      <c r="BH1704" s="1"/>
      <c r="BI1704" s="1"/>
      <c r="BJ1704" s="1" t="s">
        <v>20114</v>
      </c>
      <c r="BK1704" s="1" t="s">
        <v>20115</v>
      </c>
      <c r="BL1704" s="1" t="s">
        <v>287</v>
      </c>
      <c r="BM1704" s="1" t="s">
        <v>20116</v>
      </c>
      <c r="BN1704" s="1">
        <v>22</v>
      </c>
      <c r="BO1704" s="1"/>
      <c r="BP1704" s="1" t="str">
        <f>HYPERLINK("https://nconnect.nicmar.ac.in/storage/profile/ProfilePhoto_P25706020_473619.jpg","Download")</f>
        <v>0</v>
      </c>
      <c r="BQ1704" s="3"/>
      <c r="BR1704" s="3"/>
    </row>
    <row r="1705" spans="1:70">
      <c r="A1705" s="1" t="s">
        <v>17142</v>
      </c>
      <c r="B1705" s="1" t="s">
        <v>441</v>
      </c>
      <c r="C1705" s="1" t="s">
        <v>20117</v>
      </c>
      <c r="D1705" s="1" t="s">
        <v>20118</v>
      </c>
      <c r="E1705" s="1" t="s">
        <v>20119</v>
      </c>
      <c r="F1705" s="1" t="s">
        <v>20120</v>
      </c>
      <c r="G1705" s="1" t="s">
        <v>20121</v>
      </c>
      <c r="H1705" s="1" t="s">
        <v>20122</v>
      </c>
      <c r="I1705" s="1" t="s">
        <v>20123</v>
      </c>
      <c r="J1705" s="1">
        <v>9689699701</v>
      </c>
      <c r="K1705" s="1" t="s">
        <v>79</v>
      </c>
      <c r="L1705" s="1" t="s">
        <v>13002</v>
      </c>
      <c r="M1705" s="1" t="s">
        <v>81</v>
      </c>
      <c r="N1705" s="1" t="s">
        <v>1140</v>
      </c>
      <c r="O1705" s="1"/>
      <c r="P1705" s="1" t="s">
        <v>497</v>
      </c>
      <c r="Q1705" s="1" t="s">
        <v>20124</v>
      </c>
      <c r="R1705" s="1" t="s">
        <v>20125</v>
      </c>
      <c r="S1705" s="1">
        <v>7219251419</v>
      </c>
      <c r="T1705" s="1" t="s">
        <v>1938</v>
      </c>
      <c r="U1705" s="1" t="s">
        <v>20126</v>
      </c>
      <c r="V1705" s="1">
        <v>7038653171</v>
      </c>
      <c r="W1705" s="1" t="s">
        <v>1938</v>
      </c>
      <c r="X1705" s="1" t="s">
        <v>20127</v>
      </c>
      <c r="Y1705" s="1" t="s">
        <v>191</v>
      </c>
      <c r="Z1705" s="1" t="s">
        <v>92</v>
      </c>
      <c r="AA1705" s="1" t="s">
        <v>20127</v>
      </c>
      <c r="AB1705" s="1" t="s">
        <v>191</v>
      </c>
      <c r="AC1705" s="1" t="s">
        <v>92</v>
      </c>
      <c r="AD1705" s="1">
        <v>8.24</v>
      </c>
      <c r="AE1705" s="1" t="s">
        <v>93</v>
      </c>
      <c r="AF1705" s="1" t="s">
        <v>20128</v>
      </c>
      <c r="AG1705" s="1" t="s">
        <v>14946</v>
      </c>
      <c r="AH1705" s="1" t="s">
        <v>195</v>
      </c>
      <c r="AI1705" s="1" t="s">
        <v>281</v>
      </c>
      <c r="AJ1705" s="1">
        <v>75.8</v>
      </c>
      <c r="AK1705" s="1">
        <v>0</v>
      </c>
      <c r="AL1705" s="1" t="s">
        <v>20128</v>
      </c>
      <c r="AM1705" s="1" t="s">
        <v>14946</v>
      </c>
      <c r="AN1705" s="1" t="s">
        <v>198</v>
      </c>
      <c r="AO1705" s="1" t="s">
        <v>360</v>
      </c>
      <c r="AP1705" s="1">
        <v>53.23</v>
      </c>
      <c r="AQ1705" s="1">
        <v>0</v>
      </c>
      <c r="AR1705" s="1"/>
      <c r="AS1705" s="1"/>
      <c r="AT1705" s="1"/>
      <c r="AU1705" s="1"/>
      <c r="AV1705" s="1"/>
      <c r="AW1705" s="1"/>
      <c r="AX1705" s="1" t="s">
        <v>20129</v>
      </c>
      <c r="AY1705" s="1" t="s">
        <v>20130</v>
      </c>
      <c r="AZ1705" s="1" t="s">
        <v>460</v>
      </c>
      <c r="BA1705" s="1" t="s">
        <v>829</v>
      </c>
      <c r="BB1705" s="1">
        <v>59.4</v>
      </c>
      <c r="BC1705" s="1">
        <v>6.69</v>
      </c>
      <c r="BD1705" s="1"/>
      <c r="BE1705" s="1" t="s">
        <v>6026</v>
      </c>
      <c r="BF1705" s="1" t="s">
        <v>1379</v>
      </c>
      <c r="BG1705" s="1" t="s">
        <v>6747</v>
      </c>
      <c r="BH1705" s="1">
        <v>0</v>
      </c>
      <c r="BI1705" s="1">
        <v>0</v>
      </c>
      <c r="BJ1705" s="1" t="s">
        <v>20131</v>
      </c>
      <c r="BK1705" s="1" t="s">
        <v>20132</v>
      </c>
      <c r="BL1705" s="1" t="s">
        <v>1022</v>
      </c>
      <c r="BM1705" s="1" t="s">
        <v>20133</v>
      </c>
      <c r="BN1705" s="1">
        <v>37</v>
      </c>
      <c r="BO1705" s="1" t="s">
        <v>20134</v>
      </c>
      <c r="BP1705" s="1" t="str">
        <f>HYPERLINK("https://nconnect.nicmar.ac.in/storage/profile/6a6b463c54402.png","Download")</f>
        <v>0</v>
      </c>
      <c r="BQ1705" s="3"/>
      <c r="BR1705" s="3"/>
    </row>
    <row r="1706" spans="1:70">
      <c r="A1706" s="1" t="s">
        <v>17142</v>
      </c>
      <c r="B1706" s="1" t="s">
        <v>441</v>
      </c>
      <c r="C1706" s="1" t="s">
        <v>20135</v>
      </c>
      <c r="D1706" s="1" t="s">
        <v>20136</v>
      </c>
      <c r="E1706" s="1" t="s">
        <v>649</v>
      </c>
      <c r="F1706" s="1" t="s">
        <v>2072</v>
      </c>
      <c r="G1706" s="1" t="s">
        <v>20137</v>
      </c>
      <c r="H1706" s="1" t="s">
        <v>20138</v>
      </c>
      <c r="I1706" s="1" t="s">
        <v>20139</v>
      </c>
      <c r="J1706" s="1">
        <v>8686005674</v>
      </c>
      <c r="K1706" s="1" t="s">
        <v>148</v>
      </c>
      <c r="L1706" s="1" t="s">
        <v>7844</v>
      </c>
      <c r="M1706" s="1" t="s">
        <v>81</v>
      </c>
      <c r="N1706" s="1" t="s">
        <v>7140</v>
      </c>
      <c r="O1706" s="1"/>
      <c r="P1706" s="1"/>
      <c r="Q1706" s="1" t="s">
        <v>20140</v>
      </c>
      <c r="R1706" s="1" t="s">
        <v>20141</v>
      </c>
      <c r="S1706" s="1">
        <v>7387600794</v>
      </c>
      <c r="T1706" s="1" t="s">
        <v>7827</v>
      </c>
      <c r="U1706" s="1" t="s">
        <v>20142</v>
      </c>
      <c r="V1706" s="1">
        <v>9657197972</v>
      </c>
      <c r="W1706" s="1" t="s">
        <v>754</v>
      </c>
      <c r="X1706" s="1" t="s">
        <v>20143</v>
      </c>
      <c r="Y1706" s="1" t="s">
        <v>1963</v>
      </c>
      <c r="Z1706" s="1" t="s">
        <v>92</v>
      </c>
      <c r="AA1706" s="1" t="s">
        <v>20143</v>
      </c>
      <c r="AB1706" s="1" t="s">
        <v>1963</v>
      </c>
      <c r="AC1706" s="1" t="s">
        <v>92</v>
      </c>
      <c r="AD1706" s="1">
        <v>8.74</v>
      </c>
      <c r="AE1706" s="1" t="s">
        <v>93</v>
      </c>
      <c r="AF1706" s="1" t="s">
        <v>20144</v>
      </c>
      <c r="AG1706" s="1" t="s">
        <v>20145</v>
      </c>
      <c r="AH1706" s="1" t="s">
        <v>101</v>
      </c>
      <c r="AI1706" s="1" t="s">
        <v>433</v>
      </c>
      <c r="AJ1706" s="1">
        <v>64.2</v>
      </c>
      <c r="AK1706" s="1"/>
      <c r="AL1706" s="1" t="s">
        <v>20146</v>
      </c>
      <c r="AM1706" s="1" t="s">
        <v>20147</v>
      </c>
      <c r="AN1706" s="1" t="s">
        <v>433</v>
      </c>
      <c r="AO1706" s="1" t="s">
        <v>828</v>
      </c>
      <c r="AP1706" s="1">
        <v>89.17</v>
      </c>
      <c r="AQ1706" s="1"/>
      <c r="AR1706" s="1"/>
      <c r="AS1706" s="1"/>
      <c r="AT1706" s="1"/>
      <c r="AU1706" s="1"/>
      <c r="AV1706" s="1"/>
      <c r="AW1706" s="1"/>
      <c r="AX1706" s="1" t="s">
        <v>20148</v>
      </c>
      <c r="AY1706" s="1" t="s">
        <v>20148</v>
      </c>
      <c r="AZ1706" s="1" t="s">
        <v>284</v>
      </c>
      <c r="BA1706" s="1" t="s">
        <v>829</v>
      </c>
      <c r="BB1706" s="1">
        <v>71.6</v>
      </c>
      <c r="BC1706" s="1">
        <v>7.66</v>
      </c>
      <c r="BD1706" s="1"/>
      <c r="BE1706" s="1"/>
      <c r="BF1706" s="1"/>
      <c r="BG1706" s="1"/>
      <c r="BH1706" s="1"/>
      <c r="BI1706" s="1"/>
      <c r="BJ1706" s="1" t="s">
        <v>567</v>
      </c>
      <c r="BK1706" s="1"/>
      <c r="BL1706" s="1"/>
      <c r="BM1706" s="1" t="s">
        <v>20149</v>
      </c>
      <c r="BN1706" s="1">
        <v>21</v>
      </c>
      <c r="BO1706" s="1" t="s">
        <v>20150</v>
      </c>
      <c r="BP1706" s="1" t="str">
        <f>HYPERLINK("https://nconnect.nicmar.ac.in/storage/profile/ProfilePhoto_P25706022_813754.jpg","Download")</f>
        <v>0</v>
      </c>
      <c r="BQ1706" s="3"/>
      <c r="BR1706" s="3"/>
    </row>
    <row r="1707" spans="1:70">
      <c r="A1707" s="1" t="s">
        <v>17142</v>
      </c>
      <c r="B1707" s="1" t="s">
        <v>441</v>
      </c>
      <c r="C1707" s="1" t="s">
        <v>20151</v>
      </c>
      <c r="D1707" s="1" t="s">
        <v>20152</v>
      </c>
      <c r="E1707" s="1"/>
      <c r="F1707" s="1" t="s">
        <v>20153</v>
      </c>
      <c r="G1707" s="1" t="s">
        <v>20154</v>
      </c>
      <c r="H1707" s="1" t="s">
        <v>20155</v>
      </c>
      <c r="I1707" s="1" t="s">
        <v>20156</v>
      </c>
      <c r="J1707" s="1">
        <v>9096037198</v>
      </c>
      <c r="K1707" s="1" t="s">
        <v>79</v>
      </c>
      <c r="L1707" s="1" t="s">
        <v>12353</v>
      </c>
      <c r="M1707" s="1" t="s">
        <v>81</v>
      </c>
      <c r="N1707" s="1" t="s">
        <v>969</v>
      </c>
      <c r="O1707" s="1"/>
      <c r="P1707" s="1" t="s">
        <v>450</v>
      </c>
      <c r="Q1707" s="1" t="s">
        <v>20157</v>
      </c>
      <c r="R1707" s="1" t="s">
        <v>20158</v>
      </c>
      <c r="S1707" s="1">
        <v>9422825932</v>
      </c>
      <c r="T1707" s="1" t="s">
        <v>4780</v>
      </c>
      <c r="U1707" s="1" t="s">
        <v>20159</v>
      </c>
      <c r="V1707" s="1">
        <v>9420041559</v>
      </c>
      <c r="W1707" s="1" t="s">
        <v>20160</v>
      </c>
      <c r="X1707" s="1" t="s">
        <v>20161</v>
      </c>
      <c r="Y1707" s="1" t="s">
        <v>91</v>
      </c>
      <c r="Z1707" s="1" t="s">
        <v>92</v>
      </c>
      <c r="AA1707" s="1" t="s">
        <v>20161</v>
      </c>
      <c r="AB1707" s="1" t="s">
        <v>91</v>
      </c>
      <c r="AC1707" s="1" t="s">
        <v>92</v>
      </c>
      <c r="AD1707" s="1">
        <v>7.62</v>
      </c>
      <c r="AE1707" s="1" t="s">
        <v>93</v>
      </c>
      <c r="AF1707" s="1" t="s">
        <v>20162</v>
      </c>
      <c r="AG1707" s="1" t="s">
        <v>20163</v>
      </c>
      <c r="AH1707" s="1" t="s">
        <v>1374</v>
      </c>
      <c r="AI1707" s="1" t="s">
        <v>165</v>
      </c>
      <c r="AJ1707" s="1">
        <v>74.8</v>
      </c>
      <c r="AK1707" s="1">
        <v>8.2</v>
      </c>
      <c r="AL1707" s="1" t="s">
        <v>20164</v>
      </c>
      <c r="AM1707" s="1" t="s">
        <v>20163</v>
      </c>
      <c r="AN1707" s="1" t="s">
        <v>169</v>
      </c>
      <c r="AO1707" s="1" t="s">
        <v>198</v>
      </c>
      <c r="AP1707" s="1">
        <v>59.08</v>
      </c>
      <c r="AQ1707" s="1"/>
      <c r="AR1707" s="1"/>
      <c r="AS1707" s="1"/>
      <c r="AT1707" s="1"/>
      <c r="AU1707" s="1"/>
      <c r="AV1707" s="1"/>
      <c r="AW1707" s="1"/>
      <c r="AX1707" s="1" t="s">
        <v>20165</v>
      </c>
      <c r="AY1707" s="1" t="s">
        <v>20166</v>
      </c>
      <c r="AZ1707" s="1" t="s">
        <v>201</v>
      </c>
      <c r="BA1707" s="1" t="s">
        <v>174</v>
      </c>
      <c r="BB1707" s="1">
        <v>75.2</v>
      </c>
      <c r="BC1707" s="1">
        <v>8.02</v>
      </c>
      <c r="BD1707" s="1"/>
      <c r="BE1707" s="1"/>
      <c r="BF1707" s="1"/>
      <c r="BG1707" s="1"/>
      <c r="BH1707" s="1"/>
      <c r="BI1707" s="1"/>
      <c r="BJ1707" s="1" t="s">
        <v>6436</v>
      </c>
      <c r="BK1707" s="1"/>
      <c r="BL1707" s="1"/>
      <c r="BM1707" s="1" t="s">
        <v>20167</v>
      </c>
      <c r="BN1707" s="1">
        <v>23</v>
      </c>
      <c r="BO1707" s="1"/>
      <c r="BP1707" s="1" t="str">
        <f>HYPERLINK("https://nconnect.nicmar.ac.in/storage/profile/ProfilePhoto_P25706023_352879.jpg","Download")</f>
        <v>0</v>
      </c>
      <c r="BQ1707" s="3"/>
      <c r="BR1707" s="3"/>
    </row>
    <row r="1708" spans="1:70">
      <c r="A1708" s="1" t="s">
        <v>17142</v>
      </c>
      <c r="B1708" s="1" t="s">
        <v>441</v>
      </c>
      <c r="C1708" s="1" t="s">
        <v>20168</v>
      </c>
      <c r="D1708" s="1" t="s">
        <v>3684</v>
      </c>
      <c r="E1708" s="1" t="s">
        <v>5755</v>
      </c>
      <c r="F1708" s="1" t="s">
        <v>20169</v>
      </c>
      <c r="G1708" s="1" t="s">
        <v>20170</v>
      </c>
      <c r="H1708" s="1" t="s">
        <v>20171</v>
      </c>
      <c r="I1708" s="1" t="s">
        <v>20172</v>
      </c>
      <c r="J1708" s="1">
        <v>9082212775</v>
      </c>
      <c r="K1708" s="1" t="s">
        <v>79</v>
      </c>
      <c r="L1708" s="1" t="s">
        <v>20173</v>
      </c>
      <c r="M1708" s="1" t="s">
        <v>81</v>
      </c>
      <c r="N1708" s="1" t="s">
        <v>7455</v>
      </c>
      <c r="O1708" s="1" t="s">
        <v>20174</v>
      </c>
      <c r="P1708" s="1" t="s">
        <v>472</v>
      </c>
      <c r="Q1708" s="1" t="s">
        <v>20175</v>
      </c>
      <c r="R1708" s="1" t="s">
        <v>5755</v>
      </c>
      <c r="S1708" s="1">
        <v>9422179511</v>
      </c>
      <c r="T1708" s="1" t="s">
        <v>120</v>
      </c>
      <c r="U1708" s="1" t="s">
        <v>19531</v>
      </c>
      <c r="V1708" s="1">
        <v>8626057997</v>
      </c>
      <c r="W1708" s="1" t="s">
        <v>120</v>
      </c>
      <c r="X1708" s="1" t="s">
        <v>20176</v>
      </c>
      <c r="Y1708" s="1" t="s">
        <v>405</v>
      </c>
      <c r="Z1708" s="1" t="s">
        <v>92</v>
      </c>
      <c r="AA1708" s="1" t="s">
        <v>20176</v>
      </c>
      <c r="AB1708" s="1" t="s">
        <v>405</v>
      </c>
      <c r="AC1708" s="1" t="s">
        <v>92</v>
      </c>
      <c r="AD1708" s="1">
        <v>7.76</v>
      </c>
      <c r="AE1708" s="1" t="s">
        <v>93</v>
      </c>
      <c r="AF1708" s="1" t="s">
        <v>20177</v>
      </c>
      <c r="AG1708" s="1" t="s">
        <v>20178</v>
      </c>
      <c r="AH1708" s="1" t="s">
        <v>2603</v>
      </c>
      <c r="AI1708" s="1" t="s">
        <v>131</v>
      </c>
      <c r="AJ1708" s="1">
        <v>89.3</v>
      </c>
      <c r="AK1708" s="1">
        <v>9.4</v>
      </c>
      <c r="AL1708" s="1" t="s">
        <v>20179</v>
      </c>
      <c r="AM1708" s="1" t="s">
        <v>20178</v>
      </c>
      <c r="AN1708" s="1" t="s">
        <v>161</v>
      </c>
      <c r="AO1708" s="1" t="s">
        <v>562</v>
      </c>
      <c r="AP1708" s="1">
        <v>66.6</v>
      </c>
      <c r="AQ1708" s="1">
        <v>7.01</v>
      </c>
      <c r="AR1708" s="1"/>
      <c r="AS1708" s="1"/>
      <c r="AT1708" s="1"/>
      <c r="AU1708" s="1"/>
      <c r="AV1708" s="1"/>
      <c r="AW1708" s="1"/>
      <c r="AX1708" s="1" t="s">
        <v>253</v>
      </c>
      <c r="AY1708" s="1" t="s">
        <v>20180</v>
      </c>
      <c r="AZ1708" s="1" t="s">
        <v>225</v>
      </c>
      <c r="BA1708" s="1" t="s">
        <v>915</v>
      </c>
      <c r="BB1708" s="1">
        <v>56.73</v>
      </c>
      <c r="BC1708" s="1">
        <v>6.3</v>
      </c>
      <c r="BD1708" s="1"/>
      <c r="BE1708" s="1"/>
      <c r="BF1708" s="1"/>
      <c r="BG1708" s="1"/>
      <c r="BH1708" s="1"/>
      <c r="BI1708" s="1"/>
      <c r="BJ1708" s="1" t="s">
        <v>20181</v>
      </c>
      <c r="BK1708" s="1"/>
      <c r="BL1708" s="1"/>
      <c r="BM1708" s="1" t="s">
        <v>20182</v>
      </c>
      <c r="BN1708" s="1">
        <v>42</v>
      </c>
      <c r="BO1708" s="1" t="s">
        <v>20183</v>
      </c>
      <c r="BP1708" s="1" t="str">
        <f>HYPERLINK("https://nconnect.nicmar.ac.in/storage/profile/ProfilePhoto_P25706024_261895.jpg","Download")</f>
        <v>0</v>
      </c>
      <c r="BQ1708" s="3"/>
      <c r="BR1708" s="3"/>
    </row>
    <row r="1709" spans="1:70">
      <c r="A1709" s="1" t="s">
        <v>17142</v>
      </c>
      <c r="B1709" s="1" t="s">
        <v>441</v>
      </c>
      <c r="C1709" s="1" t="s">
        <v>20184</v>
      </c>
      <c r="D1709" s="1" t="s">
        <v>20185</v>
      </c>
      <c r="E1709" s="1" t="s">
        <v>878</v>
      </c>
      <c r="F1709" s="1" t="s">
        <v>20186</v>
      </c>
      <c r="G1709" s="1" t="s">
        <v>20187</v>
      </c>
      <c r="H1709" s="1" t="s">
        <v>20188</v>
      </c>
      <c r="I1709" s="1" t="s">
        <v>20189</v>
      </c>
      <c r="J1709" s="1">
        <v>9404268121</v>
      </c>
      <c r="K1709" s="1" t="s">
        <v>148</v>
      </c>
      <c r="L1709" s="1" t="s">
        <v>4793</v>
      </c>
      <c r="M1709" s="1" t="s">
        <v>81</v>
      </c>
      <c r="N1709" s="1" t="s">
        <v>20190</v>
      </c>
      <c r="O1709" s="1" t="s">
        <v>20191</v>
      </c>
      <c r="P1709" s="1" t="s">
        <v>472</v>
      </c>
      <c r="Q1709" s="1" t="s">
        <v>20192</v>
      </c>
      <c r="R1709" s="1" t="s">
        <v>878</v>
      </c>
      <c r="S1709" s="1">
        <v>9422458595</v>
      </c>
      <c r="T1709" s="1" t="s">
        <v>154</v>
      </c>
      <c r="U1709" s="1" t="s">
        <v>5084</v>
      </c>
      <c r="V1709" s="1">
        <v>9767954080</v>
      </c>
      <c r="W1709" s="1" t="s">
        <v>156</v>
      </c>
      <c r="X1709" s="1" t="s">
        <v>20193</v>
      </c>
      <c r="Y1709" s="1" t="s">
        <v>191</v>
      </c>
      <c r="Z1709" s="1" t="s">
        <v>92</v>
      </c>
      <c r="AA1709" s="1" t="s">
        <v>20194</v>
      </c>
      <c r="AB1709" s="1" t="s">
        <v>191</v>
      </c>
      <c r="AC1709" s="1" t="s">
        <v>92</v>
      </c>
      <c r="AD1709" s="1">
        <v>8.44</v>
      </c>
      <c r="AE1709" s="1" t="s">
        <v>93</v>
      </c>
      <c r="AF1709" s="1" t="s">
        <v>20195</v>
      </c>
      <c r="AG1709" s="1" t="s">
        <v>20196</v>
      </c>
      <c r="AH1709" s="1" t="s">
        <v>162</v>
      </c>
      <c r="AI1709" s="1" t="s">
        <v>165</v>
      </c>
      <c r="AJ1709" s="1">
        <v>88</v>
      </c>
      <c r="AK1709" s="1">
        <v>9.6</v>
      </c>
      <c r="AL1709" s="1" t="s">
        <v>20197</v>
      </c>
      <c r="AM1709" s="1" t="s">
        <v>20198</v>
      </c>
      <c r="AN1709" s="1" t="s">
        <v>165</v>
      </c>
      <c r="AO1709" s="1" t="s">
        <v>198</v>
      </c>
      <c r="AP1709" s="1">
        <v>68.62</v>
      </c>
      <c r="AQ1709" s="1"/>
      <c r="AR1709" s="1"/>
      <c r="AS1709" s="1"/>
      <c r="AT1709" s="1"/>
      <c r="AU1709" s="1"/>
      <c r="AV1709" s="1"/>
      <c r="AW1709" s="1"/>
      <c r="AX1709" s="1" t="s">
        <v>361</v>
      </c>
      <c r="AY1709" s="1" t="s">
        <v>20199</v>
      </c>
      <c r="AZ1709" s="1" t="s">
        <v>433</v>
      </c>
      <c r="BA1709" s="1" t="s">
        <v>413</v>
      </c>
      <c r="BB1709" s="1">
        <v>64.79</v>
      </c>
      <c r="BC1709" s="1">
        <v>7.28</v>
      </c>
      <c r="BD1709" s="1"/>
      <c r="BE1709" s="1"/>
      <c r="BF1709" s="1"/>
      <c r="BG1709" s="1"/>
      <c r="BH1709" s="1"/>
      <c r="BI1709" s="1"/>
      <c r="BJ1709" s="1" t="s">
        <v>20200</v>
      </c>
      <c r="BK1709" s="1" t="s">
        <v>20201</v>
      </c>
      <c r="BL1709" s="1" t="s">
        <v>2089</v>
      </c>
      <c r="BM1709" s="1" t="s">
        <v>20202</v>
      </c>
      <c r="BN1709" s="1">
        <v>61</v>
      </c>
      <c r="BO1709" s="1" t="s">
        <v>20203</v>
      </c>
      <c r="BP1709" s="1" t="str">
        <f>HYPERLINK("https://nconnect.nicmar.ac.in/storage/profile/ProfilePhoto_P25706025_139682.jpg","Download")</f>
        <v>0</v>
      </c>
      <c r="BQ1709" s="3"/>
      <c r="BR1709" s="3"/>
    </row>
    <row r="1710" spans="1:70">
      <c r="A1710" s="1" t="s">
        <v>17142</v>
      </c>
      <c r="B1710" s="1" t="s">
        <v>441</v>
      </c>
      <c r="C1710" s="1" t="s">
        <v>20204</v>
      </c>
      <c r="D1710" s="1" t="s">
        <v>20205</v>
      </c>
      <c r="E1710" s="1"/>
      <c r="F1710" s="1" t="s">
        <v>1828</v>
      </c>
      <c r="G1710" s="1" t="s">
        <v>20206</v>
      </c>
      <c r="H1710" s="1" t="s">
        <v>20207</v>
      </c>
      <c r="I1710" s="1" t="s">
        <v>20208</v>
      </c>
      <c r="J1710" s="1">
        <v>7019455055</v>
      </c>
      <c r="K1710" s="1" t="s">
        <v>79</v>
      </c>
      <c r="L1710" s="1" t="s">
        <v>20209</v>
      </c>
      <c r="M1710" s="1" t="s">
        <v>81</v>
      </c>
      <c r="N1710" s="1" t="s">
        <v>20210</v>
      </c>
      <c r="O1710" s="1"/>
      <c r="P1710" s="1" t="s">
        <v>450</v>
      </c>
      <c r="Q1710" s="1" t="s">
        <v>20211</v>
      </c>
      <c r="R1710" s="1" t="s">
        <v>20212</v>
      </c>
      <c r="S1710" s="1">
        <v>9845499155</v>
      </c>
      <c r="T1710" s="1" t="s">
        <v>820</v>
      </c>
      <c r="U1710" s="1" t="s">
        <v>20213</v>
      </c>
      <c r="V1710" s="1">
        <v>9980857755</v>
      </c>
      <c r="W1710" s="1" t="s">
        <v>156</v>
      </c>
      <c r="X1710" s="1" t="s">
        <v>20214</v>
      </c>
      <c r="Y1710" s="1" t="s">
        <v>3151</v>
      </c>
      <c r="Z1710" s="1" t="s">
        <v>1187</v>
      </c>
      <c r="AA1710" s="1" t="s">
        <v>20214</v>
      </c>
      <c r="AB1710" s="1" t="s">
        <v>3151</v>
      </c>
      <c r="AC1710" s="1" t="s">
        <v>1187</v>
      </c>
      <c r="AD1710" s="1">
        <v>9.38</v>
      </c>
      <c r="AE1710" s="1" t="s">
        <v>93</v>
      </c>
      <c r="AF1710" s="1" t="s">
        <v>2663</v>
      </c>
      <c r="AG1710" s="1" t="s">
        <v>9038</v>
      </c>
      <c r="AH1710" s="1" t="s">
        <v>166</v>
      </c>
      <c r="AI1710" s="1" t="s">
        <v>308</v>
      </c>
      <c r="AJ1710" s="1">
        <v>83.8</v>
      </c>
      <c r="AK1710" s="1">
        <v>8.38</v>
      </c>
      <c r="AL1710" s="1" t="s">
        <v>20215</v>
      </c>
      <c r="AM1710" s="1" t="s">
        <v>9038</v>
      </c>
      <c r="AN1710" s="1" t="s">
        <v>433</v>
      </c>
      <c r="AO1710" s="1" t="s">
        <v>828</v>
      </c>
      <c r="AP1710" s="1">
        <v>84.8</v>
      </c>
      <c r="AQ1710" s="1">
        <v>8.48</v>
      </c>
      <c r="AR1710" s="1"/>
      <c r="AS1710" s="1"/>
      <c r="AT1710" s="1"/>
      <c r="AU1710" s="1"/>
      <c r="AV1710" s="1"/>
      <c r="AW1710" s="1"/>
      <c r="AX1710" s="1" t="s">
        <v>6663</v>
      </c>
      <c r="AY1710" s="1" t="s">
        <v>20216</v>
      </c>
      <c r="AZ1710" s="1" t="s">
        <v>852</v>
      </c>
      <c r="BA1710" s="1" t="s">
        <v>1379</v>
      </c>
      <c r="BB1710" s="1">
        <v>58.3</v>
      </c>
      <c r="BC1710" s="1">
        <v>5.83</v>
      </c>
      <c r="BD1710" s="1"/>
      <c r="BE1710" s="1"/>
      <c r="BF1710" s="1"/>
      <c r="BG1710" s="1"/>
      <c r="BH1710" s="1"/>
      <c r="BI1710" s="1"/>
      <c r="BJ1710" s="1" t="s">
        <v>20065</v>
      </c>
      <c r="BK1710" s="1"/>
      <c r="BL1710" s="1"/>
      <c r="BM1710" s="1" t="s">
        <v>20217</v>
      </c>
      <c r="BN1710" s="1">
        <v>14</v>
      </c>
      <c r="BO1710" s="1"/>
      <c r="BP1710" s="1" t="str">
        <f>HYPERLINK("https://nconnect.nicmar.ac.in/storage/profile/ProfilePhoto_P25706026_736918.jpg","Download")</f>
        <v>0</v>
      </c>
      <c r="BQ1710" s="3"/>
      <c r="BR1710" s="3"/>
    </row>
    <row r="1711" spans="1:70">
      <c r="A1711" s="1" t="s">
        <v>17032</v>
      </c>
      <c r="B1711" s="1" t="s">
        <v>441</v>
      </c>
      <c r="C1711" s="1" t="s">
        <v>20218</v>
      </c>
      <c r="D1711" s="1" t="s">
        <v>20219</v>
      </c>
      <c r="E1711" s="1" t="s">
        <v>2419</v>
      </c>
      <c r="F1711" s="1" t="s">
        <v>15444</v>
      </c>
      <c r="G1711" s="1" t="s">
        <v>20220</v>
      </c>
      <c r="H1711" s="1" t="s">
        <v>20221</v>
      </c>
      <c r="I1711" s="1" t="s">
        <v>20222</v>
      </c>
      <c r="J1711" s="1">
        <v>9049214719</v>
      </c>
      <c r="K1711" s="1" t="s">
        <v>79</v>
      </c>
      <c r="L1711" s="1" t="s">
        <v>20223</v>
      </c>
      <c r="M1711" s="1" t="s">
        <v>81</v>
      </c>
      <c r="N1711" s="1" t="s">
        <v>605</v>
      </c>
      <c r="O1711" s="1"/>
      <c r="P1711" s="1" t="s">
        <v>656</v>
      </c>
      <c r="Q1711" s="1" t="s">
        <v>20224</v>
      </c>
      <c r="R1711" s="1" t="s">
        <v>2419</v>
      </c>
      <c r="S1711" s="1">
        <v>9420161893</v>
      </c>
      <c r="T1711" s="1" t="s">
        <v>20225</v>
      </c>
      <c r="U1711" s="1" t="s">
        <v>6800</v>
      </c>
      <c r="V1711" s="1">
        <v>8390011964</v>
      </c>
      <c r="W1711" s="1" t="s">
        <v>89</v>
      </c>
      <c r="X1711" s="1" t="s">
        <v>20226</v>
      </c>
      <c r="Y1711" s="1" t="s">
        <v>11204</v>
      </c>
      <c r="Z1711" s="1" t="s">
        <v>6544</v>
      </c>
      <c r="AA1711" s="1" t="s">
        <v>20226</v>
      </c>
      <c r="AB1711" s="1" t="s">
        <v>11204</v>
      </c>
      <c r="AC1711" s="1" t="s">
        <v>6544</v>
      </c>
      <c r="AD1711" s="1" t="s">
        <v>93</v>
      </c>
      <c r="AE1711" s="1" t="s">
        <v>93</v>
      </c>
      <c r="AF1711" s="1" t="s">
        <v>20227</v>
      </c>
      <c r="AG1711" s="1" t="s">
        <v>20228</v>
      </c>
      <c r="AH1711" s="1" t="s">
        <v>4602</v>
      </c>
      <c r="AI1711" s="1" t="s">
        <v>614</v>
      </c>
      <c r="AJ1711" s="1">
        <v>83</v>
      </c>
      <c r="AK1711" s="1"/>
      <c r="AL1711" s="1" t="s">
        <v>20229</v>
      </c>
      <c r="AM1711" s="1" t="s">
        <v>20228</v>
      </c>
      <c r="AN1711" s="1" t="s">
        <v>162</v>
      </c>
      <c r="AO1711" s="1" t="s">
        <v>166</v>
      </c>
      <c r="AP1711" s="1">
        <v>56.5</v>
      </c>
      <c r="AQ1711" s="1"/>
      <c r="AR1711" s="1"/>
      <c r="AS1711" s="1"/>
      <c r="AT1711" s="1"/>
      <c r="AU1711" s="1"/>
      <c r="AV1711" s="1"/>
      <c r="AW1711" s="1"/>
      <c r="AX1711" s="1" t="s">
        <v>11208</v>
      </c>
      <c r="AY1711" s="1" t="s">
        <v>6549</v>
      </c>
      <c r="AZ1711" s="1" t="s">
        <v>169</v>
      </c>
      <c r="BA1711" s="1" t="s">
        <v>1777</v>
      </c>
      <c r="BB1711" s="1">
        <v>64</v>
      </c>
      <c r="BC1711" s="1"/>
      <c r="BD1711" s="1"/>
      <c r="BE1711" s="1"/>
      <c r="BF1711" s="1"/>
      <c r="BG1711" s="1"/>
      <c r="BH1711" s="1"/>
      <c r="BI1711" s="1"/>
      <c r="BJ1711" s="1" t="s">
        <v>20230</v>
      </c>
      <c r="BK1711" s="1" t="s">
        <v>20231</v>
      </c>
      <c r="BL1711" s="1" t="s">
        <v>1540</v>
      </c>
      <c r="BM1711" s="1" t="s">
        <v>20232</v>
      </c>
      <c r="BN1711" s="1">
        <v>16</v>
      </c>
      <c r="BO1711" s="1" t="s">
        <v>20233</v>
      </c>
      <c r="BP1711" s="1" t="str">
        <f>HYPERLINK("https://nconnect.nicmar.ac.in/storage/profile/ProfilePhoto_P25704001_327986.jpg","Download")</f>
        <v>0</v>
      </c>
      <c r="BQ1711" s="3"/>
      <c r="BR1711" s="3"/>
    </row>
    <row r="1712" spans="1:70">
      <c r="A1712" s="1" t="s">
        <v>17032</v>
      </c>
      <c r="B1712" s="1" t="s">
        <v>441</v>
      </c>
      <c r="C1712" s="1" t="s">
        <v>20234</v>
      </c>
      <c r="D1712" s="1" t="s">
        <v>7785</v>
      </c>
      <c r="E1712" s="1" t="s">
        <v>20235</v>
      </c>
      <c r="F1712" s="1" t="s">
        <v>20236</v>
      </c>
      <c r="G1712" s="1" t="s">
        <v>20237</v>
      </c>
      <c r="H1712" s="1" t="s">
        <v>20238</v>
      </c>
      <c r="I1712" s="1" t="s">
        <v>20239</v>
      </c>
      <c r="J1712" s="1">
        <v>9606625731</v>
      </c>
      <c r="K1712" s="1" t="s">
        <v>79</v>
      </c>
      <c r="L1712" s="1" t="s">
        <v>11655</v>
      </c>
      <c r="M1712" s="1" t="s">
        <v>81</v>
      </c>
      <c r="N1712" s="1" t="s">
        <v>20240</v>
      </c>
      <c r="O1712" s="1"/>
      <c r="P1712" s="1" t="s">
        <v>472</v>
      </c>
      <c r="Q1712" s="1" t="s">
        <v>20241</v>
      </c>
      <c r="R1712" s="1" t="s">
        <v>20235</v>
      </c>
      <c r="S1712" s="1">
        <v>9945732643</v>
      </c>
      <c r="T1712" s="1" t="s">
        <v>20242</v>
      </c>
      <c r="U1712" s="1" t="s">
        <v>20243</v>
      </c>
      <c r="V1712" s="1">
        <v>9902479826</v>
      </c>
      <c r="W1712" s="1" t="s">
        <v>475</v>
      </c>
      <c r="X1712" s="1" t="s">
        <v>20244</v>
      </c>
      <c r="Y1712" s="1" t="s">
        <v>4001</v>
      </c>
      <c r="Z1712" s="1" t="s">
        <v>1187</v>
      </c>
      <c r="AA1712" s="1" t="s">
        <v>20244</v>
      </c>
      <c r="AB1712" s="1" t="s">
        <v>4001</v>
      </c>
      <c r="AC1712" s="1" t="s">
        <v>1187</v>
      </c>
      <c r="AD1712" s="1" t="s">
        <v>93</v>
      </c>
      <c r="AE1712" s="1" t="s">
        <v>93</v>
      </c>
      <c r="AF1712" s="1" t="s">
        <v>20245</v>
      </c>
      <c r="AG1712" s="1" t="s">
        <v>20246</v>
      </c>
      <c r="AH1712" s="1" t="s">
        <v>507</v>
      </c>
      <c r="AI1712" s="1" t="s">
        <v>562</v>
      </c>
      <c r="AJ1712" s="1">
        <v>86.4</v>
      </c>
      <c r="AK1712" s="1"/>
      <c r="AL1712" s="1" t="s">
        <v>20247</v>
      </c>
      <c r="AM1712" s="1" t="s">
        <v>20248</v>
      </c>
      <c r="AN1712" s="1" t="s">
        <v>20249</v>
      </c>
      <c r="AO1712" s="1" t="s">
        <v>409</v>
      </c>
      <c r="AP1712" s="1">
        <v>59.16</v>
      </c>
      <c r="AQ1712" s="1"/>
      <c r="AR1712" s="1"/>
      <c r="AS1712" s="1"/>
      <c r="AT1712" s="1"/>
      <c r="AU1712" s="1"/>
      <c r="AV1712" s="1"/>
      <c r="AW1712" s="1"/>
      <c r="AX1712" s="1" t="s">
        <v>4201</v>
      </c>
      <c r="AY1712" s="1" t="s">
        <v>20250</v>
      </c>
      <c r="AZ1712" s="1" t="s">
        <v>13024</v>
      </c>
      <c r="BA1712" s="1" t="s">
        <v>229</v>
      </c>
      <c r="BB1712" s="1">
        <v>61.2</v>
      </c>
      <c r="BC1712" s="1"/>
      <c r="BD1712" s="1"/>
      <c r="BE1712" s="1"/>
      <c r="BF1712" s="1"/>
      <c r="BG1712" s="1"/>
      <c r="BH1712" s="1"/>
      <c r="BI1712" s="1"/>
      <c r="BJ1712" s="1" t="s">
        <v>6436</v>
      </c>
      <c r="BK1712" s="1"/>
      <c r="BL1712" s="1"/>
      <c r="BM1712" s="1" t="s">
        <v>20251</v>
      </c>
      <c r="BN1712" s="1">
        <v>17</v>
      </c>
      <c r="BO1712" s="1" t="s">
        <v>20252</v>
      </c>
      <c r="BP1712" s="1" t="str">
        <f>HYPERLINK("https://nconnect.nicmar.ac.in/storage/profile/ProfilePhoto_P25704004_981675.jpg","Download")</f>
        <v>0</v>
      </c>
      <c r="BQ1712" s="3"/>
      <c r="BR1712" s="3"/>
    </row>
    <row r="1713" spans="1:70">
      <c r="A1713" s="1" t="s">
        <v>17032</v>
      </c>
      <c r="B1713" s="1" t="s">
        <v>441</v>
      </c>
      <c r="C1713" s="1" t="s">
        <v>20253</v>
      </c>
      <c r="D1713" s="1" t="s">
        <v>6871</v>
      </c>
      <c r="E1713" s="1" t="s">
        <v>20254</v>
      </c>
      <c r="F1713" s="1" t="s">
        <v>20255</v>
      </c>
      <c r="G1713" s="1" t="s">
        <v>20256</v>
      </c>
      <c r="H1713" s="1" t="s">
        <v>20257</v>
      </c>
      <c r="I1713" s="1" t="s">
        <v>20258</v>
      </c>
      <c r="J1713" s="1">
        <v>9112166624</v>
      </c>
      <c r="K1713" s="1" t="s">
        <v>79</v>
      </c>
      <c r="L1713" s="1" t="s">
        <v>20259</v>
      </c>
      <c r="M1713" s="1" t="s">
        <v>81</v>
      </c>
      <c r="N1713" s="1" t="s">
        <v>1140</v>
      </c>
      <c r="O1713" s="1"/>
      <c r="P1713" s="1" t="s">
        <v>472</v>
      </c>
      <c r="Q1713" s="1" t="s">
        <v>20260</v>
      </c>
      <c r="R1713" s="1" t="s">
        <v>20254</v>
      </c>
      <c r="S1713" s="1">
        <v>9527853953</v>
      </c>
      <c r="T1713" s="1" t="s">
        <v>216</v>
      </c>
      <c r="U1713" s="1" t="s">
        <v>20261</v>
      </c>
      <c r="V1713" s="1">
        <v>9527853953</v>
      </c>
      <c r="W1713" s="1" t="s">
        <v>156</v>
      </c>
      <c r="X1713" s="1" t="s">
        <v>20262</v>
      </c>
      <c r="Y1713" s="1" t="s">
        <v>91</v>
      </c>
      <c r="Z1713" s="1" t="s">
        <v>92</v>
      </c>
      <c r="AA1713" s="1" t="s">
        <v>20262</v>
      </c>
      <c r="AB1713" s="1" t="s">
        <v>91</v>
      </c>
      <c r="AC1713" s="1" t="s">
        <v>92</v>
      </c>
      <c r="AD1713" s="1" t="s">
        <v>93</v>
      </c>
      <c r="AE1713" s="1" t="s">
        <v>93</v>
      </c>
      <c r="AF1713" s="1" t="s">
        <v>9700</v>
      </c>
      <c r="AG1713" s="1" t="s">
        <v>4335</v>
      </c>
      <c r="AH1713" s="1" t="s">
        <v>161</v>
      </c>
      <c r="AI1713" s="1" t="s">
        <v>162</v>
      </c>
      <c r="AJ1713" s="1">
        <v>83.6</v>
      </c>
      <c r="AK1713" s="1"/>
      <c r="AL1713" s="1" t="s">
        <v>20263</v>
      </c>
      <c r="AM1713" s="1" t="s">
        <v>4335</v>
      </c>
      <c r="AN1713" s="1" t="s">
        <v>195</v>
      </c>
      <c r="AO1713" s="1" t="s">
        <v>166</v>
      </c>
      <c r="AP1713" s="1">
        <v>58.62</v>
      </c>
      <c r="AQ1713" s="1"/>
      <c r="AR1713" s="1"/>
      <c r="AS1713" s="1"/>
      <c r="AT1713" s="1"/>
      <c r="AU1713" s="1"/>
      <c r="AV1713" s="1"/>
      <c r="AW1713" s="1"/>
      <c r="AX1713" s="1" t="s">
        <v>20264</v>
      </c>
      <c r="AY1713" s="1" t="s">
        <v>20166</v>
      </c>
      <c r="AZ1713" s="1" t="s">
        <v>1043</v>
      </c>
      <c r="BA1713" s="1" t="s">
        <v>105</v>
      </c>
      <c r="BB1713" s="1">
        <v>75.5</v>
      </c>
      <c r="BC1713" s="1">
        <v>8.05</v>
      </c>
      <c r="BD1713" s="1"/>
      <c r="BE1713" s="1"/>
      <c r="BF1713" s="1"/>
      <c r="BG1713" s="1"/>
      <c r="BH1713" s="1"/>
      <c r="BI1713" s="1"/>
      <c r="BJ1713" s="1" t="s">
        <v>830</v>
      </c>
      <c r="BK1713" s="1"/>
      <c r="BL1713" s="1"/>
      <c r="BM1713" s="1" t="s">
        <v>20265</v>
      </c>
      <c r="BN1713" s="1">
        <v>114</v>
      </c>
      <c r="BO1713" s="1"/>
      <c r="BP1713" s="1" t="str">
        <f>HYPERLINK("https://nconnect.nicmar.ac.in/storage/profile/ProfilePhoto_P25704005_592674.jpg","Download")</f>
        <v>0</v>
      </c>
      <c r="BQ1713" s="3"/>
      <c r="BR1713" s="3"/>
    </row>
    <row r="1714" spans="1:70">
      <c r="A1714" s="1" t="s">
        <v>17032</v>
      </c>
      <c r="B1714" s="1" t="s">
        <v>441</v>
      </c>
      <c r="C1714" s="1" t="s">
        <v>20266</v>
      </c>
      <c r="D1714" s="1" t="s">
        <v>20267</v>
      </c>
      <c r="E1714" s="1" t="s">
        <v>12144</v>
      </c>
      <c r="F1714" s="1" t="s">
        <v>20268</v>
      </c>
      <c r="G1714" s="1" t="s">
        <v>20269</v>
      </c>
      <c r="H1714" s="1" t="s">
        <v>20270</v>
      </c>
      <c r="I1714" s="1" t="s">
        <v>20271</v>
      </c>
      <c r="J1714" s="1">
        <v>9352189157</v>
      </c>
      <c r="K1714" s="1" t="s">
        <v>148</v>
      </c>
      <c r="L1714" s="1" t="s">
        <v>1303</v>
      </c>
      <c r="M1714" s="1" t="s">
        <v>81</v>
      </c>
      <c r="N1714" s="1" t="s">
        <v>751</v>
      </c>
      <c r="O1714" s="1"/>
      <c r="P1714" s="1" t="s">
        <v>1007</v>
      </c>
      <c r="Q1714" s="1" t="s">
        <v>20272</v>
      </c>
      <c r="R1714" s="1" t="s">
        <v>20268</v>
      </c>
      <c r="S1714" s="1">
        <v>9922920835</v>
      </c>
      <c r="T1714" s="1" t="s">
        <v>120</v>
      </c>
      <c r="U1714" s="1" t="s">
        <v>13233</v>
      </c>
      <c r="V1714" s="1">
        <v>9022059275</v>
      </c>
      <c r="W1714" s="1" t="s">
        <v>89</v>
      </c>
      <c r="X1714" s="1" t="s">
        <v>20273</v>
      </c>
      <c r="Y1714" s="1" t="s">
        <v>1754</v>
      </c>
      <c r="Z1714" s="1" t="s">
        <v>92</v>
      </c>
      <c r="AA1714" s="1" t="s">
        <v>20273</v>
      </c>
      <c r="AB1714" s="1" t="s">
        <v>1754</v>
      </c>
      <c r="AC1714" s="1" t="s">
        <v>92</v>
      </c>
      <c r="AD1714" s="1" t="s">
        <v>93</v>
      </c>
      <c r="AE1714" s="1" t="s">
        <v>93</v>
      </c>
      <c r="AF1714" s="1" t="s">
        <v>20274</v>
      </c>
      <c r="AG1714" s="1" t="s">
        <v>20275</v>
      </c>
      <c r="AH1714" s="1" t="s">
        <v>3303</v>
      </c>
      <c r="AI1714" s="1" t="s">
        <v>195</v>
      </c>
      <c r="AJ1714" s="1">
        <v>83.4</v>
      </c>
      <c r="AK1714" s="1"/>
      <c r="AL1714" s="1" t="s">
        <v>20276</v>
      </c>
      <c r="AM1714" s="1" t="s">
        <v>20275</v>
      </c>
      <c r="AN1714" s="1" t="s">
        <v>1455</v>
      </c>
      <c r="AO1714" s="1" t="s">
        <v>198</v>
      </c>
      <c r="AP1714" s="1">
        <v>62.77</v>
      </c>
      <c r="AQ1714" s="1"/>
      <c r="AR1714" s="1"/>
      <c r="AS1714" s="1"/>
      <c r="AT1714" s="1"/>
      <c r="AU1714" s="1"/>
      <c r="AV1714" s="1"/>
      <c r="AW1714" s="1"/>
      <c r="AX1714" s="1" t="s">
        <v>20277</v>
      </c>
      <c r="AY1714" s="1" t="s">
        <v>20278</v>
      </c>
      <c r="AZ1714" s="1" t="s">
        <v>360</v>
      </c>
      <c r="BA1714" s="1" t="s">
        <v>829</v>
      </c>
      <c r="BB1714" s="1">
        <v>60.16</v>
      </c>
      <c r="BC1714" s="1">
        <v>6.76</v>
      </c>
      <c r="BD1714" s="1"/>
      <c r="BE1714" s="1"/>
      <c r="BF1714" s="1"/>
      <c r="BG1714" s="1"/>
      <c r="BH1714" s="1"/>
      <c r="BI1714" s="1"/>
      <c r="BJ1714" s="1" t="s">
        <v>20279</v>
      </c>
      <c r="BK1714" s="1"/>
      <c r="BL1714" s="1"/>
      <c r="BM1714" s="1" t="s">
        <v>20280</v>
      </c>
      <c r="BN1714" s="1">
        <v>31</v>
      </c>
      <c r="BO1714" s="1"/>
      <c r="BP1714" s="1" t="str">
        <f>HYPERLINK("https://nconnect.nicmar.ac.in/storage/profile/ProfilePhoto_P25704006_537618.jpg","Download")</f>
        <v>0</v>
      </c>
      <c r="BQ1714" s="3"/>
      <c r="BR1714" s="3"/>
    </row>
    <row r="1715" spans="1:70">
      <c r="A1715" s="1" t="s">
        <v>17032</v>
      </c>
      <c r="B1715" s="1" t="s">
        <v>441</v>
      </c>
      <c r="C1715" s="1" t="s">
        <v>20281</v>
      </c>
      <c r="D1715" s="1" t="s">
        <v>13490</v>
      </c>
      <c r="E1715" s="1" t="s">
        <v>13048</v>
      </c>
      <c r="F1715" s="1" t="s">
        <v>20282</v>
      </c>
      <c r="G1715" s="1" t="s">
        <v>20283</v>
      </c>
      <c r="H1715" s="1" t="s">
        <v>20284</v>
      </c>
      <c r="I1715" s="1" t="s">
        <v>20285</v>
      </c>
      <c r="J1715" s="1">
        <v>9834120809</v>
      </c>
      <c r="K1715" s="1" t="s">
        <v>148</v>
      </c>
      <c r="L1715" s="1" t="s">
        <v>20286</v>
      </c>
      <c r="M1715" s="1" t="s">
        <v>81</v>
      </c>
      <c r="N1715" s="1" t="s">
        <v>10454</v>
      </c>
      <c r="O1715" s="1"/>
      <c r="P1715" s="1" t="s">
        <v>656</v>
      </c>
      <c r="Q1715" s="1" t="s">
        <v>20287</v>
      </c>
      <c r="R1715" s="1" t="s">
        <v>20288</v>
      </c>
      <c r="S1715" s="1">
        <v>8975639999</v>
      </c>
      <c r="T1715" s="1" t="s">
        <v>16722</v>
      </c>
      <c r="U1715" s="1" t="s">
        <v>20289</v>
      </c>
      <c r="V1715" s="1">
        <v>9403119990</v>
      </c>
      <c r="W1715" s="1" t="s">
        <v>89</v>
      </c>
      <c r="X1715" s="1" t="s">
        <v>20290</v>
      </c>
      <c r="Y1715" s="1" t="s">
        <v>405</v>
      </c>
      <c r="Z1715" s="1" t="s">
        <v>92</v>
      </c>
      <c r="AA1715" s="1" t="s">
        <v>20290</v>
      </c>
      <c r="AB1715" s="1" t="s">
        <v>405</v>
      </c>
      <c r="AC1715" s="1" t="s">
        <v>92</v>
      </c>
      <c r="AD1715" s="1" t="s">
        <v>93</v>
      </c>
      <c r="AE1715" s="1" t="s">
        <v>93</v>
      </c>
      <c r="AF1715" s="1" t="s">
        <v>20291</v>
      </c>
      <c r="AG1715" s="1" t="s">
        <v>160</v>
      </c>
      <c r="AH1715" s="1" t="s">
        <v>195</v>
      </c>
      <c r="AI1715" s="1" t="s">
        <v>281</v>
      </c>
      <c r="AJ1715" s="1">
        <v>86.4</v>
      </c>
      <c r="AK1715" s="1"/>
      <c r="AL1715" s="1" t="s">
        <v>20292</v>
      </c>
      <c r="AM1715" s="1" t="s">
        <v>160</v>
      </c>
      <c r="AN1715" s="1" t="s">
        <v>198</v>
      </c>
      <c r="AO1715" s="1" t="s">
        <v>360</v>
      </c>
      <c r="AP1715" s="1">
        <v>73.23</v>
      </c>
      <c r="AQ1715" s="1"/>
      <c r="AR1715" s="1"/>
      <c r="AS1715" s="1"/>
      <c r="AT1715" s="1"/>
      <c r="AU1715" s="1"/>
      <c r="AV1715" s="1"/>
      <c r="AW1715" s="1"/>
      <c r="AX1715" s="1" t="s">
        <v>361</v>
      </c>
      <c r="AY1715" s="1" t="s">
        <v>15652</v>
      </c>
      <c r="AZ1715" s="1" t="s">
        <v>363</v>
      </c>
      <c r="BA1715" s="1" t="s">
        <v>594</v>
      </c>
      <c r="BB1715" s="1">
        <v>71.8</v>
      </c>
      <c r="BC1715" s="1">
        <v>7.93</v>
      </c>
      <c r="BD1715" s="1"/>
      <c r="BE1715" s="1"/>
      <c r="BF1715" s="1"/>
      <c r="BG1715" s="1"/>
      <c r="BH1715" s="1"/>
      <c r="BI1715" s="1"/>
      <c r="BJ1715" s="1" t="s">
        <v>20293</v>
      </c>
      <c r="BK1715" s="1" t="s">
        <v>20294</v>
      </c>
      <c r="BL1715" s="1" t="s">
        <v>7466</v>
      </c>
      <c r="BM1715" s="1" t="s">
        <v>20295</v>
      </c>
      <c r="BN1715" s="1">
        <v>17</v>
      </c>
      <c r="BO1715" s="1" t="s">
        <v>20296</v>
      </c>
      <c r="BP1715" s="1" t="str">
        <f>HYPERLINK("https://nconnect.nicmar.ac.in/storage/profile/ProfilePhoto_P25704007_382496.jpg","Download")</f>
        <v>0</v>
      </c>
      <c r="BQ1715" s="3"/>
      <c r="BR1715" s="3"/>
    </row>
    <row r="1716" spans="1:70">
      <c r="A1716" s="1" t="s">
        <v>17032</v>
      </c>
      <c r="B1716" s="1" t="s">
        <v>441</v>
      </c>
      <c r="C1716" s="1" t="s">
        <v>20297</v>
      </c>
      <c r="D1716" s="1" t="s">
        <v>1052</v>
      </c>
      <c r="E1716" s="1" t="s">
        <v>520</v>
      </c>
      <c r="F1716" s="1" t="s">
        <v>5155</v>
      </c>
      <c r="G1716" s="1" t="s">
        <v>20298</v>
      </c>
      <c r="H1716" s="1" t="s">
        <v>20299</v>
      </c>
      <c r="I1716" s="1" t="s">
        <v>20300</v>
      </c>
      <c r="J1716" s="1">
        <v>9009479090</v>
      </c>
      <c r="K1716" s="1" t="s">
        <v>79</v>
      </c>
      <c r="L1716" s="1" t="s">
        <v>20301</v>
      </c>
      <c r="M1716" s="1" t="s">
        <v>81</v>
      </c>
      <c r="N1716" s="1" t="s">
        <v>20302</v>
      </c>
      <c r="O1716" s="1"/>
      <c r="P1716" s="1" t="s">
        <v>497</v>
      </c>
      <c r="Q1716" s="1" t="s">
        <v>20303</v>
      </c>
      <c r="R1716" s="1" t="s">
        <v>20304</v>
      </c>
      <c r="S1716" s="1">
        <v>9425185027</v>
      </c>
      <c r="T1716" s="1" t="s">
        <v>1595</v>
      </c>
      <c r="U1716" s="1" t="s">
        <v>20305</v>
      </c>
      <c r="V1716" s="1">
        <v>9425184552</v>
      </c>
      <c r="W1716" s="1" t="s">
        <v>156</v>
      </c>
      <c r="X1716" s="1" t="s">
        <v>20306</v>
      </c>
      <c r="Y1716" s="1" t="s">
        <v>20307</v>
      </c>
      <c r="Z1716" s="1" t="s">
        <v>3437</v>
      </c>
      <c r="AA1716" s="1" t="s">
        <v>20306</v>
      </c>
      <c r="AB1716" s="1" t="s">
        <v>20307</v>
      </c>
      <c r="AC1716" s="1" t="s">
        <v>3437</v>
      </c>
      <c r="AD1716" s="1" t="s">
        <v>93</v>
      </c>
      <c r="AE1716" s="1" t="s">
        <v>93</v>
      </c>
      <c r="AF1716" s="1" t="s">
        <v>20308</v>
      </c>
      <c r="AG1716" s="1" t="s">
        <v>20309</v>
      </c>
      <c r="AH1716" s="1" t="s">
        <v>1089</v>
      </c>
      <c r="AI1716" s="1" t="s">
        <v>195</v>
      </c>
      <c r="AJ1716" s="1">
        <v>70.3</v>
      </c>
      <c r="AK1716" s="1">
        <v>7.4</v>
      </c>
      <c r="AL1716" s="1" t="s">
        <v>20310</v>
      </c>
      <c r="AM1716" s="1" t="s">
        <v>20311</v>
      </c>
      <c r="AN1716" s="1" t="s">
        <v>433</v>
      </c>
      <c r="AO1716" s="1" t="s">
        <v>173</v>
      </c>
      <c r="AP1716" s="1">
        <v>60.2</v>
      </c>
      <c r="AQ1716" s="1"/>
      <c r="AR1716" s="1"/>
      <c r="AS1716" s="1"/>
      <c r="AT1716" s="1"/>
      <c r="AU1716" s="1"/>
      <c r="AV1716" s="1"/>
      <c r="AW1716" s="1"/>
      <c r="AX1716" s="1" t="s">
        <v>13359</v>
      </c>
      <c r="AY1716" s="1" t="s">
        <v>20312</v>
      </c>
      <c r="AZ1716" s="1" t="s">
        <v>412</v>
      </c>
      <c r="BA1716" s="1" t="s">
        <v>1292</v>
      </c>
      <c r="BB1716" s="1">
        <v>66.5</v>
      </c>
      <c r="BC1716" s="1">
        <v>7.15</v>
      </c>
      <c r="BD1716" s="1"/>
      <c r="BE1716" s="1"/>
      <c r="BF1716" s="1"/>
      <c r="BG1716" s="1"/>
      <c r="BH1716" s="1"/>
      <c r="BI1716" s="1"/>
      <c r="BJ1716" s="1" t="s">
        <v>255</v>
      </c>
      <c r="BK1716" s="1"/>
      <c r="BL1716" s="1"/>
      <c r="BM1716" s="1" t="s">
        <v>20313</v>
      </c>
      <c r="BN1716" s="1">
        <v>9</v>
      </c>
      <c r="BO1716" s="1" t="s">
        <v>19992</v>
      </c>
      <c r="BP1716" s="1" t="str">
        <f>HYPERLINK("https://nconnect.nicmar.ac.in/storage/profile/ProfilePhoto_P25704008_732964.jpg","Download")</f>
        <v>0</v>
      </c>
      <c r="BQ1716" s="3"/>
      <c r="BR1716" s="3"/>
    </row>
    <row r="1717" spans="1:70">
      <c r="A1717" s="1" t="s">
        <v>17032</v>
      </c>
      <c r="B1717" s="1" t="s">
        <v>441</v>
      </c>
      <c r="C1717" s="1" t="s">
        <v>20314</v>
      </c>
      <c r="D1717" s="1" t="s">
        <v>3060</v>
      </c>
      <c r="E1717" s="1" t="s">
        <v>20315</v>
      </c>
      <c r="F1717" s="1" t="s">
        <v>1156</v>
      </c>
      <c r="G1717" s="1" t="s">
        <v>20316</v>
      </c>
      <c r="H1717" s="1" t="s">
        <v>20317</v>
      </c>
      <c r="I1717" s="1" t="s">
        <v>20318</v>
      </c>
      <c r="J1717" s="1">
        <v>9011386465</v>
      </c>
      <c r="K1717" s="1" t="s">
        <v>148</v>
      </c>
      <c r="L1717" s="1" t="s">
        <v>20319</v>
      </c>
      <c r="M1717" s="1" t="s">
        <v>81</v>
      </c>
      <c r="N1717" s="1" t="s">
        <v>2267</v>
      </c>
      <c r="O1717" s="1" t="s">
        <v>20320</v>
      </c>
      <c r="P1717" s="1" t="s">
        <v>450</v>
      </c>
      <c r="Q1717" s="1" t="s">
        <v>20321</v>
      </c>
      <c r="R1717" s="1" t="s">
        <v>20322</v>
      </c>
      <c r="S1717" s="1">
        <v>9423804388</v>
      </c>
      <c r="T1717" s="1" t="s">
        <v>17169</v>
      </c>
      <c r="U1717" s="1" t="s">
        <v>20323</v>
      </c>
      <c r="V1717" s="1">
        <v>9420674709</v>
      </c>
      <c r="W1717" s="1" t="s">
        <v>17169</v>
      </c>
      <c r="X1717" s="1" t="s">
        <v>20324</v>
      </c>
      <c r="Y1717" s="1" t="s">
        <v>5185</v>
      </c>
      <c r="Z1717" s="1" t="s">
        <v>92</v>
      </c>
      <c r="AA1717" s="1" t="s">
        <v>20325</v>
      </c>
      <c r="AB1717" s="1" t="s">
        <v>1012</v>
      </c>
      <c r="AC1717" s="1" t="s">
        <v>92</v>
      </c>
      <c r="AD1717" s="1" t="s">
        <v>93</v>
      </c>
      <c r="AE1717" s="1" t="s">
        <v>93</v>
      </c>
      <c r="AF1717" s="1" t="s">
        <v>20326</v>
      </c>
      <c r="AG1717" s="1" t="s">
        <v>4335</v>
      </c>
      <c r="AH1717" s="1" t="s">
        <v>162</v>
      </c>
      <c r="AI1717" s="1" t="s">
        <v>165</v>
      </c>
      <c r="AJ1717" s="1">
        <v>91.6</v>
      </c>
      <c r="AK1717" s="1"/>
      <c r="AL1717" s="1" t="s">
        <v>20327</v>
      </c>
      <c r="AM1717" s="1" t="s">
        <v>4335</v>
      </c>
      <c r="AN1717" s="1" t="s">
        <v>101</v>
      </c>
      <c r="AO1717" s="1" t="s">
        <v>433</v>
      </c>
      <c r="AP1717" s="1">
        <v>71.4</v>
      </c>
      <c r="AQ1717" s="1"/>
      <c r="AR1717" s="1"/>
      <c r="AS1717" s="1"/>
      <c r="AT1717" s="1"/>
      <c r="AU1717" s="1"/>
      <c r="AV1717" s="1"/>
      <c r="AW1717" s="1"/>
      <c r="AX1717" s="1" t="s">
        <v>20328</v>
      </c>
      <c r="AY1717" s="1" t="s">
        <v>20329</v>
      </c>
      <c r="AZ1717" s="1" t="s">
        <v>1019</v>
      </c>
      <c r="BA1717" s="1" t="s">
        <v>829</v>
      </c>
      <c r="BB1717" s="1">
        <v>74.1</v>
      </c>
      <c r="BC1717" s="1">
        <v>7.91</v>
      </c>
      <c r="BD1717" s="1"/>
      <c r="BE1717" s="1"/>
      <c r="BF1717" s="1"/>
      <c r="BG1717" s="1"/>
      <c r="BH1717" s="1"/>
      <c r="BI1717" s="1"/>
      <c r="BJ1717" s="1" t="s">
        <v>20330</v>
      </c>
      <c r="BK1717" s="1"/>
      <c r="BL1717" s="1"/>
      <c r="BM1717" s="1" t="s">
        <v>20331</v>
      </c>
      <c r="BN1717" s="1">
        <v>27</v>
      </c>
      <c r="BO1717" s="1"/>
      <c r="BP1717" s="1" t="str">
        <f>HYPERLINK("https://nconnect.nicmar.ac.in/storage/profile/ProfilePhoto_P25704010_926485.jpg","Download")</f>
        <v>0</v>
      </c>
      <c r="BQ1717" s="3"/>
      <c r="BR1717" s="3"/>
    </row>
    <row r="1718" spans="1:70">
      <c r="A1718" s="1" t="s">
        <v>17032</v>
      </c>
      <c r="B1718" s="1" t="s">
        <v>441</v>
      </c>
      <c r="C1718" s="1" t="s">
        <v>20332</v>
      </c>
      <c r="D1718" s="1" t="s">
        <v>744</v>
      </c>
      <c r="E1718" s="1" t="s">
        <v>3236</v>
      </c>
      <c r="F1718" s="1" t="s">
        <v>14919</v>
      </c>
      <c r="G1718" s="1" t="s">
        <v>20333</v>
      </c>
      <c r="H1718" s="1" t="s">
        <v>20334</v>
      </c>
      <c r="I1718" s="1" t="s">
        <v>20334</v>
      </c>
      <c r="J1718" s="1">
        <v>8459773617</v>
      </c>
      <c r="K1718" s="1" t="s">
        <v>79</v>
      </c>
      <c r="L1718" s="1" t="s">
        <v>5658</v>
      </c>
      <c r="M1718" s="1" t="s">
        <v>81</v>
      </c>
      <c r="N1718" s="1" t="s">
        <v>1161</v>
      </c>
      <c r="O1718" s="1" t="s">
        <v>20335</v>
      </c>
      <c r="P1718" s="1" t="s">
        <v>497</v>
      </c>
      <c r="Q1718" s="1" t="s">
        <v>20336</v>
      </c>
      <c r="R1718" s="1" t="s">
        <v>20337</v>
      </c>
      <c r="S1718" s="1">
        <v>9226370919</v>
      </c>
      <c r="T1718" s="1" t="s">
        <v>632</v>
      </c>
      <c r="U1718" s="1" t="s">
        <v>20338</v>
      </c>
      <c r="V1718" s="1">
        <v>7499010319</v>
      </c>
      <c r="W1718" s="1" t="s">
        <v>156</v>
      </c>
      <c r="X1718" s="1" t="s">
        <v>20339</v>
      </c>
      <c r="Y1718" s="1" t="s">
        <v>4313</v>
      </c>
      <c r="Z1718" s="1" t="s">
        <v>92</v>
      </c>
      <c r="AA1718" s="1" t="s">
        <v>20339</v>
      </c>
      <c r="AB1718" s="1" t="s">
        <v>4313</v>
      </c>
      <c r="AC1718" s="1" t="s">
        <v>92</v>
      </c>
      <c r="AD1718" s="1" t="s">
        <v>93</v>
      </c>
      <c r="AE1718" s="1" t="s">
        <v>93</v>
      </c>
      <c r="AF1718" s="1" t="s">
        <v>20340</v>
      </c>
      <c r="AG1718" s="1" t="s">
        <v>20341</v>
      </c>
      <c r="AH1718" s="1" t="s">
        <v>383</v>
      </c>
      <c r="AI1718" s="1" t="s">
        <v>1043</v>
      </c>
      <c r="AJ1718" s="1">
        <v>70.8</v>
      </c>
      <c r="AK1718" s="1"/>
      <c r="AL1718" s="1"/>
      <c r="AM1718" s="1"/>
      <c r="AN1718" s="1"/>
      <c r="AO1718" s="1"/>
      <c r="AP1718" s="1"/>
      <c r="AQ1718" s="1"/>
      <c r="AR1718" s="1" t="s">
        <v>98</v>
      </c>
      <c r="AS1718" s="1" t="s">
        <v>20342</v>
      </c>
      <c r="AT1718" s="1" t="s">
        <v>1043</v>
      </c>
      <c r="AU1718" s="1" t="s">
        <v>436</v>
      </c>
      <c r="AV1718" s="1">
        <v>84.53</v>
      </c>
      <c r="AW1718" s="1"/>
      <c r="AX1718" s="1" t="s">
        <v>666</v>
      </c>
      <c r="AY1718" s="1" t="s">
        <v>20343</v>
      </c>
      <c r="AZ1718" s="1" t="s">
        <v>852</v>
      </c>
      <c r="BA1718" s="1" t="s">
        <v>2352</v>
      </c>
      <c r="BB1718" s="1">
        <v>62.23</v>
      </c>
      <c r="BC1718" s="1"/>
      <c r="BD1718" s="1"/>
      <c r="BE1718" s="1"/>
      <c r="BF1718" s="1"/>
      <c r="BG1718" s="1"/>
      <c r="BH1718" s="1"/>
      <c r="BI1718" s="1"/>
      <c r="BJ1718" s="1" t="s">
        <v>853</v>
      </c>
      <c r="BK1718" s="1"/>
      <c r="BL1718" s="1"/>
      <c r="BM1718" s="1" t="s">
        <v>20344</v>
      </c>
      <c r="BN1718" s="1">
        <v>8</v>
      </c>
      <c r="BO1718" s="1" t="s">
        <v>20345</v>
      </c>
      <c r="BP1718" s="1" t="str">
        <f>HYPERLINK("https://nconnect.nicmar.ac.in/storage/profile/ProfilePhoto_P25704011_741839.jpg","Download")</f>
        <v>0</v>
      </c>
      <c r="BQ1718" s="3"/>
      <c r="BR1718" s="3"/>
    </row>
    <row r="1719" spans="1:70">
      <c r="A1719" s="1" t="s">
        <v>17032</v>
      </c>
      <c r="B1719" s="1" t="s">
        <v>441</v>
      </c>
      <c r="C1719" s="1" t="s">
        <v>20346</v>
      </c>
      <c r="D1719" s="1" t="s">
        <v>20347</v>
      </c>
      <c r="E1719" s="1" t="s">
        <v>8309</v>
      </c>
      <c r="F1719" s="1" t="s">
        <v>236</v>
      </c>
      <c r="G1719" s="1" t="s">
        <v>20348</v>
      </c>
      <c r="H1719" s="1" t="s">
        <v>20349</v>
      </c>
      <c r="I1719" s="1" t="s">
        <v>20350</v>
      </c>
      <c r="J1719" s="1">
        <v>7058120047</v>
      </c>
      <c r="K1719" s="1" t="s">
        <v>148</v>
      </c>
      <c r="L1719" s="1" t="s">
        <v>578</v>
      </c>
      <c r="M1719" s="1" t="s">
        <v>81</v>
      </c>
      <c r="N1719" s="1" t="s">
        <v>20351</v>
      </c>
      <c r="O1719" s="1"/>
      <c r="P1719" s="1" t="s">
        <v>472</v>
      </c>
      <c r="Q1719" s="1" t="s">
        <v>20352</v>
      </c>
      <c r="R1719" s="1" t="s">
        <v>8309</v>
      </c>
      <c r="S1719" s="1">
        <v>9422020047</v>
      </c>
      <c r="T1719" s="1" t="s">
        <v>820</v>
      </c>
      <c r="U1719" s="1" t="s">
        <v>5032</v>
      </c>
      <c r="V1719" s="1">
        <v>9404030627</v>
      </c>
      <c r="W1719" s="1" t="s">
        <v>156</v>
      </c>
      <c r="X1719" s="1" t="s">
        <v>20353</v>
      </c>
      <c r="Y1719" s="1" t="s">
        <v>191</v>
      </c>
      <c r="Z1719" s="1" t="s">
        <v>92</v>
      </c>
      <c r="AA1719" s="1" t="s">
        <v>20353</v>
      </c>
      <c r="AB1719" s="1" t="s">
        <v>191</v>
      </c>
      <c r="AC1719" s="1" t="s">
        <v>92</v>
      </c>
      <c r="AD1719" s="1" t="s">
        <v>93</v>
      </c>
      <c r="AE1719" s="1" t="s">
        <v>93</v>
      </c>
      <c r="AF1719" s="1" t="s">
        <v>20354</v>
      </c>
      <c r="AG1719" s="1" t="s">
        <v>20355</v>
      </c>
      <c r="AH1719" s="1" t="s">
        <v>689</v>
      </c>
      <c r="AI1719" s="1" t="s">
        <v>481</v>
      </c>
      <c r="AJ1719" s="1">
        <v>95.8</v>
      </c>
      <c r="AK1719" s="1"/>
      <c r="AL1719" s="1" t="s">
        <v>20356</v>
      </c>
      <c r="AM1719" s="1" t="s">
        <v>20356</v>
      </c>
      <c r="AN1719" s="1" t="s">
        <v>537</v>
      </c>
      <c r="AO1719" s="1" t="s">
        <v>956</v>
      </c>
      <c r="AP1719" s="1">
        <v>75.85</v>
      </c>
      <c r="AQ1719" s="1"/>
      <c r="AR1719" s="1"/>
      <c r="AS1719" s="1"/>
      <c r="AT1719" s="1"/>
      <c r="AU1719" s="1"/>
      <c r="AV1719" s="1"/>
      <c r="AW1719" s="1"/>
      <c r="AX1719" s="1" t="s">
        <v>13517</v>
      </c>
      <c r="AY1719" s="1" t="s">
        <v>20357</v>
      </c>
      <c r="AZ1719" s="1" t="s">
        <v>363</v>
      </c>
      <c r="BA1719" s="1" t="s">
        <v>594</v>
      </c>
      <c r="BB1719" s="1">
        <v>65.9</v>
      </c>
      <c r="BC1719" s="1">
        <v>7.34</v>
      </c>
      <c r="BD1719" s="1"/>
      <c r="BE1719" s="1"/>
      <c r="BF1719" s="1"/>
      <c r="BG1719" s="1"/>
      <c r="BH1719" s="1"/>
      <c r="BI1719" s="1"/>
      <c r="BJ1719" s="1" t="s">
        <v>20358</v>
      </c>
      <c r="BK1719" s="1"/>
      <c r="BL1719" s="1"/>
      <c r="BM1719" s="1" t="s">
        <v>20359</v>
      </c>
      <c r="BN1719" s="1">
        <v>27</v>
      </c>
      <c r="BO1719" s="1"/>
      <c r="BP1719" s="1" t="str">
        <f>HYPERLINK("https://nconnect.nicmar.ac.in/storage/profile/ProfilePhoto_P25704012_517239.jpg","Download")</f>
        <v>0</v>
      </c>
      <c r="BQ1719" s="3"/>
      <c r="BR1719" s="3"/>
    </row>
    <row r="1720" spans="1:70">
      <c r="A1720" s="1" t="s">
        <v>17032</v>
      </c>
      <c r="B1720" s="1" t="s">
        <v>441</v>
      </c>
      <c r="C1720" s="1" t="s">
        <v>20360</v>
      </c>
      <c r="D1720" s="1" t="s">
        <v>13224</v>
      </c>
      <c r="E1720" s="1" t="s">
        <v>18445</v>
      </c>
      <c r="F1720" s="1" t="s">
        <v>12209</v>
      </c>
      <c r="G1720" s="1" t="s">
        <v>20361</v>
      </c>
      <c r="H1720" s="1" t="s">
        <v>20362</v>
      </c>
      <c r="I1720" s="1" t="s">
        <v>20363</v>
      </c>
      <c r="J1720" s="1">
        <v>8766998118</v>
      </c>
      <c r="K1720" s="1" t="s">
        <v>148</v>
      </c>
      <c r="L1720" s="1" t="s">
        <v>8130</v>
      </c>
      <c r="M1720" s="1" t="s">
        <v>81</v>
      </c>
      <c r="N1720" s="1" t="s">
        <v>5476</v>
      </c>
      <c r="O1720" s="1"/>
      <c r="P1720" s="1" t="s">
        <v>497</v>
      </c>
      <c r="Q1720" s="1" t="s">
        <v>20364</v>
      </c>
      <c r="R1720" s="1" t="s">
        <v>18445</v>
      </c>
      <c r="S1720" s="1">
        <v>9421351542</v>
      </c>
      <c r="T1720" s="1" t="s">
        <v>906</v>
      </c>
      <c r="U1720" s="1" t="s">
        <v>20365</v>
      </c>
      <c r="V1720" s="1">
        <v>9403290326</v>
      </c>
      <c r="W1720" s="1" t="s">
        <v>156</v>
      </c>
      <c r="X1720" s="1" t="s">
        <v>20366</v>
      </c>
      <c r="Y1720" s="1" t="s">
        <v>91</v>
      </c>
      <c r="Z1720" s="1" t="s">
        <v>92</v>
      </c>
      <c r="AA1720" s="1" t="s">
        <v>20366</v>
      </c>
      <c r="AB1720" s="1" t="s">
        <v>91</v>
      </c>
      <c r="AC1720" s="1" t="s">
        <v>92</v>
      </c>
      <c r="AD1720" s="1" t="s">
        <v>93</v>
      </c>
      <c r="AE1720" s="1" t="s">
        <v>93</v>
      </c>
      <c r="AF1720" s="1" t="s">
        <v>20367</v>
      </c>
      <c r="AG1720" s="1" t="s">
        <v>160</v>
      </c>
      <c r="AH1720" s="1" t="s">
        <v>165</v>
      </c>
      <c r="AI1720" s="1" t="s">
        <v>281</v>
      </c>
      <c r="AJ1720" s="1">
        <v>89.4</v>
      </c>
      <c r="AK1720" s="1"/>
      <c r="AL1720" s="1" t="s">
        <v>20368</v>
      </c>
      <c r="AM1720" s="1" t="s">
        <v>160</v>
      </c>
      <c r="AN1720" s="1" t="s">
        <v>433</v>
      </c>
      <c r="AO1720" s="1" t="s">
        <v>360</v>
      </c>
      <c r="AP1720" s="1">
        <v>59.23</v>
      </c>
      <c r="AQ1720" s="1"/>
      <c r="AR1720" s="1"/>
      <c r="AS1720" s="1"/>
      <c r="AT1720" s="1"/>
      <c r="AU1720" s="1"/>
      <c r="AV1720" s="1"/>
      <c r="AW1720" s="1"/>
      <c r="AX1720" s="1" t="s">
        <v>20369</v>
      </c>
      <c r="AY1720" s="1" t="s">
        <v>20370</v>
      </c>
      <c r="AZ1720" s="1" t="s">
        <v>460</v>
      </c>
      <c r="BA1720" s="1" t="s">
        <v>543</v>
      </c>
      <c r="BB1720" s="1">
        <v>72.5</v>
      </c>
      <c r="BC1720" s="1">
        <v>7.75</v>
      </c>
      <c r="BD1720" s="1"/>
      <c r="BE1720" s="1"/>
      <c r="BF1720" s="1"/>
      <c r="BG1720" s="1"/>
      <c r="BH1720" s="1"/>
      <c r="BI1720" s="1"/>
      <c r="BJ1720" s="1" t="s">
        <v>20371</v>
      </c>
      <c r="BK1720" s="1"/>
      <c r="BL1720" s="1"/>
      <c r="BM1720" s="1" t="s">
        <v>20372</v>
      </c>
      <c r="BN1720" s="1">
        <v>27</v>
      </c>
      <c r="BO1720" s="1" t="s">
        <v>830</v>
      </c>
      <c r="BP1720" s="1" t="str">
        <f>HYPERLINK("https://nconnect.nicmar.ac.in/storage/profile/ProfilePhoto_P25704014_271968.jpg","Download")</f>
        <v>0</v>
      </c>
      <c r="BQ1720" s="3"/>
      <c r="BR1720" s="3"/>
    </row>
    <row r="1721" spans="1:70">
      <c r="A1721" s="1" t="s">
        <v>17032</v>
      </c>
      <c r="B1721" s="1" t="s">
        <v>441</v>
      </c>
      <c r="C1721" s="1" t="s">
        <v>20373</v>
      </c>
      <c r="D1721" s="1" t="s">
        <v>18807</v>
      </c>
      <c r="E1721" s="1" t="s">
        <v>20374</v>
      </c>
      <c r="F1721" s="1" t="s">
        <v>20375</v>
      </c>
      <c r="G1721" s="1" t="s">
        <v>20376</v>
      </c>
      <c r="H1721" s="1" t="s">
        <v>20377</v>
      </c>
      <c r="I1721" s="1" t="s">
        <v>20378</v>
      </c>
      <c r="J1721" s="1">
        <v>9767870910</v>
      </c>
      <c r="K1721" s="1" t="s">
        <v>79</v>
      </c>
      <c r="L1721" s="1" t="s">
        <v>9831</v>
      </c>
      <c r="M1721" s="1" t="s">
        <v>81</v>
      </c>
      <c r="N1721" s="1" t="s">
        <v>605</v>
      </c>
      <c r="O1721" s="1"/>
      <c r="P1721" s="1" t="s">
        <v>472</v>
      </c>
      <c r="Q1721" s="1" t="s">
        <v>20379</v>
      </c>
      <c r="R1721" s="1" t="s">
        <v>20374</v>
      </c>
      <c r="S1721" s="1">
        <v>9371528152</v>
      </c>
      <c r="T1721" s="1" t="s">
        <v>154</v>
      </c>
      <c r="U1721" s="1" t="s">
        <v>2210</v>
      </c>
      <c r="V1721" s="1">
        <v>9922541564</v>
      </c>
      <c r="W1721" s="1" t="s">
        <v>156</v>
      </c>
      <c r="X1721" s="1" t="s">
        <v>20380</v>
      </c>
      <c r="Y1721" s="1" t="s">
        <v>890</v>
      </c>
      <c r="Z1721" s="1" t="s">
        <v>92</v>
      </c>
      <c r="AA1721" s="1" t="s">
        <v>20380</v>
      </c>
      <c r="AB1721" s="1" t="s">
        <v>890</v>
      </c>
      <c r="AC1721" s="1" t="s">
        <v>92</v>
      </c>
      <c r="AD1721" s="1" t="s">
        <v>93</v>
      </c>
      <c r="AE1721" s="1" t="s">
        <v>93</v>
      </c>
      <c r="AF1721" s="1" t="s">
        <v>20381</v>
      </c>
      <c r="AG1721" s="1" t="s">
        <v>3324</v>
      </c>
      <c r="AH1721" s="1" t="s">
        <v>689</v>
      </c>
      <c r="AI1721" s="1" t="s">
        <v>308</v>
      </c>
      <c r="AJ1721" s="1">
        <v>83.2</v>
      </c>
      <c r="AK1721" s="1"/>
      <c r="AL1721" s="1" t="s">
        <v>20382</v>
      </c>
      <c r="AM1721" s="1" t="s">
        <v>160</v>
      </c>
      <c r="AN1721" s="1" t="s">
        <v>310</v>
      </c>
      <c r="AO1721" s="1" t="s">
        <v>436</v>
      </c>
      <c r="AP1721" s="1">
        <v>88.5</v>
      </c>
      <c r="AQ1721" s="1"/>
      <c r="AR1721" s="1"/>
      <c r="AS1721" s="1"/>
      <c r="AT1721" s="1"/>
      <c r="AU1721" s="1"/>
      <c r="AV1721" s="1"/>
      <c r="AW1721" s="1"/>
      <c r="AX1721" s="1" t="s">
        <v>361</v>
      </c>
      <c r="AY1721" s="1" t="s">
        <v>20383</v>
      </c>
      <c r="AZ1721" s="1" t="s">
        <v>852</v>
      </c>
      <c r="BA1721" s="1" t="s">
        <v>829</v>
      </c>
      <c r="BB1721" s="1">
        <v>59</v>
      </c>
      <c r="BC1721" s="1">
        <v>6.65</v>
      </c>
      <c r="BD1721" s="1"/>
      <c r="BE1721" s="1"/>
      <c r="BF1721" s="1"/>
      <c r="BG1721" s="1"/>
      <c r="BH1721" s="1"/>
      <c r="BI1721" s="1"/>
      <c r="BJ1721" s="1" t="s">
        <v>20384</v>
      </c>
      <c r="BK1721" s="1"/>
      <c r="BL1721" s="1"/>
      <c r="BM1721" s="1" t="s">
        <v>20385</v>
      </c>
      <c r="BN1721" s="1">
        <v>14</v>
      </c>
      <c r="BO1721" s="1"/>
      <c r="BP1721" s="1" t="str">
        <f>HYPERLINK("https://nconnect.nicmar.ac.in/storage/profile/ProfilePhoto_P25704015_271856.jpg","Download")</f>
        <v>0</v>
      </c>
      <c r="BQ1721" s="3"/>
      <c r="BR1721" s="3"/>
    </row>
    <row r="1722" spans="1:70">
      <c r="A1722" s="1" t="s">
        <v>17032</v>
      </c>
      <c r="B1722" s="1" t="s">
        <v>441</v>
      </c>
      <c r="C1722" s="1" t="s">
        <v>20386</v>
      </c>
      <c r="D1722" s="1" t="s">
        <v>3060</v>
      </c>
      <c r="E1722" s="1" t="s">
        <v>4970</v>
      </c>
      <c r="F1722" s="1" t="s">
        <v>20387</v>
      </c>
      <c r="G1722" s="1" t="s">
        <v>20388</v>
      </c>
      <c r="H1722" s="1" t="s">
        <v>20389</v>
      </c>
      <c r="I1722" s="1" t="s">
        <v>20390</v>
      </c>
      <c r="J1722" s="1">
        <v>7447591122</v>
      </c>
      <c r="K1722" s="1" t="s">
        <v>148</v>
      </c>
      <c r="L1722" s="1" t="s">
        <v>20391</v>
      </c>
      <c r="M1722" s="1" t="s">
        <v>81</v>
      </c>
      <c r="N1722" s="1" t="s">
        <v>605</v>
      </c>
      <c r="O1722" s="1"/>
      <c r="P1722" s="1" t="s">
        <v>450</v>
      </c>
      <c r="Q1722" s="1" t="s">
        <v>20392</v>
      </c>
      <c r="R1722" s="1" t="s">
        <v>20393</v>
      </c>
      <c r="S1722" s="1">
        <v>9850309305</v>
      </c>
      <c r="T1722" s="1" t="s">
        <v>7701</v>
      </c>
      <c r="U1722" s="1" t="s">
        <v>20394</v>
      </c>
      <c r="V1722" s="1">
        <v>9623359586</v>
      </c>
      <c r="W1722" s="1" t="s">
        <v>156</v>
      </c>
      <c r="X1722" s="1" t="s">
        <v>20395</v>
      </c>
      <c r="Y1722" s="1" t="s">
        <v>191</v>
      </c>
      <c r="Z1722" s="1" t="s">
        <v>92</v>
      </c>
      <c r="AA1722" s="1" t="s">
        <v>20396</v>
      </c>
      <c r="AB1722" s="1" t="s">
        <v>379</v>
      </c>
      <c r="AC1722" s="1" t="s">
        <v>92</v>
      </c>
      <c r="AD1722" s="1" t="s">
        <v>93</v>
      </c>
      <c r="AE1722" s="1" t="s">
        <v>93</v>
      </c>
      <c r="AF1722" s="1" t="s">
        <v>20397</v>
      </c>
      <c r="AG1722" s="1" t="s">
        <v>20398</v>
      </c>
      <c r="AH1722" s="1" t="s">
        <v>161</v>
      </c>
      <c r="AI1722" s="1" t="s">
        <v>1089</v>
      </c>
      <c r="AJ1722" s="1">
        <v>89.8</v>
      </c>
      <c r="AK1722" s="1">
        <v>0</v>
      </c>
      <c r="AL1722" s="1" t="s">
        <v>20399</v>
      </c>
      <c r="AM1722" s="1" t="s">
        <v>20398</v>
      </c>
      <c r="AN1722" s="1" t="s">
        <v>162</v>
      </c>
      <c r="AO1722" s="1" t="s">
        <v>1455</v>
      </c>
      <c r="AP1722" s="1">
        <v>74.77</v>
      </c>
      <c r="AQ1722" s="1">
        <v>0</v>
      </c>
      <c r="AR1722" s="1"/>
      <c r="AS1722" s="1"/>
      <c r="AT1722" s="1"/>
      <c r="AU1722" s="1"/>
      <c r="AV1722" s="1"/>
      <c r="AW1722" s="1"/>
      <c r="AX1722" s="1" t="s">
        <v>361</v>
      </c>
      <c r="AY1722" s="1" t="s">
        <v>20400</v>
      </c>
      <c r="AZ1722" s="1" t="s">
        <v>1043</v>
      </c>
      <c r="BA1722" s="1" t="s">
        <v>174</v>
      </c>
      <c r="BB1722" s="1">
        <v>80.28</v>
      </c>
      <c r="BC1722" s="1">
        <v>9.01</v>
      </c>
      <c r="BD1722" s="1"/>
      <c r="BE1722" s="1"/>
      <c r="BF1722" s="1"/>
      <c r="BG1722" s="1"/>
      <c r="BH1722" s="1"/>
      <c r="BI1722" s="1"/>
      <c r="BJ1722" s="1" t="s">
        <v>20401</v>
      </c>
      <c r="BK1722" s="1" t="s">
        <v>20402</v>
      </c>
      <c r="BL1722" s="1" t="s">
        <v>1048</v>
      </c>
      <c r="BM1722" s="1" t="s">
        <v>20403</v>
      </c>
      <c r="BN1722" s="1">
        <v>35</v>
      </c>
      <c r="BO1722" s="1" t="s">
        <v>20404</v>
      </c>
      <c r="BP1722" s="1" t="str">
        <f>HYPERLINK("https://nconnect.nicmar.ac.in/storage/profile/ProfilePhoto_P25704016_615842.jpg","Download")</f>
        <v>0</v>
      </c>
      <c r="BQ1722" s="3"/>
      <c r="BR1722" s="3"/>
    </row>
    <row r="1723" spans="1:70">
      <c r="A1723" s="1" t="s">
        <v>17032</v>
      </c>
      <c r="B1723" s="1" t="s">
        <v>441</v>
      </c>
      <c r="C1723" s="1" t="s">
        <v>20405</v>
      </c>
      <c r="D1723" s="1" t="s">
        <v>6764</v>
      </c>
      <c r="E1723" s="1" t="s">
        <v>20406</v>
      </c>
      <c r="F1723" s="1" t="s">
        <v>20407</v>
      </c>
      <c r="G1723" s="1" t="s">
        <v>20408</v>
      </c>
      <c r="H1723" s="1" t="s">
        <v>20409</v>
      </c>
      <c r="I1723" s="1" t="s">
        <v>20410</v>
      </c>
      <c r="J1723" s="1">
        <v>6309077168</v>
      </c>
      <c r="K1723" s="1" t="s">
        <v>79</v>
      </c>
      <c r="L1723" s="1" t="s">
        <v>10111</v>
      </c>
      <c r="M1723" s="1" t="s">
        <v>81</v>
      </c>
      <c r="N1723" s="1" t="s">
        <v>20411</v>
      </c>
      <c r="O1723" s="1"/>
      <c r="P1723" s="1" t="s">
        <v>450</v>
      </c>
      <c r="Q1723" s="1" t="s">
        <v>20412</v>
      </c>
      <c r="R1723" s="1" t="s">
        <v>20413</v>
      </c>
      <c r="S1723" s="1">
        <v>9848420368</v>
      </c>
      <c r="T1723" s="1" t="s">
        <v>122</v>
      </c>
      <c r="U1723" s="1" t="s">
        <v>20414</v>
      </c>
      <c r="V1723" s="1">
        <v>9490809361</v>
      </c>
      <c r="W1723" s="1" t="s">
        <v>20415</v>
      </c>
      <c r="X1723" s="1" t="s">
        <v>20416</v>
      </c>
      <c r="Y1723" s="1" t="s">
        <v>13091</v>
      </c>
      <c r="Z1723" s="1" t="s">
        <v>276</v>
      </c>
      <c r="AA1723" s="1" t="s">
        <v>20416</v>
      </c>
      <c r="AB1723" s="1" t="s">
        <v>13091</v>
      </c>
      <c r="AC1723" s="1" t="s">
        <v>276</v>
      </c>
      <c r="AD1723" s="1" t="s">
        <v>93</v>
      </c>
      <c r="AE1723" s="1" t="s">
        <v>93</v>
      </c>
      <c r="AF1723" s="1" t="s">
        <v>20417</v>
      </c>
      <c r="AG1723" s="1" t="s">
        <v>9038</v>
      </c>
      <c r="AH1723" s="1" t="s">
        <v>101</v>
      </c>
      <c r="AI1723" s="1" t="s">
        <v>433</v>
      </c>
      <c r="AJ1723" s="1">
        <v>77.2</v>
      </c>
      <c r="AK1723" s="1"/>
      <c r="AL1723" s="1" t="s">
        <v>20417</v>
      </c>
      <c r="AM1723" s="1" t="s">
        <v>9038</v>
      </c>
      <c r="AN1723" s="1" t="s">
        <v>310</v>
      </c>
      <c r="AO1723" s="1" t="s">
        <v>828</v>
      </c>
      <c r="AP1723" s="1">
        <v>78</v>
      </c>
      <c r="AQ1723" s="1"/>
      <c r="AR1723" s="1"/>
      <c r="AS1723" s="1"/>
      <c r="AT1723" s="1"/>
      <c r="AU1723" s="1"/>
      <c r="AV1723" s="1"/>
      <c r="AW1723" s="1"/>
      <c r="AX1723" s="1" t="s">
        <v>20418</v>
      </c>
      <c r="AY1723" s="1" t="s">
        <v>20419</v>
      </c>
      <c r="AZ1723" s="1" t="s">
        <v>436</v>
      </c>
      <c r="BA1723" s="1" t="s">
        <v>543</v>
      </c>
      <c r="BB1723" s="1">
        <v>83.42</v>
      </c>
      <c r="BC1723" s="1">
        <v>8.84</v>
      </c>
      <c r="BD1723" s="1"/>
      <c r="BE1723" s="1"/>
      <c r="BF1723" s="1"/>
      <c r="BG1723" s="1"/>
      <c r="BH1723" s="1"/>
      <c r="BI1723" s="1"/>
      <c r="BJ1723" s="1" t="s">
        <v>20420</v>
      </c>
      <c r="BK1723" s="1"/>
      <c r="BL1723" s="1"/>
      <c r="BM1723" s="1" t="s">
        <v>20421</v>
      </c>
      <c r="BN1723" s="1">
        <v>12</v>
      </c>
      <c r="BO1723" s="1" t="s">
        <v>20422</v>
      </c>
      <c r="BP1723" s="1" t="str">
        <f>HYPERLINK("https://nconnect.nicmar.ac.in/storage/profile/ProfilePhoto_P25704017_891326.jpg","Download")</f>
        <v>0</v>
      </c>
      <c r="BQ1723" s="3"/>
      <c r="BR1723" s="3"/>
    </row>
    <row r="1724" spans="1:70">
      <c r="A1724" s="1" t="s">
        <v>17032</v>
      </c>
      <c r="B1724" s="1" t="s">
        <v>441</v>
      </c>
      <c r="C1724" s="1" t="s">
        <v>20423</v>
      </c>
      <c r="D1724" s="1" t="s">
        <v>20424</v>
      </c>
      <c r="E1724" s="1" t="s">
        <v>20425</v>
      </c>
      <c r="F1724" s="1" t="s">
        <v>112</v>
      </c>
      <c r="G1724" s="1" t="s">
        <v>20426</v>
      </c>
      <c r="H1724" s="1" t="s">
        <v>20427</v>
      </c>
      <c r="I1724" s="1" t="s">
        <v>20428</v>
      </c>
      <c r="J1724" s="1">
        <v>9446826334</v>
      </c>
      <c r="K1724" s="1" t="s">
        <v>148</v>
      </c>
      <c r="L1724" s="1" t="s">
        <v>11619</v>
      </c>
      <c r="M1724" s="1" t="s">
        <v>81</v>
      </c>
      <c r="N1724" s="1" t="s">
        <v>5198</v>
      </c>
      <c r="O1724" s="1"/>
      <c r="P1724" s="1" t="s">
        <v>497</v>
      </c>
      <c r="Q1724" s="1" t="s">
        <v>20429</v>
      </c>
      <c r="R1724" s="1" t="s">
        <v>20425</v>
      </c>
      <c r="S1724" s="1">
        <v>9447040302</v>
      </c>
      <c r="T1724" s="1" t="s">
        <v>120</v>
      </c>
      <c r="U1724" s="1" t="s">
        <v>3255</v>
      </c>
      <c r="V1724" s="1">
        <v>9447428660</v>
      </c>
      <c r="W1724" s="1" t="s">
        <v>20430</v>
      </c>
      <c r="X1724" s="1" t="s">
        <v>20431</v>
      </c>
      <c r="Y1724" s="1" t="s">
        <v>3209</v>
      </c>
      <c r="Z1724" s="1" t="s">
        <v>125</v>
      </c>
      <c r="AA1724" s="1" t="s">
        <v>20431</v>
      </c>
      <c r="AB1724" s="1" t="s">
        <v>3209</v>
      </c>
      <c r="AC1724" s="1" t="s">
        <v>125</v>
      </c>
      <c r="AD1724" s="1" t="s">
        <v>93</v>
      </c>
      <c r="AE1724" s="1" t="s">
        <v>93</v>
      </c>
      <c r="AF1724" s="1" t="s">
        <v>3323</v>
      </c>
      <c r="AG1724" s="1" t="s">
        <v>20432</v>
      </c>
      <c r="AH1724" s="1" t="s">
        <v>101</v>
      </c>
      <c r="AI1724" s="1" t="s">
        <v>308</v>
      </c>
      <c r="AJ1724" s="1">
        <v>95.3</v>
      </c>
      <c r="AK1724" s="1"/>
      <c r="AL1724" s="1" t="s">
        <v>20433</v>
      </c>
      <c r="AM1724" s="1" t="s">
        <v>20434</v>
      </c>
      <c r="AN1724" s="1" t="s">
        <v>412</v>
      </c>
      <c r="AO1724" s="1" t="s">
        <v>826</v>
      </c>
      <c r="AP1724" s="1">
        <v>91</v>
      </c>
      <c r="AQ1724" s="1"/>
      <c r="AR1724" s="1"/>
      <c r="AS1724" s="1"/>
      <c r="AT1724" s="1"/>
      <c r="AU1724" s="1"/>
      <c r="AV1724" s="1"/>
      <c r="AW1724" s="1"/>
      <c r="AX1724" s="1" t="s">
        <v>2369</v>
      </c>
      <c r="AY1724" s="1" t="s">
        <v>20435</v>
      </c>
      <c r="AZ1724" s="1" t="s">
        <v>135</v>
      </c>
      <c r="BA1724" s="1" t="s">
        <v>594</v>
      </c>
      <c r="BB1724" s="1">
        <v>84.4</v>
      </c>
      <c r="BC1724" s="1">
        <v>8.48</v>
      </c>
      <c r="BD1724" s="1"/>
      <c r="BE1724" s="1"/>
      <c r="BF1724" s="1"/>
      <c r="BG1724" s="1"/>
      <c r="BH1724" s="1"/>
      <c r="BI1724" s="1"/>
      <c r="BJ1724" s="1" t="s">
        <v>20436</v>
      </c>
      <c r="BK1724" s="1"/>
      <c r="BL1724" s="1"/>
      <c r="BM1724" s="1" t="s">
        <v>20437</v>
      </c>
      <c r="BN1724" s="1">
        <v>24</v>
      </c>
      <c r="BO1724" s="1"/>
      <c r="BP1724" s="1" t="str">
        <f>HYPERLINK("https://nconnect.nicmar.ac.in/storage/profile/ProfilePhoto_P25704018_982543.jpg","Download")</f>
        <v>0</v>
      </c>
      <c r="BQ1724" s="3"/>
      <c r="BR1724" s="3"/>
    </row>
    <row r="1725" spans="1:70">
      <c r="A1725" s="1" t="s">
        <v>17032</v>
      </c>
      <c r="B1725" s="1" t="s">
        <v>441</v>
      </c>
      <c r="C1725" s="1" t="s">
        <v>20438</v>
      </c>
      <c r="D1725" s="1" t="s">
        <v>17752</v>
      </c>
      <c r="E1725" s="1" t="s">
        <v>392</v>
      </c>
      <c r="F1725" s="1" t="s">
        <v>20439</v>
      </c>
      <c r="G1725" s="1" t="s">
        <v>20440</v>
      </c>
      <c r="H1725" s="1" t="s">
        <v>20441</v>
      </c>
      <c r="I1725" s="1" t="s">
        <v>20442</v>
      </c>
      <c r="J1725" s="1">
        <v>8459862239</v>
      </c>
      <c r="K1725" s="1" t="s">
        <v>79</v>
      </c>
      <c r="L1725" s="1" t="s">
        <v>11527</v>
      </c>
      <c r="M1725" s="1" t="s">
        <v>81</v>
      </c>
      <c r="N1725" s="1" t="s">
        <v>3083</v>
      </c>
      <c r="O1725" s="1"/>
      <c r="P1725" s="1" t="s">
        <v>1007</v>
      </c>
      <c r="Q1725" s="1" t="s">
        <v>20443</v>
      </c>
      <c r="R1725" s="1" t="s">
        <v>392</v>
      </c>
      <c r="S1725" s="1">
        <v>9763180181</v>
      </c>
      <c r="T1725" s="1" t="s">
        <v>6725</v>
      </c>
      <c r="U1725" s="1" t="s">
        <v>20444</v>
      </c>
      <c r="V1725" s="1">
        <v>9921891029</v>
      </c>
      <c r="W1725" s="1" t="s">
        <v>156</v>
      </c>
      <c r="X1725" s="1" t="s">
        <v>20445</v>
      </c>
      <c r="Y1725" s="1" t="s">
        <v>191</v>
      </c>
      <c r="Z1725" s="1" t="s">
        <v>92</v>
      </c>
      <c r="AA1725" s="1" t="s">
        <v>20445</v>
      </c>
      <c r="AB1725" s="1" t="s">
        <v>191</v>
      </c>
      <c r="AC1725" s="1" t="s">
        <v>92</v>
      </c>
      <c r="AD1725" s="1" t="s">
        <v>93</v>
      </c>
      <c r="AE1725" s="1" t="s">
        <v>93</v>
      </c>
      <c r="AF1725" s="1" t="s">
        <v>20446</v>
      </c>
      <c r="AG1725" s="1" t="s">
        <v>20447</v>
      </c>
      <c r="AH1725" s="1" t="s">
        <v>7319</v>
      </c>
      <c r="AI1725" s="1" t="s">
        <v>281</v>
      </c>
      <c r="AJ1725" s="1">
        <v>86.6</v>
      </c>
      <c r="AK1725" s="1"/>
      <c r="AL1725" s="1" t="s">
        <v>20448</v>
      </c>
      <c r="AM1725" s="1" t="s">
        <v>20447</v>
      </c>
      <c r="AN1725" s="1" t="s">
        <v>1043</v>
      </c>
      <c r="AO1725" s="1" t="s">
        <v>360</v>
      </c>
      <c r="AP1725" s="1">
        <v>70.15</v>
      </c>
      <c r="AQ1725" s="1"/>
      <c r="AR1725" s="1"/>
      <c r="AS1725" s="1"/>
      <c r="AT1725" s="1"/>
      <c r="AU1725" s="1"/>
      <c r="AV1725" s="1"/>
      <c r="AW1725" s="1"/>
      <c r="AX1725" s="1" t="s">
        <v>361</v>
      </c>
      <c r="AY1725" s="1" t="s">
        <v>20449</v>
      </c>
      <c r="AZ1725" s="1" t="s">
        <v>1019</v>
      </c>
      <c r="BA1725" s="1" t="s">
        <v>829</v>
      </c>
      <c r="BB1725" s="1">
        <v>62.92</v>
      </c>
      <c r="BC1725" s="1">
        <v>7.07</v>
      </c>
      <c r="BD1725" s="1"/>
      <c r="BE1725" s="1"/>
      <c r="BF1725" s="1"/>
      <c r="BG1725" s="1"/>
      <c r="BH1725" s="1"/>
      <c r="BI1725" s="1"/>
      <c r="BJ1725" s="1" t="s">
        <v>20450</v>
      </c>
      <c r="BK1725" s="1"/>
      <c r="BL1725" s="1"/>
      <c r="BM1725" s="1" t="s">
        <v>20451</v>
      </c>
      <c r="BN1725" s="1">
        <v>32</v>
      </c>
      <c r="BO1725" s="1"/>
      <c r="BP1725" s="1" t="str">
        <f>HYPERLINK("https://nconnect.nicmar.ac.in/storage/profile/ProfilePhoto_P25704019_593674.jpg","Download")</f>
        <v>0</v>
      </c>
      <c r="BQ1725" s="3"/>
      <c r="BR1725" s="3"/>
    </row>
    <row r="1726" spans="1:70">
      <c r="A1726" s="1" t="s">
        <v>17032</v>
      </c>
      <c r="B1726" s="1" t="s">
        <v>441</v>
      </c>
      <c r="C1726" s="1" t="s">
        <v>20452</v>
      </c>
      <c r="D1726" s="1" t="s">
        <v>8382</v>
      </c>
      <c r="E1726" s="1" t="s">
        <v>20453</v>
      </c>
      <c r="F1726" s="1" t="s">
        <v>8092</v>
      </c>
      <c r="G1726" s="1" t="s">
        <v>20454</v>
      </c>
      <c r="H1726" s="1" t="s">
        <v>20455</v>
      </c>
      <c r="I1726" s="1" t="s">
        <v>20456</v>
      </c>
      <c r="J1726" s="1">
        <v>7385920021</v>
      </c>
      <c r="K1726" s="1" t="s">
        <v>79</v>
      </c>
      <c r="L1726" s="1" t="s">
        <v>20457</v>
      </c>
      <c r="M1726" s="1" t="s">
        <v>81</v>
      </c>
      <c r="N1726" s="1" t="s">
        <v>605</v>
      </c>
      <c r="O1726" s="1"/>
      <c r="P1726" s="1" t="s">
        <v>472</v>
      </c>
      <c r="Q1726" s="1" t="s">
        <v>20458</v>
      </c>
      <c r="R1726" s="1" t="s">
        <v>20459</v>
      </c>
      <c r="S1726" s="1">
        <v>9096420350</v>
      </c>
      <c r="T1726" s="1" t="s">
        <v>820</v>
      </c>
      <c r="U1726" s="1" t="s">
        <v>20460</v>
      </c>
      <c r="V1726" s="1">
        <v>7709782974</v>
      </c>
      <c r="W1726" s="1" t="s">
        <v>2344</v>
      </c>
      <c r="X1726" s="1" t="s">
        <v>20461</v>
      </c>
      <c r="Y1726" s="1" t="s">
        <v>1012</v>
      </c>
      <c r="Z1726" s="1" t="s">
        <v>92</v>
      </c>
      <c r="AA1726" s="1" t="s">
        <v>20461</v>
      </c>
      <c r="AB1726" s="1" t="s">
        <v>1012</v>
      </c>
      <c r="AC1726" s="1" t="s">
        <v>92</v>
      </c>
      <c r="AD1726" s="1" t="s">
        <v>93</v>
      </c>
      <c r="AE1726" s="1" t="s">
        <v>93</v>
      </c>
      <c r="AF1726" s="1" t="s">
        <v>20462</v>
      </c>
      <c r="AG1726" s="1" t="s">
        <v>160</v>
      </c>
      <c r="AH1726" s="1" t="s">
        <v>165</v>
      </c>
      <c r="AI1726" s="1" t="s">
        <v>101</v>
      </c>
      <c r="AJ1726" s="1">
        <v>60.4</v>
      </c>
      <c r="AK1726" s="1"/>
      <c r="AL1726" s="1" t="s">
        <v>20462</v>
      </c>
      <c r="AM1726" s="1" t="s">
        <v>160</v>
      </c>
      <c r="AN1726" s="1" t="s">
        <v>433</v>
      </c>
      <c r="AO1726" s="1" t="s">
        <v>360</v>
      </c>
      <c r="AP1726" s="1">
        <v>56</v>
      </c>
      <c r="AQ1726" s="1"/>
      <c r="AR1726" s="1"/>
      <c r="AS1726" s="1"/>
      <c r="AT1726" s="1"/>
      <c r="AU1726" s="1"/>
      <c r="AV1726" s="1"/>
      <c r="AW1726" s="1"/>
      <c r="AX1726" s="1" t="s">
        <v>8303</v>
      </c>
      <c r="AY1726" s="1" t="s">
        <v>8304</v>
      </c>
      <c r="AZ1726" s="1" t="s">
        <v>871</v>
      </c>
      <c r="BA1726" s="1" t="s">
        <v>1067</v>
      </c>
      <c r="BB1726" s="1">
        <v>69</v>
      </c>
      <c r="BC1726" s="1">
        <v>7.4</v>
      </c>
      <c r="BD1726" s="1"/>
      <c r="BE1726" s="1"/>
      <c r="BF1726" s="1"/>
      <c r="BG1726" s="1"/>
      <c r="BH1726" s="1"/>
      <c r="BI1726" s="1"/>
      <c r="BJ1726" s="1" t="s">
        <v>20463</v>
      </c>
      <c r="BK1726" s="1"/>
      <c r="BL1726" s="1"/>
      <c r="BM1726" s="1" t="s">
        <v>20464</v>
      </c>
      <c r="BN1726" s="1">
        <v>8</v>
      </c>
      <c r="BO1726" s="1" t="s">
        <v>20465</v>
      </c>
      <c r="BP1726" s="1" t="str">
        <f>HYPERLINK("https://nconnect.nicmar.ac.in/storage/profile/ProfilePhoto_P25704020_278361.jpg","Download")</f>
        <v>0</v>
      </c>
      <c r="BQ1726" s="3"/>
      <c r="BR1726" s="3"/>
    </row>
    <row r="1727" spans="1:70">
      <c r="A1727" s="1" t="s">
        <v>17032</v>
      </c>
      <c r="B1727" s="1" t="s">
        <v>441</v>
      </c>
      <c r="C1727" s="1" t="s">
        <v>20466</v>
      </c>
      <c r="D1727" s="1" t="s">
        <v>5061</v>
      </c>
      <c r="E1727" s="1" t="s">
        <v>181</v>
      </c>
      <c r="F1727" s="1" t="s">
        <v>20467</v>
      </c>
      <c r="G1727" s="1" t="s">
        <v>20468</v>
      </c>
      <c r="H1727" s="1" t="s">
        <v>20469</v>
      </c>
      <c r="I1727" s="1" t="s">
        <v>20470</v>
      </c>
      <c r="J1727" s="1">
        <v>7558449363</v>
      </c>
      <c r="K1727" s="1" t="s">
        <v>79</v>
      </c>
      <c r="L1727" s="1" t="s">
        <v>20471</v>
      </c>
      <c r="M1727" s="1" t="s">
        <v>81</v>
      </c>
      <c r="N1727" s="1" t="s">
        <v>605</v>
      </c>
      <c r="O1727" s="1"/>
      <c r="P1727" s="1" t="s">
        <v>472</v>
      </c>
      <c r="Q1727" s="1" t="s">
        <v>20472</v>
      </c>
      <c r="R1727" s="1" t="s">
        <v>20473</v>
      </c>
      <c r="S1727" s="1">
        <v>9922420665</v>
      </c>
      <c r="T1727" s="1" t="s">
        <v>2405</v>
      </c>
      <c r="U1727" s="1" t="s">
        <v>20474</v>
      </c>
      <c r="V1727" s="1">
        <v>9763078203</v>
      </c>
      <c r="W1727" s="1" t="s">
        <v>156</v>
      </c>
      <c r="X1727" s="1" t="s">
        <v>20475</v>
      </c>
      <c r="Y1727" s="1" t="s">
        <v>191</v>
      </c>
      <c r="Z1727" s="1" t="s">
        <v>92</v>
      </c>
      <c r="AA1727" s="1" t="s">
        <v>20475</v>
      </c>
      <c r="AB1727" s="1" t="s">
        <v>191</v>
      </c>
      <c r="AC1727" s="1" t="s">
        <v>92</v>
      </c>
      <c r="AD1727" s="1" t="s">
        <v>93</v>
      </c>
      <c r="AE1727" s="1" t="s">
        <v>93</v>
      </c>
      <c r="AF1727" s="1" t="s">
        <v>20476</v>
      </c>
      <c r="AG1727" s="1" t="s">
        <v>11941</v>
      </c>
      <c r="AH1727" s="1" t="s">
        <v>165</v>
      </c>
      <c r="AI1727" s="1" t="s">
        <v>281</v>
      </c>
      <c r="AJ1727" s="1">
        <v>85.6</v>
      </c>
      <c r="AK1727" s="1"/>
      <c r="AL1727" s="1" t="s">
        <v>20477</v>
      </c>
      <c r="AM1727" s="1" t="s">
        <v>11941</v>
      </c>
      <c r="AN1727" s="1" t="s">
        <v>433</v>
      </c>
      <c r="AO1727" s="1" t="s">
        <v>360</v>
      </c>
      <c r="AP1727" s="1">
        <v>73.38</v>
      </c>
      <c r="AQ1727" s="1"/>
      <c r="AR1727" s="1"/>
      <c r="AS1727" s="1"/>
      <c r="AT1727" s="1"/>
      <c r="AU1727" s="1"/>
      <c r="AV1727" s="1"/>
      <c r="AW1727" s="1"/>
      <c r="AX1727" s="1" t="s">
        <v>20478</v>
      </c>
      <c r="AY1727" s="1" t="s">
        <v>20479</v>
      </c>
      <c r="AZ1727" s="1" t="s">
        <v>460</v>
      </c>
      <c r="BA1727" s="1" t="s">
        <v>829</v>
      </c>
      <c r="BB1727" s="1">
        <v>66.1</v>
      </c>
      <c r="BC1727" s="1">
        <v>7.36</v>
      </c>
      <c r="BD1727" s="1"/>
      <c r="BE1727" s="1"/>
      <c r="BF1727" s="1"/>
      <c r="BG1727" s="1"/>
      <c r="BH1727" s="1"/>
      <c r="BI1727" s="1"/>
      <c r="BJ1727" s="1" t="s">
        <v>20480</v>
      </c>
      <c r="BK1727" s="1"/>
      <c r="BL1727" s="1"/>
      <c r="BM1727" s="1" t="s">
        <v>20481</v>
      </c>
      <c r="BN1727" s="1">
        <v>26</v>
      </c>
      <c r="BO1727" s="1" t="s">
        <v>20482</v>
      </c>
      <c r="BP1727" s="1" t="str">
        <f>HYPERLINK("https://nconnect.nicmar.ac.in/storage/profile/ProfilePhoto_P25704021_426987.jpg","Download")</f>
        <v>0</v>
      </c>
      <c r="BQ1727" s="3"/>
      <c r="BR1727" s="3"/>
    </row>
    <row r="1728" spans="1:70">
      <c r="A1728" s="1" t="s">
        <v>17032</v>
      </c>
      <c r="B1728" s="1" t="s">
        <v>441</v>
      </c>
      <c r="C1728" s="1" t="s">
        <v>20483</v>
      </c>
      <c r="D1728" s="1" t="s">
        <v>20484</v>
      </c>
      <c r="E1728" s="1"/>
      <c r="F1728" s="1" t="s">
        <v>20485</v>
      </c>
      <c r="G1728" s="1" t="s">
        <v>20486</v>
      </c>
      <c r="H1728" s="1" t="s">
        <v>20487</v>
      </c>
      <c r="I1728" s="1" t="s">
        <v>20488</v>
      </c>
      <c r="J1728" s="1">
        <v>8249358297</v>
      </c>
      <c r="K1728" s="1" t="s">
        <v>79</v>
      </c>
      <c r="L1728" s="1" t="s">
        <v>20489</v>
      </c>
      <c r="M1728" s="1" t="s">
        <v>81</v>
      </c>
      <c r="N1728" s="1" t="s">
        <v>13209</v>
      </c>
      <c r="O1728" s="1"/>
      <c r="P1728" s="1" t="s">
        <v>450</v>
      </c>
      <c r="Q1728" s="1" t="s">
        <v>20490</v>
      </c>
      <c r="R1728" s="1" t="s">
        <v>20491</v>
      </c>
      <c r="S1728" s="1">
        <v>7008067559</v>
      </c>
      <c r="T1728" s="1" t="s">
        <v>5510</v>
      </c>
      <c r="U1728" s="1" t="s">
        <v>20492</v>
      </c>
      <c r="V1728" s="1">
        <v>8144939202</v>
      </c>
      <c r="W1728" s="1" t="s">
        <v>89</v>
      </c>
      <c r="X1728" s="1" t="s">
        <v>20493</v>
      </c>
      <c r="Y1728" s="1" t="s">
        <v>20494</v>
      </c>
      <c r="Z1728" s="1" t="s">
        <v>846</v>
      </c>
      <c r="AA1728" s="1" t="s">
        <v>20495</v>
      </c>
      <c r="AB1728" s="1" t="s">
        <v>20496</v>
      </c>
      <c r="AC1728" s="1" t="s">
        <v>846</v>
      </c>
      <c r="AD1728" s="1" t="s">
        <v>93</v>
      </c>
      <c r="AE1728" s="1" t="s">
        <v>93</v>
      </c>
      <c r="AF1728" s="1" t="s">
        <v>20497</v>
      </c>
      <c r="AG1728" s="1" t="s">
        <v>18102</v>
      </c>
      <c r="AH1728" s="1" t="s">
        <v>3303</v>
      </c>
      <c r="AI1728" s="1" t="s">
        <v>128</v>
      </c>
      <c r="AJ1728" s="1">
        <v>62</v>
      </c>
      <c r="AK1728" s="1"/>
      <c r="AL1728" s="1" t="s">
        <v>20498</v>
      </c>
      <c r="AM1728" s="1" t="s">
        <v>20499</v>
      </c>
      <c r="AN1728" s="1" t="s">
        <v>128</v>
      </c>
      <c r="AO1728" s="1" t="s">
        <v>1239</v>
      </c>
      <c r="AP1728" s="1">
        <v>59</v>
      </c>
      <c r="AQ1728" s="1"/>
      <c r="AR1728" s="1"/>
      <c r="AS1728" s="1"/>
      <c r="AT1728" s="1"/>
      <c r="AU1728" s="1"/>
      <c r="AV1728" s="1"/>
      <c r="AW1728" s="1"/>
      <c r="AX1728" s="1" t="s">
        <v>20500</v>
      </c>
      <c r="AY1728" s="1" t="s">
        <v>20501</v>
      </c>
      <c r="AZ1728" s="1" t="s">
        <v>130</v>
      </c>
      <c r="BA1728" s="1" t="s">
        <v>1043</v>
      </c>
      <c r="BB1728" s="1">
        <v>66.9</v>
      </c>
      <c r="BC1728" s="1">
        <v>7.2</v>
      </c>
      <c r="BD1728" s="1"/>
      <c r="BE1728" s="1"/>
      <c r="BF1728" s="1"/>
      <c r="BG1728" s="1"/>
      <c r="BH1728" s="1"/>
      <c r="BI1728" s="1"/>
      <c r="BJ1728" s="1" t="s">
        <v>255</v>
      </c>
      <c r="BK1728" s="1" t="s">
        <v>20502</v>
      </c>
      <c r="BL1728" s="1" t="s">
        <v>20503</v>
      </c>
      <c r="BM1728" s="1" t="s">
        <v>20504</v>
      </c>
      <c r="BN1728" s="1">
        <v>9</v>
      </c>
      <c r="BO1728" s="1"/>
      <c r="BP1728" s="1" t="str">
        <f>HYPERLINK("https://nconnect.nicmar.ac.in/storage/profile/ProfilePhoto_P25704022_561872.jpg","Download")</f>
        <v>0</v>
      </c>
      <c r="BQ1728" s="3"/>
      <c r="BR1728" s="3"/>
    </row>
    <row r="1729" spans="1:70">
      <c r="A1729" s="1" t="s">
        <v>17032</v>
      </c>
      <c r="B1729" s="1" t="s">
        <v>441</v>
      </c>
      <c r="C1729" s="1" t="s">
        <v>20505</v>
      </c>
      <c r="D1729" s="1" t="s">
        <v>20506</v>
      </c>
      <c r="E1729" s="1" t="s">
        <v>5077</v>
      </c>
      <c r="F1729" s="1" t="s">
        <v>20507</v>
      </c>
      <c r="G1729" s="1" t="s">
        <v>20508</v>
      </c>
      <c r="H1729" s="1" t="s">
        <v>20509</v>
      </c>
      <c r="I1729" s="1" t="s">
        <v>20510</v>
      </c>
      <c r="J1729" s="1">
        <v>7776034424</v>
      </c>
      <c r="K1729" s="1" t="s">
        <v>148</v>
      </c>
      <c r="L1729" s="1" t="s">
        <v>15486</v>
      </c>
      <c r="M1729" s="1" t="s">
        <v>150</v>
      </c>
      <c r="N1729" s="1" t="s">
        <v>605</v>
      </c>
      <c r="O1729" s="1"/>
      <c r="P1729" s="1" t="s">
        <v>450</v>
      </c>
      <c r="Q1729" s="1" t="s">
        <v>20511</v>
      </c>
      <c r="R1729" s="1" t="s">
        <v>20512</v>
      </c>
      <c r="S1729" s="1">
        <v>9823048680</v>
      </c>
      <c r="T1729" s="1" t="s">
        <v>20513</v>
      </c>
      <c r="U1729" s="1" t="s">
        <v>20514</v>
      </c>
      <c r="V1729" s="1">
        <v>7744094569</v>
      </c>
      <c r="W1729" s="1" t="s">
        <v>273</v>
      </c>
      <c r="X1729" s="1" t="s">
        <v>20515</v>
      </c>
      <c r="Y1729" s="1" t="s">
        <v>191</v>
      </c>
      <c r="Z1729" s="1" t="s">
        <v>92</v>
      </c>
      <c r="AA1729" s="1" t="s">
        <v>20516</v>
      </c>
      <c r="AB1729" s="1" t="s">
        <v>91</v>
      </c>
      <c r="AC1729" s="1" t="s">
        <v>92</v>
      </c>
      <c r="AD1729" s="1" t="s">
        <v>93</v>
      </c>
      <c r="AE1729" s="1" t="s">
        <v>93</v>
      </c>
      <c r="AF1729" s="1" t="s">
        <v>20517</v>
      </c>
      <c r="AG1729" s="1" t="s">
        <v>11170</v>
      </c>
      <c r="AH1729" s="1" t="s">
        <v>128</v>
      </c>
      <c r="AI1729" s="1" t="s">
        <v>562</v>
      </c>
      <c r="AJ1729" s="1">
        <v>63.4</v>
      </c>
      <c r="AK1729" s="1"/>
      <c r="AL1729" s="1" t="s">
        <v>20518</v>
      </c>
      <c r="AM1729" s="1" t="s">
        <v>20519</v>
      </c>
      <c r="AN1729" s="1" t="s">
        <v>225</v>
      </c>
      <c r="AO1729" s="1" t="s">
        <v>308</v>
      </c>
      <c r="AP1729" s="1">
        <v>71.23</v>
      </c>
      <c r="AQ1729" s="1"/>
      <c r="AR1729" s="1"/>
      <c r="AS1729" s="1"/>
      <c r="AT1729" s="1"/>
      <c r="AU1729" s="1"/>
      <c r="AV1729" s="1"/>
      <c r="AW1729" s="1"/>
      <c r="AX1729" s="1" t="s">
        <v>20520</v>
      </c>
      <c r="AY1729" s="1" t="s">
        <v>20521</v>
      </c>
      <c r="AZ1729" s="1" t="s">
        <v>201</v>
      </c>
      <c r="BA1729" s="1" t="s">
        <v>413</v>
      </c>
      <c r="BB1729" s="1">
        <v>73.1</v>
      </c>
      <c r="BC1729" s="1">
        <v>7.81</v>
      </c>
      <c r="BD1729" s="1"/>
      <c r="BE1729" s="1"/>
      <c r="BF1729" s="1"/>
      <c r="BG1729" s="1"/>
      <c r="BH1729" s="1"/>
      <c r="BI1729" s="1"/>
      <c r="BJ1729" s="1" t="s">
        <v>20522</v>
      </c>
      <c r="BK1729" s="1" t="s">
        <v>20523</v>
      </c>
      <c r="BL1729" s="1" t="s">
        <v>645</v>
      </c>
      <c r="BM1729" s="1" t="s">
        <v>20524</v>
      </c>
      <c r="BN1729" s="1">
        <v>28</v>
      </c>
      <c r="BO1729" s="1" t="s">
        <v>20525</v>
      </c>
      <c r="BP1729" s="1" t="str">
        <f>HYPERLINK("https://nconnect.nicmar.ac.in/storage/profile/ProfilePhoto_P25704023_534962.jpg","Download")</f>
        <v>0</v>
      </c>
      <c r="BQ1729" s="3"/>
      <c r="BR1729" s="3"/>
    </row>
    <row r="1730" spans="1:70">
      <c r="A1730" s="1" t="s">
        <v>17032</v>
      </c>
      <c r="B1730" s="1" t="s">
        <v>441</v>
      </c>
      <c r="C1730" s="1" t="s">
        <v>20526</v>
      </c>
      <c r="D1730" s="1" t="s">
        <v>4770</v>
      </c>
      <c r="E1730" s="1" t="s">
        <v>8143</v>
      </c>
      <c r="F1730" s="1" t="s">
        <v>7801</v>
      </c>
      <c r="G1730" s="1" t="s">
        <v>20527</v>
      </c>
      <c r="H1730" s="1" t="s">
        <v>20528</v>
      </c>
      <c r="I1730" s="1" t="s">
        <v>20529</v>
      </c>
      <c r="J1730" s="1">
        <v>8668546058</v>
      </c>
      <c r="K1730" s="1" t="s">
        <v>148</v>
      </c>
      <c r="L1730" s="1" t="s">
        <v>18432</v>
      </c>
      <c r="M1730" s="1" t="s">
        <v>81</v>
      </c>
      <c r="N1730" s="1" t="s">
        <v>20530</v>
      </c>
      <c r="O1730" s="1"/>
      <c r="P1730" s="1" t="s">
        <v>450</v>
      </c>
      <c r="Q1730" s="1" t="s">
        <v>20531</v>
      </c>
      <c r="R1730" s="1" t="s">
        <v>8143</v>
      </c>
      <c r="S1730" s="1">
        <v>9370088881</v>
      </c>
      <c r="T1730" s="1" t="s">
        <v>5274</v>
      </c>
      <c r="U1730" s="1" t="s">
        <v>6089</v>
      </c>
      <c r="V1730" s="1">
        <v>9370238072</v>
      </c>
      <c r="W1730" s="1" t="s">
        <v>273</v>
      </c>
      <c r="X1730" s="1" t="s">
        <v>20532</v>
      </c>
      <c r="Y1730" s="1" t="s">
        <v>405</v>
      </c>
      <c r="Z1730" s="1" t="s">
        <v>92</v>
      </c>
      <c r="AA1730" s="1" t="s">
        <v>20532</v>
      </c>
      <c r="AB1730" s="1" t="s">
        <v>405</v>
      </c>
      <c r="AC1730" s="1" t="s">
        <v>92</v>
      </c>
      <c r="AD1730" s="1" t="s">
        <v>93</v>
      </c>
      <c r="AE1730" s="1" t="s">
        <v>93</v>
      </c>
      <c r="AF1730" s="1" t="s">
        <v>20533</v>
      </c>
      <c r="AG1730" s="1" t="s">
        <v>307</v>
      </c>
      <c r="AH1730" s="1" t="s">
        <v>162</v>
      </c>
      <c r="AI1730" s="1" t="s">
        <v>195</v>
      </c>
      <c r="AJ1730" s="1">
        <v>85.5</v>
      </c>
      <c r="AK1730" s="1">
        <v>9</v>
      </c>
      <c r="AL1730" s="1" t="s">
        <v>20534</v>
      </c>
      <c r="AM1730" s="1" t="s">
        <v>160</v>
      </c>
      <c r="AN1730" s="1" t="s">
        <v>201</v>
      </c>
      <c r="AO1730" s="1" t="s">
        <v>412</v>
      </c>
      <c r="AP1730" s="1">
        <v>55.69</v>
      </c>
      <c r="AQ1730" s="1"/>
      <c r="AR1730" s="1"/>
      <c r="AS1730" s="1"/>
      <c r="AT1730" s="1"/>
      <c r="AU1730" s="1"/>
      <c r="AV1730" s="1"/>
      <c r="AW1730" s="1"/>
      <c r="AX1730" s="1" t="s">
        <v>410</v>
      </c>
      <c r="AY1730" s="1" t="s">
        <v>20535</v>
      </c>
      <c r="AZ1730" s="1" t="s">
        <v>363</v>
      </c>
      <c r="BA1730" s="1" t="s">
        <v>829</v>
      </c>
      <c r="BB1730" s="1">
        <v>72.1</v>
      </c>
      <c r="BC1730" s="1">
        <v>7.21</v>
      </c>
      <c r="BD1730" s="1"/>
      <c r="BE1730" s="1"/>
      <c r="BF1730" s="1"/>
      <c r="BG1730" s="1"/>
      <c r="BH1730" s="1"/>
      <c r="BI1730" s="1"/>
      <c r="BJ1730" s="1" t="s">
        <v>20536</v>
      </c>
      <c r="BK1730" s="1"/>
      <c r="BL1730" s="1"/>
      <c r="BM1730" s="1" t="s">
        <v>20537</v>
      </c>
      <c r="BN1730" s="1">
        <v>27</v>
      </c>
      <c r="BO1730" s="1" t="s">
        <v>20538</v>
      </c>
      <c r="BP1730" s="1" t="str">
        <f>HYPERLINK("https://nconnect.nicmar.ac.in/storage/profile/ProfilePhoto_P25704024_853971.jpg","Download")</f>
        <v>0</v>
      </c>
      <c r="BQ1730" s="3"/>
      <c r="BR1730" s="3"/>
    </row>
    <row r="1731" spans="1:70">
      <c r="A1731" s="1" t="s">
        <v>17032</v>
      </c>
      <c r="B1731" s="1" t="s">
        <v>441</v>
      </c>
      <c r="C1731" s="1" t="s">
        <v>20539</v>
      </c>
      <c r="D1731" s="1" t="s">
        <v>20540</v>
      </c>
      <c r="E1731" s="1" t="s">
        <v>2396</v>
      </c>
      <c r="F1731" s="1" t="s">
        <v>20541</v>
      </c>
      <c r="G1731" s="1" t="s">
        <v>20542</v>
      </c>
      <c r="H1731" s="1" t="s">
        <v>20543</v>
      </c>
      <c r="I1731" s="1" t="s">
        <v>20544</v>
      </c>
      <c r="J1731" s="1">
        <v>9359271182</v>
      </c>
      <c r="K1731" s="1" t="s">
        <v>148</v>
      </c>
      <c r="L1731" s="1" t="s">
        <v>20545</v>
      </c>
      <c r="M1731" s="1" t="s">
        <v>81</v>
      </c>
      <c r="N1731" s="1" t="s">
        <v>2381</v>
      </c>
      <c r="O1731" s="1"/>
      <c r="P1731" s="1" t="s">
        <v>1007</v>
      </c>
      <c r="Q1731" s="1" t="s">
        <v>20546</v>
      </c>
      <c r="R1731" s="1" t="s">
        <v>20547</v>
      </c>
      <c r="S1731" s="1">
        <v>8605072625</v>
      </c>
      <c r="T1731" s="1" t="s">
        <v>632</v>
      </c>
      <c r="U1731" s="1" t="s">
        <v>20548</v>
      </c>
      <c r="V1731" s="1">
        <v>8668820837</v>
      </c>
      <c r="W1731" s="1" t="s">
        <v>156</v>
      </c>
      <c r="X1731" s="1" t="s">
        <v>20549</v>
      </c>
      <c r="Y1731" s="1" t="s">
        <v>328</v>
      </c>
      <c r="Z1731" s="1" t="s">
        <v>92</v>
      </c>
      <c r="AA1731" s="1" t="s">
        <v>20549</v>
      </c>
      <c r="AB1731" s="1" t="s">
        <v>328</v>
      </c>
      <c r="AC1731" s="1" t="s">
        <v>92</v>
      </c>
      <c r="AD1731" s="1" t="s">
        <v>93</v>
      </c>
      <c r="AE1731" s="1" t="s">
        <v>93</v>
      </c>
      <c r="AF1731" s="1" t="s">
        <v>20550</v>
      </c>
      <c r="AG1731" s="1" t="s">
        <v>20551</v>
      </c>
      <c r="AH1731" s="1" t="s">
        <v>131</v>
      </c>
      <c r="AI1731" s="1" t="s">
        <v>101</v>
      </c>
      <c r="AJ1731" s="1">
        <v>90.2</v>
      </c>
      <c r="AK1731" s="1">
        <v>7.6</v>
      </c>
      <c r="AL1731" s="1" t="s">
        <v>20552</v>
      </c>
      <c r="AM1731" s="1" t="s">
        <v>20551</v>
      </c>
      <c r="AN1731" s="1" t="s">
        <v>101</v>
      </c>
      <c r="AO1731" s="1" t="s">
        <v>173</v>
      </c>
      <c r="AP1731" s="1">
        <v>74.62</v>
      </c>
      <c r="AQ1731" s="1"/>
      <c r="AR1731" s="1"/>
      <c r="AS1731" s="1"/>
      <c r="AT1731" s="1"/>
      <c r="AU1731" s="1"/>
      <c r="AV1731" s="1"/>
      <c r="AW1731" s="1"/>
      <c r="AX1731" s="1" t="s">
        <v>361</v>
      </c>
      <c r="AY1731" s="1" t="s">
        <v>17747</v>
      </c>
      <c r="AZ1731" s="1" t="s">
        <v>363</v>
      </c>
      <c r="BA1731" s="1" t="s">
        <v>594</v>
      </c>
      <c r="BB1731" s="1">
        <v>68.35</v>
      </c>
      <c r="BC1731" s="1"/>
      <c r="BD1731" s="1"/>
      <c r="BE1731" s="1"/>
      <c r="BF1731" s="1"/>
      <c r="BG1731" s="1"/>
      <c r="BH1731" s="1"/>
      <c r="BI1731" s="1"/>
      <c r="BJ1731" s="1" t="s">
        <v>20553</v>
      </c>
      <c r="BK1731" s="1"/>
      <c r="BL1731" s="1"/>
      <c r="BM1731" s="1" t="s">
        <v>20554</v>
      </c>
      <c r="BN1731" s="1">
        <v>32</v>
      </c>
      <c r="BO1731" s="1"/>
      <c r="BP1731" s="1" t="str">
        <f>HYPERLINK("https://nconnect.nicmar.ac.in/storage/profile/ProfilePhoto_P25704025_279518.jpg","Download")</f>
        <v>0</v>
      </c>
      <c r="BQ1731" s="3"/>
      <c r="BR1731" s="3"/>
    </row>
    <row r="1732" spans="1:70">
      <c r="A1732" s="1" t="s">
        <v>17032</v>
      </c>
      <c r="B1732" s="1" t="s">
        <v>441</v>
      </c>
      <c r="C1732" s="1" t="s">
        <v>20555</v>
      </c>
      <c r="D1732" s="1" t="s">
        <v>20556</v>
      </c>
      <c r="E1732" s="1" t="s">
        <v>15069</v>
      </c>
      <c r="F1732" s="1" t="s">
        <v>12715</v>
      </c>
      <c r="G1732" s="1" t="s">
        <v>20557</v>
      </c>
      <c r="H1732" s="1" t="s">
        <v>20558</v>
      </c>
      <c r="I1732" s="1" t="s">
        <v>20559</v>
      </c>
      <c r="J1732" s="1">
        <v>9136230303</v>
      </c>
      <c r="K1732" s="1" t="s">
        <v>148</v>
      </c>
      <c r="L1732" s="1" t="s">
        <v>20560</v>
      </c>
      <c r="M1732" s="1" t="s">
        <v>81</v>
      </c>
      <c r="N1732" s="1" t="s">
        <v>751</v>
      </c>
      <c r="O1732" s="1"/>
      <c r="P1732" s="1" t="s">
        <v>472</v>
      </c>
      <c r="Q1732" s="1" t="s">
        <v>20561</v>
      </c>
      <c r="R1732" s="1" t="s">
        <v>20562</v>
      </c>
      <c r="S1732" s="1">
        <v>9969227370</v>
      </c>
      <c r="T1732" s="1" t="s">
        <v>120</v>
      </c>
      <c r="U1732" s="1" t="s">
        <v>20563</v>
      </c>
      <c r="V1732" s="1">
        <v>9004719297</v>
      </c>
      <c r="W1732" s="1" t="s">
        <v>156</v>
      </c>
      <c r="X1732" s="1" t="s">
        <v>20564</v>
      </c>
      <c r="Y1732" s="1" t="s">
        <v>1166</v>
      </c>
      <c r="Z1732" s="1" t="s">
        <v>92</v>
      </c>
      <c r="AA1732" s="1" t="s">
        <v>20564</v>
      </c>
      <c r="AB1732" s="1" t="s">
        <v>1166</v>
      </c>
      <c r="AC1732" s="1" t="s">
        <v>92</v>
      </c>
      <c r="AD1732" s="1" t="s">
        <v>93</v>
      </c>
      <c r="AE1732" s="1" t="s">
        <v>93</v>
      </c>
      <c r="AF1732" s="1" t="s">
        <v>20565</v>
      </c>
      <c r="AG1732" s="1" t="s">
        <v>160</v>
      </c>
      <c r="AH1732" s="1" t="s">
        <v>162</v>
      </c>
      <c r="AI1732" s="1" t="s">
        <v>165</v>
      </c>
      <c r="AJ1732" s="1">
        <v>83</v>
      </c>
      <c r="AK1732" s="1"/>
      <c r="AL1732" s="1" t="s">
        <v>20566</v>
      </c>
      <c r="AM1732" s="1" t="s">
        <v>160</v>
      </c>
      <c r="AN1732" s="1" t="s">
        <v>101</v>
      </c>
      <c r="AO1732" s="1" t="s">
        <v>308</v>
      </c>
      <c r="AP1732" s="1">
        <v>68.31</v>
      </c>
      <c r="AQ1732" s="1"/>
      <c r="AR1732" s="1"/>
      <c r="AS1732" s="1"/>
      <c r="AT1732" s="1"/>
      <c r="AU1732" s="1"/>
      <c r="AV1732" s="1"/>
      <c r="AW1732" s="1"/>
      <c r="AX1732" s="1" t="s">
        <v>253</v>
      </c>
      <c r="AY1732" s="1" t="s">
        <v>20567</v>
      </c>
      <c r="AZ1732" s="1" t="s">
        <v>201</v>
      </c>
      <c r="BA1732" s="1" t="s">
        <v>413</v>
      </c>
      <c r="BB1732" s="1">
        <v>67.87</v>
      </c>
      <c r="BC1732" s="1">
        <v>7.55</v>
      </c>
      <c r="BD1732" s="1"/>
      <c r="BE1732" s="1"/>
      <c r="BF1732" s="1"/>
      <c r="BG1732" s="1"/>
      <c r="BH1732" s="1"/>
      <c r="BI1732" s="1"/>
      <c r="BJ1732" s="1" t="s">
        <v>20568</v>
      </c>
      <c r="BK1732" s="1"/>
      <c r="BL1732" s="1"/>
      <c r="BM1732" s="1" t="s">
        <v>20569</v>
      </c>
      <c r="BN1732" s="1">
        <v>27</v>
      </c>
      <c r="BO1732" s="1"/>
      <c r="BP1732" s="1" t="str">
        <f>HYPERLINK("https://nconnect.nicmar.ac.in/storage/profile/ProfilePhoto_P25704026_986524.jpg","Download")</f>
        <v>0</v>
      </c>
      <c r="BQ1732" s="3"/>
      <c r="BR1732" s="3"/>
    </row>
    <row r="1733" spans="1:70">
      <c r="A1733" s="1" t="s">
        <v>17032</v>
      </c>
      <c r="B1733" s="1" t="s">
        <v>441</v>
      </c>
      <c r="C1733" s="1" t="s">
        <v>20570</v>
      </c>
      <c r="D1733" s="1" t="s">
        <v>3179</v>
      </c>
      <c r="E1733" s="1" t="s">
        <v>110</v>
      </c>
      <c r="F1733" s="1" t="s">
        <v>20571</v>
      </c>
      <c r="G1733" s="1" t="s">
        <v>20572</v>
      </c>
      <c r="H1733" s="1" t="s">
        <v>20573</v>
      </c>
      <c r="I1733" s="1" t="s">
        <v>20574</v>
      </c>
      <c r="J1733" s="1">
        <v>9370219155</v>
      </c>
      <c r="K1733" s="1" t="s">
        <v>148</v>
      </c>
      <c r="L1733" s="1" t="s">
        <v>1507</v>
      </c>
      <c r="M1733" s="1" t="s">
        <v>81</v>
      </c>
      <c r="N1733" s="1" t="s">
        <v>7455</v>
      </c>
      <c r="O1733" s="1"/>
      <c r="P1733" s="1" t="s">
        <v>472</v>
      </c>
      <c r="Q1733" s="1" t="s">
        <v>20575</v>
      </c>
      <c r="R1733" s="1" t="s">
        <v>20576</v>
      </c>
      <c r="S1733" s="1">
        <v>9822210464</v>
      </c>
      <c r="T1733" s="1" t="s">
        <v>87</v>
      </c>
      <c r="U1733" s="1" t="s">
        <v>20577</v>
      </c>
      <c r="V1733" s="1">
        <v>7387386748</v>
      </c>
      <c r="W1733" s="1" t="s">
        <v>13408</v>
      </c>
      <c r="X1733" s="1" t="s">
        <v>20578</v>
      </c>
      <c r="Y1733" s="1" t="s">
        <v>1754</v>
      </c>
      <c r="Z1733" s="1" t="s">
        <v>92</v>
      </c>
      <c r="AA1733" s="1" t="s">
        <v>20578</v>
      </c>
      <c r="AB1733" s="1" t="s">
        <v>1754</v>
      </c>
      <c r="AC1733" s="1" t="s">
        <v>92</v>
      </c>
      <c r="AD1733" s="1" t="s">
        <v>93</v>
      </c>
      <c r="AE1733" s="1" t="s">
        <v>93</v>
      </c>
      <c r="AF1733" s="1" t="s">
        <v>20579</v>
      </c>
      <c r="AG1733" s="1" t="s">
        <v>975</v>
      </c>
      <c r="AH1733" s="1" t="s">
        <v>165</v>
      </c>
      <c r="AI1733" s="1" t="s">
        <v>281</v>
      </c>
      <c r="AJ1733" s="1">
        <v>89.6</v>
      </c>
      <c r="AK1733" s="1">
        <v>0</v>
      </c>
      <c r="AL1733" s="1" t="s">
        <v>20580</v>
      </c>
      <c r="AM1733" s="1" t="s">
        <v>975</v>
      </c>
      <c r="AN1733" s="1" t="s">
        <v>169</v>
      </c>
      <c r="AO1733" s="1" t="s">
        <v>173</v>
      </c>
      <c r="AP1733" s="1">
        <v>68.77</v>
      </c>
      <c r="AQ1733" s="1">
        <v>0</v>
      </c>
      <c r="AR1733" s="1"/>
      <c r="AS1733" s="1"/>
      <c r="AT1733" s="1"/>
      <c r="AU1733" s="1"/>
      <c r="AV1733" s="1"/>
      <c r="AW1733" s="1"/>
      <c r="AX1733" s="1" t="s">
        <v>20581</v>
      </c>
      <c r="AY1733" s="1" t="s">
        <v>20582</v>
      </c>
      <c r="AZ1733" s="1" t="s">
        <v>363</v>
      </c>
      <c r="BA1733" s="1" t="s">
        <v>594</v>
      </c>
      <c r="BB1733" s="1">
        <v>62.83</v>
      </c>
      <c r="BC1733" s="1">
        <v>7.06</v>
      </c>
      <c r="BD1733" s="1"/>
      <c r="BE1733" s="1"/>
      <c r="BF1733" s="1"/>
      <c r="BG1733" s="1"/>
      <c r="BH1733" s="1"/>
      <c r="BI1733" s="1"/>
      <c r="BJ1733" s="1" t="s">
        <v>20583</v>
      </c>
      <c r="BK1733" s="1"/>
      <c r="BL1733" s="1"/>
      <c r="BM1733" s="1" t="s">
        <v>20584</v>
      </c>
      <c r="BN1733" s="1">
        <v>33</v>
      </c>
      <c r="BO1733" s="1"/>
      <c r="BP1733" s="1" t="str">
        <f>HYPERLINK("https://nconnect.nicmar.ac.in/storage/profile/ProfilePhoto_P25704027_845267.jpg","Download")</f>
        <v>0</v>
      </c>
      <c r="BQ1733" s="3"/>
      <c r="BR1733" s="3"/>
    </row>
    <row r="1734" spans="1:70">
      <c r="A1734" s="1" t="s">
        <v>17032</v>
      </c>
      <c r="B1734" s="1" t="s">
        <v>441</v>
      </c>
      <c r="C1734" s="1" t="s">
        <v>20585</v>
      </c>
      <c r="D1734" s="1" t="s">
        <v>20586</v>
      </c>
      <c r="E1734" s="1" t="s">
        <v>181</v>
      </c>
      <c r="F1734" s="1" t="s">
        <v>20587</v>
      </c>
      <c r="G1734" s="1" t="s">
        <v>20588</v>
      </c>
      <c r="H1734" s="1" t="s">
        <v>20589</v>
      </c>
      <c r="I1734" s="1" t="s">
        <v>20590</v>
      </c>
      <c r="J1734" s="1">
        <v>8850959089</v>
      </c>
      <c r="K1734" s="1" t="s">
        <v>79</v>
      </c>
      <c r="L1734" s="1" t="s">
        <v>903</v>
      </c>
      <c r="M1734" s="1" t="s">
        <v>81</v>
      </c>
      <c r="N1734" s="1" t="s">
        <v>883</v>
      </c>
      <c r="O1734" s="1"/>
      <c r="P1734" s="1" t="s">
        <v>472</v>
      </c>
      <c r="Q1734" s="1" t="s">
        <v>20591</v>
      </c>
      <c r="R1734" s="1" t="s">
        <v>181</v>
      </c>
      <c r="S1734" s="1">
        <v>9004675329</v>
      </c>
      <c r="T1734" s="1" t="s">
        <v>820</v>
      </c>
      <c r="U1734" s="1" t="s">
        <v>20592</v>
      </c>
      <c r="V1734" s="1">
        <v>7498205772</v>
      </c>
      <c r="W1734" s="1" t="s">
        <v>156</v>
      </c>
      <c r="X1734" s="1" t="s">
        <v>20593</v>
      </c>
      <c r="Y1734" s="1" t="s">
        <v>4313</v>
      </c>
      <c r="Z1734" s="1" t="s">
        <v>92</v>
      </c>
      <c r="AA1734" s="1" t="s">
        <v>20593</v>
      </c>
      <c r="AB1734" s="1" t="s">
        <v>4313</v>
      </c>
      <c r="AC1734" s="1" t="s">
        <v>92</v>
      </c>
      <c r="AD1734" s="1" t="s">
        <v>93</v>
      </c>
      <c r="AE1734" s="1" t="s">
        <v>93</v>
      </c>
      <c r="AF1734" s="1" t="s">
        <v>19420</v>
      </c>
      <c r="AG1734" s="1" t="s">
        <v>758</v>
      </c>
      <c r="AH1734" s="1" t="s">
        <v>481</v>
      </c>
      <c r="AI1734" s="1" t="s">
        <v>308</v>
      </c>
      <c r="AJ1734" s="1">
        <v>56.6</v>
      </c>
      <c r="AK1734" s="1">
        <v>0</v>
      </c>
      <c r="AL1734" s="1" t="s">
        <v>20594</v>
      </c>
      <c r="AM1734" s="1" t="s">
        <v>20595</v>
      </c>
      <c r="AN1734" s="1" t="s">
        <v>310</v>
      </c>
      <c r="AO1734" s="1" t="s">
        <v>826</v>
      </c>
      <c r="AP1734" s="1">
        <v>71.5</v>
      </c>
      <c r="AQ1734" s="1"/>
      <c r="AR1734" s="1"/>
      <c r="AS1734" s="1"/>
      <c r="AT1734" s="1"/>
      <c r="AU1734" s="1"/>
      <c r="AV1734" s="1"/>
      <c r="AW1734" s="1"/>
      <c r="AX1734" s="1" t="s">
        <v>666</v>
      </c>
      <c r="AY1734" s="1" t="s">
        <v>20596</v>
      </c>
      <c r="AZ1734" s="1" t="s">
        <v>852</v>
      </c>
      <c r="BA1734" s="1" t="s">
        <v>829</v>
      </c>
      <c r="BB1734" s="1">
        <v>61.52</v>
      </c>
      <c r="BC1734" s="1">
        <v>6.75</v>
      </c>
      <c r="BD1734" s="1"/>
      <c r="BE1734" s="1"/>
      <c r="BF1734" s="1"/>
      <c r="BG1734" s="1"/>
      <c r="BH1734" s="1"/>
      <c r="BI1734" s="1"/>
      <c r="BJ1734" s="1" t="s">
        <v>255</v>
      </c>
      <c r="BK1734" s="1"/>
      <c r="BL1734" s="1"/>
      <c r="BM1734" s="1" t="s">
        <v>20597</v>
      </c>
      <c r="BN1734" s="1">
        <v>13</v>
      </c>
      <c r="BO1734" s="1" t="s">
        <v>20598</v>
      </c>
      <c r="BP1734" s="1" t="str">
        <f>HYPERLINK("https://nconnect.nicmar.ac.in/storage/profile/ProfilePhoto_P25704028_759214.jpg","Download")</f>
        <v>0</v>
      </c>
      <c r="BQ1734" s="3"/>
      <c r="BR1734" s="3"/>
    </row>
    <row r="1735" spans="1:70">
      <c r="A1735" s="1" t="s">
        <v>17032</v>
      </c>
      <c r="B1735" s="1" t="s">
        <v>441</v>
      </c>
      <c r="C1735" s="1" t="s">
        <v>20599</v>
      </c>
      <c r="D1735" s="1" t="s">
        <v>1297</v>
      </c>
      <c r="E1735" s="1" t="s">
        <v>5941</v>
      </c>
      <c r="F1735" s="1" t="s">
        <v>7298</v>
      </c>
      <c r="G1735" s="1" t="s">
        <v>20600</v>
      </c>
      <c r="H1735" s="1" t="s">
        <v>20601</v>
      </c>
      <c r="I1735" s="1" t="s">
        <v>20602</v>
      </c>
      <c r="J1735" s="1">
        <v>9604960952</v>
      </c>
      <c r="K1735" s="1" t="s">
        <v>79</v>
      </c>
      <c r="L1735" s="1" t="s">
        <v>14644</v>
      </c>
      <c r="M1735" s="1" t="s">
        <v>81</v>
      </c>
      <c r="N1735" s="1" t="s">
        <v>4896</v>
      </c>
      <c r="O1735" s="1"/>
      <c r="P1735" s="1" t="s">
        <v>472</v>
      </c>
      <c r="Q1735" s="1" t="s">
        <v>20603</v>
      </c>
      <c r="R1735" s="1" t="s">
        <v>5941</v>
      </c>
      <c r="S1735" s="1">
        <v>9850013087</v>
      </c>
      <c r="T1735" s="1" t="s">
        <v>154</v>
      </c>
      <c r="U1735" s="1" t="s">
        <v>6466</v>
      </c>
      <c r="V1735" s="1">
        <v>9970201464</v>
      </c>
      <c r="W1735" s="1" t="s">
        <v>156</v>
      </c>
      <c r="X1735" s="1" t="s">
        <v>20604</v>
      </c>
      <c r="Y1735" s="1" t="s">
        <v>191</v>
      </c>
      <c r="Z1735" s="1" t="s">
        <v>92</v>
      </c>
      <c r="AA1735" s="1" t="s">
        <v>20605</v>
      </c>
      <c r="AB1735" s="1" t="s">
        <v>5185</v>
      </c>
      <c r="AC1735" s="1" t="s">
        <v>92</v>
      </c>
      <c r="AD1735" s="1" t="s">
        <v>93</v>
      </c>
      <c r="AE1735" s="1" t="s">
        <v>93</v>
      </c>
      <c r="AF1735" s="1" t="s">
        <v>20606</v>
      </c>
      <c r="AG1735" s="1" t="s">
        <v>160</v>
      </c>
      <c r="AH1735" s="1" t="s">
        <v>162</v>
      </c>
      <c r="AI1735" s="1" t="s">
        <v>165</v>
      </c>
      <c r="AJ1735" s="1">
        <v>85.6</v>
      </c>
      <c r="AK1735" s="1"/>
      <c r="AL1735" s="1" t="s">
        <v>20607</v>
      </c>
      <c r="AM1735" s="1" t="s">
        <v>160</v>
      </c>
      <c r="AN1735" s="1" t="s">
        <v>383</v>
      </c>
      <c r="AO1735" s="1" t="s">
        <v>433</v>
      </c>
      <c r="AP1735" s="1">
        <v>60</v>
      </c>
      <c r="AQ1735" s="1"/>
      <c r="AR1735" s="1"/>
      <c r="AS1735" s="1"/>
      <c r="AT1735" s="1"/>
      <c r="AU1735" s="1"/>
      <c r="AV1735" s="1"/>
      <c r="AW1735" s="1"/>
      <c r="AX1735" s="1" t="s">
        <v>361</v>
      </c>
      <c r="AY1735" s="1" t="s">
        <v>20608</v>
      </c>
      <c r="AZ1735" s="1" t="s">
        <v>310</v>
      </c>
      <c r="BA1735" s="1" t="s">
        <v>2352</v>
      </c>
      <c r="BB1735" s="1">
        <v>61</v>
      </c>
      <c r="BC1735" s="1">
        <v>6.85</v>
      </c>
      <c r="BD1735" s="1"/>
      <c r="BE1735" s="1"/>
      <c r="BF1735" s="1"/>
      <c r="BG1735" s="1"/>
      <c r="BH1735" s="1"/>
      <c r="BI1735" s="1"/>
      <c r="BJ1735" s="1" t="s">
        <v>20609</v>
      </c>
      <c r="BK1735" s="1" t="s">
        <v>20610</v>
      </c>
      <c r="BL1735" s="1" t="s">
        <v>1048</v>
      </c>
      <c r="BM1735" s="1" t="s">
        <v>20611</v>
      </c>
      <c r="BN1735" s="1">
        <v>33</v>
      </c>
      <c r="BO1735" s="1" t="s">
        <v>20612</v>
      </c>
      <c r="BP1735" s="1" t="str">
        <f>HYPERLINK("https://nconnect.nicmar.ac.in/storage/profile/ProfilePhoto_P25704029_425917.jpg","Download")</f>
        <v>0</v>
      </c>
      <c r="BQ1735" s="3"/>
      <c r="BR1735" s="3"/>
    </row>
    <row r="1736" spans="1:70">
      <c r="A1736" s="1" t="s">
        <v>17032</v>
      </c>
      <c r="B1736" s="1" t="s">
        <v>441</v>
      </c>
      <c r="C1736" s="1" t="s">
        <v>20613</v>
      </c>
      <c r="D1736" s="1" t="s">
        <v>20614</v>
      </c>
      <c r="E1736" s="1" t="s">
        <v>1272</v>
      </c>
      <c r="F1736" s="1" t="s">
        <v>20615</v>
      </c>
      <c r="G1736" s="1" t="s">
        <v>20616</v>
      </c>
      <c r="H1736" s="1" t="s">
        <v>20617</v>
      </c>
      <c r="I1736" s="1" t="s">
        <v>20618</v>
      </c>
      <c r="J1736" s="1">
        <v>9022158429</v>
      </c>
      <c r="K1736" s="1" t="s">
        <v>148</v>
      </c>
      <c r="L1736" s="1" t="s">
        <v>7105</v>
      </c>
      <c r="M1736" s="1" t="s">
        <v>81</v>
      </c>
      <c r="N1736" s="1" t="s">
        <v>2381</v>
      </c>
      <c r="O1736" s="1"/>
      <c r="P1736" s="1" t="s">
        <v>656</v>
      </c>
      <c r="Q1736" s="1" t="s">
        <v>20619</v>
      </c>
      <c r="R1736" s="1" t="s">
        <v>20620</v>
      </c>
      <c r="S1736" s="1">
        <v>9881515251</v>
      </c>
      <c r="T1736" s="1" t="s">
        <v>20621</v>
      </c>
      <c r="U1736" s="1" t="s">
        <v>20622</v>
      </c>
      <c r="V1736" s="1">
        <v>8888180179</v>
      </c>
      <c r="W1736" s="1" t="s">
        <v>156</v>
      </c>
      <c r="X1736" s="1" t="s">
        <v>20623</v>
      </c>
      <c r="Y1736" s="1" t="s">
        <v>5087</v>
      </c>
      <c r="Z1736" s="1" t="s">
        <v>92</v>
      </c>
      <c r="AA1736" s="1" t="s">
        <v>20623</v>
      </c>
      <c r="AB1736" s="1" t="s">
        <v>5087</v>
      </c>
      <c r="AC1736" s="1" t="s">
        <v>92</v>
      </c>
      <c r="AD1736" s="1" t="s">
        <v>93</v>
      </c>
      <c r="AE1736" s="1" t="s">
        <v>93</v>
      </c>
      <c r="AF1736" s="1" t="s">
        <v>20624</v>
      </c>
      <c r="AG1736" s="1" t="s">
        <v>11677</v>
      </c>
      <c r="AH1736" s="1" t="s">
        <v>562</v>
      </c>
      <c r="AI1736" s="1" t="s">
        <v>166</v>
      </c>
      <c r="AJ1736" s="1">
        <v>77</v>
      </c>
      <c r="AK1736" s="1"/>
      <c r="AL1736" s="1" t="s">
        <v>11992</v>
      </c>
      <c r="AM1736" s="1" t="s">
        <v>975</v>
      </c>
      <c r="AN1736" s="1" t="s">
        <v>169</v>
      </c>
      <c r="AO1736" s="1" t="s">
        <v>360</v>
      </c>
      <c r="AP1736" s="1">
        <v>65.08</v>
      </c>
      <c r="AQ1736" s="1"/>
      <c r="AR1736" s="1"/>
      <c r="AS1736" s="1"/>
      <c r="AT1736" s="1"/>
      <c r="AU1736" s="1"/>
      <c r="AV1736" s="1"/>
      <c r="AW1736" s="1"/>
      <c r="AX1736" s="1" t="s">
        <v>361</v>
      </c>
      <c r="AY1736" s="1" t="s">
        <v>20625</v>
      </c>
      <c r="AZ1736" s="1" t="s">
        <v>1148</v>
      </c>
      <c r="BA1736" s="1" t="s">
        <v>829</v>
      </c>
      <c r="BB1736" s="1">
        <v>60.6</v>
      </c>
      <c r="BC1736" s="1">
        <v>6.81</v>
      </c>
      <c r="BD1736" s="1"/>
      <c r="BE1736" s="1"/>
      <c r="BF1736" s="1"/>
      <c r="BG1736" s="1"/>
      <c r="BH1736" s="1"/>
      <c r="BI1736" s="1"/>
      <c r="BJ1736" s="1" t="s">
        <v>255</v>
      </c>
      <c r="BK1736" s="1"/>
      <c r="BL1736" s="1"/>
      <c r="BM1736" s="1" t="s">
        <v>20626</v>
      </c>
      <c r="BN1736" s="1">
        <v>26</v>
      </c>
      <c r="BO1736" s="1"/>
      <c r="BP1736" s="1" t="str">
        <f>HYPERLINK("https://nconnect.nicmar.ac.in/storage/profile/ProfilePhoto_P25704030_279351.jpg","Download")</f>
        <v>0</v>
      </c>
      <c r="BQ1736" s="3"/>
      <c r="BR1736" s="3"/>
    </row>
    <row r="1737" spans="1:70">
      <c r="A1737" s="1" t="s">
        <v>17032</v>
      </c>
      <c r="B1737" s="1" t="s">
        <v>441</v>
      </c>
      <c r="C1737" s="1" t="s">
        <v>20627</v>
      </c>
      <c r="D1737" s="1" t="s">
        <v>20628</v>
      </c>
      <c r="E1737" s="1" t="s">
        <v>4321</v>
      </c>
      <c r="F1737" s="1" t="s">
        <v>12715</v>
      </c>
      <c r="G1737" s="1" t="s">
        <v>20629</v>
      </c>
      <c r="H1737" s="1" t="s">
        <v>20630</v>
      </c>
      <c r="I1737" s="1" t="s">
        <v>20631</v>
      </c>
      <c r="J1737" s="1">
        <v>7045705702</v>
      </c>
      <c r="K1737" s="1" t="s">
        <v>79</v>
      </c>
      <c r="L1737" s="1" t="s">
        <v>5238</v>
      </c>
      <c r="M1737" s="1" t="s">
        <v>81</v>
      </c>
      <c r="N1737" s="1" t="s">
        <v>8503</v>
      </c>
      <c r="O1737" s="1"/>
      <c r="P1737" s="1" t="s">
        <v>497</v>
      </c>
      <c r="Q1737" s="1" t="s">
        <v>20632</v>
      </c>
      <c r="R1737" s="1" t="s">
        <v>4321</v>
      </c>
      <c r="S1737" s="1">
        <v>9892672860</v>
      </c>
      <c r="T1737" s="1" t="s">
        <v>632</v>
      </c>
      <c r="U1737" s="1" t="s">
        <v>6466</v>
      </c>
      <c r="V1737" s="1">
        <v>9967691349</v>
      </c>
      <c r="W1737" s="1" t="s">
        <v>156</v>
      </c>
      <c r="X1737" s="1" t="s">
        <v>20633</v>
      </c>
      <c r="Y1737" s="1" t="s">
        <v>1166</v>
      </c>
      <c r="Z1737" s="1" t="s">
        <v>92</v>
      </c>
      <c r="AA1737" s="1" t="s">
        <v>20634</v>
      </c>
      <c r="AB1737" s="1" t="s">
        <v>1166</v>
      </c>
      <c r="AC1737" s="1" t="s">
        <v>92</v>
      </c>
      <c r="AD1737" s="1" t="s">
        <v>93</v>
      </c>
      <c r="AE1737" s="1" t="s">
        <v>93</v>
      </c>
      <c r="AF1737" s="1" t="s">
        <v>20635</v>
      </c>
      <c r="AG1737" s="1" t="s">
        <v>20636</v>
      </c>
      <c r="AH1737" s="1" t="s">
        <v>162</v>
      </c>
      <c r="AI1737" s="1" t="s">
        <v>689</v>
      </c>
      <c r="AJ1737" s="1">
        <v>73.4</v>
      </c>
      <c r="AK1737" s="1"/>
      <c r="AL1737" s="1" t="s">
        <v>20637</v>
      </c>
      <c r="AM1737" s="1" t="s">
        <v>1942</v>
      </c>
      <c r="AN1737" s="1" t="s">
        <v>101</v>
      </c>
      <c r="AO1737" s="1" t="s">
        <v>198</v>
      </c>
      <c r="AP1737" s="1">
        <v>58.46</v>
      </c>
      <c r="AQ1737" s="1"/>
      <c r="AR1737" s="1"/>
      <c r="AS1737" s="1"/>
      <c r="AT1737" s="1"/>
      <c r="AU1737" s="1"/>
      <c r="AV1737" s="1"/>
      <c r="AW1737" s="1"/>
      <c r="AX1737" s="1" t="s">
        <v>253</v>
      </c>
      <c r="AY1737" s="1" t="s">
        <v>20638</v>
      </c>
      <c r="AZ1737" s="1" t="s">
        <v>310</v>
      </c>
      <c r="BA1737" s="1" t="s">
        <v>543</v>
      </c>
      <c r="BB1737" s="1">
        <v>59.65</v>
      </c>
      <c r="BC1737" s="1">
        <v>6.44</v>
      </c>
      <c r="BD1737" s="1"/>
      <c r="BE1737" s="1"/>
      <c r="BF1737" s="1"/>
      <c r="BG1737" s="1"/>
      <c r="BH1737" s="1"/>
      <c r="BI1737" s="1"/>
      <c r="BJ1737" s="1" t="s">
        <v>20639</v>
      </c>
      <c r="BK1737" s="1"/>
      <c r="BL1737" s="1"/>
      <c r="BM1737" s="1" t="s">
        <v>20640</v>
      </c>
      <c r="BN1737" s="1">
        <v>27</v>
      </c>
      <c r="BO1737" s="1" t="s">
        <v>20641</v>
      </c>
      <c r="BP1737" s="1" t="str">
        <f>HYPERLINK("https://nconnect.nicmar.ac.in/storage/profile/ProfilePhoto_P25704032_987163.jpg","Download")</f>
        <v>0</v>
      </c>
      <c r="BQ1737" s="3"/>
      <c r="BR1737" s="3"/>
    </row>
    <row r="1738" spans="1:70">
      <c r="A1738" s="1" t="s">
        <v>17032</v>
      </c>
      <c r="B1738" s="1" t="s">
        <v>441</v>
      </c>
      <c r="C1738" s="1" t="s">
        <v>20642</v>
      </c>
      <c r="D1738" s="1" t="s">
        <v>3235</v>
      </c>
      <c r="E1738" s="1" t="s">
        <v>649</v>
      </c>
      <c r="F1738" s="1" t="s">
        <v>20643</v>
      </c>
      <c r="G1738" s="1" t="s">
        <v>20644</v>
      </c>
      <c r="H1738" s="1" t="s">
        <v>20645</v>
      </c>
      <c r="I1738" s="1" t="s">
        <v>20646</v>
      </c>
      <c r="J1738" s="1">
        <v>8080197980</v>
      </c>
      <c r="K1738" s="1" t="s">
        <v>148</v>
      </c>
      <c r="L1738" s="1" t="s">
        <v>13002</v>
      </c>
      <c r="M1738" s="1" t="s">
        <v>81</v>
      </c>
      <c r="N1738" s="1" t="s">
        <v>5476</v>
      </c>
      <c r="O1738" s="1"/>
      <c r="P1738" s="1" t="s">
        <v>1007</v>
      </c>
      <c r="Q1738" s="1" t="s">
        <v>20647</v>
      </c>
      <c r="R1738" s="1" t="s">
        <v>649</v>
      </c>
      <c r="S1738" s="1">
        <v>9423425141</v>
      </c>
      <c r="T1738" s="1" t="s">
        <v>13212</v>
      </c>
      <c r="U1738" s="1" t="s">
        <v>12392</v>
      </c>
      <c r="V1738" s="1">
        <v>7774996646</v>
      </c>
      <c r="W1738" s="1" t="s">
        <v>13212</v>
      </c>
      <c r="X1738" s="1" t="s">
        <v>20648</v>
      </c>
      <c r="Y1738" s="1" t="s">
        <v>5087</v>
      </c>
      <c r="Z1738" s="1" t="s">
        <v>92</v>
      </c>
      <c r="AA1738" s="1" t="s">
        <v>20648</v>
      </c>
      <c r="AB1738" s="1" t="s">
        <v>5087</v>
      </c>
      <c r="AC1738" s="1" t="s">
        <v>92</v>
      </c>
      <c r="AD1738" s="1" t="s">
        <v>93</v>
      </c>
      <c r="AE1738" s="1" t="s">
        <v>93</v>
      </c>
      <c r="AF1738" s="1" t="s">
        <v>20649</v>
      </c>
      <c r="AG1738" s="1" t="s">
        <v>20650</v>
      </c>
      <c r="AH1738" s="1" t="s">
        <v>162</v>
      </c>
      <c r="AI1738" s="1" t="s">
        <v>562</v>
      </c>
      <c r="AJ1738" s="1">
        <v>86.4</v>
      </c>
      <c r="AK1738" s="1">
        <v>0</v>
      </c>
      <c r="AL1738" s="1" t="s">
        <v>20651</v>
      </c>
      <c r="AM1738" s="1" t="s">
        <v>20650</v>
      </c>
      <c r="AN1738" s="1" t="s">
        <v>101</v>
      </c>
      <c r="AO1738" s="1" t="s">
        <v>308</v>
      </c>
      <c r="AP1738" s="1">
        <v>64.31</v>
      </c>
      <c r="AQ1738" s="1">
        <v>0</v>
      </c>
      <c r="AR1738" s="1"/>
      <c r="AS1738" s="1"/>
      <c r="AT1738" s="1"/>
      <c r="AU1738" s="1"/>
      <c r="AV1738" s="1"/>
      <c r="AW1738" s="1"/>
      <c r="AX1738" s="1" t="s">
        <v>361</v>
      </c>
      <c r="AY1738" s="1" t="s">
        <v>20652</v>
      </c>
      <c r="AZ1738" s="1" t="s">
        <v>871</v>
      </c>
      <c r="BA1738" s="1" t="s">
        <v>829</v>
      </c>
      <c r="BB1738" s="1">
        <v>71</v>
      </c>
      <c r="BC1738" s="1">
        <v>7.85</v>
      </c>
      <c r="BD1738" s="1"/>
      <c r="BE1738" s="1"/>
      <c r="BF1738" s="1"/>
      <c r="BG1738" s="1"/>
      <c r="BH1738" s="1"/>
      <c r="BI1738" s="1"/>
      <c r="BJ1738" s="1" t="s">
        <v>20653</v>
      </c>
      <c r="BK1738" s="1"/>
      <c r="BL1738" s="1"/>
      <c r="BM1738" s="1" t="s">
        <v>20654</v>
      </c>
      <c r="BN1738" s="1">
        <v>29</v>
      </c>
      <c r="BO1738" s="1"/>
      <c r="BP1738" s="1" t="str">
        <f>HYPERLINK("https://nconnect.nicmar.ac.in/storage/profile/ProfilePhoto_P25704033_491638.jpg","Download")</f>
        <v>0</v>
      </c>
      <c r="BQ1738" s="3"/>
      <c r="BR1738" s="3"/>
    </row>
    <row r="1739" spans="1:70">
      <c r="A1739" s="1" t="s">
        <v>17032</v>
      </c>
      <c r="B1739" s="1" t="s">
        <v>441</v>
      </c>
      <c r="C1739" s="1" t="s">
        <v>20655</v>
      </c>
      <c r="D1739" s="1" t="s">
        <v>20656</v>
      </c>
      <c r="E1739" s="1" t="s">
        <v>20657</v>
      </c>
      <c r="F1739" s="1" t="s">
        <v>20658</v>
      </c>
      <c r="G1739" s="1" t="s">
        <v>20659</v>
      </c>
      <c r="H1739" s="1" t="s">
        <v>20660</v>
      </c>
      <c r="I1739" s="1" t="s">
        <v>20661</v>
      </c>
      <c r="J1739" s="1">
        <v>9730746349</v>
      </c>
      <c r="K1739" s="1" t="s">
        <v>148</v>
      </c>
      <c r="L1739" s="1" t="s">
        <v>20662</v>
      </c>
      <c r="M1739" s="1" t="s">
        <v>81</v>
      </c>
      <c r="N1739" s="1" t="s">
        <v>1140</v>
      </c>
      <c r="O1739" s="1"/>
      <c r="P1739" s="1" t="s">
        <v>450</v>
      </c>
      <c r="Q1739" s="1" t="s">
        <v>20663</v>
      </c>
      <c r="R1739" s="1" t="s">
        <v>20664</v>
      </c>
      <c r="S1739" s="1">
        <v>9561522155</v>
      </c>
      <c r="T1739" s="1" t="s">
        <v>20665</v>
      </c>
      <c r="U1739" s="1" t="s">
        <v>20666</v>
      </c>
      <c r="V1739" s="1">
        <v>8390276010</v>
      </c>
      <c r="W1739" s="1" t="s">
        <v>89</v>
      </c>
      <c r="X1739" s="1" t="s">
        <v>20667</v>
      </c>
      <c r="Y1739" s="1" t="s">
        <v>5588</v>
      </c>
      <c r="Z1739" s="1" t="s">
        <v>92</v>
      </c>
      <c r="AA1739" s="1" t="s">
        <v>20667</v>
      </c>
      <c r="AB1739" s="1" t="s">
        <v>5588</v>
      </c>
      <c r="AC1739" s="1" t="s">
        <v>92</v>
      </c>
      <c r="AD1739" s="1" t="s">
        <v>93</v>
      </c>
      <c r="AE1739" s="1" t="s">
        <v>93</v>
      </c>
      <c r="AF1739" s="1" t="s">
        <v>20668</v>
      </c>
      <c r="AG1739" s="1" t="s">
        <v>160</v>
      </c>
      <c r="AH1739" s="1" t="s">
        <v>161</v>
      </c>
      <c r="AI1739" s="1" t="s">
        <v>562</v>
      </c>
      <c r="AJ1739" s="1">
        <v>89.6</v>
      </c>
      <c r="AK1739" s="1">
        <v>0</v>
      </c>
      <c r="AL1739" s="1" t="s">
        <v>20669</v>
      </c>
      <c r="AM1739" s="1" t="s">
        <v>160</v>
      </c>
      <c r="AN1739" s="1" t="s">
        <v>165</v>
      </c>
      <c r="AO1739" s="1" t="s">
        <v>198</v>
      </c>
      <c r="AP1739" s="1">
        <v>75.38</v>
      </c>
      <c r="AQ1739" s="1">
        <v>0</v>
      </c>
      <c r="AR1739" s="1"/>
      <c r="AS1739" s="1"/>
      <c r="AT1739" s="1"/>
      <c r="AU1739" s="1"/>
      <c r="AV1739" s="1"/>
      <c r="AW1739" s="1"/>
      <c r="AX1739" s="1" t="s">
        <v>361</v>
      </c>
      <c r="AY1739" s="1" t="s">
        <v>20670</v>
      </c>
      <c r="AZ1739" s="1" t="s">
        <v>363</v>
      </c>
      <c r="BA1739" s="1" t="s">
        <v>594</v>
      </c>
      <c r="BB1739" s="1">
        <v>78.68</v>
      </c>
      <c r="BC1739" s="1">
        <v>8.64</v>
      </c>
      <c r="BD1739" s="1"/>
      <c r="BE1739" s="1"/>
      <c r="BF1739" s="1"/>
      <c r="BG1739" s="1"/>
      <c r="BH1739" s="1"/>
      <c r="BI1739" s="1"/>
      <c r="BJ1739" s="1" t="s">
        <v>20671</v>
      </c>
      <c r="BK1739" s="1"/>
      <c r="BL1739" s="1"/>
      <c r="BM1739" s="1" t="s">
        <v>20672</v>
      </c>
      <c r="BN1739" s="1">
        <v>29</v>
      </c>
      <c r="BO1739" s="1" t="s">
        <v>20673</v>
      </c>
      <c r="BP1739" s="1" t="str">
        <f>HYPERLINK("https://nconnect.nicmar.ac.in/storage/profile/ProfilePhoto_P25704034_924785.jpg","Download")</f>
        <v>0</v>
      </c>
      <c r="BQ1739" s="3"/>
      <c r="BR1739" s="3"/>
    </row>
    <row r="1740" spans="1:70">
      <c r="A1740" s="1" t="s">
        <v>17032</v>
      </c>
      <c r="B1740" s="1" t="s">
        <v>441</v>
      </c>
      <c r="C1740" s="1" t="s">
        <v>20674</v>
      </c>
      <c r="D1740" s="1" t="s">
        <v>6936</v>
      </c>
      <c r="E1740" s="1" t="s">
        <v>2439</v>
      </c>
      <c r="F1740" s="1" t="s">
        <v>20675</v>
      </c>
      <c r="G1740" s="1" t="s">
        <v>20676</v>
      </c>
      <c r="H1740" s="1" t="s">
        <v>20677</v>
      </c>
      <c r="I1740" s="1" t="s">
        <v>20678</v>
      </c>
      <c r="J1740" s="1">
        <v>7719001252</v>
      </c>
      <c r="K1740" s="1" t="s">
        <v>79</v>
      </c>
      <c r="L1740" s="1" t="s">
        <v>9218</v>
      </c>
      <c r="M1740" s="1" t="s">
        <v>81</v>
      </c>
      <c r="N1740" s="1" t="s">
        <v>3587</v>
      </c>
      <c r="O1740" s="1"/>
      <c r="P1740" s="1" t="s">
        <v>472</v>
      </c>
      <c r="Q1740" s="1" t="s">
        <v>20679</v>
      </c>
      <c r="R1740" s="1" t="s">
        <v>20680</v>
      </c>
      <c r="S1740" s="1">
        <v>9011333951</v>
      </c>
      <c r="T1740" s="1" t="s">
        <v>154</v>
      </c>
      <c r="U1740" s="1" t="s">
        <v>20681</v>
      </c>
      <c r="V1740" s="1">
        <v>9172429639</v>
      </c>
      <c r="W1740" s="1" t="s">
        <v>89</v>
      </c>
      <c r="X1740" s="1" t="s">
        <v>20682</v>
      </c>
      <c r="Y1740" s="1" t="s">
        <v>191</v>
      </c>
      <c r="Z1740" s="1" t="s">
        <v>92</v>
      </c>
      <c r="AA1740" s="1" t="s">
        <v>20682</v>
      </c>
      <c r="AB1740" s="1" t="s">
        <v>191</v>
      </c>
      <c r="AC1740" s="1" t="s">
        <v>92</v>
      </c>
      <c r="AD1740" s="1" t="s">
        <v>93</v>
      </c>
      <c r="AE1740" s="1" t="s">
        <v>93</v>
      </c>
      <c r="AF1740" s="1" t="s">
        <v>20683</v>
      </c>
      <c r="AG1740" s="1" t="s">
        <v>20684</v>
      </c>
      <c r="AH1740" s="1" t="s">
        <v>161</v>
      </c>
      <c r="AI1740" s="1" t="s">
        <v>1089</v>
      </c>
      <c r="AJ1740" s="1">
        <v>89</v>
      </c>
      <c r="AK1740" s="1">
        <v>0</v>
      </c>
      <c r="AL1740" s="1" t="s">
        <v>20685</v>
      </c>
      <c r="AM1740" s="1" t="s">
        <v>20684</v>
      </c>
      <c r="AN1740" s="1" t="s">
        <v>165</v>
      </c>
      <c r="AO1740" s="1" t="s">
        <v>1455</v>
      </c>
      <c r="AP1740" s="1">
        <v>63.23</v>
      </c>
      <c r="AQ1740" s="1">
        <v>0</v>
      </c>
      <c r="AR1740" s="1"/>
      <c r="AS1740" s="1"/>
      <c r="AT1740" s="1"/>
      <c r="AU1740" s="1"/>
      <c r="AV1740" s="1"/>
      <c r="AW1740" s="1"/>
      <c r="AX1740" s="1" t="s">
        <v>361</v>
      </c>
      <c r="AY1740" s="1" t="s">
        <v>20670</v>
      </c>
      <c r="AZ1740" s="1" t="s">
        <v>310</v>
      </c>
      <c r="BA1740" s="1" t="s">
        <v>1292</v>
      </c>
      <c r="BB1740" s="1">
        <v>68.8</v>
      </c>
      <c r="BC1740" s="1">
        <v>7.63</v>
      </c>
      <c r="BD1740" s="1"/>
      <c r="BE1740" s="1"/>
      <c r="BF1740" s="1"/>
      <c r="BG1740" s="1"/>
      <c r="BH1740" s="1"/>
      <c r="BI1740" s="1"/>
      <c r="BJ1740" s="1" t="s">
        <v>20686</v>
      </c>
      <c r="BK1740" s="1" t="s">
        <v>20687</v>
      </c>
      <c r="BL1740" s="1" t="s">
        <v>4165</v>
      </c>
      <c r="BM1740" s="1" t="s">
        <v>20688</v>
      </c>
      <c r="BN1740" s="1">
        <v>27</v>
      </c>
      <c r="BO1740" s="1" t="s">
        <v>20689</v>
      </c>
      <c r="BP1740" s="1" t="str">
        <f>HYPERLINK("https://nconnect.nicmar.ac.in/storage/profile/ProfilePhoto_P25704035_451867.jpg","Download")</f>
        <v>0</v>
      </c>
      <c r="BQ1740" s="3"/>
      <c r="BR1740" s="3"/>
    </row>
    <row r="1741" spans="1:70">
      <c r="A1741" s="1" t="s">
        <v>17032</v>
      </c>
      <c r="B1741" s="1" t="s">
        <v>441</v>
      </c>
      <c r="C1741" s="1" t="s">
        <v>20690</v>
      </c>
      <c r="D1741" s="1" t="s">
        <v>10168</v>
      </c>
      <c r="E1741" s="1" t="s">
        <v>20691</v>
      </c>
      <c r="F1741" s="1" t="s">
        <v>20692</v>
      </c>
      <c r="G1741" s="1" t="s">
        <v>20693</v>
      </c>
      <c r="H1741" s="1" t="s">
        <v>20694</v>
      </c>
      <c r="I1741" s="1" t="s">
        <v>20695</v>
      </c>
      <c r="J1741" s="1">
        <v>8329655532</v>
      </c>
      <c r="K1741" s="1" t="s">
        <v>148</v>
      </c>
      <c r="L1741" s="1" t="s">
        <v>20696</v>
      </c>
      <c r="M1741" s="1" t="s">
        <v>81</v>
      </c>
      <c r="N1741" s="1" t="s">
        <v>2381</v>
      </c>
      <c r="O1741" s="1"/>
      <c r="P1741" s="1" t="s">
        <v>450</v>
      </c>
      <c r="Q1741" s="1" t="s">
        <v>20697</v>
      </c>
      <c r="R1741" s="1" t="s">
        <v>20698</v>
      </c>
      <c r="S1741" s="1">
        <v>9993562305</v>
      </c>
      <c r="T1741" s="1" t="s">
        <v>4780</v>
      </c>
      <c r="U1741" s="1" t="s">
        <v>20699</v>
      </c>
      <c r="V1741" s="1">
        <v>9589392305</v>
      </c>
      <c r="W1741" s="1" t="s">
        <v>273</v>
      </c>
      <c r="X1741" s="1" t="s">
        <v>20700</v>
      </c>
      <c r="Y1741" s="1" t="s">
        <v>328</v>
      </c>
      <c r="Z1741" s="1" t="s">
        <v>92</v>
      </c>
      <c r="AA1741" s="1" t="s">
        <v>20700</v>
      </c>
      <c r="AB1741" s="1" t="s">
        <v>328</v>
      </c>
      <c r="AC1741" s="1" t="s">
        <v>92</v>
      </c>
      <c r="AD1741" s="1" t="s">
        <v>93</v>
      </c>
      <c r="AE1741" s="1" t="s">
        <v>93</v>
      </c>
      <c r="AF1741" s="1" t="s">
        <v>10921</v>
      </c>
      <c r="AG1741" s="1" t="s">
        <v>20701</v>
      </c>
      <c r="AH1741" s="1" t="s">
        <v>162</v>
      </c>
      <c r="AI1741" s="1" t="s">
        <v>195</v>
      </c>
      <c r="AJ1741" s="1">
        <v>72.2</v>
      </c>
      <c r="AK1741" s="1">
        <v>7.6</v>
      </c>
      <c r="AL1741" s="1" t="s">
        <v>20702</v>
      </c>
      <c r="AM1741" s="1" t="s">
        <v>975</v>
      </c>
      <c r="AN1741" s="1" t="s">
        <v>383</v>
      </c>
      <c r="AO1741" s="1" t="s">
        <v>173</v>
      </c>
      <c r="AP1741" s="1">
        <v>68.15</v>
      </c>
      <c r="AQ1741" s="1"/>
      <c r="AR1741" s="1"/>
      <c r="AS1741" s="1"/>
      <c r="AT1741" s="1"/>
      <c r="AU1741" s="1"/>
      <c r="AV1741" s="1"/>
      <c r="AW1741" s="1"/>
      <c r="AX1741" s="1" t="s">
        <v>361</v>
      </c>
      <c r="AY1741" s="1" t="s">
        <v>20703</v>
      </c>
      <c r="AZ1741" s="1" t="s">
        <v>363</v>
      </c>
      <c r="BA1741" s="1" t="s">
        <v>1379</v>
      </c>
      <c r="BB1741" s="1">
        <v>63.5</v>
      </c>
      <c r="BC1741" s="1"/>
      <c r="BD1741" s="1"/>
      <c r="BE1741" s="1"/>
      <c r="BF1741" s="1"/>
      <c r="BG1741" s="1"/>
      <c r="BH1741" s="1"/>
      <c r="BI1741" s="1"/>
      <c r="BJ1741" s="1" t="s">
        <v>20704</v>
      </c>
      <c r="BK1741" s="1"/>
      <c r="BL1741" s="1"/>
      <c r="BM1741" s="1" t="s">
        <v>20705</v>
      </c>
      <c r="BN1741" s="1">
        <v>36</v>
      </c>
      <c r="BO1741" s="1"/>
      <c r="BP1741" s="1" t="str">
        <f>HYPERLINK("https://nconnect.nicmar.ac.in/storage/profile/ProfilePhoto_P25704036_238451.jpg","Download")</f>
        <v>0</v>
      </c>
      <c r="BQ1741" s="3"/>
      <c r="BR1741" s="3"/>
    </row>
    <row r="1742" spans="1:70">
      <c r="A1742" s="1" t="s">
        <v>17032</v>
      </c>
      <c r="B1742" s="1" t="s">
        <v>441</v>
      </c>
      <c r="C1742" s="1" t="s">
        <v>20706</v>
      </c>
      <c r="D1742" s="1" t="s">
        <v>2070</v>
      </c>
      <c r="E1742" s="1" t="s">
        <v>1442</v>
      </c>
      <c r="F1742" s="1" t="s">
        <v>1156</v>
      </c>
      <c r="G1742" s="1" t="s">
        <v>20707</v>
      </c>
      <c r="H1742" s="1" t="s">
        <v>20708</v>
      </c>
      <c r="I1742" s="1" t="s">
        <v>20709</v>
      </c>
      <c r="J1742" s="1">
        <v>9594412009</v>
      </c>
      <c r="K1742" s="1" t="s">
        <v>79</v>
      </c>
      <c r="L1742" s="1" t="s">
        <v>11018</v>
      </c>
      <c r="M1742" s="1" t="s">
        <v>81</v>
      </c>
      <c r="N1742" s="1" t="s">
        <v>4657</v>
      </c>
      <c r="O1742" s="1"/>
      <c r="P1742" s="1" t="s">
        <v>497</v>
      </c>
      <c r="Q1742" s="1" t="s">
        <v>20710</v>
      </c>
      <c r="R1742" s="1" t="s">
        <v>20711</v>
      </c>
      <c r="S1742" s="1">
        <v>9594412009</v>
      </c>
      <c r="T1742" s="1" t="s">
        <v>120</v>
      </c>
      <c r="U1742" s="1" t="s">
        <v>20712</v>
      </c>
      <c r="V1742" s="1">
        <v>8425089688</v>
      </c>
      <c r="W1742" s="1" t="s">
        <v>273</v>
      </c>
      <c r="X1742" s="1" t="s">
        <v>20713</v>
      </c>
      <c r="Y1742" s="1" t="s">
        <v>1166</v>
      </c>
      <c r="Z1742" s="1" t="s">
        <v>92</v>
      </c>
      <c r="AA1742" s="1" t="s">
        <v>20713</v>
      </c>
      <c r="AB1742" s="1" t="s">
        <v>1166</v>
      </c>
      <c r="AC1742" s="1" t="s">
        <v>92</v>
      </c>
      <c r="AD1742" s="1" t="s">
        <v>93</v>
      </c>
      <c r="AE1742" s="1" t="s">
        <v>93</v>
      </c>
      <c r="AF1742" s="1" t="s">
        <v>20714</v>
      </c>
      <c r="AG1742" s="1" t="s">
        <v>160</v>
      </c>
      <c r="AH1742" s="1" t="s">
        <v>162</v>
      </c>
      <c r="AI1742" s="1" t="s">
        <v>195</v>
      </c>
      <c r="AJ1742" s="1">
        <v>73</v>
      </c>
      <c r="AK1742" s="1"/>
      <c r="AL1742" s="1" t="s">
        <v>20715</v>
      </c>
      <c r="AM1742" s="1" t="s">
        <v>160</v>
      </c>
      <c r="AN1742" s="1" t="s">
        <v>165</v>
      </c>
      <c r="AO1742" s="1" t="s">
        <v>198</v>
      </c>
      <c r="AP1742" s="1">
        <v>55.23</v>
      </c>
      <c r="AQ1742" s="1"/>
      <c r="AR1742" s="1"/>
      <c r="AS1742" s="1"/>
      <c r="AT1742" s="1"/>
      <c r="AU1742" s="1"/>
      <c r="AV1742" s="1"/>
      <c r="AW1742" s="1"/>
      <c r="AX1742" s="1" t="s">
        <v>666</v>
      </c>
      <c r="AY1742" s="1" t="s">
        <v>20716</v>
      </c>
      <c r="AZ1742" s="1" t="s">
        <v>539</v>
      </c>
      <c r="BA1742" s="1" t="s">
        <v>543</v>
      </c>
      <c r="BB1742" s="1">
        <v>66.39</v>
      </c>
      <c r="BC1742" s="1">
        <v>7.35</v>
      </c>
      <c r="BD1742" s="1"/>
      <c r="BE1742" s="1"/>
      <c r="BF1742" s="1"/>
      <c r="BG1742" s="1"/>
      <c r="BH1742" s="1"/>
      <c r="BI1742" s="1"/>
      <c r="BJ1742" s="1" t="s">
        <v>20717</v>
      </c>
      <c r="BK1742" s="1"/>
      <c r="BL1742" s="1"/>
      <c r="BM1742" s="1" t="s">
        <v>20718</v>
      </c>
      <c r="BN1742" s="1">
        <v>24</v>
      </c>
      <c r="BO1742" s="1"/>
      <c r="BP1742" s="1" t="str">
        <f>HYPERLINK("https://nconnect.nicmar.ac.in/storage/profile/ProfilePhoto_P25704038_832517.jpg","Download")</f>
        <v>0</v>
      </c>
      <c r="BQ1742" s="3"/>
      <c r="BR1742" s="3"/>
    </row>
    <row r="1743" spans="1:70">
      <c r="A1743" s="1" t="s">
        <v>17032</v>
      </c>
      <c r="B1743" s="1" t="s">
        <v>13846</v>
      </c>
      <c r="C1743" s="1" t="s">
        <v>20719</v>
      </c>
      <c r="D1743" s="1"/>
      <c r="E1743" s="1"/>
      <c r="F1743" s="1"/>
      <c r="G1743" s="1"/>
      <c r="H1743" s="1" t="s">
        <v>20720</v>
      </c>
      <c r="I1743" s="1" t="s">
        <v>20720</v>
      </c>
      <c r="J1743" s="1"/>
      <c r="K1743" s="1"/>
      <c r="L1743" s="1"/>
      <c r="M1743" s="1"/>
      <c r="N1743" s="1"/>
      <c r="O1743" s="1"/>
      <c r="P1743" s="1"/>
      <c r="Q1743" s="1"/>
      <c r="R1743" s="1"/>
      <c r="S1743" s="1"/>
      <c r="T1743" s="1"/>
      <c r="U1743" s="1"/>
      <c r="V1743" s="1"/>
      <c r="W1743" s="1"/>
      <c r="X1743" s="1"/>
      <c r="Y1743" s="1"/>
      <c r="Z1743" s="1"/>
      <c r="AA1743" s="1"/>
      <c r="AB1743" s="1"/>
      <c r="AC1743" s="1"/>
      <c r="AD1743" s="1" t="s">
        <v>93</v>
      </c>
      <c r="AE1743" s="1" t="s">
        <v>93</v>
      </c>
      <c r="AF1743" s="1"/>
      <c r="AG1743" s="1"/>
      <c r="AH1743" s="1"/>
      <c r="AI1743" s="1"/>
      <c r="AJ1743" s="1"/>
      <c r="AK1743" s="1"/>
      <c r="AL1743" s="1"/>
      <c r="AM1743" s="1"/>
      <c r="AN1743" s="1"/>
      <c r="AO1743" s="1"/>
      <c r="AP1743" s="1"/>
      <c r="AQ1743" s="1"/>
      <c r="AR1743" s="1"/>
      <c r="AS1743" s="1"/>
      <c r="AT1743" s="1"/>
      <c r="AU1743" s="1"/>
      <c r="AV1743" s="1"/>
      <c r="AW1743" s="1"/>
      <c r="AX1743" s="1"/>
      <c r="AY1743" s="1"/>
      <c r="AZ1743" s="1"/>
      <c r="BA1743" s="1"/>
      <c r="BB1743" s="1"/>
      <c r="BC1743" s="1"/>
      <c r="BD1743" s="1"/>
      <c r="BE1743" s="1"/>
      <c r="BF1743" s="1"/>
      <c r="BG1743" s="1"/>
      <c r="BH1743" s="1"/>
      <c r="BI1743" s="1"/>
      <c r="BJ1743" s="1"/>
      <c r="BK1743" s="1"/>
      <c r="BL1743" s="1"/>
      <c r="BM1743" s="1"/>
      <c r="BN1743" s="1"/>
      <c r="BO1743" s="1"/>
      <c r="BP1743" s="1" t="s">
        <v>9609</v>
      </c>
      <c r="BQ1743" s="3"/>
      <c r="BR1743" s="3"/>
    </row>
    <row r="1744" spans="1:70">
      <c r="A1744" s="1" t="s">
        <v>17032</v>
      </c>
      <c r="B1744" s="1" t="s">
        <v>13846</v>
      </c>
      <c r="C1744" s="1" t="s">
        <v>20721</v>
      </c>
      <c r="D1744" s="1"/>
      <c r="E1744" s="1"/>
      <c r="F1744" s="1"/>
      <c r="G1744" s="1"/>
      <c r="H1744" s="1" t="s">
        <v>20722</v>
      </c>
      <c r="I1744" s="1" t="s">
        <v>20722</v>
      </c>
      <c r="J1744" s="1"/>
      <c r="K1744" s="1"/>
      <c r="L1744" s="1"/>
      <c r="M1744" s="1"/>
      <c r="N1744" s="1"/>
      <c r="O1744" s="1"/>
      <c r="P1744" s="1"/>
      <c r="Q1744" s="1"/>
      <c r="R1744" s="1"/>
      <c r="S1744" s="1"/>
      <c r="T1744" s="1"/>
      <c r="U1744" s="1"/>
      <c r="V1744" s="1"/>
      <c r="W1744" s="1"/>
      <c r="X1744" s="1"/>
      <c r="Y1744" s="1"/>
      <c r="Z1744" s="1"/>
      <c r="AA1744" s="1"/>
      <c r="AB1744" s="1"/>
      <c r="AC1744" s="1"/>
      <c r="AD1744" s="1" t="s">
        <v>93</v>
      </c>
      <c r="AE1744" s="1" t="s">
        <v>93</v>
      </c>
      <c r="AF1744" s="1"/>
      <c r="AG1744" s="1"/>
      <c r="AH1744" s="1"/>
      <c r="AI1744" s="1"/>
      <c r="AJ1744" s="1"/>
      <c r="AK1744" s="1"/>
      <c r="AL1744" s="1"/>
      <c r="AM1744" s="1"/>
      <c r="AN1744" s="1"/>
      <c r="AO1744" s="1"/>
      <c r="AP1744" s="1"/>
      <c r="AQ1744" s="1"/>
      <c r="AR1744" s="1"/>
      <c r="AS1744" s="1"/>
      <c r="AT1744" s="1"/>
      <c r="AU1744" s="1"/>
      <c r="AV1744" s="1"/>
      <c r="AW1744" s="1"/>
      <c r="AX1744" s="1"/>
      <c r="AY1744" s="1"/>
      <c r="AZ1744" s="1"/>
      <c r="BA1744" s="1"/>
      <c r="BB1744" s="1"/>
      <c r="BC1744" s="1"/>
      <c r="BD1744" s="1"/>
      <c r="BE1744" s="1"/>
      <c r="BF1744" s="1"/>
      <c r="BG1744" s="1"/>
      <c r="BH1744" s="1"/>
      <c r="BI1744" s="1"/>
      <c r="BJ1744" s="1"/>
      <c r="BK1744" s="1"/>
      <c r="BL1744" s="1"/>
      <c r="BM1744" s="1"/>
      <c r="BN1744" s="1"/>
      <c r="BO1744" s="1"/>
      <c r="BP1744" s="1" t="s">
        <v>9609</v>
      </c>
      <c r="BQ1744" s="3"/>
      <c r="BR1744" s="3"/>
    </row>
    <row r="1745" spans="1:70">
      <c r="A1745" s="1" t="s">
        <v>17032</v>
      </c>
      <c r="B1745" s="1" t="s">
        <v>13846</v>
      </c>
      <c r="C1745" s="1" t="s">
        <v>20723</v>
      </c>
      <c r="D1745" s="1"/>
      <c r="E1745" s="1"/>
      <c r="F1745" s="1"/>
      <c r="G1745" s="1"/>
      <c r="H1745" s="1" t="s">
        <v>20724</v>
      </c>
      <c r="I1745" s="1" t="s">
        <v>20724</v>
      </c>
      <c r="J1745" s="1"/>
      <c r="K1745" s="1"/>
      <c r="L1745" s="1"/>
      <c r="M1745" s="1"/>
      <c r="N1745" s="1"/>
      <c r="O1745" s="1"/>
      <c r="P1745" s="1"/>
      <c r="Q1745" s="1"/>
      <c r="R1745" s="1"/>
      <c r="S1745" s="1"/>
      <c r="T1745" s="1"/>
      <c r="U1745" s="1"/>
      <c r="V1745" s="1"/>
      <c r="W1745" s="1"/>
      <c r="X1745" s="1"/>
      <c r="Y1745" s="1"/>
      <c r="Z1745" s="1"/>
      <c r="AA1745" s="1"/>
      <c r="AB1745" s="1"/>
      <c r="AC1745" s="1"/>
      <c r="AD1745" s="1" t="s">
        <v>93</v>
      </c>
      <c r="AE1745" s="1" t="s">
        <v>93</v>
      </c>
      <c r="AF1745" s="1"/>
      <c r="AG1745" s="1"/>
      <c r="AH1745" s="1"/>
      <c r="AI1745" s="1"/>
      <c r="AJ1745" s="1"/>
      <c r="AK1745" s="1"/>
      <c r="AL1745" s="1"/>
      <c r="AM1745" s="1"/>
      <c r="AN1745" s="1"/>
      <c r="AO1745" s="1"/>
      <c r="AP1745" s="1"/>
      <c r="AQ1745" s="1"/>
      <c r="AR1745" s="1"/>
      <c r="AS1745" s="1"/>
      <c r="AT1745" s="1"/>
      <c r="AU1745" s="1"/>
      <c r="AV1745" s="1"/>
      <c r="AW1745" s="1"/>
      <c r="AX1745" s="1"/>
      <c r="AY1745" s="1"/>
      <c r="AZ1745" s="1"/>
      <c r="BA1745" s="1"/>
      <c r="BB1745" s="1"/>
      <c r="BC1745" s="1"/>
      <c r="BD1745" s="1"/>
      <c r="BE1745" s="1"/>
      <c r="BF1745" s="1"/>
      <c r="BG1745" s="1"/>
      <c r="BH1745" s="1"/>
      <c r="BI1745" s="1"/>
      <c r="BJ1745" s="1"/>
      <c r="BK1745" s="1"/>
      <c r="BL1745" s="1"/>
      <c r="BM1745" s="1"/>
      <c r="BN1745" s="1"/>
      <c r="BO1745" s="1"/>
      <c r="BP1745" s="1" t="s">
        <v>9609</v>
      </c>
      <c r="BQ1745" s="3"/>
      <c r="BR1745" s="3"/>
    </row>
    <row r="1746" spans="1:70">
      <c r="A1746" s="1" t="s">
        <v>17032</v>
      </c>
      <c r="B1746" s="1" t="s">
        <v>13846</v>
      </c>
      <c r="C1746" s="1" t="s">
        <v>20725</v>
      </c>
      <c r="D1746" s="1"/>
      <c r="E1746" s="1"/>
      <c r="F1746" s="1"/>
      <c r="G1746" s="1"/>
      <c r="H1746" s="1" t="s">
        <v>20726</v>
      </c>
      <c r="I1746" s="1" t="s">
        <v>20726</v>
      </c>
      <c r="J1746" s="1"/>
      <c r="K1746" s="1"/>
      <c r="L1746" s="1"/>
      <c r="M1746" s="1"/>
      <c r="N1746" s="1"/>
      <c r="O1746" s="1"/>
      <c r="P1746" s="1"/>
      <c r="Q1746" s="1"/>
      <c r="R1746" s="1"/>
      <c r="S1746" s="1"/>
      <c r="T1746" s="1"/>
      <c r="U1746" s="1"/>
      <c r="V1746" s="1"/>
      <c r="W1746" s="1"/>
      <c r="X1746" s="1"/>
      <c r="Y1746" s="1"/>
      <c r="Z1746" s="1"/>
      <c r="AA1746" s="1"/>
      <c r="AB1746" s="1"/>
      <c r="AC1746" s="1"/>
      <c r="AD1746" s="1" t="s">
        <v>93</v>
      </c>
      <c r="AE1746" s="1" t="s">
        <v>93</v>
      </c>
      <c r="AF1746" s="1"/>
      <c r="AG1746" s="1"/>
      <c r="AH1746" s="1"/>
      <c r="AI1746" s="1"/>
      <c r="AJ1746" s="1"/>
      <c r="AK1746" s="1"/>
      <c r="AL1746" s="1"/>
      <c r="AM1746" s="1"/>
      <c r="AN1746" s="1"/>
      <c r="AO1746" s="1"/>
      <c r="AP1746" s="1"/>
      <c r="AQ1746" s="1"/>
      <c r="AR1746" s="1"/>
      <c r="AS1746" s="1"/>
      <c r="AT1746" s="1"/>
      <c r="AU1746" s="1"/>
      <c r="AV1746" s="1"/>
      <c r="AW1746" s="1"/>
      <c r="AX1746" s="1"/>
      <c r="AY1746" s="1"/>
      <c r="AZ1746" s="1"/>
      <c r="BA1746" s="1"/>
      <c r="BB1746" s="1"/>
      <c r="BC1746" s="1"/>
      <c r="BD1746" s="1"/>
      <c r="BE1746" s="1"/>
      <c r="BF1746" s="1"/>
      <c r="BG1746" s="1"/>
      <c r="BH1746" s="1"/>
      <c r="BI1746" s="1"/>
      <c r="BJ1746" s="1"/>
      <c r="BK1746" s="1"/>
      <c r="BL1746" s="1"/>
      <c r="BM1746" s="1"/>
      <c r="BN1746" s="1"/>
      <c r="BO1746" s="1"/>
      <c r="BP1746" s="1" t="s">
        <v>9609</v>
      </c>
      <c r="BQ1746" s="3"/>
      <c r="BR1746" s="3"/>
    </row>
    <row r="1747" spans="1:70">
      <c r="A1747" s="1" t="s">
        <v>17032</v>
      </c>
      <c r="B1747" s="1" t="s">
        <v>13846</v>
      </c>
      <c r="C1747" s="1" t="s">
        <v>20727</v>
      </c>
      <c r="D1747" s="1"/>
      <c r="E1747" s="1"/>
      <c r="F1747" s="1"/>
      <c r="G1747" s="1"/>
      <c r="H1747" s="1" t="s">
        <v>20728</v>
      </c>
      <c r="I1747" s="1" t="s">
        <v>20728</v>
      </c>
      <c r="J1747" s="1"/>
      <c r="K1747" s="1"/>
      <c r="L1747" s="1"/>
      <c r="M1747" s="1"/>
      <c r="N1747" s="1"/>
      <c r="O1747" s="1"/>
      <c r="P1747" s="1"/>
      <c r="Q1747" s="1"/>
      <c r="R1747" s="1"/>
      <c r="S1747" s="1"/>
      <c r="T1747" s="1"/>
      <c r="U1747" s="1"/>
      <c r="V1747" s="1"/>
      <c r="W1747" s="1"/>
      <c r="X1747" s="1"/>
      <c r="Y1747" s="1"/>
      <c r="Z1747" s="1"/>
      <c r="AA1747" s="1"/>
      <c r="AB1747" s="1"/>
      <c r="AC1747" s="1"/>
      <c r="AD1747" s="1" t="s">
        <v>93</v>
      </c>
      <c r="AE1747" s="1" t="s">
        <v>93</v>
      </c>
      <c r="AF1747" s="1"/>
      <c r="AG1747" s="1"/>
      <c r="AH1747" s="1"/>
      <c r="AI1747" s="1"/>
      <c r="AJ1747" s="1"/>
      <c r="AK1747" s="1"/>
      <c r="AL1747" s="1"/>
      <c r="AM1747" s="1"/>
      <c r="AN1747" s="1"/>
      <c r="AO1747" s="1"/>
      <c r="AP1747" s="1"/>
      <c r="AQ1747" s="1"/>
      <c r="AR1747" s="1"/>
      <c r="AS1747" s="1"/>
      <c r="AT1747" s="1"/>
      <c r="AU1747" s="1"/>
      <c r="AV1747" s="1"/>
      <c r="AW1747" s="1"/>
      <c r="AX1747" s="1"/>
      <c r="AY1747" s="1"/>
      <c r="AZ1747" s="1"/>
      <c r="BA1747" s="1"/>
      <c r="BB1747" s="1"/>
      <c r="BC1747" s="1"/>
      <c r="BD1747" s="1"/>
      <c r="BE1747" s="1"/>
      <c r="BF1747" s="1"/>
      <c r="BG1747" s="1"/>
      <c r="BH1747" s="1"/>
      <c r="BI1747" s="1"/>
      <c r="BJ1747" s="1"/>
      <c r="BK1747" s="1"/>
      <c r="BL1747" s="1"/>
      <c r="BM1747" s="1"/>
      <c r="BN1747" s="1"/>
      <c r="BO1747" s="1"/>
      <c r="BP1747" s="1" t="s">
        <v>9609</v>
      </c>
      <c r="BQ1747" s="3"/>
      <c r="BR1747" s="3"/>
    </row>
    <row r="1748" spans="1:70">
      <c r="A1748" s="1" t="s">
        <v>17032</v>
      </c>
      <c r="B1748" s="1" t="s">
        <v>13846</v>
      </c>
      <c r="C1748" s="1" t="s">
        <v>20729</v>
      </c>
      <c r="D1748" s="1"/>
      <c r="E1748" s="1"/>
      <c r="F1748" s="1"/>
      <c r="G1748" s="1"/>
      <c r="H1748" s="1" t="s">
        <v>20730</v>
      </c>
      <c r="I1748" s="1" t="s">
        <v>20730</v>
      </c>
      <c r="J1748" s="1"/>
      <c r="K1748" s="1"/>
      <c r="L1748" s="1"/>
      <c r="M1748" s="1"/>
      <c r="N1748" s="1"/>
      <c r="O1748" s="1"/>
      <c r="P1748" s="1"/>
      <c r="Q1748" s="1"/>
      <c r="R1748" s="1"/>
      <c r="S1748" s="1"/>
      <c r="T1748" s="1"/>
      <c r="U1748" s="1"/>
      <c r="V1748" s="1"/>
      <c r="W1748" s="1"/>
      <c r="X1748" s="1"/>
      <c r="Y1748" s="1"/>
      <c r="Z1748" s="1"/>
      <c r="AA1748" s="1"/>
      <c r="AB1748" s="1"/>
      <c r="AC1748" s="1"/>
      <c r="AD1748" s="1" t="s">
        <v>93</v>
      </c>
      <c r="AE1748" s="1" t="s">
        <v>93</v>
      </c>
      <c r="AF1748" s="1"/>
      <c r="AG1748" s="1"/>
      <c r="AH1748" s="1"/>
      <c r="AI1748" s="1"/>
      <c r="AJ1748" s="1"/>
      <c r="AK1748" s="1"/>
      <c r="AL1748" s="1"/>
      <c r="AM1748" s="1"/>
      <c r="AN1748" s="1"/>
      <c r="AO1748" s="1"/>
      <c r="AP1748" s="1"/>
      <c r="AQ1748" s="1"/>
      <c r="AR1748" s="1"/>
      <c r="AS1748" s="1"/>
      <c r="AT1748" s="1"/>
      <c r="AU1748" s="1"/>
      <c r="AV1748" s="1"/>
      <c r="AW1748" s="1"/>
      <c r="AX1748" s="1"/>
      <c r="AY1748" s="1"/>
      <c r="AZ1748" s="1"/>
      <c r="BA1748" s="1"/>
      <c r="BB1748" s="1"/>
      <c r="BC1748" s="1"/>
      <c r="BD1748" s="1"/>
      <c r="BE1748" s="1"/>
      <c r="BF1748" s="1"/>
      <c r="BG1748" s="1"/>
      <c r="BH1748" s="1"/>
      <c r="BI1748" s="1"/>
      <c r="BJ1748" s="1"/>
      <c r="BK1748" s="1"/>
      <c r="BL1748" s="1"/>
      <c r="BM1748" s="1"/>
      <c r="BN1748" s="1"/>
      <c r="BO1748" s="1"/>
      <c r="BP1748" s="1" t="s">
        <v>9609</v>
      </c>
      <c r="BQ1748" s="3"/>
      <c r="BR1748" s="3"/>
    </row>
    <row r="1749" spans="1:70">
      <c r="A1749" s="1" t="s">
        <v>17032</v>
      </c>
      <c r="B1749" s="1" t="s">
        <v>13846</v>
      </c>
      <c r="C1749" s="1" t="s">
        <v>20731</v>
      </c>
      <c r="D1749" s="1"/>
      <c r="E1749" s="1"/>
      <c r="F1749" s="1"/>
      <c r="G1749" s="1"/>
      <c r="H1749" s="1" t="s">
        <v>20732</v>
      </c>
      <c r="I1749" s="1" t="s">
        <v>20732</v>
      </c>
      <c r="J1749" s="1"/>
      <c r="K1749" s="1"/>
      <c r="L1749" s="1"/>
      <c r="M1749" s="1"/>
      <c r="N1749" s="1"/>
      <c r="O1749" s="1"/>
      <c r="P1749" s="1"/>
      <c r="Q1749" s="1"/>
      <c r="R1749" s="1"/>
      <c r="S1749" s="1"/>
      <c r="T1749" s="1"/>
      <c r="U1749" s="1"/>
      <c r="V1749" s="1"/>
      <c r="W1749" s="1"/>
      <c r="X1749" s="1"/>
      <c r="Y1749" s="1"/>
      <c r="Z1749" s="1"/>
      <c r="AA1749" s="1"/>
      <c r="AB1749" s="1"/>
      <c r="AC1749" s="1"/>
      <c r="AD1749" s="1" t="s">
        <v>93</v>
      </c>
      <c r="AE1749" s="1" t="s">
        <v>93</v>
      </c>
      <c r="AF1749" s="1"/>
      <c r="AG1749" s="1"/>
      <c r="AH1749" s="1"/>
      <c r="AI1749" s="1"/>
      <c r="AJ1749" s="1"/>
      <c r="AK1749" s="1"/>
      <c r="AL1749" s="1"/>
      <c r="AM1749" s="1"/>
      <c r="AN1749" s="1"/>
      <c r="AO1749" s="1"/>
      <c r="AP1749" s="1"/>
      <c r="AQ1749" s="1"/>
      <c r="AR1749" s="1"/>
      <c r="AS1749" s="1"/>
      <c r="AT1749" s="1"/>
      <c r="AU1749" s="1"/>
      <c r="AV1749" s="1"/>
      <c r="AW1749" s="1"/>
      <c r="AX1749" s="1"/>
      <c r="AY1749" s="1"/>
      <c r="AZ1749" s="1"/>
      <c r="BA1749" s="1"/>
      <c r="BB1749" s="1"/>
      <c r="BC1749" s="1"/>
      <c r="BD1749" s="1"/>
      <c r="BE1749" s="1"/>
      <c r="BF1749" s="1"/>
      <c r="BG1749" s="1"/>
      <c r="BH1749" s="1"/>
      <c r="BI1749" s="1"/>
      <c r="BJ1749" s="1"/>
      <c r="BK1749" s="1"/>
      <c r="BL1749" s="1"/>
      <c r="BM1749" s="1"/>
      <c r="BN1749" s="1"/>
      <c r="BO1749" s="1"/>
      <c r="BP1749" s="1" t="s">
        <v>9609</v>
      </c>
      <c r="BQ1749" s="3"/>
      <c r="BR1749" s="3"/>
    </row>
    <row r="1750" spans="1:70">
      <c r="A1750" s="1" t="s">
        <v>17032</v>
      </c>
      <c r="B1750" s="1" t="s">
        <v>13846</v>
      </c>
      <c r="C1750" s="1" t="s">
        <v>20733</v>
      </c>
      <c r="D1750" s="1"/>
      <c r="E1750" s="1"/>
      <c r="F1750" s="1"/>
      <c r="G1750" s="1"/>
      <c r="H1750" s="1" t="s">
        <v>20734</v>
      </c>
      <c r="I1750" s="1" t="s">
        <v>20734</v>
      </c>
      <c r="J1750" s="1"/>
      <c r="K1750" s="1"/>
      <c r="L1750" s="1"/>
      <c r="M1750" s="1"/>
      <c r="N1750" s="1"/>
      <c r="O1750" s="1"/>
      <c r="P1750" s="1"/>
      <c r="Q1750" s="1"/>
      <c r="R1750" s="1"/>
      <c r="S1750" s="1"/>
      <c r="T1750" s="1"/>
      <c r="U1750" s="1"/>
      <c r="V1750" s="1"/>
      <c r="W1750" s="1"/>
      <c r="X1750" s="1"/>
      <c r="Y1750" s="1"/>
      <c r="Z1750" s="1"/>
      <c r="AA1750" s="1"/>
      <c r="AB1750" s="1"/>
      <c r="AC1750" s="1"/>
      <c r="AD1750" s="1" t="s">
        <v>93</v>
      </c>
      <c r="AE1750" s="1" t="s">
        <v>93</v>
      </c>
      <c r="AF1750" s="1"/>
      <c r="AG1750" s="1"/>
      <c r="AH1750" s="1"/>
      <c r="AI1750" s="1"/>
      <c r="AJ1750" s="1"/>
      <c r="AK1750" s="1"/>
      <c r="AL1750" s="1"/>
      <c r="AM1750" s="1"/>
      <c r="AN1750" s="1"/>
      <c r="AO1750" s="1"/>
      <c r="AP1750" s="1"/>
      <c r="AQ1750" s="1"/>
      <c r="AR1750" s="1"/>
      <c r="AS1750" s="1"/>
      <c r="AT1750" s="1"/>
      <c r="AU1750" s="1"/>
      <c r="AV1750" s="1"/>
      <c r="AW1750" s="1"/>
      <c r="AX1750" s="1"/>
      <c r="AY1750" s="1"/>
      <c r="AZ1750" s="1"/>
      <c r="BA1750" s="1"/>
      <c r="BB1750" s="1"/>
      <c r="BC1750" s="1"/>
      <c r="BD1750" s="1"/>
      <c r="BE1750" s="1"/>
      <c r="BF1750" s="1"/>
      <c r="BG1750" s="1"/>
      <c r="BH1750" s="1"/>
      <c r="BI1750" s="1"/>
      <c r="BJ1750" s="1"/>
      <c r="BK1750" s="1"/>
      <c r="BL1750" s="1"/>
      <c r="BM1750" s="1"/>
      <c r="BN1750" s="1"/>
      <c r="BO1750" s="1"/>
      <c r="BP1750" s="1" t="s">
        <v>9609</v>
      </c>
      <c r="BQ1750" s="3"/>
      <c r="BR1750" s="3"/>
    </row>
    <row r="1751" spans="1:70">
      <c r="A1751" s="1" t="s">
        <v>17032</v>
      </c>
      <c r="B1751" s="1" t="s">
        <v>13846</v>
      </c>
      <c r="C1751" s="1" t="s">
        <v>20735</v>
      </c>
      <c r="D1751" s="1"/>
      <c r="E1751" s="1"/>
      <c r="F1751" s="1"/>
      <c r="G1751" s="1"/>
      <c r="H1751" s="1" t="s">
        <v>20736</v>
      </c>
      <c r="I1751" s="1" t="s">
        <v>20736</v>
      </c>
      <c r="J1751" s="1"/>
      <c r="K1751" s="1"/>
      <c r="L1751" s="1"/>
      <c r="M1751" s="1"/>
      <c r="N1751" s="1"/>
      <c r="O1751" s="1"/>
      <c r="P1751" s="1"/>
      <c r="Q1751" s="1"/>
      <c r="R1751" s="1"/>
      <c r="S1751" s="1"/>
      <c r="T1751" s="1"/>
      <c r="U1751" s="1"/>
      <c r="V1751" s="1"/>
      <c r="W1751" s="1"/>
      <c r="X1751" s="1"/>
      <c r="Y1751" s="1"/>
      <c r="Z1751" s="1"/>
      <c r="AA1751" s="1"/>
      <c r="AB1751" s="1"/>
      <c r="AC1751" s="1"/>
      <c r="AD1751" s="1" t="s">
        <v>93</v>
      </c>
      <c r="AE1751" s="1" t="s">
        <v>93</v>
      </c>
      <c r="AF1751" s="1"/>
      <c r="AG1751" s="1"/>
      <c r="AH1751" s="1"/>
      <c r="AI1751" s="1"/>
      <c r="AJ1751" s="1"/>
      <c r="AK1751" s="1"/>
      <c r="AL1751" s="1"/>
      <c r="AM1751" s="1"/>
      <c r="AN1751" s="1"/>
      <c r="AO1751" s="1"/>
      <c r="AP1751" s="1"/>
      <c r="AQ1751" s="1"/>
      <c r="AR1751" s="1"/>
      <c r="AS1751" s="1"/>
      <c r="AT1751" s="1"/>
      <c r="AU1751" s="1"/>
      <c r="AV1751" s="1"/>
      <c r="AW1751" s="1"/>
      <c r="AX1751" s="1"/>
      <c r="AY1751" s="1"/>
      <c r="AZ1751" s="1"/>
      <c r="BA1751" s="1"/>
      <c r="BB1751" s="1"/>
      <c r="BC1751" s="1"/>
      <c r="BD1751" s="1"/>
      <c r="BE1751" s="1"/>
      <c r="BF1751" s="1"/>
      <c r="BG1751" s="1"/>
      <c r="BH1751" s="1"/>
      <c r="BI1751" s="1"/>
      <c r="BJ1751" s="1"/>
      <c r="BK1751" s="1"/>
      <c r="BL1751" s="1"/>
      <c r="BM1751" s="1"/>
      <c r="BN1751" s="1"/>
      <c r="BO1751" s="1"/>
      <c r="BP1751" s="1" t="s">
        <v>9609</v>
      </c>
      <c r="BQ1751" s="3"/>
      <c r="BR1751" s="3"/>
    </row>
    <row r="1752" spans="1:70">
      <c r="A1752" s="1" t="s">
        <v>17032</v>
      </c>
      <c r="B1752" s="1" t="s">
        <v>13846</v>
      </c>
      <c r="C1752" s="1" t="s">
        <v>20737</v>
      </c>
      <c r="D1752" s="1"/>
      <c r="E1752" s="1"/>
      <c r="F1752" s="1"/>
      <c r="G1752" s="1"/>
      <c r="H1752" s="1" t="s">
        <v>20738</v>
      </c>
      <c r="I1752" s="1" t="s">
        <v>20738</v>
      </c>
      <c r="J1752" s="1"/>
      <c r="K1752" s="1"/>
      <c r="L1752" s="1"/>
      <c r="M1752" s="1"/>
      <c r="N1752" s="1"/>
      <c r="O1752" s="1"/>
      <c r="P1752" s="1"/>
      <c r="Q1752" s="1"/>
      <c r="R1752" s="1"/>
      <c r="S1752" s="1"/>
      <c r="T1752" s="1"/>
      <c r="U1752" s="1"/>
      <c r="V1752" s="1"/>
      <c r="W1752" s="1"/>
      <c r="X1752" s="1"/>
      <c r="Y1752" s="1"/>
      <c r="Z1752" s="1"/>
      <c r="AA1752" s="1"/>
      <c r="AB1752" s="1"/>
      <c r="AC1752" s="1"/>
      <c r="AD1752" s="1" t="s">
        <v>93</v>
      </c>
      <c r="AE1752" s="1" t="s">
        <v>93</v>
      </c>
      <c r="AF1752" s="1"/>
      <c r="AG1752" s="1"/>
      <c r="AH1752" s="1"/>
      <c r="AI1752" s="1"/>
      <c r="AJ1752" s="1"/>
      <c r="AK1752" s="1"/>
      <c r="AL1752" s="1"/>
      <c r="AM1752" s="1"/>
      <c r="AN1752" s="1"/>
      <c r="AO1752" s="1"/>
      <c r="AP1752" s="1"/>
      <c r="AQ1752" s="1"/>
      <c r="AR1752" s="1"/>
      <c r="AS1752" s="1"/>
      <c r="AT1752" s="1"/>
      <c r="AU1752" s="1"/>
      <c r="AV1752" s="1"/>
      <c r="AW1752" s="1"/>
      <c r="AX1752" s="1"/>
      <c r="AY1752" s="1"/>
      <c r="AZ1752" s="1"/>
      <c r="BA1752" s="1"/>
      <c r="BB1752" s="1"/>
      <c r="BC1752" s="1"/>
      <c r="BD1752" s="1"/>
      <c r="BE1752" s="1"/>
      <c r="BF1752" s="1"/>
      <c r="BG1752" s="1"/>
      <c r="BH1752" s="1"/>
      <c r="BI1752" s="1"/>
      <c r="BJ1752" s="1"/>
      <c r="BK1752" s="1"/>
      <c r="BL1752" s="1"/>
      <c r="BM1752" s="1"/>
      <c r="BN1752" s="1"/>
      <c r="BO1752" s="1"/>
      <c r="BP1752" s="1" t="s">
        <v>9609</v>
      </c>
      <c r="BQ1752" s="3"/>
      <c r="BR1752" s="3"/>
    </row>
    <row r="1753" spans="1:70">
      <c r="A1753" s="1" t="s">
        <v>17032</v>
      </c>
      <c r="B1753" s="1" t="s">
        <v>13846</v>
      </c>
      <c r="C1753" s="1" t="s">
        <v>20739</v>
      </c>
      <c r="D1753" s="1"/>
      <c r="E1753" s="1"/>
      <c r="F1753" s="1"/>
      <c r="G1753" s="1"/>
      <c r="H1753" s="1" t="s">
        <v>20740</v>
      </c>
      <c r="I1753" s="1" t="s">
        <v>20740</v>
      </c>
      <c r="J1753" s="1"/>
      <c r="K1753" s="1"/>
      <c r="L1753" s="1"/>
      <c r="M1753" s="1"/>
      <c r="N1753" s="1"/>
      <c r="O1753" s="1"/>
      <c r="P1753" s="1"/>
      <c r="Q1753" s="1"/>
      <c r="R1753" s="1"/>
      <c r="S1753" s="1"/>
      <c r="T1753" s="1"/>
      <c r="U1753" s="1"/>
      <c r="V1753" s="1"/>
      <c r="W1753" s="1"/>
      <c r="X1753" s="1"/>
      <c r="Y1753" s="1"/>
      <c r="Z1753" s="1"/>
      <c r="AA1753" s="1"/>
      <c r="AB1753" s="1"/>
      <c r="AC1753" s="1"/>
      <c r="AD1753" s="1" t="s">
        <v>93</v>
      </c>
      <c r="AE1753" s="1" t="s">
        <v>93</v>
      </c>
      <c r="AF1753" s="1"/>
      <c r="AG1753" s="1"/>
      <c r="AH1753" s="1"/>
      <c r="AI1753" s="1"/>
      <c r="AJ1753" s="1"/>
      <c r="AK1753" s="1"/>
      <c r="AL1753" s="1"/>
      <c r="AM1753" s="1"/>
      <c r="AN1753" s="1"/>
      <c r="AO1753" s="1"/>
      <c r="AP1753" s="1"/>
      <c r="AQ1753" s="1"/>
      <c r="AR1753" s="1"/>
      <c r="AS1753" s="1"/>
      <c r="AT1753" s="1"/>
      <c r="AU1753" s="1"/>
      <c r="AV1753" s="1"/>
      <c r="AW1753" s="1"/>
      <c r="AX1753" s="1"/>
      <c r="AY1753" s="1"/>
      <c r="AZ1753" s="1"/>
      <c r="BA1753" s="1"/>
      <c r="BB1753" s="1"/>
      <c r="BC1753" s="1"/>
      <c r="BD1753" s="1"/>
      <c r="BE1753" s="1"/>
      <c r="BF1753" s="1"/>
      <c r="BG1753" s="1"/>
      <c r="BH1753" s="1"/>
      <c r="BI1753" s="1"/>
      <c r="BJ1753" s="1"/>
      <c r="BK1753" s="1"/>
      <c r="BL1753" s="1"/>
      <c r="BM1753" s="1"/>
      <c r="BN1753" s="1"/>
      <c r="BO1753" s="1"/>
      <c r="BP1753" s="1" t="s">
        <v>9609</v>
      </c>
      <c r="BQ1753" s="3"/>
      <c r="BR1753" s="3"/>
    </row>
    <row r="1754" spans="1:70">
      <c r="A1754" s="1" t="s">
        <v>17032</v>
      </c>
      <c r="B1754" s="1" t="s">
        <v>13846</v>
      </c>
      <c r="C1754" s="1" t="s">
        <v>20741</v>
      </c>
      <c r="D1754" s="1"/>
      <c r="E1754" s="1"/>
      <c r="F1754" s="1"/>
      <c r="G1754" s="1"/>
      <c r="H1754" s="1" t="s">
        <v>20742</v>
      </c>
      <c r="I1754" s="1" t="s">
        <v>20742</v>
      </c>
      <c r="J1754" s="1"/>
      <c r="K1754" s="1"/>
      <c r="L1754" s="1"/>
      <c r="M1754" s="1"/>
      <c r="N1754" s="1"/>
      <c r="O1754" s="1"/>
      <c r="P1754" s="1"/>
      <c r="Q1754" s="1"/>
      <c r="R1754" s="1"/>
      <c r="S1754" s="1"/>
      <c r="T1754" s="1"/>
      <c r="U1754" s="1"/>
      <c r="V1754" s="1"/>
      <c r="W1754" s="1"/>
      <c r="X1754" s="1"/>
      <c r="Y1754" s="1"/>
      <c r="Z1754" s="1"/>
      <c r="AA1754" s="1"/>
      <c r="AB1754" s="1"/>
      <c r="AC1754" s="1"/>
      <c r="AD1754" s="1" t="s">
        <v>93</v>
      </c>
      <c r="AE1754" s="1" t="s">
        <v>93</v>
      </c>
      <c r="AF1754" s="1"/>
      <c r="AG1754" s="1"/>
      <c r="AH1754" s="1"/>
      <c r="AI1754" s="1"/>
      <c r="AJ1754" s="1"/>
      <c r="AK1754" s="1"/>
      <c r="AL1754" s="1"/>
      <c r="AM1754" s="1"/>
      <c r="AN1754" s="1"/>
      <c r="AO1754" s="1"/>
      <c r="AP1754" s="1"/>
      <c r="AQ1754" s="1"/>
      <c r="AR1754" s="1"/>
      <c r="AS1754" s="1"/>
      <c r="AT1754" s="1"/>
      <c r="AU1754" s="1"/>
      <c r="AV1754" s="1"/>
      <c r="AW1754" s="1"/>
      <c r="AX1754" s="1"/>
      <c r="AY1754" s="1"/>
      <c r="AZ1754" s="1"/>
      <c r="BA1754" s="1"/>
      <c r="BB1754" s="1"/>
      <c r="BC1754" s="1"/>
      <c r="BD1754" s="1"/>
      <c r="BE1754" s="1"/>
      <c r="BF1754" s="1"/>
      <c r="BG1754" s="1"/>
      <c r="BH1754" s="1"/>
      <c r="BI1754" s="1"/>
      <c r="BJ1754" s="1"/>
      <c r="BK1754" s="1"/>
      <c r="BL1754" s="1"/>
      <c r="BM1754" s="1"/>
      <c r="BN1754" s="1"/>
      <c r="BO1754" s="1"/>
      <c r="BP1754" s="1" t="s">
        <v>9609</v>
      </c>
      <c r="BQ1754" s="3"/>
      <c r="BR1754" s="3"/>
    </row>
    <row r="1755" spans="1:70">
      <c r="A1755" s="1" t="s">
        <v>17032</v>
      </c>
      <c r="B1755" s="1" t="s">
        <v>13846</v>
      </c>
      <c r="C1755" s="1" t="s">
        <v>20743</v>
      </c>
      <c r="D1755" s="1"/>
      <c r="E1755" s="1"/>
      <c r="F1755" s="1"/>
      <c r="G1755" s="1"/>
      <c r="H1755" s="1" t="s">
        <v>20744</v>
      </c>
      <c r="I1755" s="1" t="s">
        <v>20744</v>
      </c>
      <c r="J1755" s="1"/>
      <c r="K1755" s="1"/>
      <c r="L1755" s="1"/>
      <c r="M1755" s="1"/>
      <c r="N1755" s="1"/>
      <c r="O1755" s="1"/>
      <c r="P1755" s="1"/>
      <c r="Q1755" s="1"/>
      <c r="R1755" s="1"/>
      <c r="S1755" s="1"/>
      <c r="T1755" s="1"/>
      <c r="U1755" s="1"/>
      <c r="V1755" s="1"/>
      <c r="W1755" s="1"/>
      <c r="X1755" s="1"/>
      <c r="Y1755" s="1"/>
      <c r="Z1755" s="1"/>
      <c r="AA1755" s="1"/>
      <c r="AB1755" s="1"/>
      <c r="AC1755" s="1"/>
      <c r="AD1755" s="1" t="s">
        <v>93</v>
      </c>
      <c r="AE1755" s="1" t="s">
        <v>93</v>
      </c>
      <c r="AF1755" s="1"/>
      <c r="AG1755" s="1"/>
      <c r="AH1755" s="1"/>
      <c r="AI1755" s="1"/>
      <c r="AJ1755" s="1"/>
      <c r="AK1755" s="1"/>
      <c r="AL1755" s="1"/>
      <c r="AM1755" s="1"/>
      <c r="AN1755" s="1"/>
      <c r="AO1755" s="1"/>
      <c r="AP1755" s="1"/>
      <c r="AQ1755" s="1"/>
      <c r="AR1755" s="1"/>
      <c r="AS1755" s="1"/>
      <c r="AT1755" s="1"/>
      <c r="AU1755" s="1"/>
      <c r="AV1755" s="1"/>
      <c r="AW1755" s="1"/>
      <c r="AX1755" s="1"/>
      <c r="AY1755" s="1"/>
      <c r="AZ1755" s="1"/>
      <c r="BA1755" s="1"/>
      <c r="BB1755" s="1"/>
      <c r="BC1755" s="1"/>
      <c r="BD1755" s="1"/>
      <c r="BE1755" s="1"/>
      <c r="BF1755" s="1"/>
      <c r="BG1755" s="1"/>
      <c r="BH1755" s="1"/>
      <c r="BI1755" s="1"/>
      <c r="BJ1755" s="1"/>
      <c r="BK1755" s="1"/>
      <c r="BL1755" s="1"/>
      <c r="BM1755" s="1"/>
      <c r="BN1755" s="1"/>
      <c r="BO1755" s="1"/>
      <c r="BP1755" s="1" t="s">
        <v>9609</v>
      </c>
      <c r="BQ1755" s="3"/>
      <c r="BR1755" s="3"/>
    </row>
    <row r="1756" spans="1:70">
      <c r="A1756" s="1" t="s">
        <v>17032</v>
      </c>
      <c r="B1756" s="1" t="s">
        <v>13846</v>
      </c>
      <c r="C1756" s="1" t="s">
        <v>20745</v>
      </c>
      <c r="D1756" s="1"/>
      <c r="E1756" s="1"/>
      <c r="F1756" s="1"/>
      <c r="G1756" s="1"/>
      <c r="H1756" s="1" t="s">
        <v>20746</v>
      </c>
      <c r="I1756" s="1" t="s">
        <v>20746</v>
      </c>
      <c r="J1756" s="1"/>
      <c r="K1756" s="1"/>
      <c r="L1756" s="1"/>
      <c r="M1756" s="1"/>
      <c r="N1756" s="1"/>
      <c r="O1756" s="1"/>
      <c r="P1756" s="1"/>
      <c r="Q1756" s="1"/>
      <c r="R1756" s="1"/>
      <c r="S1756" s="1"/>
      <c r="T1756" s="1"/>
      <c r="U1756" s="1"/>
      <c r="V1756" s="1"/>
      <c r="W1756" s="1"/>
      <c r="X1756" s="1"/>
      <c r="Y1756" s="1"/>
      <c r="Z1756" s="1"/>
      <c r="AA1756" s="1"/>
      <c r="AB1756" s="1"/>
      <c r="AC1756" s="1"/>
      <c r="AD1756" s="1" t="s">
        <v>93</v>
      </c>
      <c r="AE1756" s="1" t="s">
        <v>93</v>
      </c>
      <c r="AF1756" s="1"/>
      <c r="AG1756" s="1"/>
      <c r="AH1756" s="1"/>
      <c r="AI1756" s="1"/>
      <c r="AJ1756" s="1"/>
      <c r="AK1756" s="1"/>
      <c r="AL1756" s="1"/>
      <c r="AM1756" s="1"/>
      <c r="AN1756" s="1"/>
      <c r="AO1756" s="1"/>
      <c r="AP1756" s="1"/>
      <c r="AQ1756" s="1"/>
      <c r="AR1756" s="1"/>
      <c r="AS1756" s="1"/>
      <c r="AT1756" s="1"/>
      <c r="AU1756" s="1"/>
      <c r="AV1756" s="1"/>
      <c r="AW1756" s="1"/>
      <c r="AX1756" s="1"/>
      <c r="AY1756" s="1"/>
      <c r="AZ1756" s="1"/>
      <c r="BA1756" s="1"/>
      <c r="BB1756" s="1"/>
      <c r="BC1756" s="1"/>
      <c r="BD1756" s="1"/>
      <c r="BE1756" s="1"/>
      <c r="BF1756" s="1"/>
      <c r="BG1756" s="1"/>
      <c r="BH1756" s="1"/>
      <c r="BI1756" s="1"/>
      <c r="BJ1756" s="1"/>
      <c r="BK1756" s="1"/>
      <c r="BL1756" s="1"/>
      <c r="BM1756" s="1"/>
      <c r="BN1756" s="1"/>
      <c r="BO1756" s="1"/>
      <c r="BP1756" s="1" t="s">
        <v>9609</v>
      </c>
      <c r="BQ1756" s="3"/>
      <c r="BR1756" s="3"/>
    </row>
    <row r="1757" spans="1:70">
      <c r="A1757" s="1" t="s">
        <v>17032</v>
      </c>
      <c r="B1757" s="1" t="s">
        <v>13846</v>
      </c>
      <c r="C1757" s="1" t="s">
        <v>20747</v>
      </c>
      <c r="D1757" s="1"/>
      <c r="E1757" s="1"/>
      <c r="F1757" s="1"/>
      <c r="G1757" s="1"/>
      <c r="H1757" s="1" t="s">
        <v>20748</v>
      </c>
      <c r="I1757" s="1" t="s">
        <v>20748</v>
      </c>
      <c r="J1757" s="1"/>
      <c r="K1757" s="1"/>
      <c r="L1757" s="1"/>
      <c r="M1757" s="1"/>
      <c r="N1757" s="1"/>
      <c r="O1757" s="1"/>
      <c r="P1757" s="1"/>
      <c r="Q1757" s="1"/>
      <c r="R1757" s="1"/>
      <c r="S1757" s="1"/>
      <c r="T1757" s="1"/>
      <c r="U1757" s="1"/>
      <c r="V1757" s="1"/>
      <c r="W1757" s="1"/>
      <c r="X1757" s="1"/>
      <c r="Y1757" s="1"/>
      <c r="Z1757" s="1"/>
      <c r="AA1757" s="1"/>
      <c r="AB1757" s="1"/>
      <c r="AC1757" s="1"/>
      <c r="AD1757" s="1" t="s">
        <v>93</v>
      </c>
      <c r="AE1757" s="1" t="s">
        <v>93</v>
      </c>
      <c r="AF1757" s="1"/>
      <c r="AG1757" s="1"/>
      <c r="AH1757" s="1"/>
      <c r="AI1757" s="1"/>
      <c r="AJ1757" s="1"/>
      <c r="AK1757" s="1"/>
      <c r="AL1757" s="1"/>
      <c r="AM1757" s="1"/>
      <c r="AN1757" s="1"/>
      <c r="AO1757" s="1"/>
      <c r="AP1757" s="1"/>
      <c r="AQ1757" s="1"/>
      <c r="AR1757" s="1"/>
      <c r="AS1757" s="1"/>
      <c r="AT1757" s="1"/>
      <c r="AU1757" s="1"/>
      <c r="AV1757" s="1"/>
      <c r="AW1757" s="1"/>
      <c r="AX1757" s="1"/>
      <c r="AY1757" s="1"/>
      <c r="AZ1757" s="1"/>
      <c r="BA1757" s="1"/>
      <c r="BB1757" s="1"/>
      <c r="BC1757" s="1"/>
      <c r="BD1757" s="1"/>
      <c r="BE1757" s="1"/>
      <c r="BF1757" s="1"/>
      <c r="BG1757" s="1"/>
      <c r="BH1757" s="1"/>
      <c r="BI1757" s="1"/>
      <c r="BJ1757" s="1"/>
      <c r="BK1757" s="1"/>
      <c r="BL1757" s="1"/>
      <c r="BM1757" s="1"/>
      <c r="BN1757" s="1"/>
      <c r="BO1757" s="1"/>
      <c r="BP1757" s="1" t="s">
        <v>9609</v>
      </c>
      <c r="BQ1757" s="3"/>
      <c r="BR1757" s="3"/>
    </row>
    <row r="1758" spans="1:70">
      <c r="A1758" s="1" t="s">
        <v>17032</v>
      </c>
      <c r="B1758" s="1" t="s">
        <v>13846</v>
      </c>
      <c r="C1758" s="1" t="s">
        <v>20749</v>
      </c>
      <c r="D1758" s="1"/>
      <c r="E1758" s="1"/>
      <c r="F1758" s="1"/>
      <c r="G1758" s="1"/>
      <c r="H1758" s="1" t="s">
        <v>20750</v>
      </c>
      <c r="I1758" s="1" t="s">
        <v>20750</v>
      </c>
      <c r="J1758" s="1"/>
      <c r="K1758" s="1"/>
      <c r="L1758" s="1"/>
      <c r="M1758" s="1"/>
      <c r="N1758" s="1"/>
      <c r="O1758" s="1"/>
      <c r="P1758" s="1"/>
      <c r="Q1758" s="1"/>
      <c r="R1758" s="1"/>
      <c r="S1758" s="1"/>
      <c r="T1758" s="1"/>
      <c r="U1758" s="1"/>
      <c r="V1758" s="1"/>
      <c r="W1758" s="1"/>
      <c r="X1758" s="1"/>
      <c r="Y1758" s="1"/>
      <c r="Z1758" s="1"/>
      <c r="AA1758" s="1"/>
      <c r="AB1758" s="1"/>
      <c r="AC1758" s="1"/>
      <c r="AD1758" s="1" t="s">
        <v>93</v>
      </c>
      <c r="AE1758" s="1" t="s">
        <v>93</v>
      </c>
      <c r="AF1758" s="1"/>
      <c r="AG1758" s="1"/>
      <c r="AH1758" s="1"/>
      <c r="AI1758" s="1"/>
      <c r="AJ1758" s="1"/>
      <c r="AK1758" s="1"/>
      <c r="AL1758" s="1"/>
      <c r="AM1758" s="1"/>
      <c r="AN1758" s="1"/>
      <c r="AO1758" s="1"/>
      <c r="AP1758" s="1"/>
      <c r="AQ1758" s="1"/>
      <c r="AR1758" s="1"/>
      <c r="AS1758" s="1"/>
      <c r="AT1758" s="1"/>
      <c r="AU1758" s="1"/>
      <c r="AV1758" s="1"/>
      <c r="AW1758" s="1"/>
      <c r="AX1758" s="1"/>
      <c r="AY1758" s="1"/>
      <c r="AZ1758" s="1"/>
      <c r="BA1758" s="1"/>
      <c r="BB1758" s="1"/>
      <c r="BC1758" s="1"/>
      <c r="BD1758" s="1"/>
      <c r="BE1758" s="1"/>
      <c r="BF1758" s="1"/>
      <c r="BG1758" s="1"/>
      <c r="BH1758" s="1"/>
      <c r="BI1758" s="1"/>
      <c r="BJ1758" s="1"/>
      <c r="BK1758" s="1"/>
      <c r="BL1758" s="1"/>
      <c r="BM1758" s="1"/>
      <c r="BN1758" s="1"/>
      <c r="BO1758" s="1"/>
      <c r="BP1758" s="1" t="s">
        <v>9609</v>
      </c>
      <c r="BQ1758" s="3"/>
      <c r="BR1758" s="3"/>
    </row>
    <row r="1759" spans="1:70">
      <c r="A1759" s="1" t="s">
        <v>17032</v>
      </c>
      <c r="B1759" s="1" t="s">
        <v>13846</v>
      </c>
      <c r="C1759" s="1" t="s">
        <v>20751</v>
      </c>
      <c r="D1759" s="1"/>
      <c r="E1759" s="1"/>
      <c r="F1759" s="1"/>
      <c r="G1759" s="1"/>
      <c r="H1759" s="1" t="s">
        <v>20752</v>
      </c>
      <c r="I1759" s="1" t="s">
        <v>20752</v>
      </c>
      <c r="J1759" s="1"/>
      <c r="K1759" s="1"/>
      <c r="L1759" s="1"/>
      <c r="M1759" s="1"/>
      <c r="N1759" s="1"/>
      <c r="O1759" s="1"/>
      <c r="P1759" s="1"/>
      <c r="Q1759" s="1"/>
      <c r="R1759" s="1"/>
      <c r="S1759" s="1"/>
      <c r="T1759" s="1"/>
      <c r="U1759" s="1"/>
      <c r="V1759" s="1"/>
      <c r="W1759" s="1"/>
      <c r="X1759" s="1"/>
      <c r="Y1759" s="1"/>
      <c r="Z1759" s="1"/>
      <c r="AA1759" s="1"/>
      <c r="AB1759" s="1"/>
      <c r="AC1759" s="1"/>
      <c r="AD1759" s="1" t="s">
        <v>93</v>
      </c>
      <c r="AE1759" s="1" t="s">
        <v>93</v>
      </c>
      <c r="AF1759" s="1"/>
      <c r="AG1759" s="1"/>
      <c r="AH1759" s="1"/>
      <c r="AI1759" s="1"/>
      <c r="AJ1759" s="1"/>
      <c r="AK1759" s="1"/>
      <c r="AL1759" s="1"/>
      <c r="AM1759" s="1"/>
      <c r="AN1759" s="1"/>
      <c r="AO1759" s="1"/>
      <c r="AP1759" s="1"/>
      <c r="AQ1759" s="1"/>
      <c r="AR1759" s="1"/>
      <c r="AS1759" s="1"/>
      <c r="AT1759" s="1"/>
      <c r="AU1759" s="1"/>
      <c r="AV1759" s="1"/>
      <c r="AW1759" s="1"/>
      <c r="AX1759" s="1"/>
      <c r="AY1759" s="1"/>
      <c r="AZ1759" s="1"/>
      <c r="BA1759" s="1"/>
      <c r="BB1759" s="1"/>
      <c r="BC1759" s="1"/>
      <c r="BD1759" s="1"/>
      <c r="BE1759" s="1"/>
      <c r="BF1759" s="1"/>
      <c r="BG1759" s="1"/>
      <c r="BH1759" s="1"/>
      <c r="BI1759" s="1"/>
      <c r="BJ1759" s="1"/>
      <c r="BK1759" s="1"/>
      <c r="BL1759" s="1"/>
      <c r="BM1759" s="1"/>
      <c r="BN1759" s="1"/>
      <c r="BO1759" s="1"/>
      <c r="BP1759" s="1" t="s">
        <v>9609</v>
      </c>
      <c r="BQ1759" s="3"/>
      <c r="BR1759" s="3"/>
    </row>
    <row r="1760" spans="1:70">
      <c r="A1760" s="1" t="s">
        <v>17032</v>
      </c>
      <c r="B1760" s="1" t="s">
        <v>13846</v>
      </c>
      <c r="C1760" s="1" t="s">
        <v>20753</v>
      </c>
      <c r="D1760" s="1"/>
      <c r="E1760" s="1"/>
      <c r="F1760" s="1"/>
      <c r="G1760" s="1"/>
      <c r="H1760" s="1" t="s">
        <v>20754</v>
      </c>
      <c r="I1760" s="1" t="s">
        <v>20754</v>
      </c>
      <c r="J1760" s="1"/>
      <c r="K1760" s="1"/>
      <c r="L1760" s="1"/>
      <c r="M1760" s="1"/>
      <c r="N1760" s="1"/>
      <c r="O1760" s="1"/>
      <c r="P1760" s="1"/>
      <c r="Q1760" s="1"/>
      <c r="R1760" s="1"/>
      <c r="S1760" s="1"/>
      <c r="T1760" s="1"/>
      <c r="U1760" s="1"/>
      <c r="V1760" s="1"/>
      <c r="W1760" s="1"/>
      <c r="X1760" s="1"/>
      <c r="Y1760" s="1"/>
      <c r="Z1760" s="1"/>
      <c r="AA1760" s="1"/>
      <c r="AB1760" s="1"/>
      <c r="AC1760" s="1"/>
      <c r="AD1760" s="1" t="s">
        <v>93</v>
      </c>
      <c r="AE1760" s="1" t="s">
        <v>93</v>
      </c>
      <c r="AF1760" s="1"/>
      <c r="AG1760" s="1"/>
      <c r="AH1760" s="1"/>
      <c r="AI1760" s="1"/>
      <c r="AJ1760" s="1"/>
      <c r="AK1760" s="1"/>
      <c r="AL1760" s="1"/>
      <c r="AM1760" s="1"/>
      <c r="AN1760" s="1"/>
      <c r="AO1760" s="1"/>
      <c r="AP1760" s="1"/>
      <c r="AQ1760" s="1"/>
      <c r="AR1760" s="1"/>
      <c r="AS1760" s="1"/>
      <c r="AT1760" s="1"/>
      <c r="AU1760" s="1"/>
      <c r="AV1760" s="1"/>
      <c r="AW1760" s="1"/>
      <c r="AX1760" s="1"/>
      <c r="AY1760" s="1"/>
      <c r="AZ1760" s="1"/>
      <c r="BA1760" s="1"/>
      <c r="BB1760" s="1"/>
      <c r="BC1760" s="1"/>
      <c r="BD1760" s="1"/>
      <c r="BE1760" s="1"/>
      <c r="BF1760" s="1"/>
      <c r="BG1760" s="1"/>
      <c r="BH1760" s="1"/>
      <c r="BI1760" s="1"/>
      <c r="BJ1760" s="1"/>
      <c r="BK1760" s="1"/>
      <c r="BL1760" s="1"/>
      <c r="BM1760" s="1"/>
      <c r="BN1760" s="1"/>
      <c r="BO1760" s="1"/>
      <c r="BP1760" s="1" t="s">
        <v>9609</v>
      </c>
      <c r="BQ1760" s="3"/>
      <c r="BR1760" s="3"/>
    </row>
    <row r="1761" spans="1:70">
      <c r="A1761" s="1" t="s">
        <v>17032</v>
      </c>
      <c r="B1761" s="1" t="s">
        <v>13846</v>
      </c>
      <c r="C1761" s="1" t="s">
        <v>20755</v>
      </c>
      <c r="D1761" s="1"/>
      <c r="E1761" s="1"/>
      <c r="F1761" s="1"/>
      <c r="G1761" s="1"/>
      <c r="H1761" s="1" t="s">
        <v>20756</v>
      </c>
      <c r="I1761" s="1" t="s">
        <v>20756</v>
      </c>
      <c r="J1761" s="1"/>
      <c r="K1761" s="1"/>
      <c r="L1761" s="1"/>
      <c r="M1761" s="1"/>
      <c r="N1761" s="1"/>
      <c r="O1761" s="1"/>
      <c r="P1761" s="1"/>
      <c r="Q1761" s="1"/>
      <c r="R1761" s="1"/>
      <c r="S1761" s="1"/>
      <c r="T1761" s="1"/>
      <c r="U1761" s="1"/>
      <c r="V1761" s="1"/>
      <c r="W1761" s="1"/>
      <c r="X1761" s="1"/>
      <c r="Y1761" s="1"/>
      <c r="Z1761" s="1"/>
      <c r="AA1761" s="1"/>
      <c r="AB1761" s="1"/>
      <c r="AC1761" s="1"/>
      <c r="AD1761" s="1" t="s">
        <v>93</v>
      </c>
      <c r="AE1761" s="1" t="s">
        <v>93</v>
      </c>
      <c r="AF1761" s="1"/>
      <c r="AG1761" s="1"/>
      <c r="AH1761" s="1"/>
      <c r="AI1761" s="1"/>
      <c r="AJ1761" s="1"/>
      <c r="AK1761" s="1"/>
      <c r="AL1761" s="1"/>
      <c r="AM1761" s="1"/>
      <c r="AN1761" s="1"/>
      <c r="AO1761" s="1"/>
      <c r="AP1761" s="1"/>
      <c r="AQ1761" s="1"/>
      <c r="AR1761" s="1"/>
      <c r="AS1761" s="1"/>
      <c r="AT1761" s="1"/>
      <c r="AU1761" s="1"/>
      <c r="AV1761" s="1"/>
      <c r="AW1761" s="1"/>
      <c r="AX1761" s="1"/>
      <c r="AY1761" s="1"/>
      <c r="AZ1761" s="1"/>
      <c r="BA1761" s="1"/>
      <c r="BB1761" s="1"/>
      <c r="BC1761" s="1"/>
      <c r="BD1761" s="1"/>
      <c r="BE1761" s="1"/>
      <c r="BF1761" s="1"/>
      <c r="BG1761" s="1"/>
      <c r="BH1761" s="1"/>
      <c r="BI1761" s="1"/>
      <c r="BJ1761" s="1"/>
      <c r="BK1761" s="1"/>
      <c r="BL1761" s="1"/>
      <c r="BM1761" s="1"/>
      <c r="BN1761" s="1"/>
      <c r="BO1761" s="1"/>
      <c r="BP1761" s="1" t="s">
        <v>9609</v>
      </c>
      <c r="BQ1761" s="3"/>
      <c r="BR1761" s="3"/>
    </row>
    <row r="1762" spans="1:70">
      <c r="A1762" s="1" t="s">
        <v>17032</v>
      </c>
      <c r="B1762" s="1" t="s">
        <v>13846</v>
      </c>
      <c r="C1762" s="1" t="s">
        <v>20757</v>
      </c>
      <c r="D1762" s="1"/>
      <c r="E1762" s="1"/>
      <c r="F1762" s="1"/>
      <c r="G1762" s="1"/>
      <c r="H1762" s="1" t="s">
        <v>20758</v>
      </c>
      <c r="I1762" s="1" t="s">
        <v>20758</v>
      </c>
      <c r="J1762" s="1"/>
      <c r="K1762" s="1"/>
      <c r="L1762" s="1"/>
      <c r="M1762" s="1"/>
      <c r="N1762" s="1"/>
      <c r="O1762" s="1"/>
      <c r="P1762" s="1"/>
      <c r="Q1762" s="1"/>
      <c r="R1762" s="1"/>
      <c r="S1762" s="1"/>
      <c r="T1762" s="1"/>
      <c r="U1762" s="1"/>
      <c r="V1762" s="1"/>
      <c r="W1762" s="1"/>
      <c r="X1762" s="1"/>
      <c r="Y1762" s="1"/>
      <c r="Z1762" s="1"/>
      <c r="AA1762" s="1"/>
      <c r="AB1762" s="1"/>
      <c r="AC1762" s="1"/>
      <c r="AD1762" s="1" t="s">
        <v>93</v>
      </c>
      <c r="AE1762" s="1" t="s">
        <v>93</v>
      </c>
      <c r="AF1762" s="1"/>
      <c r="AG1762" s="1"/>
      <c r="AH1762" s="1"/>
      <c r="AI1762" s="1"/>
      <c r="AJ1762" s="1"/>
      <c r="AK1762" s="1"/>
      <c r="AL1762" s="1"/>
      <c r="AM1762" s="1"/>
      <c r="AN1762" s="1"/>
      <c r="AO1762" s="1"/>
      <c r="AP1762" s="1"/>
      <c r="AQ1762" s="1"/>
      <c r="AR1762" s="1"/>
      <c r="AS1762" s="1"/>
      <c r="AT1762" s="1"/>
      <c r="AU1762" s="1"/>
      <c r="AV1762" s="1"/>
      <c r="AW1762" s="1"/>
      <c r="AX1762" s="1"/>
      <c r="AY1762" s="1"/>
      <c r="AZ1762" s="1"/>
      <c r="BA1762" s="1"/>
      <c r="BB1762" s="1"/>
      <c r="BC1762" s="1"/>
      <c r="BD1762" s="1"/>
      <c r="BE1762" s="1"/>
      <c r="BF1762" s="1"/>
      <c r="BG1762" s="1"/>
      <c r="BH1762" s="1"/>
      <c r="BI1762" s="1"/>
      <c r="BJ1762" s="1"/>
      <c r="BK1762" s="1"/>
      <c r="BL1762" s="1"/>
      <c r="BM1762" s="1"/>
      <c r="BN1762" s="1"/>
      <c r="BO1762" s="1"/>
      <c r="BP1762" s="1" t="s">
        <v>9609</v>
      </c>
      <c r="BQ1762" s="3"/>
      <c r="BR1762" s="3"/>
    </row>
    <row r="1763" spans="1:70">
      <c r="A1763" s="1" t="s">
        <v>17032</v>
      </c>
      <c r="B1763" s="1" t="s">
        <v>13846</v>
      </c>
      <c r="C1763" s="1" t="s">
        <v>20759</v>
      </c>
      <c r="D1763" s="1"/>
      <c r="E1763" s="1"/>
      <c r="F1763" s="1"/>
      <c r="G1763" s="1"/>
      <c r="H1763" s="1" t="s">
        <v>20760</v>
      </c>
      <c r="I1763" s="1" t="s">
        <v>20760</v>
      </c>
      <c r="J1763" s="1"/>
      <c r="K1763" s="1"/>
      <c r="L1763" s="1"/>
      <c r="M1763" s="1"/>
      <c r="N1763" s="1"/>
      <c r="O1763" s="1"/>
      <c r="P1763" s="1"/>
      <c r="Q1763" s="1"/>
      <c r="R1763" s="1"/>
      <c r="S1763" s="1"/>
      <c r="T1763" s="1"/>
      <c r="U1763" s="1"/>
      <c r="V1763" s="1"/>
      <c r="W1763" s="1"/>
      <c r="X1763" s="1"/>
      <c r="Y1763" s="1"/>
      <c r="Z1763" s="1"/>
      <c r="AA1763" s="1"/>
      <c r="AB1763" s="1"/>
      <c r="AC1763" s="1"/>
      <c r="AD1763" s="1" t="s">
        <v>93</v>
      </c>
      <c r="AE1763" s="1" t="s">
        <v>93</v>
      </c>
      <c r="AF1763" s="1"/>
      <c r="AG1763" s="1"/>
      <c r="AH1763" s="1"/>
      <c r="AI1763" s="1"/>
      <c r="AJ1763" s="1"/>
      <c r="AK1763" s="1"/>
      <c r="AL1763" s="1"/>
      <c r="AM1763" s="1"/>
      <c r="AN1763" s="1"/>
      <c r="AO1763" s="1"/>
      <c r="AP1763" s="1"/>
      <c r="AQ1763" s="1"/>
      <c r="AR1763" s="1"/>
      <c r="AS1763" s="1"/>
      <c r="AT1763" s="1"/>
      <c r="AU1763" s="1"/>
      <c r="AV1763" s="1"/>
      <c r="AW1763" s="1"/>
      <c r="AX1763" s="1"/>
      <c r="AY1763" s="1"/>
      <c r="AZ1763" s="1"/>
      <c r="BA1763" s="1"/>
      <c r="BB1763" s="1"/>
      <c r="BC1763" s="1"/>
      <c r="BD1763" s="1"/>
      <c r="BE1763" s="1"/>
      <c r="BF1763" s="1"/>
      <c r="BG1763" s="1"/>
      <c r="BH1763" s="1"/>
      <c r="BI1763" s="1"/>
      <c r="BJ1763" s="1"/>
      <c r="BK1763" s="1"/>
      <c r="BL1763" s="1"/>
      <c r="BM1763" s="1"/>
      <c r="BN1763" s="1"/>
      <c r="BO1763" s="1"/>
      <c r="BP1763" s="1" t="s">
        <v>9609</v>
      </c>
      <c r="BQ1763" s="3"/>
      <c r="BR1763" s="3"/>
    </row>
    <row r="1764" spans="1:70">
      <c r="A1764" s="1" t="s">
        <v>17032</v>
      </c>
      <c r="B1764" s="1" t="s">
        <v>13846</v>
      </c>
      <c r="C1764" s="1" t="s">
        <v>20761</v>
      </c>
      <c r="D1764" s="1"/>
      <c r="E1764" s="1"/>
      <c r="F1764" s="1"/>
      <c r="G1764" s="1"/>
      <c r="H1764" s="1" t="s">
        <v>20762</v>
      </c>
      <c r="I1764" s="1" t="s">
        <v>20762</v>
      </c>
      <c r="J1764" s="1"/>
      <c r="K1764" s="1"/>
      <c r="L1764" s="1"/>
      <c r="M1764" s="1"/>
      <c r="N1764" s="1"/>
      <c r="O1764" s="1"/>
      <c r="P1764" s="1"/>
      <c r="Q1764" s="1"/>
      <c r="R1764" s="1"/>
      <c r="S1764" s="1"/>
      <c r="T1764" s="1"/>
      <c r="U1764" s="1"/>
      <c r="V1764" s="1"/>
      <c r="W1764" s="1"/>
      <c r="X1764" s="1"/>
      <c r="Y1764" s="1"/>
      <c r="Z1764" s="1"/>
      <c r="AA1764" s="1"/>
      <c r="AB1764" s="1"/>
      <c r="AC1764" s="1"/>
      <c r="AD1764" s="1" t="s">
        <v>93</v>
      </c>
      <c r="AE1764" s="1" t="s">
        <v>93</v>
      </c>
      <c r="AF1764" s="1"/>
      <c r="AG1764" s="1"/>
      <c r="AH1764" s="1"/>
      <c r="AI1764" s="1"/>
      <c r="AJ1764" s="1"/>
      <c r="AK1764" s="1"/>
      <c r="AL1764" s="1"/>
      <c r="AM1764" s="1"/>
      <c r="AN1764" s="1"/>
      <c r="AO1764" s="1"/>
      <c r="AP1764" s="1"/>
      <c r="AQ1764" s="1"/>
      <c r="AR1764" s="1"/>
      <c r="AS1764" s="1"/>
      <c r="AT1764" s="1"/>
      <c r="AU1764" s="1"/>
      <c r="AV1764" s="1"/>
      <c r="AW1764" s="1"/>
      <c r="AX1764" s="1"/>
      <c r="AY1764" s="1"/>
      <c r="AZ1764" s="1"/>
      <c r="BA1764" s="1"/>
      <c r="BB1764" s="1"/>
      <c r="BC1764" s="1"/>
      <c r="BD1764" s="1"/>
      <c r="BE1764" s="1"/>
      <c r="BF1764" s="1"/>
      <c r="BG1764" s="1"/>
      <c r="BH1764" s="1"/>
      <c r="BI1764" s="1"/>
      <c r="BJ1764" s="1"/>
      <c r="BK1764" s="1"/>
      <c r="BL1764" s="1"/>
      <c r="BM1764" s="1"/>
      <c r="BN1764" s="1"/>
      <c r="BO1764" s="1"/>
      <c r="BP1764" s="1" t="s">
        <v>9609</v>
      </c>
      <c r="BQ1764" s="3"/>
      <c r="BR1764" s="3"/>
    </row>
    <row r="1765" spans="1:70">
      <c r="A1765" s="1" t="s">
        <v>17032</v>
      </c>
      <c r="B1765" s="1" t="s">
        <v>13846</v>
      </c>
      <c r="C1765" s="1" t="s">
        <v>20763</v>
      </c>
      <c r="D1765" s="1"/>
      <c r="E1765" s="1"/>
      <c r="F1765" s="1"/>
      <c r="G1765" s="1"/>
      <c r="H1765" s="1" t="s">
        <v>20764</v>
      </c>
      <c r="I1765" s="1" t="s">
        <v>20764</v>
      </c>
      <c r="J1765" s="1"/>
      <c r="K1765" s="1"/>
      <c r="L1765" s="1"/>
      <c r="M1765" s="1"/>
      <c r="N1765" s="1"/>
      <c r="O1765" s="1"/>
      <c r="P1765" s="1"/>
      <c r="Q1765" s="1"/>
      <c r="R1765" s="1"/>
      <c r="S1765" s="1"/>
      <c r="T1765" s="1"/>
      <c r="U1765" s="1"/>
      <c r="V1765" s="1"/>
      <c r="W1765" s="1"/>
      <c r="X1765" s="1"/>
      <c r="Y1765" s="1"/>
      <c r="Z1765" s="1"/>
      <c r="AA1765" s="1"/>
      <c r="AB1765" s="1"/>
      <c r="AC1765" s="1"/>
      <c r="AD1765" s="1" t="s">
        <v>93</v>
      </c>
      <c r="AE1765" s="1" t="s">
        <v>93</v>
      </c>
      <c r="AF1765" s="1"/>
      <c r="AG1765" s="1"/>
      <c r="AH1765" s="1"/>
      <c r="AI1765" s="1"/>
      <c r="AJ1765" s="1"/>
      <c r="AK1765" s="1"/>
      <c r="AL1765" s="1"/>
      <c r="AM1765" s="1"/>
      <c r="AN1765" s="1"/>
      <c r="AO1765" s="1"/>
      <c r="AP1765" s="1"/>
      <c r="AQ1765" s="1"/>
      <c r="AR1765" s="1"/>
      <c r="AS1765" s="1"/>
      <c r="AT1765" s="1"/>
      <c r="AU1765" s="1"/>
      <c r="AV1765" s="1"/>
      <c r="AW1765" s="1"/>
      <c r="AX1765" s="1"/>
      <c r="AY1765" s="1"/>
      <c r="AZ1765" s="1"/>
      <c r="BA1765" s="1"/>
      <c r="BB1765" s="1"/>
      <c r="BC1765" s="1"/>
      <c r="BD1765" s="1"/>
      <c r="BE1765" s="1"/>
      <c r="BF1765" s="1"/>
      <c r="BG1765" s="1"/>
      <c r="BH1765" s="1"/>
      <c r="BI1765" s="1"/>
      <c r="BJ1765" s="1"/>
      <c r="BK1765" s="1"/>
      <c r="BL1765" s="1"/>
      <c r="BM1765" s="1"/>
      <c r="BN1765" s="1"/>
      <c r="BO1765" s="1"/>
      <c r="BP1765" s="1" t="s">
        <v>9609</v>
      </c>
      <c r="BQ1765" s="3"/>
      <c r="BR1765" s="3"/>
    </row>
    <row r="1766" spans="1:70">
      <c r="A1766" s="1" t="s">
        <v>17032</v>
      </c>
      <c r="B1766" s="1" t="s">
        <v>13846</v>
      </c>
      <c r="C1766" s="1" t="s">
        <v>20765</v>
      </c>
      <c r="D1766" s="1"/>
      <c r="E1766" s="1"/>
      <c r="F1766" s="1"/>
      <c r="G1766" s="1"/>
      <c r="H1766" s="1" t="s">
        <v>20766</v>
      </c>
      <c r="I1766" s="1" t="s">
        <v>20766</v>
      </c>
      <c r="J1766" s="1"/>
      <c r="K1766" s="1"/>
      <c r="L1766" s="1"/>
      <c r="M1766" s="1"/>
      <c r="N1766" s="1"/>
      <c r="O1766" s="1"/>
      <c r="P1766" s="1"/>
      <c r="Q1766" s="1"/>
      <c r="R1766" s="1"/>
      <c r="S1766" s="1"/>
      <c r="T1766" s="1"/>
      <c r="U1766" s="1"/>
      <c r="V1766" s="1"/>
      <c r="W1766" s="1"/>
      <c r="X1766" s="1"/>
      <c r="Y1766" s="1"/>
      <c r="Z1766" s="1"/>
      <c r="AA1766" s="1"/>
      <c r="AB1766" s="1"/>
      <c r="AC1766" s="1"/>
      <c r="AD1766" s="1" t="s">
        <v>93</v>
      </c>
      <c r="AE1766" s="1" t="s">
        <v>93</v>
      </c>
      <c r="AF1766" s="1"/>
      <c r="AG1766" s="1"/>
      <c r="AH1766" s="1"/>
      <c r="AI1766" s="1"/>
      <c r="AJ1766" s="1"/>
      <c r="AK1766" s="1"/>
      <c r="AL1766" s="1"/>
      <c r="AM1766" s="1"/>
      <c r="AN1766" s="1"/>
      <c r="AO1766" s="1"/>
      <c r="AP1766" s="1"/>
      <c r="AQ1766" s="1"/>
      <c r="AR1766" s="1"/>
      <c r="AS1766" s="1"/>
      <c r="AT1766" s="1"/>
      <c r="AU1766" s="1"/>
      <c r="AV1766" s="1"/>
      <c r="AW1766" s="1"/>
      <c r="AX1766" s="1"/>
      <c r="AY1766" s="1"/>
      <c r="AZ1766" s="1"/>
      <c r="BA1766" s="1"/>
      <c r="BB1766" s="1"/>
      <c r="BC1766" s="1"/>
      <c r="BD1766" s="1"/>
      <c r="BE1766" s="1"/>
      <c r="BF1766" s="1"/>
      <c r="BG1766" s="1"/>
      <c r="BH1766" s="1"/>
      <c r="BI1766" s="1"/>
      <c r="BJ1766" s="1"/>
      <c r="BK1766" s="1"/>
      <c r="BL1766" s="1"/>
      <c r="BM1766" s="1"/>
      <c r="BN1766" s="1"/>
      <c r="BO1766" s="1"/>
      <c r="BP1766" s="1" t="s">
        <v>9609</v>
      </c>
      <c r="BQ1766" s="3"/>
      <c r="BR1766" s="3"/>
    </row>
    <row r="1767" spans="1:70">
      <c r="A1767" s="1" t="s">
        <v>17032</v>
      </c>
      <c r="B1767" s="1" t="s">
        <v>13846</v>
      </c>
      <c r="C1767" s="1" t="s">
        <v>20767</v>
      </c>
      <c r="D1767" s="1"/>
      <c r="E1767" s="1"/>
      <c r="F1767" s="1"/>
      <c r="G1767" s="1"/>
      <c r="H1767" s="1" t="s">
        <v>20768</v>
      </c>
      <c r="I1767" s="1" t="s">
        <v>20768</v>
      </c>
      <c r="J1767" s="1"/>
      <c r="K1767" s="1"/>
      <c r="L1767" s="1"/>
      <c r="M1767" s="1"/>
      <c r="N1767" s="1"/>
      <c r="O1767" s="1"/>
      <c r="P1767" s="1"/>
      <c r="Q1767" s="1"/>
      <c r="R1767" s="1"/>
      <c r="S1767" s="1"/>
      <c r="T1767" s="1"/>
      <c r="U1767" s="1"/>
      <c r="V1767" s="1"/>
      <c r="W1767" s="1"/>
      <c r="X1767" s="1"/>
      <c r="Y1767" s="1"/>
      <c r="Z1767" s="1"/>
      <c r="AA1767" s="1"/>
      <c r="AB1767" s="1"/>
      <c r="AC1767" s="1"/>
      <c r="AD1767" s="1" t="s">
        <v>93</v>
      </c>
      <c r="AE1767" s="1" t="s">
        <v>93</v>
      </c>
      <c r="AF1767" s="1"/>
      <c r="AG1767" s="1"/>
      <c r="AH1767" s="1"/>
      <c r="AI1767" s="1"/>
      <c r="AJ1767" s="1"/>
      <c r="AK1767" s="1"/>
      <c r="AL1767" s="1"/>
      <c r="AM1767" s="1"/>
      <c r="AN1767" s="1"/>
      <c r="AO1767" s="1"/>
      <c r="AP1767" s="1"/>
      <c r="AQ1767" s="1"/>
      <c r="AR1767" s="1"/>
      <c r="AS1767" s="1"/>
      <c r="AT1767" s="1"/>
      <c r="AU1767" s="1"/>
      <c r="AV1767" s="1"/>
      <c r="AW1767" s="1"/>
      <c r="AX1767" s="1"/>
      <c r="AY1767" s="1"/>
      <c r="AZ1767" s="1"/>
      <c r="BA1767" s="1"/>
      <c r="BB1767" s="1"/>
      <c r="BC1767" s="1"/>
      <c r="BD1767" s="1"/>
      <c r="BE1767" s="1"/>
      <c r="BF1767" s="1"/>
      <c r="BG1767" s="1"/>
      <c r="BH1767" s="1"/>
      <c r="BI1767" s="1"/>
      <c r="BJ1767" s="1"/>
      <c r="BK1767" s="1"/>
      <c r="BL1767" s="1"/>
      <c r="BM1767" s="1"/>
      <c r="BN1767" s="1"/>
      <c r="BO1767" s="1"/>
      <c r="BP1767" s="1" t="s">
        <v>9609</v>
      </c>
      <c r="BQ1767" s="3"/>
      <c r="BR1767" s="3"/>
    </row>
    <row r="1768" spans="1:70">
      <c r="A1768" s="1" t="s">
        <v>17032</v>
      </c>
      <c r="B1768" s="1" t="s">
        <v>13846</v>
      </c>
      <c r="C1768" s="1" t="s">
        <v>20769</v>
      </c>
      <c r="D1768" s="1"/>
      <c r="E1768" s="1"/>
      <c r="F1768" s="1"/>
      <c r="G1768" s="1"/>
      <c r="H1768" s="1" t="s">
        <v>20770</v>
      </c>
      <c r="I1768" s="1" t="s">
        <v>20770</v>
      </c>
      <c r="J1768" s="1"/>
      <c r="K1768" s="1"/>
      <c r="L1768" s="1"/>
      <c r="M1768" s="1"/>
      <c r="N1768" s="1"/>
      <c r="O1768" s="1"/>
      <c r="P1768" s="1"/>
      <c r="Q1768" s="1"/>
      <c r="R1768" s="1"/>
      <c r="S1768" s="1"/>
      <c r="T1768" s="1"/>
      <c r="U1768" s="1"/>
      <c r="V1768" s="1"/>
      <c r="W1768" s="1"/>
      <c r="X1768" s="1"/>
      <c r="Y1768" s="1"/>
      <c r="Z1768" s="1"/>
      <c r="AA1768" s="1"/>
      <c r="AB1768" s="1"/>
      <c r="AC1768" s="1"/>
      <c r="AD1768" s="1" t="s">
        <v>93</v>
      </c>
      <c r="AE1768" s="1" t="s">
        <v>93</v>
      </c>
      <c r="AF1768" s="1"/>
      <c r="AG1768" s="1"/>
      <c r="AH1768" s="1"/>
      <c r="AI1768" s="1"/>
      <c r="AJ1768" s="1"/>
      <c r="AK1768" s="1"/>
      <c r="AL1768" s="1"/>
      <c r="AM1768" s="1"/>
      <c r="AN1768" s="1"/>
      <c r="AO1768" s="1"/>
      <c r="AP1768" s="1"/>
      <c r="AQ1768" s="1"/>
      <c r="AR1768" s="1"/>
      <c r="AS1768" s="1"/>
      <c r="AT1768" s="1"/>
      <c r="AU1768" s="1"/>
      <c r="AV1768" s="1"/>
      <c r="AW1768" s="1"/>
      <c r="AX1768" s="1"/>
      <c r="AY1768" s="1"/>
      <c r="AZ1768" s="1"/>
      <c r="BA1768" s="1"/>
      <c r="BB1768" s="1"/>
      <c r="BC1768" s="1"/>
      <c r="BD1768" s="1"/>
      <c r="BE1768" s="1"/>
      <c r="BF1768" s="1"/>
      <c r="BG1768" s="1"/>
      <c r="BH1768" s="1"/>
      <c r="BI1768" s="1"/>
      <c r="BJ1768" s="1"/>
      <c r="BK1768" s="1"/>
      <c r="BL1768" s="1"/>
      <c r="BM1768" s="1"/>
      <c r="BN1768" s="1"/>
      <c r="BO1768" s="1"/>
      <c r="BP1768" s="1" t="s">
        <v>9609</v>
      </c>
      <c r="BQ1768" s="3"/>
      <c r="BR1768" s="3"/>
    </row>
    <row r="1769" spans="1:70">
      <c r="A1769" s="1" t="s">
        <v>17032</v>
      </c>
      <c r="B1769" s="1" t="s">
        <v>13846</v>
      </c>
      <c r="C1769" s="1" t="s">
        <v>20771</v>
      </c>
      <c r="D1769" s="1"/>
      <c r="E1769" s="1"/>
      <c r="F1769" s="1"/>
      <c r="G1769" s="1"/>
      <c r="H1769" s="1" t="s">
        <v>20772</v>
      </c>
      <c r="I1769" s="1" t="s">
        <v>20772</v>
      </c>
      <c r="J1769" s="1"/>
      <c r="K1769" s="1"/>
      <c r="L1769" s="1"/>
      <c r="M1769" s="1"/>
      <c r="N1769" s="1"/>
      <c r="O1769" s="1"/>
      <c r="P1769" s="1"/>
      <c r="Q1769" s="1"/>
      <c r="R1769" s="1"/>
      <c r="S1769" s="1"/>
      <c r="T1769" s="1"/>
      <c r="U1769" s="1"/>
      <c r="V1769" s="1"/>
      <c r="W1769" s="1"/>
      <c r="X1769" s="1"/>
      <c r="Y1769" s="1"/>
      <c r="Z1769" s="1"/>
      <c r="AA1769" s="1"/>
      <c r="AB1769" s="1"/>
      <c r="AC1769" s="1"/>
      <c r="AD1769" s="1" t="s">
        <v>93</v>
      </c>
      <c r="AE1769" s="1" t="s">
        <v>93</v>
      </c>
      <c r="AF1769" s="1"/>
      <c r="AG1769" s="1"/>
      <c r="AH1769" s="1"/>
      <c r="AI1769" s="1"/>
      <c r="AJ1769" s="1"/>
      <c r="AK1769" s="1"/>
      <c r="AL1769" s="1"/>
      <c r="AM1769" s="1"/>
      <c r="AN1769" s="1"/>
      <c r="AO1769" s="1"/>
      <c r="AP1769" s="1"/>
      <c r="AQ1769" s="1"/>
      <c r="AR1769" s="1"/>
      <c r="AS1769" s="1"/>
      <c r="AT1769" s="1"/>
      <c r="AU1769" s="1"/>
      <c r="AV1769" s="1"/>
      <c r="AW1769" s="1"/>
      <c r="AX1769" s="1"/>
      <c r="AY1769" s="1"/>
      <c r="AZ1769" s="1"/>
      <c r="BA1769" s="1"/>
      <c r="BB1769" s="1"/>
      <c r="BC1769" s="1"/>
      <c r="BD1769" s="1"/>
      <c r="BE1769" s="1"/>
      <c r="BF1769" s="1"/>
      <c r="BG1769" s="1"/>
      <c r="BH1769" s="1"/>
      <c r="BI1769" s="1"/>
      <c r="BJ1769" s="1"/>
      <c r="BK1769" s="1"/>
      <c r="BL1769" s="1"/>
      <c r="BM1769" s="1"/>
      <c r="BN1769" s="1"/>
      <c r="BO1769" s="1"/>
      <c r="BP1769" s="1" t="s">
        <v>9609</v>
      </c>
      <c r="BQ1769" s="3"/>
      <c r="BR1769" s="3"/>
    </row>
    <row r="1770" spans="1:70">
      <c r="A1770" s="1" t="s">
        <v>17032</v>
      </c>
      <c r="B1770" s="1" t="s">
        <v>13846</v>
      </c>
      <c r="C1770" s="1" t="s">
        <v>20773</v>
      </c>
      <c r="D1770" s="1"/>
      <c r="E1770" s="1"/>
      <c r="F1770" s="1"/>
      <c r="G1770" s="1"/>
      <c r="H1770" s="1" t="s">
        <v>20774</v>
      </c>
      <c r="I1770" s="1" t="s">
        <v>20774</v>
      </c>
      <c r="J1770" s="1"/>
      <c r="K1770" s="1"/>
      <c r="L1770" s="1"/>
      <c r="M1770" s="1"/>
      <c r="N1770" s="1"/>
      <c r="O1770" s="1"/>
      <c r="P1770" s="1"/>
      <c r="Q1770" s="1"/>
      <c r="R1770" s="1"/>
      <c r="S1770" s="1"/>
      <c r="T1770" s="1"/>
      <c r="U1770" s="1"/>
      <c r="V1770" s="1"/>
      <c r="W1770" s="1"/>
      <c r="X1770" s="1"/>
      <c r="Y1770" s="1"/>
      <c r="Z1770" s="1"/>
      <c r="AA1770" s="1"/>
      <c r="AB1770" s="1"/>
      <c r="AC1770" s="1"/>
      <c r="AD1770" s="1" t="s">
        <v>93</v>
      </c>
      <c r="AE1770" s="1" t="s">
        <v>93</v>
      </c>
      <c r="AF1770" s="1"/>
      <c r="AG1770" s="1"/>
      <c r="AH1770" s="1"/>
      <c r="AI1770" s="1"/>
      <c r="AJ1770" s="1"/>
      <c r="AK1770" s="1"/>
      <c r="AL1770" s="1"/>
      <c r="AM1770" s="1"/>
      <c r="AN1770" s="1"/>
      <c r="AO1770" s="1"/>
      <c r="AP1770" s="1"/>
      <c r="AQ1770" s="1"/>
      <c r="AR1770" s="1"/>
      <c r="AS1770" s="1"/>
      <c r="AT1770" s="1"/>
      <c r="AU1770" s="1"/>
      <c r="AV1770" s="1"/>
      <c r="AW1770" s="1"/>
      <c r="AX1770" s="1"/>
      <c r="AY1770" s="1"/>
      <c r="AZ1770" s="1"/>
      <c r="BA1770" s="1"/>
      <c r="BB1770" s="1"/>
      <c r="BC1770" s="1"/>
      <c r="BD1770" s="1"/>
      <c r="BE1770" s="1"/>
      <c r="BF1770" s="1"/>
      <c r="BG1770" s="1"/>
      <c r="BH1770" s="1"/>
      <c r="BI1770" s="1"/>
      <c r="BJ1770" s="1"/>
      <c r="BK1770" s="1"/>
      <c r="BL1770" s="1"/>
      <c r="BM1770" s="1"/>
      <c r="BN1770" s="1"/>
      <c r="BO1770" s="1"/>
      <c r="BP1770" s="1" t="s">
        <v>9609</v>
      </c>
      <c r="BQ1770" s="3"/>
      <c r="BR1770" s="3"/>
    </row>
    <row r="1771" spans="1:70">
      <c r="A1771" s="1" t="s">
        <v>17032</v>
      </c>
      <c r="B1771" s="1" t="s">
        <v>13846</v>
      </c>
      <c r="C1771" s="1" t="s">
        <v>20775</v>
      </c>
      <c r="D1771" s="1"/>
      <c r="E1771" s="1"/>
      <c r="F1771" s="1"/>
      <c r="G1771" s="1"/>
      <c r="H1771" s="1" t="s">
        <v>20776</v>
      </c>
      <c r="I1771" s="1" t="s">
        <v>20776</v>
      </c>
      <c r="J1771" s="1"/>
      <c r="K1771" s="1"/>
      <c r="L1771" s="1"/>
      <c r="M1771" s="1"/>
      <c r="N1771" s="1"/>
      <c r="O1771" s="1"/>
      <c r="P1771" s="1"/>
      <c r="Q1771" s="1"/>
      <c r="R1771" s="1"/>
      <c r="S1771" s="1"/>
      <c r="T1771" s="1"/>
      <c r="U1771" s="1"/>
      <c r="V1771" s="1"/>
      <c r="W1771" s="1"/>
      <c r="X1771" s="1"/>
      <c r="Y1771" s="1"/>
      <c r="Z1771" s="1"/>
      <c r="AA1771" s="1"/>
      <c r="AB1771" s="1"/>
      <c r="AC1771" s="1"/>
      <c r="AD1771" s="1" t="s">
        <v>93</v>
      </c>
      <c r="AE1771" s="1" t="s">
        <v>93</v>
      </c>
      <c r="AF1771" s="1"/>
      <c r="AG1771" s="1"/>
      <c r="AH1771" s="1"/>
      <c r="AI1771" s="1"/>
      <c r="AJ1771" s="1"/>
      <c r="AK1771" s="1"/>
      <c r="AL1771" s="1"/>
      <c r="AM1771" s="1"/>
      <c r="AN1771" s="1"/>
      <c r="AO1771" s="1"/>
      <c r="AP1771" s="1"/>
      <c r="AQ1771" s="1"/>
      <c r="AR1771" s="1"/>
      <c r="AS1771" s="1"/>
      <c r="AT1771" s="1"/>
      <c r="AU1771" s="1"/>
      <c r="AV1771" s="1"/>
      <c r="AW1771" s="1"/>
      <c r="AX1771" s="1"/>
      <c r="AY1771" s="1"/>
      <c r="AZ1771" s="1"/>
      <c r="BA1771" s="1"/>
      <c r="BB1771" s="1"/>
      <c r="BC1771" s="1"/>
      <c r="BD1771" s="1"/>
      <c r="BE1771" s="1"/>
      <c r="BF1771" s="1"/>
      <c r="BG1771" s="1"/>
      <c r="BH1771" s="1"/>
      <c r="BI1771" s="1"/>
      <c r="BJ1771" s="1"/>
      <c r="BK1771" s="1"/>
      <c r="BL1771" s="1"/>
      <c r="BM1771" s="1"/>
      <c r="BN1771" s="1"/>
      <c r="BO1771" s="1"/>
      <c r="BP1771" s="1" t="s">
        <v>9609</v>
      </c>
      <c r="BQ1771" s="3"/>
      <c r="BR1771" s="3"/>
    </row>
    <row r="1772" spans="1:70">
      <c r="A1772" s="1" t="s">
        <v>17032</v>
      </c>
      <c r="B1772" s="1" t="s">
        <v>13846</v>
      </c>
      <c r="C1772" s="1" t="s">
        <v>20777</v>
      </c>
      <c r="D1772" s="1"/>
      <c r="E1772" s="1"/>
      <c r="F1772" s="1"/>
      <c r="G1772" s="1"/>
      <c r="H1772" s="1" t="s">
        <v>20778</v>
      </c>
      <c r="I1772" s="1" t="s">
        <v>20778</v>
      </c>
      <c r="J1772" s="1"/>
      <c r="K1772" s="1"/>
      <c r="L1772" s="1"/>
      <c r="M1772" s="1"/>
      <c r="N1772" s="1"/>
      <c r="O1772" s="1"/>
      <c r="P1772" s="1"/>
      <c r="Q1772" s="1"/>
      <c r="R1772" s="1"/>
      <c r="S1772" s="1"/>
      <c r="T1772" s="1"/>
      <c r="U1772" s="1"/>
      <c r="V1772" s="1"/>
      <c r="W1772" s="1"/>
      <c r="X1772" s="1"/>
      <c r="Y1772" s="1"/>
      <c r="Z1772" s="1"/>
      <c r="AA1772" s="1"/>
      <c r="AB1772" s="1"/>
      <c r="AC1772" s="1"/>
      <c r="AD1772" s="1" t="s">
        <v>93</v>
      </c>
      <c r="AE1772" s="1" t="s">
        <v>93</v>
      </c>
      <c r="AF1772" s="1"/>
      <c r="AG1772" s="1"/>
      <c r="AH1772" s="1"/>
      <c r="AI1772" s="1"/>
      <c r="AJ1772" s="1"/>
      <c r="AK1772" s="1"/>
      <c r="AL1772" s="1"/>
      <c r="AM1772" s="1"/>
      <c r="AN1772" s="1"/>
      <c r="AO1772" s="1"/>
      <c r="AP1772" s="1"/>
      <c r="AQ1772" s="1"/>
      <c r="AR1772" s="1"/>
      <c r="AS1772" s="1"/>
      <c r="AT1772" s="1"/>
      <c r="AU1772" s="1"/>
      <c r="AV1772" s="1"/>
      <c r="AW1772" s="1"/>
      <c r="AX1772" s="1"/>
      <c r="AY1772" s="1"/>
      <c r="AZ1772" s="1"/>
      <c r="BA1772" s="1"/>
      <c r="BB1772" s="1"/>
      <c r="BC1772" s="1"/>
      <c r="BD1772" s="1"/>
      <c r="BE1772" s="1"/>
      <c r="BF1772" s="1"/>
      <c r="BG1772" s="1"/>
      <c r="BH1772" s="1"/>
      <c r="BI1772" s="1"/>
      <c r="BJ1772" s="1"/>
      <c r="BK1772" s="1"/>
      <c r="BL1772" s="1"/>
      <c r="BM1772" s="1"/>
      <c r="BN1772" s="1"/>
      <c r="BO1772" s="1"/>
      <c r="BP1772" s="1" t="s">
        <v>9609</v>
      </c>
      <c r="BQ1772" s="3"/>
      <c r="BR1772" s="3"/>
    </row>
    <row r="1773" spans="1:70">
      <c r="A1773" s="1" t="s">
        <v>17032</v>
      </c>
      <c r="B1773" s="1" t="s">
        <v>13846</v>
      </c>
      <c r="C1773" s="1" t="s">
        <v>20779</v>
      </c>
      <c r="D1773" s="1"/>
      <c r="E1773" s="1"/>
      <c r="F1773" s="1"/>
      <c r="G1773" s="1"/>
      <c r="H1773" s="1" t="s">
        <v>20780</v>
      </c>
      <c r="I1773" s="1" t="s">
        <v>20780</v>
      </c>
      <c r="J1773" s="1"/>
      <c r="K1773" s="1"/>
      <c r="L1773" s="1"/>
      <c r="M1773" s="1"/>
      <c r="N1773" s="1"/>
      <c r="O1773" s="1"/>
      <c r="P1773" s="1"/>
      <c r="Q1773" s="1"/>
      <c r="R1773" s="1"/>
      <c r="S1773" s="1"/>
      <c r="T1773" s="1"/>
      <c r="U1773" s="1"/>
      <c r="V1773" s="1"/>
      <c r="W1773" s="1"/>
      <c r="X1773" s="1"/>
      <c r="Y1773" s="1"/>
      <c r="Z1773" s="1"/>
      <c r="AA1773" s="1"/>
      <c r="AB1773" s="1"/>
      <c r="AC1773" s="1"/>
      <c r="AD1773" s="1" t="s">
        <v>93</v>
      </c>
      <c r="AE1773" s="1" t="s">
        <v>93</v>
      </c>
      <c r="AF1773" s="1"/>
      <c r="AG1773" s="1"/>
      <c r="AH1773" s="1"/>
      <c r="AI1773" s="1"/>
      <c r="AJ1773" s="1"/>
      <c r="AK1773" s="1"/>
      <c r="AL1773" s="1"/>
      <c r="AM1773" s="1"/>
      <c r="AN1773" s="1"/>
      <c r="AO1773" s="1"/>
      <c r="AP1773" s="1"/>
      <c r="AQ1773" s="1"/>
      <c r="AR1773" s="1"/>
      <c r="AS1773" s="1"/>
      <c r="AT1773" s="1"/>
      <c r="AU1773" s="1"/>
      <c r="AV1773" s="1"/>
      <c r="AW1773" s="1"/>
      <c r="AX1773" s="1"/>
      <c r="AY1773" s="1"/>
      <c r="AZ1773" s="1"/>
      <c r="BA1773" s="1"/>
      <c r="BB1773" s="1"/>
      <c r="BC1773" s="1"/>
      <c r="BD1773" s="1"/>
      <c r="BE1773" s="1"/>
      <c r="BF1773" s="1"/>
      <c r="BG1773" s="1"/>
      <c r="BH1773" s="1"/>
      <c r="BI1773" s="1"/>
      <c r="BJ1773" s="1"/>
      <c r="BK1773" s="1"/>
      <c r="BL1773" s="1"/>
      <c r="BM1773" s="1"/>
      <c r="BN1773" s="1"/>
      <c r="BO1773" s="1"/>
      <c r="BP1773" s="1" t="s">
        <v>9609</v>
      </c>
      <c r="BQ1773" s="3"/>
      <c r="BR1773" s="3"/>
    </row>
    <row r="1774" spans="1:70">
      <c r="A1774" s="1" t="s">
        <v>17032</v>
      </c>
      <c r="B1774" s="1" t="s">
        <v>13846</v>
      </c>
      <c r="C1774" s="1" t="s">
        <v>20781</v>
      </c>
      <c r="D1774" s="1"/>
      <c r="E1774" s="1"/>
      <c r="F1774" s="1"/>
      <c r="G1774" s="1"/>
      <c r="H1774" s="1" t="s">
        <v>20782</v>
      </c>
      <c r="I1774" s="1" t="s">
        <v>20782</v>
      </c>
      <c r="J1774" s="1"/>
      <c r="K1774" s="1"/>
      <c r="L1774" s="1"/>
      <c r="M1774" s="1"/>
      <c r="N1774" s="1"/>
      <c r="O1774" s="1"/>
      <c r="P1774" s="1"/>
      <c r="Q1774" s="1"/>
      <c r="R1774" s="1"/>
      <c r="S1774" s="1"/>
      <c r="T1774" s="1"/>
      <c r="U1774" s="1"/>
      <c r="V1774" s="1"/>
      <c r="W1774" s="1"/>
      <c r="X1774" s="1"/>
      <c r="Y1774" s="1"/>
      <c r="Z1774" s="1"/>
      <c r="AA1774" s="1"/>
      <c r="AB1774" s="1"/>
      <c r="AC1774" s="1"/>
      <c r="AD1774" s="1" t="s">
        <v>93</v>
      </c>
      <c r="AE1774" s="1" t="s">
        <v>93</v>
      </c>
      <c r="AF1774" s="1"/>
      <c r="AG1774" s="1"/>
      <c r="AH1774" s="1"/>
      <c r="AI1774" s="1"/>
      <c r="AJ1774" s="1"/>
      <c r="AK1774" s="1"/>
      <c r="AL1774" s="1"/>
      <c r="AM1774" s="1"/>
      <c r="AN1774" s="1"/>
      <c r="AO1774" s="1"/>
      <c r="AP1774" s="1"/>
      <c r="AQ1774" s="1"/>
      <c r="AR1774" s="1"/>
      <c r="AS1774" s="1"/>
      <c r="AT1774" s="1"/>
      <c r="AU1774" s="1"/>
      <c r="AV1774" s="1"/>
      <c r="AW1774" s="1"/>
      <c r="AX1774" s="1"/>
      <c r="AY1774" s="1"/>
      <c r="AZ1774" s="1"/>
      <c r="BA1774" s="1"/>
      <c r="BB1774" s="1"/>
      <c r="BC1774" s="1"/>
      <c r="BD1774" s="1"/>
      <c r="BE1774" s="1"/>
      <c r="BF1774" s="1"/>
      <c r="BG1774" s="1"/>
      <c r="BH1774" s="1"/>
      <c r="BI1774" s="1"/>
      <c r="BJ1774" s="1"/>
      <c r="BK1774" s="1"/>
      <c r="BL1774" s="1"/>
      <c r="BM1774" s="1"/>
      <c r="BN1774" s="1"/>
      <c r="BO1774" s="1"/>
      <c r="BP1774" s="1" t="s">
        <v>9609</v>
      </c>
      <c r="BQ1774" s="3"/>
      <c r="BR1774" s="3"/>
    </row>
    <row r="1775" spans="1:70">
      <c r="A1775" s="1" t="s">
        <v>17032</v>
      </c>
      <c r="B1775" s="1" t="s">
        <v>13846</v>
      </c>
      <c r="C1775" s="1" t="s">
        <v>20783</v>
      </c>
      <c r="D1775" s="1"/>
      <c r="E1775" s="1"/>
      <c r="F1775" s="1"/>
      <c r="G1775" s="1"/>
      <c r="H1775" s="1" t="s">
        <v>20784</v>
      </c>
      <c r="I1775" s="1" t="s">
        <v>20784</v>
      </c>
      <c r="J1775" s="1"/>
      <c r="K1775" s="1"/>
      <c r="L1775" s="1"/>
      <c r="M1775" s="1"/>
      <c r="N1775" s="1"/>
      <c r="O1775" s="1"/>
      <c r="P1775" s="1"/>
      <c r="Q1775" s="1"/>
      <c r="R1775" s="1"/>
      <c r="S1775" s="1"/>
      <c r="T1775" s="1"/>
      <c r="U1775" s="1"/>
      <c r="V1775" s="1"/>
      <c r="W1775" s="1"/>
      <c r="X1775" s="1"/>
      <c r="Y1775" s="1"/>
      <c r="Z1775" s="1"/>
      <c r="AA1775" s="1"/>
      <c r="AB1775" s="1"/>
      <c r="AC1775" s="1"/>
      <c r="AD1775" s="1" t="s">
        <v>93</v>
      </c>
      <c r="AE1775" s="1" t="s">
        <v>93</v>
      </c>
      <c r="AF1775" s="1"/>
      <c r="AG1775" s="1"/>
      <c r="AH1775" s="1"/>
      <c r="AI1775" s="1"/>
      <c r="AJ1775" s="1"/>
      <c r="AK1775" s="1"/>
      <c r="AL1775" s="1"/>
      <c r="AM1775" s="1"/>
      <c r="AN1775" s="1"/>
      <c r="AO1775" s="1"/>
      <c r="AP1775" s="1"/>
      <c r="AQ1775" s="1"/>
      <c r="AR1775" s="1"/>
      <c r="AS1775" s="1"/>
      <c r="AT1775" s="1"/>
      <c r="AU1775" s="1"/>
      <c r="AV1775" s="1"/>
      <c r="AW1775" s="1"/>
      <c r="AX1775" s="1"/>
      <c r="AY1775" s="1"/>
      <c r="AZ1775" s="1"/>
      <c r="BA1775" s="1"/>
      <c r="BB1775" s="1"/>
      <c r="BC1775" s="1"/>
      <c r="BD1775" s="1"/>
      <c r="BE1775" s="1"/>
      <c r="BF1775" s="1"/>
      <c r="BG1775" s="1"/>
      <c r="BH1775" s="1"/>
      <c r="BI1775" s="1"/>
      <c r="BJ1775" s="1"/>
      <c r="BK1775" s="1"/>
      <c r="BL1775" s="1"/>
      <c r="BM1775" s="1"/>
      <c r="BN1775" s="1"/>
      <c r="BO1775" s="1"/>
      <c r="BP1775" s="1" t="s">
        <v>9609</v>
      </c>
      <c r="BQ1775" s="3"/>
      <c r="BR1775" s="3"/>
    </row>
    <row r="1776" spans="1:70">
      <c r="A1776" s="1" t="s">
        <v>17032</v>
      </c>
      <c r="B1776" s="1" t="s">
        <v>13846</v>
      </c>
      <c r="C1776" s="1" t="s">
        <v>20785</v>
      </c>
      <c r="D1776" s="1"/>
      <c r="E1776" s="1"/>
      <c r="F1776" s="1"/>
      <c r="G1776" s="1"/>
      <c r="H1776" s="1" t="s">
        <v>20786</v>
      </c>
      <c r="I1776" s="1" t="s">
        <v>20786</v>
      </c>
      <c r="J1776" s="1"/>
      <c r="K1776" s="1"/>
      <c r="L1776" s="1"/>
      <c r="M1776" s="1"/>
      <c r="N1776" s="1"/>
      <c r="O1776" s="1"/>
      <c r="P1776" s="1"/>
      <c r="Q1776" s="1"/>
      <c r="R1776" s="1"/>
      <c r="S1776" s="1"/>
      <c r="T1776" s="1"/>
      <c r="U1776" s="1"/>
      <c r="V1776" s="1"/>
      <c r="W1776" s="1"/>
      <c r="X1776" s="1"/>
      <c r="Y1776" s="1"/>
      <c r="Z1776" s="1"/>
      <c r="AA1776" s="1"/>
      <c r="AB1776" s="1"/>
      <c r="AC1776" s="1"/>
      <c r="AD1776" s="1" t="s">
        <v>93</v>
      </c>
      <c r="AE1776" s="1" t="s">
        <v>93</v>
      </c>
      <c r="AF1776" s="1"/>
      <c r="AG1776" s="1"/>
      <c r="AH1776" s="1"/>
      <c r="AI1776" s="1"/>
      <c r="AJ1776" s="1"/>
      <c r="AK1776" s="1"/>
      <c r="AL1776" s="1"/>
      <c r="AM1776" s="1"/>
      <c r="AN1776" s="1"/>
      <c r="AO1776" s="1"/>
      <c r="AP1776" s="1"/>
      <c r="AQ1776" s="1"/>
      <c r="AR1776" s="1"/>
      <c r="AS1776" s="1"/>
      <c r="AT1776" s="1"/>
      <c r="AU1776" s="1"/>
      <c r="AV1776" s="1"/>
      <c r="AW1776" s="1"/>
      <c r="AX1776" s="1"/>
      <c r="AY1776" s="1"/>
      <c r="AZ1776" s="1"/>
      <c r="BA1776" s="1"/>
      <c r="BB1776" s="1"/>
      <c r="BC1776" s="1"/>
      <c r="BD1776" s="1"/>
      <c r="BE1776" s="1"/>
      <c r="BF1776" s="1"/>
      <c r="BG1776" s="1"/>
      <c r="BH1776" s="1"/>
      <c r="BI1776" s="1"/>
      <c r="BJ1776" s="1"/>
      <c r="BK1776" s="1"/>
      <c r="BL1776" s="1"/>
      <c r="BM1776" s="1"/>
      <c r="BN1776" s="1"/>
      <c r="BO1776" s="1"/>
      <c r="BP1776" s="1" t="s">
        <v>9609</v>
      </c>
      <c r="BQ1776" s="3"/>
      <c r="BR1776" s="3"/>
    </row>
    <row r="1777" spans="1:70">
      <c r="A1777" s="1" t="s">
        <v>17032</v>
      </c>
      <c r="B1777" s="1" t="s">
        <v>13846</v>
      </c>
      <c r="C1777" s="1" t="s">
        <v>20787</v>
      </c>
      <c r="D1777" s="1"/>
      <c r="E1777" s="1"/>
      <c r="F1777" s="1"/>
      <c r="G1777" s="1"/>
      <c r="H1777" s="1" t="s">
        <v>20788</v>
      </c>
      <c r="I1777" s="1" t="s">
        <v>20788</v>
      </c>
      <c r="J1777" s="1"/>
      <c r="K1777" s="1"/>
      <c r="L1777" s="1"/>
      <c r="M1777" s="1"/>
      <c r="N1777" s="1"/>
      <c r="O1777" s="1"/>
      <c r="P1777" s="1"/>
      <c r="Q1777" s="1"/>
      <c r="R1777" s="1"/>
      <c r="S1777" s="1"/>
      <c r="T1777" s="1"/>
      <c r="U1777" s="1"/>
      <c r="V1777" s="1"/>
      <c r="W1777" s="1"/>
      <c r="X1777" s="1"/>
      <c r="Y1777" s="1"/>
      <c r="Z1777" s="1"/>
      <c r="AA1777" s="1"/>
      <c r="AB1777" s="1"/>
      <c r="AC1777" s="1"/>
      <c r="AD1777" s="1" t="s">
        <v>93</v>
      </c>
      <c r="AE1777" s="1" t="s">
        <v>93</v>
      </c>
      <c r="AF1777" s="1"/>
      <c r="AG1777" s="1"/>
      <c r="AH1777" s="1"/>
      <c r="AI1777" s="1"/>
      <c r="AJ1777" s="1"/>
      <c r="AK1777" s="1"/>
      <c r="AL1777" s="1"/>
      <c r="AM1777" s="1"/>
      <c r="AN1777" s="1"/>
      <c r="AO1777" s="1"/>
      <c r="AP1777" s="1"/>
      <c r="AQ1777" s="1"/>
      <c r="AR1777" s="1"/>
      <c r="AS1777" s="1"/>
      <c r="AT1777" s="1"/>
      <c r="AU1777" s="1"/>
      <c r="AV1777" s="1"/>
      <c r="AW1777" s="1"/>
      <c r="AX1777" s="1"/>
      <c r="AY1777" s="1"/>
      <c r="AZ1777" s="1"/>
      <c r="BA1777" s="1"/>
      <c r="BB1777" s="1"/>
      <c r="BC1777" s="1"/>
      <c r="BD1777" s="1"/>
      <c r="BE1777" s="1"/>
      <c r="BF1777" s="1"/>
      <c r="BG1777" s="1"/>
      <c r="BH1777" s="1"/>
      <c r="BI1777" s="1"/>
      <c r="BJ1777" s="1"/>
      <c r="BK1777" s="1"/>
      <c r="BL1777" s="1"/>
      <c r="BM1777" s="1"/>
      <c r="BN1777" s="1"/>
      <c r="BO1777" s="1"/>
      <c r="BP1777" s="1" t="s">
        <v>9609</v>
      </c>
      <c r="BQ1777" s="3"/>
      <c r="BR1777" s="3"/>
    </row>
    <row r="1778" spans="1:70">
      <c r="A1778" s="1" t="s">
        <v>17032</v>
      </c>
      <c r="B1778" s="1" t="s">
        <v>13846</v>
      </c>
      <c r="C1778" s="1" t="s">
        <v>20789</v>
      </c>
      <c r="D1778" s="1"/>
      <c r="E1778" s="1"/>
      <c r="F1778" s="1"/>
      <c r="G1778" s="1"/>
      <c r="H1778" s="1" t="s">
        <v>20790</v>
      </c>
      <c r="I1778" s="1" t="s">
        <v>20790</v>
      </c>
      <c r="J1778" s="1"/>
      <c r="K1778" s="1"/>
      <c r="L1778" s="1"/>
      <c r="M1778" s="1"/>
      <c r="N1778" s="1"/>
      <c r="O1778" s="1"/>
      <c r="P1778" s="1"/>
      <c r="Q1778" s="1"/>
      <c r="R1778" s="1"/>
      <c r="S1778" s="1"/>
      <c r="T1778" s="1"/>
      <c r="U1778" s="1"/>
      <c r="V1778" s="1"/>
      <c r="W1778" s="1"/>
      <c r="X1778" s="1"/>
      <c r="Y1778" s="1"/>
      <c r="Z1778" s="1"/>
      <c r="AA1778" s="1"/>
      <c r="AB1778" s="1"/>
      <c r="AC1778" s="1"/>
      <c r="AD1778" s="1" t="s">
        <v>93</v>
      </c>
      <c r="AE1778" s="1" t="s">
        <v>93</v>
      </c>
      <c r="AF1778" s="1"/>
      <c r="AG1778" s="1"/>
      <c r="AH1778" s="1"/>
      <c r="AI1778" s="1"/>
      <c r="AJ1778" s="1"/>
      <c r="AK1778" s="1"/>
      <c r="AL1778" s="1"/>
      <c r="AM1778" s="1"/>
      <c r="AN1778" s="1"/>
      <c r="AO1778" s="1"/>
      <c r="AP1778" s="1"/>
      <c r="AQ1778" s="1"/>
      <c r="AR1778" s="1"/>
      <c r="AS1778" s="1"/>
      <c r="AT1778" s="1"/>
      <c r="AU1778" s="1"/>
      <c r="AV1778" s="1"/>
      <c r="AW1778" s="1"/>
      <c r="AX1778" s="1"/>
      <c r="AY1778" s="1"/>
      <c r="AZ1778" s="1"/>
      <c r="BA1778" s="1"/>
      <c r="BB1778" s="1"/>
      <c r="BC1778" s="1"/>
      <c r="BD1778" s="1"/>
      <c r="BE1778" s="1"/>
      <c r="BF1778" s="1"/>
      <c r="BG1778" s="1"/>
      <c r="BH1778" s="1"/>
      <c r="BI1778" s="1"/>
      <c r="BJ1778" s="1"/>
      <c r="BK1778" s="1"/>
      <c r="BL1778" s="1"/>
      <c r="BM1778" s="1"/>
      <c r="BN1778" s="1"/>
      <c r="BO1778" s="1"/>
      <c r="BP1778" s="1" t="s">
        <v>9609</v>
      </c>
      <c r="BQ1778" s="3"/>
      <c r="BR1778" s="3"/>
    </row>
    <row r="1779" spans="1:70">
      <c r="A1779" s="1" t="s">
        <v>16711</v>
      </c>
      <c r="B1779" s="1" t="s">
        <v>13846</v>
      </c>
      <c r="C1779" s="1" t="s">
        <v>20791</v>
      </c>
      <c r="D1779" s="1"/>
      <c r="E1779" s="1"/>
      <c r="F1779" s="1"/>
      <c r="G1779" s="1"/>
      <c r="H1779" s="1" t="s">
        <v>20792</v>
      </c>
      <c r="I1779" s="1" t="s">
        <v>20792</v>
      </c>
      <c r="J1779" s="1"/>
      <c r="K1779" s="1"/>
      <c r="L1779" s="1"/>
      <c r="M1779" s="1"/>
      <c r="N1779" s="1"/>
      <c r="O1779" s="1"/>
      <c r="P1779" s="1"/>
      <c r="Q1779" s="1"/>
      <c r="R1779" s="1"/>
      <c r="S1779" s="1"/>
      <c r="T1779" s="1"/>
      <c r="U1779" s="1"/>
      <c r="V1779" s="1"/>
      <c r="W1779" s="1"/>
      <c r="X1779" s="1"/>
      <c r="Y1779" s="1"/>
      <c r="Z1779" s="1"/>
      <c r="AA1779" s="1"/>
      <c r="AB1779" s="1"/>
      <c r="AC1779" s="1"/>
      <c r="AD1779" s="1" t="s">
        <v>93</v>
      </c>
      <c r="AE1779" s="1" t="s">
        <v>93</v>
      </c>
      <c r="AF1779" s="1"/>
      <c r="AG1779" s="1"/>
      <c r="AH1779" s="1"/>
      <c r="AI1779" s="1"/>
      <c r="AJ1779" s="1"/>
      <c r="AK1779" s="1"/>
      <c r="AL1779" s="1"/>
      <c r="AM1779" s="1"/>
      <c r="AN1779" s="1"/>
      <c r="AO1779" s="1"/>
      <c r="AP1779" s="1"/>
      <c r="AQ1779" s="1"/>
      <c r="AR1779" s="1"/>
      <c r="AS1779" s="1"/>
      <c r="AT1779" s="1"/>
      <c r="AU1779" s="1"/>
      <c r="AV1779" s="1"/>
      <c r="AW1779" s="1"/>
      <c r="AX1779" s="1"/>
      <c r="AY1779" s="1"/>
      <c r="AZ1779" s="1"/>
      <c r="BA1779" s="1"/>
      <c r="BB1779" s="1"/>
      <c r="BC1779" s="1"/>
      <c r="BD1779" s="1"/>
      <c r="BE1779" s="1"/>
      <c r="BF1779" s="1"/>
      <c r="BG1779" s="1"/>
      <c r="BH1779" s="1"/>
      <c r="BI1779" s="1"/>
      <c r="BJ1779" s="1"/>
      <c r="BK1779" s="1"/>
      <c r="BL1779" s="1"/>
      <c r="BM1779" s="1"/>
      <c r="BN1779" s="1"/>
      <c r="BO1779" s="1"/>
      <c r="BP1779" s="1" t="s">
        <v>9609</v>
      </c>
      <c r="BQ1779" s="3"/>
      <c r="BR1779" s="3"/>
    </row>
    <row r="1780" spans="1:70">
      <c r="A1780" s="1" t="s">
        <v>16711</v>
      </c>
      <c r="B1780" s="1" t="s">
        <v>13846</v>
      </c>
      <c r="C1780" s="1" t="s">
        <v>20793</v>
      </c>
      <c r="D1780" s="1"/>
      <c r="E1780" s="1"/>
      <c r="F1780" s="1"/>
      <c r="G1780" s="1"/>
      <c r="H1780" s="1" t="s">
        <v>20794</v>
      </c>
      <c r="I1780" s="1" t="s">
        <v>20794</v>
      </c>
      <c r="J1780" s="1"/>
      <c r="K1780" s="1"/>
      <c r="L1780" s="1"/>
      <c r="M1780" s="1"/>
      <c r="N1780" s="1"/>
      <c r="O1780" s="1"/>
      <c r="P1780" s="1"/>
      <c r="Q1780" s="1"/>
      <c r="R1780" s="1"/>
      <c r="S1780" s="1"/>
      <c r="T1780" s="1"/>
      <c r="U1780" s="1"/>
      <c r="V1780" s="1"/>
      <c r="W1780" s="1"/>
      <c r="X1780" s="1"/>
      <c r="Y1780" s="1"/>
      <c r="Z1780" s="1"/>
      <c r="AA1780" s="1"/>
      <c r="AB1780" s="1"/>
      <c r="AC1780" s="1"/>
      <c r="AD1780" s="1" t="s">
        <v>93</v>
      </c>
      <c r="AE1780" s="1" t="s">
        <v>93</v>
      </c>
      <c r="AF1780" s="1"/>
      <c r="AG1780" s="1"/>
      <c r="AH1780" s="1"/>
      <c r="AI1780" s="1"/>
      <c r="AJ1780" s="1"/>
      <c r="AK1780" s="1"/>
      <c r="AL1780" s="1"/>
      <c r="AM1780" s="1"/>
      <c r="AN1780" s="1"/>
      <c r="AO1780" s="1"/>
      <c r="AP1780" s="1"/>
      <c r="AQ1780" s="1"/>
      <c r="AR1780" s="1"/>
      <c r="AS1780" s="1"/>
      <c r="AT1780" s="1"/>
      <c r="AU1780" s="1"/>
      <c r="AV1780" s="1"/>
      <c r="AW1780" s="1"/>
      <c r="AX1780" s="1"/>
      <c r="AY1780" s="1"/>
      <c r="AZ1780" s="1"/>
      <c r="BA1780" s="1"/>
      <c r="BB1780" s="1"/>
      <c r="BC1780" s="1"/>
      <c r="BD1780" s="1"/>
      <c r="BE1780" s="1"/>
      <c r="BF1780" s="1"/>
      <c r="BG1780" s="1"/>
      <c r="BH1780" s="1"/>
      <c r="BI1780" s="1"/>
      <c r="BJ1780" s="1"/>
      <c r="BK1780" s="1"/>
      <c r="BL1780" s="1"/>
      <c r="BM1780" s="1"/>
      <c r="BN1780" s="1"/>
      <c r="BO1780" s="1"/>
      <c r="BP1780" s="1" t="s">
        <v>9609</v>
      </c>
      <c r="BQ1780" s="3"/>
      <c r="BR1780" s="3"/>
    </row>
    <row r="1781" spans="1:70">
      <c r="A1781" s="1" t="s">
        <v>16711</v>
      </c>
      <c r="B1781" s="1" t="s">
        <v>13846</v>
      </c>
      <c r="C1781" s="1" t="s">
        <v>20795</v>
      </c>
      <c r="D1781" s="1"/>
      <c r="E1781" s="1"/>
      <c r="F1781" s="1"/>
      <c r="G1781" s="1"/>
      <c r="H1781" s="1" t="s">
        <v>20796</v>
      </c>
      <c r="I1781" s="1" t="s">
        <v>20796</v>
      </c>
      <c r="J1781" s="1"/>
      <c r="K1781" s="1"/>
      <c r="L1781" s="1"/>
      <c r="M1781" s="1"/>
      <c r="N1781" s="1"/>
      <c r="O1781" s="1"/>
      <c r="P1781" s="1"/>
      <c r="Q1781" s="1"/>
      <c r="R1781" s="1"/>
      <c r="S1781" s="1"/>
      <c r="T1781" s="1"/>
      <c r="U1781" s="1"/>
      <c r="V1781" s="1"/>
      <c r="W1781" s="1"/>
      <c r="X1781" s="1"/>
      <c r="Y1781" s="1"/>
      <c r="Z1781" s="1"/>
      <c r="AA1781" s="1"/>
      <c r="AB1781" s="1"/>
      <c r="AC1781" s="1"/>
      <c r="AD1781" s="1" t="s">
        <v>93</v>
      </c>
      <c r="AE1781" s="1" t="s">
        <v>93</v>
      </c>
      <c r="AF1781" s="1"/>
      <c r="AG1781" s="1"/>
      <c r="AH1781" s="1"/>
      <c r="AI1781" s="1"/>
      <c r="AJ1781" s="1"/>
      <c r="AK1781" s="1"/>
      <c r="AL1781" s="1"/>
      <c r="AM1781" s="1"/>
      <c r="AN1781" s="1"/>
      <c r="AO1781" s="1"/>
      <c r="AP1781" s="1"/>
      <c r="AQ1781" s="1"/>
      <c r="AR1781" s="1"/>
      <c r="AS1781" s="1"/>
      <c r="AT1781" s="1"/>
      <c r="AU1781" s="1"/>
      <c r="AV1781" s="1"/>
      <c r="AW1781" s="1"/>
      <c r="AX1781" s="1"/>
      <c r="AY1781" s="1"/>
      <c r="AZ1781" s="1"/>
      <c r="BA1781" s="1"/>
      <c r="BB1781" s="1"/>
      <c r="BC1781" s="1"/>
      <c r="BD1781" s="1"/>
      <c r="BE1781" s="1"/>
      <c r="BF1781" s="1"/>
      <c r="BG1781" s="1"/>
      <c r="BH1781" s="1"/>
      <c r="BI1781" s="1"/>
      <c r="BJ1781" s="1"/>
      <c r="BK1781" s="1"/>
      <c r="BL1781" s="1"/>
      <c r="BM1781" s="1"/>
      <c r="BN1781" s="1"/>
      <c r="BO1781" s="1"/>
      <c r="BP1781" s="1" t="s">
        <v>9609</v>
      </c>
      <c r="BQ1781" s="3"/>
      <c r="BR1781" s="3"/>
    </row>
    <row r="1782" spans="1:70">
      <c r="A1782" s="1" t="s">
        <v>16711</v>
      </c>
      <c r="B1782" s="1" t="s">
        <v>13846</v>
      </c>
      <c r="C1782" s="1" t="s">
        <v>20797</v>
      </c>
      <c r="D1782" s="1"/>
      <c r="E1782" s="1"/>
      <c r="F1782" s="1"/>
      <c r="G1782" s="1"/>
      <c r="H1782" s="1" t="s">
        <v>20798</v>
      </c>
      <c r="I1782" s="1" t="s">
        <v>20798</v>
      </c>
      <c r="J1782" s="1"/>
      <c r="K1782" s="1"/>
      <c r="L1782" s="1"/>
      <c r="M1782" s="1"/>
      <c r="N1782" s="1"/>
      <c r="O1782" s="1"/>
      <c r="P1782" s="1"/>
      <c r="Q1782" s="1"/>
      <c r="R1782" s="1"/>
      <c r="S1782" s="1"/>
      <c r="T1782" s="1"/>
      <c r="U1782" s="1"/>
      <c r="V1782" s="1"/>
      <c r="W1782" s="1"/>
      <c r="X1782" s="1"/>
      <c r="Y1782" s="1"/>
      <c r="Z1782" s="1"/>
      <c r="AA1782" s="1"/>
      <c r="AB1782" s="1"/>
      <c r="AC1782" s="1"/>
      <c r="AD1782" s="1" t="s">
        <v>93</v>
      </c>
      <c r="AE1782" s="1" t="s">
        <v>93</v>
      </c>
      <c r="AF1782" s="1"/>
      <c r="AG1782" s="1"/>
      <c r="AH1782" s="1"/>
      <c r="AI1782" s="1"/>
      <c r="AJ1782" s="1"/>
      <c r="AK1782" s="1"/>
      <c r="AL1782" s="1"/>
      <c r="AM1782" s="1"/>
      <c r="AN1782" s="1"/>
      <c r="AO1782" s="1"/>
      <c r="AP1782" s="1"/>
      <c r="AQ1782" s="1"/>
      <c r="AR1782" s="1"/>
      <c r="AS1782" s="1"/>
      <c r="AT1782" s="1"/>
      <c r="AU1782" s="1"/>
      <c r="AV1782" s="1"/>
      <c r="AW1782" s="1"/>
      <c r="AX1782" s="1"/>
      <c r="AY1782" s="1"/>
      <c r="AZ1782" s="1"/>
      <c r="BA1782" s="1"/>
      <c r="BB1782" s="1"/>
      <c r="BC1782" s="1"/>
      <c r="BD1782" s="1"/>
      <c r="BE1782" s="1"/>
      <c r="BF1782" s="1"/>
      <c r="BG1782" s="1"/>
      <c r="BH1782" s="1"/>
      <c r="BI1782" s="1"/>
      <c r="BJ1782" s="1"/>
      <c r="BK1782" s="1"/>
      <c r="BL1782" s="1"/>
      <c r="BM1782" s="1"/>
      <c r="BN1782" s="1"/>
      <c r="BO1782" s="1"/>
      <c r="BP1782" s="1" t="s">
        <v>9609</v>
      </c>
      <c r="BQ1782" s="3"/>
      <c r="BR1782" s="3"/>
    </row>
    <row r="1783" spans="1:70">
      <c r="A1783" s="1" t="s">
        <v>16711</v>
      </c>
      <c r="B1783" s="1" t="s">
        <v>13846</v>
      </c>
      <c r="C1783" s="1" t="s">
        <v>20799</v>
      </c>
      <c r="D1783" s="1"/>
      <c r="E1783" s="1"/>
      <c r="F1783" s="1"/>
      <c r="G1783" s="1"/>
      <c r="H1783" s="1" t="s">
        <v>20800</v>
      </c>
      <c r="I1783" s="1" t="s">
        <v>20800</v>
      </c>
      <c r="J1783" s="1"/>
      <c r="K1783" s="1"/>
      <c r="L1783" s="1"/>
      <c r="M1783" s="1"/>
      <c r="N1783" s="1"/>
      <c r="O1783" s="1"/>
      <c r="P1783" s="1"/>
      <c r="Q1783" s="1"/>
      <c r="R1783" s="1"/>
      <c r="S1783" s="1"/>
      <c r="T1783" s="1"/>
      <c r="U1783" s="1"/>
      <c r="V1783" s="1"/>
      <c r="W1783" s="1"/>
      <c r="X1783" s="1"/>
      <c r="Y1783" s="1"/>
      <c r="Z1783" s="1"/>
      <c r="AA1783" s="1"/>
      <c r="AB1783" s="1"/>
      <c r="AC1783" s="1"/>
      <c r="AD1783" s="1" t="s">
        <v>93</v>
      </c>
      <c r="AE1783" s="1" t="s">
        <v>93</v>
      </c>
      <c r="AF1783" s="1"/>
      <c r="AG1783" s="1"/>
      <c r="AH1783" s="1"/>
      <c r="AI1783" s="1"/>
      <c r="AJ1783" s="1"/>
      <c r="AK1783" s="1"/>
      <c r="AL1783" s="1"/>
      <c r="AM1783" s="1"/>
      <c r="AN1783" s="1"/>
      <c r="AO1783" s="1"/>
      <c r="AP1783" s="1"/>
      <c r="AQ1783" s="1"/>
      <c r="AR1783" s="1"/>
      <c r="AS1783" s="1"/>
      <c r="AT1783" s="1"/>
      <c r="AU1783" s="1"/>
      <c r="AV1783" s="1"/>
      <c r="AW1783" s="1"/>
      <c r="AX1783" s="1"/>
      <c r="AY1783" s="1"/>
      <c r="AZ1783" s="1"/>
      <c r="BA1783" s="1"/>
      <c r="BB1783" s="1"/>
      <c r="BC1783" s="1"/>
      <c r="BD1783" s="1"/>
      <c r="BE1783" s="1"/>
      <c r="BF1783" s="1"/>
      <c r="BG1783" s="1"/>
      <c r="BH1783" s="1"/>
      <c r="BI1783" s="1"/>
      <c r="BJ1783" s="1"/>
      <c r="BK1783" s="1"/>
      <c r="BL1783" s="1"/>
      <c r="BM1783" s="1"/>
      <c r="BN1783" s="1"/>
      <c r="BO1783" s="1"/>
      <c r="BP1783" s="1" t="s">
        <v>9609</v>
      </c>
      <c r="BQ1783" s="3"/>
      <c r="BR1783" s="3"/>
    </row>
    <row r="1784" spans="1:70">
      <c r="A1784" s="1" t="s">
        <v>16711</v>
      </c>
      <c r="B1784" s="1" t="s">
        <v>13846</v>
      </c>
      <c r="C1784" s="1" t="s">
        <v>20801</v>
      </c>
      <c r="D1784" s="1"/>
      <c r="E1784" s="1"/>
      <c r="F1784" s="1"/>
      <c r="G1784" s="1"/>
      <c r="H1784" s="1" t="s">
        <v>20802</v>
      </c>
      <c r="I1784" s="1" t="s">
        <v>20802</v>
      </c>
      <c r="J1784" s="1"/>
      <c r="K1784" s="1"/>
      <c r="L1784" s="1"/>
      <c r="M1784" s="1"/>
      <c r="N1784" s="1"/>
      <c r="O1784" s="1"/>
      <c r="P1784" s="1"/>
      <c r="Q1784" s="1"/>
      <c r="R1784" s="1"/>
      <c r="S1784" s="1"/>
      <c r="T1784" s="1"/>
      <c r="U1784" s="1"/>
      <c r="V1784" s="1"/>
      <c r="W1784" s="1"/>
      <c r="X1784" s="1"/>
      <c r="Y1784" s="1"/>
      <c r="Z1784" s="1"/>
      <c r="AA1784" s="1"/>
      <c r="AB1784" s="1"/>
      <c r="AC1784" s="1"/>
      <c r="AD1784" s="1" t="s">
        <v>93</v>
      </c>
      <c r="AE1784" s="1" t="s">
        <v>93</v>
      </c>
      <c r="AF1784" s="1"/>
      <c r="AG1784" s="1"/>
      <c r="AH1784" s="1"/>
      <c r="AI1784" s="1"/>
      <c r="AJ1784" s="1"/>
      <c r="AK1784" s="1"/>
      <c r="AL1784" s="1"/>
      <c r="AM1784" s="1"/>
      <c r="AN1784" s="1"/>
      <c r="AO1784" s="1"/>
      <c r="AP1784" s="1"/>
      <c r="AQ1784" s="1"/>
      <c r="AR1784" s="1"/>
      <c r="AS1784" s="1"/>
      <c r="AT1784" s="1"/>
      <c r="AU1784" s="1"/>
      <c r="AV1784" s="1"/>
      <c r="AW1784" s="1"/>
      <c r="AX1784" s="1"/>
      <c r="AY1784" s="1"/>
      <c r="AZ1784" s="1"/>
      <c r="BA1784" s="1"/>
      <c r="BB1784" s="1"/>
      <c r="BC1784" s="1"/>
      <c r="BD1784" s="1"/>
      <c r="BE1784" s="1"/>
      <c r="BF1784" s="1"/>
      <c r="BG1784" s="1"/>
      <c r="BH1784" s="1"/>
      <c r="BI1784" s="1"/>
      <c r="BJ1784" s="1"/>
      <c r="BK1784" s="1"/>
      <c r="BL1784" s="1"/>
      <c r="BM1784" s="1"/>
      <c r="BN1784" s="1"/>
      <c r="BO1784" s="1"/>
      <c r="BP1784" s="1" t="s">
        <v>9609</v>
      </c>
      <c r="BQ1784" s="3"/>
      <c r="BR1784" s="3"/>
    </row>
    <row r="1785" spans="1:70">
      <c r="A1785" s="1" t="s">
        <v>16711</v>
      </c>
      <c r="B1785" s="1" t="s">
        <v>13846</v>
      </c>
      <c r="C1785" s="1" t="s">
        <v>20803</v>
      </c>
      <c r="D1785" s="1"/>
      <c r="E1785" s="1"/>
      <c r="F1785" s="1"/>
      <c r="G1785" s="1"/>
      <c r="H1785" s="1" t="s">
        <v>20804</v>
      </c>
      <c r="I1785" s="1" t="s">
        <v>20804</v>
      </c>
      <c r="J1785" s="1"/>
      <c r="K1785" s="1"/>
      <c r="L1785" s="1"/>
      <c r="M1785" s="1"/>
      <c r="N1785" s="1"/>
      <c r="O1785" s="1"/>
      <c r="P1785" s="1"/>
      <c r="Q1785" s="1"/>
      <c r="R1785" s="1"/>
      <c r="S1785" s="1"/>
      <c r="T1785" s="1"/>
      <c r="U1785" s="1"/>
      <c r="V1785" s="1"/>
      <c r="W1785" s="1"/>
      <c r="X1785" s="1"/>
      <c r="Y1785" s="1"/>
      <c r="Z1785" s="1"/>
      <c r="AA1785" s="1"/>
      <c r="AB1785" s="1"/>
      <c r="AC1785" s="1"/>
      <c r="AD1785" s="1" t="s">
        <v>93</v>
      </c>
      <c r="AE1785" s="1" t="s">
        <v>93</v>
      </c>
      <c r="AF1785" s="1"/>
      <c r="AG1785" s="1"/>
      <c r="AH1785" s="1"/>
      <c r="AI1785" s="1"/>
      <c r="AJ1785" s="1"/>
      <c r="AK1785" s="1"/>
      <c r="AL1785" s="1"/>
      <c r="AM1785" s="1"/>
      <c r="AN1785" s="1"/>
      <c r="AO1785" s="1"/>
      <c r="AP1785" s="1"/>
      <c r="AQ1785" s="1"/>
      <c r="AR1785" s="1"/>
      <c r="AS1785" s="1"/>
      <c r="AT1785" s="1"/>
      <c r="AU1785" s="1"/>
      <c r="AV1785" s="1"/>
      <c r="AW1785" s="1"/>
      <c r="AX1785" s="1"/>
      <c r="AY1785" s="1"/>
      <c r="AZ1785" s="1"/>
      <c r="BA1785" s="1"/>
      <c r="BB1785" s="1"/>
      <c r="BC1785" s="1"/>
      <c r="BD1785" s="1"/>
      <c r="BE1785" s="1"/>
      <c r="BF1785" s="1"/>
      <c r="BG1785" s="1"/>
      <c r="BH1785" s="1"/>
      <c r="BI1785" s="1"/>
      <c r="BJ1785" s="1"/>
      <c r="BK1785" s="1"/>
      <c r="BL1785" s="1"/>
      <c r="BM1785" s="1"/>
      <c r="BN1785" s="1"/>
      <c r="BO1785" s="1"/>
      <c r="BP1785" s="1" t="s">
        <v>9609</v>
      </c>
      <c r="BQ1785" s="3"/>
      <c r="BR1785" s="3"/>
    </row>
    <row r="1786" spans="1:70">
      <c r="A1786" s="1" t="s">
        <v>16711</v>
      </c>
      <c r="B1786" s="1" t="s">
        <v>13846</v>
      </c>
      <c r="C1786" s="1" t="s">
        <v>20805</v>
      </c>
      <c r="D1786" s="1"/>
      <c r="E1786" s="1"/>
      <c r="F1786" s="1"/>
      <c r="G1786" s="1"/>
      <c r="H1786" s="1" t="s">
        <v>20806</v>
      </c>
      <c r="I1786" s="1" t="s">
        <v>20806</v>
      </c>
      <c r="J1786" s="1"/>
      <c r="K1786" s="1"/>
      <c r="L1786" s="1"/>
      <c r="M1786" s="1"/>
      <c r="N1786" s="1"/>
      <c r="O1786" s="1"/>
      <c r="P1786" s="1"/>
      <c r="Q1786" s="1"/>
      <c r="R1786" s="1"/>
      <c r="S1786" s="1"/>
      <c r="T1786" s="1"/>
      <c r="U1786" s="1"/>
      <c r="V1786" s="1"/>
      <c r="W1786" s="1"/>
      <c r="X1786" s="1"/>
      <c r="Y1786" s="1"/>
      <c r="Z1786" s="1"/>
      <c r="AA1786" s="1"/>
      <c r="AB1786" s="1"/>
      <c r="AC1786" s="1"/>
      <c r="AD1786" s="1" t="s">
        <v>93</v>
      </c>
      <c r="AE1786" s="1" t="s">
        <v>93</v>
      </c>
      <c r="AF1786" s="1"/>
      <c r="AG1786" s="1"/>
      <c r="AH1786" s="1"/>
      <c r="AI1786" s="1"/>
      <c r="AJ1786" s="1"/>
      <c r="AK1786" s="1"/>
      <c r="AL1786" s="1"/>
      <c r="AM1786" s="1"/>
      <c r="AN1786" s="1"/>
      <c r="AO1786" s="1"/>
      <c r="AP1786" s="1"/>
      <c r="AQ1786" s="1"/>
      <c r="AR1786" s="1"/>
      <c r="AS1786" s="1"/>
      <c r="AT1786" s="1"/>
      <c r="AU1786" s="1"/>
      <c r="AV1786" s="1"/>
      <c r="AW1786" s="1"/>
      <c r="AX1786" s="1"/>
      <c r="AY1786" s="1"/>
      <c r="AZ1786" s="1"/>
      <c r="BA1786" s="1"/>
      <c r="BB1786" s="1"/>
      <c r="BC1786" s="1"/>
      <c r="BD1786" s="1"/>
      <c r="BE1786" s="1"/>
      <c r="BF1786" s="1"/>
      <c r="BG1786" s="1"/>
      <c r="BH1786" s="1"/>
      <c r="BI1786" s="1"/>
      <c r="BJ1786" s="1"/>
      <c r="BK1786" s="1"/>
      <c r="BL1786" s="1"/>
      <c r="BM1786" s="1"/>
      <c r="BN1786" s="1"/>
      <c r="BO1786" s="1"/>
      <c r="BP1786" s="1" t="s">
        <v>9609</v>
      </c>
      <c r="BQ1786" s="3"/>
      <c r="BR1786" s="3"/>
    </row>
    <row r="1787" spans="1:70">
      <c r="A1787" s="1" t="s">
        <v>16711</v>
      </c>
      <c r="B1787" s="1" t="s">
        <v>13846</v>
      </c>
      <c r="C1787" s="1" t="s">
        <v>20807</v>
      </c>
      <c r="D1787" s="1"/>
      <c r="E1787" s="1"/>
      <c r="F1787" s="1"/>
      <c r="G1787" s="1"/>
      <c r="H1787" s="1" t="s">
        <v>20808</v>
      </c>
      <c r="I1787" s="1" t="s">
        <v>20808</v>
      </c>
      <c r="J1787" s="1"/>
      <c r="K1787" s="1"/>
      <c r="L1787" s="1"/>
      <c r="M1787" s="1"/>
      <c r="N1787" s="1"/>
      <c r="O1787" s="1"/>
      <c r="P1787" s="1"/>
      <c r="Q1787" s="1"/>
      <c r="R1787" s="1"/>
      <c r="S1787" s="1"/>
      <c r="T1787" s="1"/>
      <c r="U1787" s="1"/>
      <c r="V1787" s="1"/>
      <c r="W1787" s="1"/>
      <c r="X1787" s="1"/>
      <c r="Y1787" s="1"/>
      <c r="Z1787" s="1"/>
      <c r="AA1787" s="1"/>
      <c r="AB1787" s="1"/>
      <c r="AC1787" s="1"/>
      <c r="AD1787" s="1" t="s">
        <v>93</v>
      </c>
      <c r="AE1787" s="1" t="s">
        <v>93</v>
      </c>
      <c r="AF1787" s="1"/>
      <c r="AG1787" s="1"/>
      <c r="AH1787" s="1"/>
      <c r="AI1787" s="1"/>
      <c r="AJ1787" s="1"/>
      <c r="AK1787" s="1"/>
      <c r="AL1787" s="1"/>
      <c r="AM1787" s="1"/>
      <c r="AN1787" s="1"/>
      <c r="AO1787" s="1"/>
      <c r="AP1787" s="1"/>
      <c r="AQ1787" s="1"/>
      <c r="AR1787" s="1"/>
      <c r="AS1787" s="1"/>
      <c r="AT1787" s="1"/>
      <c r="AU1787" s="1"/>
      <c r="AV1787" s="1"/>
      <c r="AW1787" s="1"/>
      <c r="AX1787" s="1"/>
      <c r="AY1787" s="1"/>
      <c r="AZ1787" s="1"/>
      <c r="BA1787" s="1"/>
      <c r="BB1787" s="1"/>
      <c r="BC1787" s="1"/>
      <c r="BD1787" s="1"/>
      <c r="BE1787" s="1"/>
      <c r="BF1787" s="1"/>
      <c r="BG1787" s="1"/>
      <c r="BH1787" s="1"/>
      <c r="BI1787" s="1"/>
      <c r="BJ1787" s="1"/>
      <c r="BK1787" s="1"/>
      <c r="BL1787" s="1"/>
      <c r="BM1787" s="1"/>
      <c r="BN1787" s="1"/>
      <c r="BO1787" s="1"/>
      <c r="BP1787" s="1" t="s">
        <v>9609</v>
      </c>
      <c r="BQ1787" s="3"/>
      <c r="BR1787" s="3"/>
    </row>
    <row r="1788" spans="1:70">
      <c r="A1788" s="1" t="s">
        <v>16711</v>
      </c>
      <c r="B1788" s="1" t="s">
        <v>13846</v>
      </c>
      <c r="C1788" s="1" t="s">
        <v>20809</v>
      </c>
      <c r="D1788" s="1"/>
      <c r="E1788" s="1"/>
      <c r="F1788" s="1"/>
      <c r="G1788" s="1"/>
      <c r="H1788" s="1" t="s">
        <v>20810</v>
      </c>
      <c r="I1788" s="1" t="s">
        <v>20810</v>
      </c>
      <c r="J1788" s="1"/>
      <c r="K1788" s="1"/>
      <c r="L1788" s="1"/>
      <c r="M1788" s="1"/>
      <c r="N1788" s="1"/>
      <c r="O1788" s="1"/>
      <c r="P1788" s="1"/>
      <c r="Q1788" s="1"/>
      <c r="R1788" s="1"/>
      <c r="S1788" s="1"/>
      <c r="T1788" s="1"/>
      <c r="U1788" s="1"/>
      <c r="V1788" s="1"/>
      <c r="W1788" s="1"/>
      <c r="X1788" s="1"/>
      <c r="Y1788" s="1"/>
      <c r="Z1788" s="1"/>
      <c r="AA1788" s="1"/>
      <c r="AB1788" s="1"/>
      <c r="AC1788" s="1"/>
      <c r="AD1788" s="1" t="s">
        <v>93</v>
      </c>
      <c r="AE1788" s="1" t="s">
        <v>93</v>
      </c>
      <c r="AF1788" s="1"/>
      <c r="AG1788" s="1"/>
      <c r="AH1788" s="1"/>
      <c r="AI1788" s="1"/>
      <c r="AJ1788" s="1"/>
      <c r="AK1788" s="1"/>
      <c r="AL1788" s="1"/>
      <c r="AM1788" s="1"/>
      <c r="AN1788" s="1"/>
      <c r="AO1788" s="1"/>
      <c r="AP1788" s="1"/>
      <c r="AQ1788" s="1"/>
      <c r="AR1788" s="1"/>
      <c r="AS1788" s="1"/>
      <c r="AT1788" s="1"/>
      <c r="AU1788" s="1"/>
      <c r="AV1788" s="1"/>
      <c r="AW1788" s="1"/>
      <c r="AX1788" s="1"/>
      <c r="AY1788" s="1"/>
      <c r="AZ1788" s="1"/>
      <c r="BA1788" s="1"/>
      <c r="BB1788" s="1"/>
      <c r="BC1788" s="1"/>
      <c r="BD1788" s="1"/>
      <c r="BE1788" s="1"/>
      <c r="BF1788" s="1"/>
      <c r="BG1788" s="1"/>
      <c r="BH1788" s="1"/>
      <c r="BI1788" s="1"/>
      <c r="BJ1788" s="1"/>
      <c r="BK1788" s="1"/>
      <c r="BL1788" s="1"/>
      <c r="BM1788" s="1"/>
      <c r="BN1788" s="1"/>
      <c r="BO1788" s="1"/>
      <c r="BP1788" s="1" t="s">
        <v>9609</v>
      </c>
      <c r="BQ1788" s="3"/>
      <c r="BR1788" s="3"/>
    </row>
    <row r="1789" spans="1:70">
      <c r="A1789" s="1" t="s">
        <v>16711</v>
      </c>
      <c r="B1789" s="1" t="s">
        <v>13846</v>
      </c>
      <c r="C1789" s="1" t="s">
        <v>20811</v>
      </c>
      <c r="D1789" s="1"/>
      <c r="E1789" s="1"/>
      <c r="F1789" s="1"/>
      <c r="G1789" s="1"/>
      <c r="H1789" s="1" t="s">
        <v>20812</v>
      </c>
      <c r="I1789" s="1" t="s">
        <v>20812</v>
      </c>
      <c r="J1789" s="1"/>
      <c r="K1789" s="1"/>
      <c r="L1789" s="1"/>
      <c r="M1789" s="1"/>
      <c r="N1789" s="1"/>
      <c r="O1789" s="1"/>
      <c r="P1789" s="1"/>
      <c r="Q1789" s="1"/>
      <c r="R1789" s="1"/>
      <c r="S1789" s="1"/>
      <c r="T1789" s="1"/>
      <c r="U1789" s="1"/>
      <c r="V1789" s="1"/>
      <c r="W1789" s="1"/>
      <c r="X1789" s="1"/>
      <c r="Y1789" s="1"/>
      <c r="Z1789" s="1"/>
      <c r="AA1789" s="1"/>
      <c r="AB1789" s="1"/>
      <c r="AC1789" s="1"/>
      <c r="AD1789" s="1" t="s">
        <v>93</v>
      </c>
      <c r="AE1789" s="1" t="s">
        <v>93</v>
      </c>
      <c r="AF1789" s="1"/>
      <c r="AG1789" s="1"/>
      <c r="AH1789" s="1"/>
      <c r="AI1789" s="1"/>
      <c r="AJ1789" s="1"/>
      <c r="AK1789" s="1"/>
      <c r="AL1789" s="1"/>
      <c r="AM1789" s="1"/>
      <c r="AN1789" s="1"/>
      <c r="AO1789" s="1"/>
      <c r="AP1789" s="1"/>
      <c r="AQ1789" s="1"/>
      <c r="AR1789" s="1"/>
      <c r="AS1789" s="1"/>
      <c r="AT1789" s="1"/>
      <c r="AU1789" s="1"/>
      <c r="AV1789" s="1"/>
      <c r="AW1789" s="1"/>
      <c r="AX1789" s="1"/>
      <c r="AY1789" s="1"/>
      <c r="AZ1789" s="1"/>
      <c r="BA1789" s="1"/>
      <c r="BB1789" s="1"/>
      <c r="BC1789" s="1"/>
      <c r="BD1789" s="1"/>
      <c r="BE1789" s="1"/>
      <c r="BF1789" s="1"/>
      <c r="BG1789" s="1"/>
      <c r="BH1789" s="1"/>
      <c r="BI1789" s="1"/>
      <c r="BJ1789" s="1"/>
      <c r="BK1789" s="1"/>
      <c r="BL1789" s="1"/>
      <c r="BM1789" s="1"/>
      <c r="BN1789" s="1"/>
      <c r="BO1789" s="1"/>
      <c r="BP1789" s="1" t="s">
        <v>9609</v>
      </c>
      <c r="BQ1789" s="3"/>
      <c r="BR1789" s="3"/>
    </row>
    <row r="1790" spans="1:70">
      <c r="A1790" s="1" t="s">
        <v>16711</v>
      </c>
      <c r="B1790" s="1" t="s">
        <v>13846</v>
      </c>
      <c r="C1790" s="1" t="s">
        <v>20813</v>
      </c>
      <c r="D1790" s="1"/>
      <c r="E1790" s="1"/>
      <c r="F1790" s="1"/>
      <c r="G1790" s="1"/>
      <c r="H1790" s="1" t="s">
        <v>20814</v>
      </c>
      <c r="I1790" s="1" t="s">
        <v>20814</v>
      </c>
      <c r="J1790" s="1"/>
      <c r="K1790" s="1"/>
      <c r="L1790" s="1"/>
      <c r="M1790" s="1"/>
      <c r="N1790" s="1"/>
      <c r="O1790" s="1"/>
      <c r="P1790" s="1"/>
      <c r="Q1790" s="1"/>
      <c r="R1790" s="1"/>
      <c r="S1790" s="1"/>
      <c r="T1790" s="1"/>
      <c r="U1790" s="1"/>
      <c r="V1790" s="1"/>
      <c r="W1790" s="1"/>
      <c r="X1790" s="1"/>
      <c r="Y1790" s="1"/>
      <c r="Z1790" s="1"/>
      <c r="AA1790" s="1"/>
      <c r="AB1790" s="1"/>
      <c r="AC1790" s="1"/>
      <c r="AD1790" s="1" t="s">
        <v>93</v>
      </c>
      <c r="AE1790" s="1" t="s">
        <v>93</v>
      </c>
      <c r="AF1790" s="1"/>
      <c r="AG1790" s="1"/>
      <c r="AH1790" s="1"/>
      <c r="AI1790" s="1"/>
      <c r="AJ1790" s="1"/>
      <c r="AK1790" s="1"/>
      <c r="AL1790" s="1"/>
      <c r="AM1790" s="1"/>
      <c r="AN1790" s="1"/>
      <c r="AO1790" s="1"/>
      <c r="AP1790" s="1"/>
      <c r="AQ1790" s="1"/>
      <c r="AR1790" s="1"/>
      <c r="AS1790" s="1"/>
      <c r="AT1790" s="1"/>
      <c r="AU1790" s="1"/>
      <c r="AV1790" s="1"/>
      <c r="AW1790" s="1"/>
      <c r="AX1790" s="1"/>
      <c r="AY1790" s="1"/>
      <c r="AZ1790" s="1"/>
      <c r="BA1790" s="1"/>
      <c r="BB1790" s="1"/>
      <c r="BC1790" s="1"/>
      <c r="BD1790" s="1"/>
      <c r="BE1790" s="1"/>
      <c r="BF1790" s="1"/>
      <c r="BG1790" s="1"/>
      <c r="BH1790" s="1"/>
      <c r="BI1790" s="1"/>
      <c r="BJ1790" s="1"/>
      <c r="BK1790" s="1"/>
      <c r="BL1790" s="1"/>
      <c r="BM1790" s="1"/>
      <c r="BN1790" s="1"/>
      <c r="BO1790" s="1"/>
      <c r="BP1790" s="1" t="s">
        <v>9609</v>
      </c>
      <c r="BQ1790" s="3"/>
      <c r="BR1790" s="3"/>
    </row>
    <row r="1791" spans="1:70">
      <c r="A1791" s="1" t="s">
        <v>16711</v>
      </c>
      <c r="B1791" s="1" t="s">
        <v>13846</v>
      </c>
      <c r="C1791" s="1" t="s">
        <v>20815</v>
      </c>
      <c r="D1791" s="1"/>
      <c r="E1791" s="1"/>
      <c r="F1791" s="1"/>
      <c r="G1791" s="1"/>
      <c r="H1791" s="1" t="s">
        <v>20816</v>
      </c>
      <c r="I1791" s="1" t="s">
        <v>20816</v>
      </c>
      <c r="J1791" s="1"/>
      <c r="K1791" s="1"/>
      <c r="L1791" s="1"/>
      <c r="M1791" s="1"/>
      <c r="N1791" s="1"/>
      <c r="O1791" s="1"/>
      <c r="P1791" s="1"/>
      <c r="Q1791" s="1"/>
      <c r="R1791" s="1"/>
      <c r="S1791" s="1"/>
      <c r="T1791" s="1"/>
      <c r="U1791" s="1"/>
      <c r="V1791" s="1"/>
      <c r="W1791" s="1"/>
      <c r="X1791" s="1"/>
      <c r="Y1791" s="1"/>
      <c r="Z1791" s="1"/>
      <c r="AA1791" s="1"/>
      <c r="AB1791" s="1"/>
      <c r="AC1791" s="1"/>
      <c r="AD1791" s="1" t="s">
        <v>93</v>
      </c>
      <c r="AE1791" s="1" t="s">
        <v>93</v>
      </c>
      <c r="AF1791" s="1"/>
      <c r="AG1791" s="1"/>
      <c r="AH1791" s="1"/>
      <c r="AI1791" s="1"/>
      <c r="AJ1791" s="1"/>
      <c r="AK1791" s="1"/>
      <c r="AL1791" s="1"/>
      <c r="AM1791" s="1"/>
      <c r="AN1791" s="1"/>
      <c r="AO1791" s="1"/>
      <c r="AP1791" s="1"/>
      <c r="AQ1791" s="1"/>
      <c r="AR1791" s="1"/>
      <c r="AS1791" s="1"/>
      <c r="AT1791" s="1"/>
      <c r="AU1791" s="1"/>
      <c r="AV1791" s="1"/>
      <c r="AW1791" s="1"/>
      <c r="AX1791" s="1"/>
      <c r="AY1791" s="1"/>
      <c r="AZ1791" s="1"/>
      <c r="BA1791" s="1"/>
      <c r="BB1791" s="1"/>
      <c r="BC1791" s="1"/>
      <c r="BD1791" s="1"/>
      <c r="BE1791" s="1"/>
      <c r="BF1791" s="1"/>
      <c r="BG1791" s="1"/>
      <c r="BH1791" s="1"/>
      <c r="BI1791" s="1"/>
      <c r="BJ1791" s="1"/>
      <c r="BK1791" s="1"/>
      <c r="BL1791" s="1"/>
      <c r="BM1791" s="1"/>
      <c r="BN1791" s="1"/>
      <c r="BO1791" s="1"/>
      <c r="BP1791" s="1" t="s">
        <v>9609</v>
      </c>
      <c r="BQ1791" s="3"/>
      <c r="BR1791" s="3"/>
    </row>
    <row r="1792" spans="1:70">
      <c r="A1792" s="1" t="s">
        <v>16711</v>
      </c>
      <c r="B1792" s="1" t="s">
        <v>13846</v>
      </c>
      <c r="C1792" s="1" t="s">
        <v>20817</v>
      </c>
      <c r="D1792" s="1"/>
      <c r="E1792" s="1"/>
      <c r="F1792" s="1"/>
      <c r="G1792" s="1"/>
      <c r="H1792" s="1" t="s">
        <v>20818</v>
      </c>
      <c r="I1792" s="1" t="s">
        <v>20818</v>
      </c>
      <c r="J1792" s="1"/>
      <c r="K1792" s="1"/>
      <c r="L1792" s="1"/>
      <c r="M1792" s="1"/>
      <c r="N1792" s="1"/>
      <c r="O1792" s="1"/>
      <c r="P1792" s="1"/>
      <c r="Q1792" s="1"/>
      <c r="R1792" s="1"/>
      <c r="S1792" s="1"/>
      <c r="T1792" s="1"/>
      <c r="U1792" s="1"/>
      <c r="V1792" s="1"/>
      <c r="W1792" s="1"/>
      <c r="X1792" s="1"/>
      <c r="Y1792" s="1"/>
      <c r="Z1792" s="1"/>
      <c r="AA1792" s="1"/>
      <c r="AB1792" s="1"/>
      <c r="AC1792" s="1"/>
      <c r="AD1792" s="1" t="s">
        <v>93</v>
      </c>
      <c r="AE1792" s="1" t="s">
        <v>93</v>
      </c>
      <c r="AF1792" s="1"/>
      <c r="AG1792" s="1"/>
      <c r="AH1792" s="1"/>
      <c r="AI1792" s="1"/>
      <c r="AJ1792" s="1"/>
      <c r="AK1792" s="1"/>
      <c r="AL1792" s="1"/>
      <c r="AM1792" s="1"/>
      <c r="AN1792" s="1"/>
      <c r="AO1792" s="1"/>
      <c r="AP1792" s="1"/>
      <c r="AQ1792" s="1"/>
      <c r="AR1792" s="1"/>
      <c r="AS1792" s="1"/>
      <c r="AT1792" s="1"/>
      <c r="AU1792" s="1"/>
      <c r="AV1792" s="1"/>
      <c r="AW1792" s="1"/>
      <c r="AX1792" s="1"/>
      <c r="AY1792" s="1"/>
      <c r="AZ1792" s="1"/>
      <c r="BA1792" s="1"/>
      <c r="BB1792" s="1"/>
      <c r="BC1792" s="1"/>
      <c r="BD1792" s="1"/>
      <c r="BE1792" s="1"/>
      <c r="BF1792" s="1"/>
      <c r="BG1792" s="1"/>
      <c r="BH1792" s="1"/>
      <c r="BI1792" s="1"/>
      <c r="BJ1792" s="1"/>
      <c r="BK1792" s="1"/>
      <c r="BL1792" s="1"/>
      <c r="BM1792" s="1"/>
      <c r="BN1792" s="1"/>
      <c r="BO1792" s="1"/>
      <c r="BP1792" s="1" t="s">
        <v>9609</v>
      </c>
      <c r="BQ1792" s="3"/>
      <c r="BR1792" s="3"/>
    </row>
    <row r="1793" spans="1:70">
      <c r="A1793" s="1" t="s">
        <v>16711</v>
      </c>
      <c r="B1793" s="1" t="s">
        <v>13846</v>
      </c>
      <c r="C1793" s="1" t="s">
        <v>20819</v>
      </c>
      <c r="D1793" s="1"/>
      <c r="E1793" s="1"/>
      <c r="F1793" s="1"/>
      <c r="G1793" s="1"/>
      <c r="H1793" s="1" t="s">
        <v>20820</v>
      </c>
      <c r="I1793" s="1" t="s">
        <v>20820</v>
      </c>
      <c r="J1793" s="1"/>
      <c r="K1793" s="1"/>
      <c r="L1793" s="1"/>
      <c r="M1793" s="1"/>
      <c r="N1793" s="1"/>
      <c r="O1793" s="1"/>
      <c r="P1793" s="1"/>
      <c r="Q1793" s="1"/>
      <c r="R1793" s="1"/>
      <c r="S1793" s="1"/>
      <c r="T1793" s="1"/>
      <c r="U1793" s="1"/>
      <c r="V1793" s="1"/>
      <c r="W1793" s="1"/>
      <c r="X1793" s="1"/>
      <c r="Y1793" s="1"/>
      <c r="Z1793" s="1"/>
      <c r="AA1793" s="1"/>
      <c r="AB1793" s="1"/>
      <c r="AC1793" s="1"/>
      <c r="AD1793" s="1" t="s">
        <v>93</v>
      </c>
      <c r="AE1793" s="1" t="s">
        <v>93</v>
      </c>
      <c r="AF1793" s="1"/>
      <c r="AG1793" s="1"/>
      <c r="AH1793" s="1"/>
      <c r="AI1793" s="1"/>
      <c r="AJ1793" s="1"/>
      <c r="AK1793" s="1"/>
      <c r="AL1793" s="1"/>
      <c r="AM1793" s="1"/>
      <c r="AN1793" s="1"/>
      <c r="AO1793" s="1"/>
      <c r="AP1793" s="1"/>
      <c r="AQ1793" s="1"/>
      <c r="AR1793" s="1"/>
      <c r="AS1793" s="1"/>
      <c r="AT1793" s="1"/>
      <c r="AU1793" s="1"/>
      <c r="AV1793" s="1"/>
      <c r="AW1793" s="1"/>
      <c r="AX1793" s="1"/>
      <c r="AY1793" s="1"/>
      <c r="AZ1793" s="1"/>
      <c r="BA1793" s="1"/>
      <c r="BB1793" s="1"/>
      <c r="BC1793" s="1"/>
      <c r="BD1793" s="1"/>
      <c r="BE1793" s="1"/>
      <c r="BF1793" s="1"/>
      <c r="BG1793" s="1"/>
      <c r="BH1793" s="1"/>
      <c r="BI1793" s="1"/>
      <c r="BJ1793" s="1"/>
      <c r="BK1793" s="1"/>
      <c r="BL1793" s="1"/>
      <c r="BM1793" s="1"/>
      <c r="BN1793" s="1"/>
      <c r="BO1793" s="1"/>
      <c r="BP1793" s="1" t="s">
        <v>9609</v>
      </c>
      <c r="BQ1793" s="3"/>
      <c r="BR1793" s="3"/>
    </row>
    <row r="1794" spans="1:70">
      <c r="A1794" s="1" t="s">
        <v>16711</v>
      </c>
      <c r="B1794" s="1" t="s">
        <v>13846</v>
      </c>
      <c r="C1794" s="1" t="s">
        <v>20821</v>
      </c>
      <c r="D1794" s="1"/>
      <c r="E1794" s="1"/>
      <c r="F1794" s="1"/>
      <c r="G1794" s="1"/>
      <c r="H1794" s="1" t="s">
        <v>20822</v>
      </c>
      <c r="I1794" s="1" t="s">
        <v>20822</v>
      </c>
      <c r="J1794" s="1"/>
      <c r="K1794" s="1"/>
      <c r="L1794" s="1"/>
      <c r="M1794" s="1"/>
      <c r="N1794" s="1"/>
      <c r="O1794" s="1"/>
      <c r="P1794" s="1"/>
      <c r="Q1794" s="1"/>
      <c r="R1794" s="1"/>
      <c r="S1794" s="1"/>
      <c r="T1794" s="1"/>
      <c r="U1794" s="1"/>
      <c r="V1794" s="1"/>
      <c r="W1794" s="1"/>
      <c r="X1794" s="1"/>
      <c r="Y1794" s="1"/>
      <c r="Z1794" s="1"/>
      <c r="AA1794" s="1"/>
      <c r="AB1794" s="1"/>
      <c r="AC1794" s="1"/>
      <c r="AD1794" s="1" t="s">
        <v>93</v>
      </c>
      <c r="AE1794" s="1" t="s">
        <v>93</v>
      </c>
      <c r="AF1794" s="1"/>
      <c r="AG1794" s="1"/>
      <c r="AH1794" s="1"/>
      <c r="AI1794" s="1"/>
      <c r="AJ1794" s="1"/>
      <c r="AK1794" s="1"/>
      <c r="AL1794" s="1"/>
      <c r="AM1794" s="1"/>
      <c r="AN1794" s="1"/>
      <c r="AO1794" s="1"/>
      <c r="AP1794" s="1"/>
      <c r="AQ1794" s="1"/>
      <c r="AR1794" s="1"/>
      <c r="AS1794" s="1"/>
      <c r="AT1794" s="1"/>
      <c r="AU1794" s="1"/>
      <c r="AV1794" s="1"/>
      <c r="AW1794" s="1"/>
      <c r="AX1794" s="1"/>
      <c r="AY1794" s="1"/>
      <c r="AZ1794" s="1"/>
      <c r="BA1794" s="1"/>
      <c r="BB1794" s="1"/>
      <c r="BC1794" s="1"/>
      <c r="BD1794" s="1"/>
      <c r="BE1794" s="1"/>
      <c r="BF1794" s="1"/>
      <c r="BG1794" s="1"/>
      <c r="BH1794" s="1"/>
      <c r="BI1794" s="1"/>
      <c r="BJ1794" s="1"/>
      <c r="BK1794" s="1"/>
      <c r="BL1794" s="1"/>
      <c r="BM1794" s="1"/>
      <c r="BN1794" s="1"/>
      <c r="BO1794" s="1"/>
      <c r="BP1794" s="1" t="s">
        <v>9609</v>
      </c>
      <c r="BQ1794" s="3"/>
      <c r="BR1794" s="3"/>
    </row>
    <row r="1795" spans="1:70">
      <c r="A1795" s="1" t="s">
        <v>16711</v>
      </c>
      <c r="B1795" s="1" t="s">
        <v>13846</v>
      </c>
      <c r="C1795" s="1" t="s">
        <v>20823</v>
      </c>
      <c r="D1795" s="1"/>
      <c r="E1795" s="1"/>
      <c r="F1795" s="1"/>
      <c r="G1795" s="1"/>
      <c r="H1795" s="1" t="s">
        <v>20824</v>
      </c>
      <c r="I1795" s="1" t="s">
        <v>20824</v>
      </c>
      <c r="J1795" s="1"/>
      <c r="K1795" s="1"/>
      <c r="L1795" s="1"/>
      <c r="M1795" s="1"/>
      <c r="N1795" s="1"/>
      <c r="O1795" s="1"/>
      <c r="P1795" s="1"/>
      <c r="Q1795" s="1"/>
      <c r="R1795" s="1"/>
      <c r="S1795" s="1"/>
      <c r="T1795" s="1"/>
      <c r="U1795" s="1"/>
      <c r="V1795" s="1"/>
      <c r="W1795" s="1"/>
      <c r="X1795" s="1"/>
      <c r="Y1795" s="1"/>
      <c r="Z1795" s="1"/>
      <c r="AA1795" s="1"/>
      <c r="AB1795" s="1"/>
      <c r="AC1795" s="1"/>
      <c r="AD1795" s="1" t="s">
        <v>93</v>
      </c>
      <c r="AE1795" s="1" t="s">
        <v>93</v>
      </c>
      <c r="AF1795" s="1"/>
      <c r="AG1795" s="1"/>
      <c r="AH1795" s="1"/>
      <c r="AI1795" s="1"/>
      <c r="AJ1795" s="1"/>
      <c r="AK1795" s="1"/>
      <c r="AL1795" s="1"/>
      <c r="AM1795" s="1"/>
      <c r="AN1795" s="1"/>
      <c r="AO1795" s="1"/>
      <c r="AP1795" s="1"/>
      <c r="AQ1795" s="1"/>
      <c r="AR1795" s="1"/>
      <c r="AS1795" s="1"/>
      <c r="AT1795" s="1"/>
      <c r="AU1795" s="1"/>
      <c r="AV1795" s="1"/>
      <c r="AW1795" s="1"/>
      <c r="AX1795" s="1"/>
      <c r="AY1795" s="1"/>
      <c r="AZ1795" s="1"/>
      <c r="BA1795" s="1"/>
      <c r="BB1795" s="1"/>
      <c r="BC1795" s="1"/>
      <c r="BD1795" s="1"/>
      <c r="BE1795" s="1"/>
      <c r="BF1795" s="1"/>
      <c r="BG1795" s="1"/>
      <c r="BH1795" s="1"/>
      <c r="BI1795" s="1"/>
      <c r="BJ1795" s="1"/>
      <c r="BK1795" s="1"/>
      <c r="BL1795" s="1"/>
      <c r="BM1795" s="1"/>
      <c r="BN1795" s="1"/>
      <c r="BO1795" s="1"/>
      <c r="BP1795" s="1" t="s">
        <v>9609</v>
      </c>
      <c r="BQ1795" s="3"/>
      <c r="BR1795" s="3"/>
    </row>
    <row r="1796" spans="1:70">
      <c r="A1796" s="1" t="s">
        <v>16711</v>
      </c>
      <c r="B1796" s="1" t="s">
        <v>13846</v>
      </c>
      <c r="C1796" s="1" t="s">
        <v>20825</v>
      </c>
      <c r="D1796" s="1"/>
      <c r="E1796" s="1"/>
      <c r="F1796" s="1"/>
      <c r="G1796" s="1"/>
      <c r="H1796" s="1" t="s">
        <v>20826</v>
      </c>
      <c r="I1796" s="1" t="s">
        <v>20826</v>
      </c>
      <c r="J1796" s="1"/>
      <c r="K1796" s="1"/>
      <c r="L1796" s="1"/>
      <c r="M1796" s="1"/>
      <c r="N1796" s="1"/>
      <c r="O1796" s="1"/>
      <c r="P1796" s="1"/>
      <c r="Q1796" s="1"/>
      <c r="R1796" s="1"/>
      <c r="S1796" s="1"/>
      <c r="T1796" s="1"/>
      <c r="U1796" s="1"/>
      <c r="V1796" s="1"/>
      <c r="W1796" s="1"/>
      <c r="X1796" s="1"/>
      <c r="Y1796" s="1"/>
      <c r="Z1796" s="1"/>
      <c r="AA1796" s="1"/>
      <c r="AB1796" s="1"/>
      <c r="AC1796" s="1"/>
      <c r="AD1796" s="1" t="s">
        <v>93</v>
      </c>
      <c r="AE1796" s="1" t="s">
        <v>93</v>
      </c>
      <c r="AF1796" s="1"/>
      <c r="AG1796" s="1"/>
      <c r="AH1796" s="1"/>
      <c r="AI1796" s="1"/>
      <c r="AJ1796" s="1"/>
      <c r="AK1796" s="1"/>
      <c r="AL1796" s="1"/>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c r="BL1796" s="1"/>
      <c r="BM1796" s="1"/>
      <c r="BN1796" s="1"/>
      <c r="BO1796" s="1"/>
      <c r="BP1796" s="1" t="s">
        <v>9609</v>
      </c>
      <c r="BQ1796" s="3"/>
      <c r="BR1796" s="3"/>
    </row>
    <row r="1797" spans="1:70">
      <c r="A1797" s="1" t="s">
        <v>16711</v>
      </c>
      <c r="B1797" s="1" t="s">
        <v>13846</v>
      </c>
      <c r="C1797" s="1" t="s">
        <v>20827</v>
      </c>
      <c r="D1797" s="1"/>
      <c r="E1797" s="1"/>
      <c r="F1797" s="1"/>
      <c r="G1797" s="1"/>
      <c r="H1797" s="1" t="s">
        <v>20828</v>
      </c>
      <c r="I1797" s="1" t="s">
        <v>20828</v>
      </c>
      <c r="J1797" s="1"/>
      <c r="K1797" s="1"/>
      <c r="L1797" s="1"/>
      <c r="M1797" s="1"/>
      <c r="N1797" s="1"/>
      <c r="O1797" s="1"/>
      <c r="P1797" s="1"/>
      <c r="Q1797" s="1"/>
      <c r="R1797" s="1"/>
      <c r="S1797" s="1"/>
      <c r="T1797" s="1"/>
      <c r="U1797" s="1"/>
      <c r="V1797" s="1"/>
      <c r="W1797" s="1"/>
      <c r="X1797" s="1"/>
      <c r="Y1797" s="1"/>
      <c r="Z1797" s="1"/>
      <c r="AA1797" s="1"/>
      <c r="AB1797" s="1"/>
      <c r="AC1797" s="1"/>
      <c r="AD1797" s="1" t="s">
        <v>93</v>
      </c>
      <c r="AE1797" s="1" t="s">
        <v>93</v>
      </c>
      <c r="AF1797" s="1"/>
      <c r="AG1797" s="1"/>
      <c r="AH1797" s="1"/>
      <c r="AI1797" s="1"/>
      <c r="AJ1797" s="1"/>
      <c r="AK1797" s="1"/>
      <c r="AL1797" s="1"/>
      <c r="AM1797" s="1"/>
      <c r="AN1797" s="1"/>
      <c r="AO1797" s="1"/>
      <c r="AP1797" s="1"/>
      <c r="AQ1797" s="1"/>
      <c r="AR1797" s="1"/>
      <c r="AS1797" s="1"/>
      <c r="AT1797" s="1"/>
      <c r="AU1797" s="1"/>
      <c r="AV1797" s="1"/>
      <c r="AW1797" s="1"/>
      <c r="AX1797" s="1"/>
      <c r="AY1797" s="1"/>
      <c r="AZ1797" s="1"/>
      <c r="BA1797" s="1"/>
      <c r="BB1797" s="1"/>
      <c r="BC1797" s="1"/>
      <c r="BD1797" s="1"/>
      <c r="BE1797" s="1"/>
      <c r="BF1797" s="1"/>
      <c r="BG1797" s="1"/>
      <c r="BH1797" s="1"/>
      <c r="BI1797" s="1"/>
      <c r="BJ1797" s="1"/>
      <c r="BK1797" s="1"/>
      <c r="BL1797" s="1"/>
      <c r="BM1797" s="1"/>
      <c r="BN1797" s="1"/>
      <c r="BO1797" s="1"/>
      <c r="BP1797" s="1" t="s">
        <v>9609</v>
      </c>
      <c r="BQ1797" s="3"/>
      <c r="BR1797" s="3"/>
    </row>
    <row r="1798" spans="1:70">
      <c r="A1798" s="1" t="s">
        <v>16711</v>
      </c>
      <c r="B1798" s="1" t="s">
        <v>13846</v>
      </c>
      <c r="C1798" s="1" t="s">
        <v>20829</v>
      </c>
      <c r="D1798" s="1"/>
      <c r="E1798" s="1"/>
      <c r="F1798" s="1"/>
      <c r="G1798" s="1"/>
      <c r="H1798" s="1" t="s">
        <v>20830</v>
      </c>
      <c r="I1798" s="1" t="s">
        <v>20830</v>
      </c>
      <c r="J1798" s="1"/>
      <c r="K1798" s="1"/>
      <c r="L1798" s="1"/>
      <c r="M1798" s="1"/>
      <c r="N1798" s="1"/>
      <c r="O1798" s="1"/>
      <c r="P1798" s="1"/>
      <c r="Q1798" s="1"/>
      <c r="R1798" s="1"/>
      <c r="S1798" s="1"/>
      <c r="T1798" s="1"/>
      <c r="U1798" s="1"/>
      <c r="V1798" s="1"/>
      <c r="W1798" s="1"/>
      <c r="X1798" s="1"/>
      <c r="Y1798" s="1"/>
      <c r="Z1798" s="1"/>
      <c r="AA1798" s="1"/>
      <c r="AB1798" s="1"/>
      <c r="AC1798" s="1"/>
      <c r="AD1798" s="1" t="s">
        <v>93</v>
      </c>
      <c r="AE1798" s="1" t="s">
        <v>93</v>
      </c>
      <c r="AF1798" s="1"/>
      <c r="AG1798" s="1"/>
      <c r="AH1798" s="1"/>
      <c r="AI1798" s="1"/>
      <c r="AJ1798" s="1"/>
      <c r="AK1798" s="1"/>
      <c r="AL1798" s="1"/>
      <c r="AM1798" s="1"/>
      <c r="AN1798" s="1"/>
      <c r="AO1798" s="1"/>
      <c r="AP1798" s="1"/>
      <c r="AQ1798" s="1"/>
      <c r="AR1798" s="1"/>
      <c r="AS1798" s="1"/>
      <c r="AT1798" s="1"/>
      <c r="AU1798" s="1"/>
      <c r="AV1798" s="1"/>
      <c r="AW1798" s="1"/>
      <c r="AX1798" s="1"/>
      <c r="AY1798" s="1"/>
      <c r="AZ1798" s="1"/>
      <c r="BA1798" s="1"/>
      <c r="BB1798" s="1"/>
      <c r="BC1798" s="1"/>
      <c r="BD1798" s="1"/>
      <c r="BE1798" s="1"/>
      <c r="BF1798" s="1"/>
      <c r="BG1798" s="1"/>
      <c r="BH1798" s="1"/>
      <c r="BI1798" s="1"/>
      <c r="BJ1798" s="1"/>
      <c r="BK1798" s="1"/>
      <c r="BL1798" s="1"/>
      <c r="BM1798" s="1"/>
      <c r="BN1798" s="1"/>
      <c r="BO1798" s="1"/>
      <c r="BP1798" s="1" t="s">
        <v>9609</v>
      </c>
      <c r="BQ1798" s="3"/>
      <c r="BR1798" s="3"/>
    </row>
    <row r="1799" spans="1:70">
      <c r="A1799" s="1" t="s">
        <v>16711</v>
      </c>
      <c r="B1799" s="1" t="s">
        <v>13846</v>
      </c>
      <c r="C1799" s="1" t="s">
        <v>20831</v>
      </c>
      <c r="D1799" s="1"/>
      <c r="E1799" s="1"/>
      <c r="F1799" s="1"/>
      <c r="G1799" s="1"/>
      <c r="H1799" s="1" t="s">
        <v>20832</v>
      </c>
      <c r="I1799" s="1" t="s">
        <v>20832</v>
      </c>
      <c r="J1799" s="1"/>
      <c r="K1799" s="1"/>
      <c r="L1799" s="1"/>
      <c r="M1799" s="1"/>
      <c r="N1799" s="1"/>
      <c r="O1799" s="1"/>
      <c r="P1799" s="1"/>
      <c r="Q1799" s="1"/>
      <c r="R1799" s="1"/>
      <c r="S1799" s="1"/>
      <c r="T1799" s="1"/>
      <c r="U1799" s="1"/>
      <c r="V1799" s="1"/>
      <c r="W1799" s="1"/>
      <c r="X1799" s="1"/>
      <c r="Y1799" s="1"/>
      <c r="Z1799" s="1"/>
      <c r="AA1799" s="1"/>
      <c r="AB1799" s="1"/>
      <c r="AC1799" s="1"/>
      <c r="AD1799" s="1" t="s">
        <v>93</v>
      </c>
      <c r="AE1799" s="1" t="s">
        <v>93</v>
      </c>
      <c r="AF1799" s="1"/>
      <c r="AG1799" s="1"/>
      <c r="AH1799" s="1"/>
      <c r="AI1799" s="1"/>
      <c r="AJ1799" s="1"/>
      <c r="AK1799" s="1"/>
      <c r="AL1799" s="1"/>
      <c r="AM1799" s="1"/>
      <c r="AN1799" s="1"/>
      <c r="AO1799" s="1"/>
      <c r="AP1799" s="1"/>
      <c r="AQ1799" s="1"/>
      <c r="AR1799" s="1"/>
      <c r="AS1799" s="1"/>
      <c r="AT1799" s="1"/>
      <c r="AU1799" s="1"/>
      <c r="AV1799" s="1"/>
      <c r="AW1799" s="1"/>
      <c r="AX1799" s="1"/>
      <c r="AY1799" s="1"/>
      <c r="AZ1799" s="1"/>
      <c r="BA1799" s="1"/>
      <c r="BB1799" s="1"/>
      <c r="BC1799" s="1"/>
      <c r="BD1799" s="1"/>
      <c r="BE1799" s="1"/>
      <c r="BF1799" s="1"/>
      <c r="BG1799" s="1"/>
      <c r="BH1799" s="1"/>
      <c r="BI1799" s="1"/>
      <c r="BJ1799" s="1"/>
      <c r="BK1799" s="1"/>
      <c r="BL1799" s="1"/>
      <c r="BM1799" s="1"/>
      <c r="BN1799" s="1"/>
      <c r="BO1799" s="1"/>
      <c r="BP1799" s="1" t="s">
        <v>9609</v>
      </c>
      <c r="BQ1799" s="3"/>
      <c r="BR1799" s="3"/>
    </row>
    <row r="1800" spans="1:70">
      <c r="A1800" s="1" t="s">
        <v>16711</v>
      </c>
      <c r="B1800" s="1" t="s">
        <v>13846</v>
      </c>
      <c r="C1800" s="1" t="s">
        <v>20833</v>
      </c>
      <c r="D1800" s="1"/>
      <c r="E1800" s="1"/>
      <c r="F1800" s="1"/>
      <c r="G1800" s="1"/>
      <c r="H1800" s="1" t="s">
        <v>20834</v>
      </c>
      <c r="I1800" s="1" t="s">
        <v>20834</v>
      </c>
      <c r="J1800" s="1"/>
      <c r="K1800" s="1"/>
      <c r="L1800" s="1"/>
      <c r="M1800" s="1"/>
      <c r="N1800" s="1"/>
      <c r="O1800" s="1"/>
      <c r="P1800" s="1"/>
      <c r="Q1800" s="1"/>
      <c r="R1800" s="1"/>
      <c r="S1800" s="1"/>
      <c r="T1800" s="1"/>
      <c r="U1800" s="1"/>
      <c r="V1800" s="1"/>
      <c r="W1800" s="1"/>
      <c r="X1800" s="1"/>
      <c r="Y1800" s="1"/>
      <c r="Z1800" s="1"/>
      <c r="AA1800" s="1"/>
      <c r="AB1800" s="1"/>
      <c r="AC1800" s="1"/>
      <c r="AD1800" s="1" t="s">
        <v>93</v>
      </c>
      <c r="AE1800" s="1" t="s">
        <v>93</v>
      </c>
      <c r="AF1800" s="1"/>
      <c r="AG1800" s="1"/>
      <c r="AH1800" s="1"/>
      <c r="AI1800" s="1"/>
      <c r="AJ1800" s="1"/>
      <c r="AK1800" s="1"/>
      <c r="AL1800" s="1"/>
      <c r="AM1800" s="1"/>
      <c r="AN1800" s="1"/>
      <c r="AO1800" s="1"/>
      <c r="AP1800" s="1"/>
      <c r="AQ1800" s="1"/>
      <c r="AR1800" s="1"/>
      <c r="AS1800" s="1"/>
      <c r="AT1800" s="1"/>
      <c r="AU1800" s="1"/>
      <c r="AV1800" s="1"/>
      <c r="AW1800" s="1"/>
      <c r="AX1800" s="1"/>
      <c r="AY1800" s="1"/>
      <c r="AZ1800" s="1"/>
      <c r="BA1800" s="1"/>
      <c r="BB1800" s="1"/>
      <c r="BC1800" s="1"/>
      <c r="BD1800" s="1"/>
      <c r="BE1800" s="1"/>
      <c r="BF1800" s="1"/>
      <c r="BG1800" s="1"/>
      <c r="BH1800" s="1"/>
      <c r="BI1800" s="1"/>
      <c r="BJ1800" s="1"/>
      <c r="BK1800" s="1"/>
      <c r="BL1800" s="1"/>
      <c r="BM1800" s="1"/>
      <c r="BN1800" s="1"/>
      <c r="BO1800" s="1"/>
      <c r="BP1800" s="1" t="s">
        <v>9609</v>
      </c>
      <c r="BQ1800" s="3"/>
      <c r="BR1800" s="3"/>
    </row>
    <row r="1801" spans="1:70">
      <c r="A1801" s="1" t="s">
        <v>16711</v>
      </c>
      <c r="B1801" s="1" t="s">
        <v>13846</v>
      </c>
      <c r="C1801" s="1" t="s">
        <v>20835</v>
      </c>
      <c r="D1801" s="1"/>
      <c r="E1801" s="1"/>
      <c r="F1801" s="1"/>
      <c r="G1801" s="1"/>
      <c r="H1801" s="1" t="s">
        <v>20836</v>
      </c>
      <c r="I1801" s="1" t="s">
        <v>20836</v>
      </c>
      <c r="J1801" s="1"/>
      <c r="K1801" s="1"/>
      <c r="L1801" s="1"/>
      <c r="M1801" s="1"/>
      <c r="N1801" s="1"/>
      <c r="O1801" s="1"/>
      <c r="P1801" s="1"/>
      <c r="Q1801" s="1"/>
      <c r="R1801" s="1"/>
      <c r="S1801" s="1"/>
      <c r="T1801" s="1"/>
      <c r="U1801" s="1"/>
      <c r="V1801" s="1"/>
      <c r="W1801" s="1"/>
      <c r="X1801" s="1"/>
      <c r="Y1801" s="1"/>
      <c r="Z1801" s="1"/>
      <c r="AA1801" s="1"/>
      <c r="AB1801" s="1"/>
      <c r="AC1801" s="1"/>
      <c r="AD1801" s="1" t="s">
        <v>93</v>
      </c>
      <c r="AE1801" s="1" t="s">
        <v>93</v>
      </c>
      <c r="AF1801" s="1"/>
      <c r="AG1801" s="1"/>
      <c r="AH1801" s="1"/>
      <c r="AI1801" s="1"/>
      <c r="AJ1801" s="1"/>
      <c r="AK1801" s="1"/>
      <c r="AL1801" s="1"/>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c r="BL1801" s="1"/>
      <c r="BM1801" s="1"/>
      <c r="BN1801" s="1"/>
      <c r="BO1801" s="1"/>
      <c r="BP1801" s="1" t="s">
        <v>9609</v>
      </c>
      <c r="BQ1801" s="3"/>
      <c r="BR1801" s="3"/>
    </row>
    <row r="1802" spans="1:70">
      <c r="A1802" s="1" t="s">
        <v>16711</v>
      </c>
      <c r="B1802" s="1" t="s">
        <v>13846</v>
      </c>
      <c r="C1802" s="1" t="s">
        <v>20837</v>
      </c>
      <c r="D1802" s="1"/>
      <c r="E1802" s="1"/>
      <c r="F1802" s="1"/>
      <c r="G1802" s="1"/>
      <c r="H1802" s="1" t="s">
        <v>20838</v>
      </c>
      <c r="I1802" s="1" t="s">
        <v>20838</v>
      </c>
      <c r="J1802" s="1"/>
      <c r="K1802" s="1"/>
      <c r="L1802" s="1"/>
      <c r="M1802" s="1"/>
      <c r="N1802" s="1"/>
      <c r="O1802" s="1"/>
      <c r="P1802" s="1"/>
      <c r="Q1802" s="1"/>
      <c r="R1802" s="1"/>
      <c r="S1802" s="1"/>
      <c r="T1802" s="1"/>
      <c r="U1802" s="1"/>
      <c r="V1802" s="1"/>
      <c r="W1802" s="1"/>
      <c r="X1802" s="1"/>
      <c r="Y1802" s="1"/>
      <c r="Z1802" s="1"/>
      <c r="AA1802" s="1"/>
      <c r="AB1802" s="1"/>
      <c r="AC1802" s="1"/>
      <c r="AD1802" s="1" t="s">
        <v>93</v>
      </c>
      <c r="AE1802" s="1" t="s">
        <v>93</v>
      </c>
      <c r="AF1802" s="1"/>
      <c r="AG1802" s="1"/>
      <c r="AH1802" s="1"/>
      <c r="AI1802" s="1"/>
      <c r="AJ1802" s="1"/>
      <c r="AK1802" s="1"/>
      <c r="AL1802" s="1"/>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t="s">
        <v>9609</v>
      </c>
      <c r="BQ1802" s="3"/>
      <c r="BR1802" s="3"/>
    </row>
    <row r="1803" spans="1:70">
      <c r="A1803" s="1" t="s">
        <v>16711</v>
      </c>
      <c r="B1803" s="1" t="s">
        <v>13846</v>
      </c>
      <c r="C1803" s="1" t="s">
        <v>20839</v>
      </c>
      <c r="D1803" s="1"/>
      <c r="E1803" s="1"/>
      <c r="F1803" s="1"/>
      <c r="G1803" s="1"/>
      <c r="H1803" s="1" t="s">
        <v>20840</v>
      </c>
      <c r="I1803" s="1" t="s">
        <v>20840</v>
      </c>
      <c r="J1803" s="1"/>
      <c r="K1803" s="1"/>
      <c r="L1803" s="1"/>
      <c r="M1803" s="1"/>
      <c r="N1803" s="1"/>
      <c r="O1803" s="1"/>
      <c r="P1803" s="1"/>
      <c r="Q1803" s="1"/>
      <c r="R1803" s="1"/>
      <c r="S1803" s="1"/>
      <c r="T1803" s="1"/>
      <c r="U1803" s="1"/>
      <c r="V1803" s="1"/>
      <c r="W1803" s="1"/>
      <c r="X1803" s="1"/>
      <c r="Y1803" s="1"/>
      <c r="Z1803" s="1"/>
      <c r="AA1803" s="1"/>
      <c r="AB1803" s="1"/>
      <c r="AC1803" s="1"/>
      <c r="AD1803" s="1" t="s">
        <v>93</v>
      </c>
      <c r="AE1803" s="1" t="s">
        <v>93</v>
      </c>
      <c r="AF1803" s="1"/>
      <c r="AG1803" s="1"/>
      <c r="AH1803" s="1"/>
      <c r="AI1803" s="1"/>
      <c r="AJ1803" s="1"/>
      <c r="AK1803" s="1"/>
      <c r="AL1803" s="1"/>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t="s">
        <v>9609</v>
      </c>
      <c r="BQ1803" s="3"/>
      <c r="BR1803" s="3"/>
    </row>
    <row r="1804" spans="1:70">
      <c r="A1804" s="1" t="s">
        <v>16711</v>
      </c>
      <c r="B1804" s="1" t="s">
        <v>13846</v>
      </c>
      <c r="C1804" s="1" t="s">
        <v>20841</v>
      </c>
      <c r="D1804" s="1"/>
      <c r="E1804" s="1"/>
      <c r="F1804" s="1"/>
      <c r="G1804" s="1"/>
      <c r="H1804" s="1" t="s">
        <v>20842</v>
      </c>
      <c r="I1804" s="1" t="s">
        <v>20842</v>
      </c>
      <c r="J1804" s="1"/>
      <c r="K1804" s="1"/>
      <c r="L1804" s="1"/>
      <c r="M1804" s="1"/>
      <c r="N1804" s="1"/>
      <c r="O1804" s="1"/>
      <c r="P1804" s="1"/>
      <c r="Q1804" s="1"/>
      <c r="R1804" s="1"/>
      <c r="S1804" s="1"/>
      <c r="T1804" s="1"/>
      <c r="U1804" s="1"/>
      <c r="V1804" s="1"/>
      <c r="W1804" s="1"/>
      <c r="X1804" s="1"/>
      <c r="Y1804" s="1"/>
      <c r="Z1804" s="1"/>
      <c r="AA1804" s="1"/>
      <c r="AB1804" s="1"/>
      <c r="AC1804" s="1"/>
      <c r="AD1804" s="1" t="s">
        <v>93</v>
      </c>
      <c r="AE1804" s="1" t="s">
        <v>93</v>
      </c>
      <c r="AF1804" s="1"/>
      <c r="AG1804" s="1"/>
      <c r="AH1804" s="1"/>
      <c r="AI1804" s="1"/>
      <c r="AJ1804" s="1"/>
      <c r="AK1804" s="1"/>
      <c r="AL1804" s="1"/>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t="s">
        <v>9609</v>
      </c>
      <c r="BQ1804" s="3"/>
      <c r="BR1804" s="3"/>
    </row>
    <row r="1805" spans="1:70">
      <c r="A1805" s="1" t="s">
        <v>16711</v>
      </c>
      <c r="B1805" s="1" t="s">
        <v>13846</v>
      </c>
      <c r="C1805" s="1" t="s">
        <v>20843</v>
      </c>
      <c r="D1805" s="1"/>
      <c r="E1805" s="1"/>
      <c r="F1805" s="1"/>
      <c r="G1805" s="1"/>
      <c r="H1805" s="1" t="s">
        <v>20844</v>
      </c>
      <c r="I1805" s="1" t="s">
        <v>20844</v>
      </c>
      <c r="J1805" s="1"/>
      <c r="K1805" s="1"/>
      <c r="L1805" s="1"/>
      <c r="M1805" s="1"/>
      <c r="N1805" s="1"/>
      <c r="O1805" s="1"/>
      <c r="P1805" s="1"/>
      <c r="Q1805" s="1"/>
      <c r="R1805" s="1"/>
      <c r="S1805" s="1"/>
      <c r="T1805" s="1"/>
      <c r="U1805" s="1"/>
      <c r="V1805" s="1"/>
      <c r="W1805" s="1"/>
      <c r="X1805" s="1"/>
      <c r="Y1805" s="1"/>
      <c r="Z1805" s="1"/>
      <c r="AA1805" s="1"/>
      <c r="AB1805" s="1"/>
      <c r="AC1805" s="1"/>
      <c r="AD1805" s="1" t="s">
        <v>93</v>
      </c>
      <c r="AE1805" s="1" t="s">
        <v>93</v>
      </c>
      <c r="AF1805" s="1"/>
      <c r="AG1805" s="1"/>
      <c r="AH1805" s="1"/>
      <c r="AI1805" s="1"/>
      <c r="AJ1805" s="1"/>
      <c r="AK1805" s="1"/>
      <c r="AL1805" s="1"/>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t="s">
        <v>9609</v>
      </c>
      <c r="BQ1805" s="3"/>
      <c r="BR1805" s="3"/>
    </row>
    <row r="1806" spans="1:70">
      <c r="A1806" s="1" t="s">
        <v>16711</v>
      </c>
      <c r="B1806" s="1" t="s">
        <v>13846</v>
      </c>
      <c r="C1806" s="1" t="s">
        <v>20845</v>
      </c>
      <c r="D1806" s="1"/>
      <c r="E1806" s="1"/>
      <c r="F1806" s="1"/>
      <c r="G1806" s="1"/>
      <c r="H1806" s="1" t="s">
        <v>20846</v>
      </c>
      <c r="I1806" s="1" t="s">
        <v>20846</v>
      </c>
      <c r="J1806" s="1"/>
      <c r="K1806" s="1"/>
      <c r="L1806" s="1"/>
      <c r="M1806" s="1"/>
      <c r="N1806" s="1"/>
      <c r="O1806" s="1"/>
      <c r="P1806" s="1"/>
      <c r="Q1806" s="1"/>
      <c r="R1806" s="1"/>
      <c r="S1806" s="1"/>
      <c r="T1806" s="1"/>
      <c r="U1806" s="1"/>
      <c r="V1806" s="1"/>
      <c r="W1806" s="1"/>
      <c r="X1806" s="1"/>
      <c r="Y1806" s="1"/>
      <c r="Z1806" s="1"/>
      <c r="AA1806" s="1"/>
      <c r="AB1806" s="1"/>
      <c r="AC1806" s="1"/>
      <c r="AD1806" s="1" t="s">
        <v>93</v>
      </c>
      <c r="AE1806" s="1" t="s">
        <v>93</v>
      </c>
      <c r="AF1806" s="1"/>
      <c r="AG1806" s="1"/>
      <c r="AH1806" s="1"/>
      <c r="AI1806" s="1"/>
      <c r="AJ1806" s="1"/>
      <c r="AK1806" s="1"/>
      <c r="AL1806" s="1"/>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t="s">
        <v>9609</v>
      </c>
      <c r="BQ1806" s="3"/>
      <c r="BR1806" s="3"/>
    </row>
    <row r="1807" spans="1:70">
      <c r="A1807" s="1" t="s">
        <v>16711</v>
      </c>
      <c r="B1807" s="1" t="s">
        <v>13846</v>
      </c>
      <c r="C1807" s="1" t="s">
        <v>20847</v>
      </c>
      <c r="D1807" s="1"/>
      <c r="E1807" s="1"/>
      <c r="F1807" s="1"/>
      <c r="G1807" s="1"/>
      <c r="H1807" s="1" t="s">
        <v>20848</v>
      </c>
      <c r="I1807" s="1" t="s">
        <v>20848</v>
      </c>
      <c r="J1807" s="1"/>
      <c r="K1807" s="1"/>
      <c r="L1807" s="1"/>
      <c r="M1807" s="1"/>
      <c r="N1807" s="1"/>
      <c r="O1807" s="1"/>
      <c r="P1807" s="1"/>
      <c r="Q1807" s="1"/>
      <c r="R1807" s="1"/>
      <c r="S1807" s="1"/>
      <c r="T1807" s="1"/>
      <c r="U1807" s="1"/>
      <c r="V1807" s="1"/>
      <c r="W1807" s="1"/>
      <c r="X1807" s="1"/>
      <c r="Y1807" s="1"/>
      <c r="Z1807" s="1"/>
      <c r="AA1807" s="1"/>
      <c r="AB1807" s="1"/>
      <c r="AC1807" s="1"/>
      <c r="AD1807" s="1" t="s">
        <v>93</v>
      </c>
      <c r="AE1807" s="1" t="s">
        <v>93</v>
      </c>
      <c r="AF1807" s="1"/>
      <c r="AG1807" s="1"/>
      <c r="AH1807" s="1"/>
      <c r="AI1807" s="1"/>
      <c r="AJ1807" s="1"/>
      <c r="AK1807" s="1"/>
      <c r="AL1807" s="1"/>
      <c r="AM1807" s="1"/>
      <c r="AN1807" s="1"/>
      <c r="AO1807" s="1"/>
      <c r="AP1807" s="1"/>
      <c r="AQ1807" s="1"/>
      <c r="AR1807" s="1"/>
      <c r="AS1807" s="1"/>
      <c r="AT1807" s="1"/>
      <c r="AU1807" s="1"/>
      <c r="AV1807" s="1"/>
      <c r="AW1807" s="1"/>
      <c r="AX1807" s="1"/>
      <c r="AY1807" s="1"/>
      <c r="AZ1807" s="1"/>
      <c r="BA1807" s="1"/>
      <c r="BB1807" s="1"/>
      <c r="BC1807" s="1"/>
      <c r="BD1807" s="1"/>
      <c r="BE1807" s="1"/>
      <c r="BF1807" s="1"/>
      <c r="BG1807" s="1"/>
      <c r="BH1807" s="1"/>
      <c r="BI1807" s="1"/>
      <c r="BJ1807" s="1"/>
      <c r="BK1807" s="1"/>
      <c r="BL1807" s="1"/>
      <c r="BM1807" s="1"/>
      <c r="BN1807" s="1"/>
      <c r="BO1807" s="1"/>
      <c r="BP1807" s="1" t="s">
        <v>9609</v>
      </c>
      <c r="BQ1807" s="3"/>
      <c r="BR1807" s="3"/>
    </row>
    <row r="1808" spans="1:70">
      <c r="A1808" s="1" t="s">
        <v>16711</v>
      </c>
      <c r="B1808" s="1" t="s">
        <v>13846</v>
      </c>
      <c r="C1808" s="1" t="s">
        <v>20849</v>
      </c>
      <c r="D1808" s="1"/>
      <c r="E1808" s="1"/>
      <c r="F1808" s="1"/>
      <c r="G1808" s="1"/>
      <c r="H1808" s="1" t="s">
        <v>20850</v>
      </c>
      <c r="I1808" s="1" t="s">
        <v>20850</v>
      </c>
      <c r="J1808" s="1"/>
      <c r="K1808" s="1"/>
      <c r="L1808" s="1"/>
      <c r="M1808" s="1"/>
      <c r="N1808" s="1"/>
      <c r="O1808" s="1"/>
      <c r="P1808" s="1"/>
      <c r="Q1808" s="1"/>
      <c r="R1808" s="1"/>
      <c r="S1808" s="1"/>
      <c r="T1808" s="1"/>
      <c r="U1808" s="1"/>
      <c r="V1808" s="1"/>
      <c r="W1808" s="1"/>
      <c r="X1808" s="1"/>
      <c r="Y1808" s="1"/>
      <c r="Z1808" s="1"/>
      <c r="AA1808" s="1"/>
      <c r="AB1808" s="1"/>
      <c r="AC1808" s="1"/>
      <c r="AD1808" s="1" t="s">
        <v>93</v>
      </c>
      <c r="AE1808" s="1" t="s">
        <v>93</v>
      </c>
      <c r="AF1808" s="1"/>
      <c r="AG1808" s="1"/>
      <c r="AH1808" s="1"/>
      <c r="AI1808" s="1"/>
      <c r="AJ1808" s="1"/>
      <c r="AK1808" s="1"/>
      <c r="AL1808" s="1"/>
      <c r="AM1808" s="1"/>
      <c r="AN1808" s="1"/>
      <c r="AO1808" s="1"/>
      <c r="AP1808" s="1"/>
      <c r="AQ1808" s="1"/>
      <c r="AR1808" s="1"/>
      <c r="AS1808" s="1"/>
      <c r="AT1808" s="1"/>
      <c r="AU1808" s="1"/>
      <c r="AV1808" s="1"/>
      <c r="AW1808" s="1"/>
      <c r="AX1808" s="1"/>
      <c r="AY1808" s="1"/>
      <c r="AZ1808" s="1"/>
      <c r="BA1808" s="1"/>
      <c r="BB1808" s="1"/>
      <c r="BC1808" s="1"/>
      <c r="BD1808" s="1"/>
      <c r="BE1808" s="1"/>
      <c r="BF1808" s="1"/>
      <c r="BG1808" s="1"/>
      <c r="BH1808" s="1"/>
      <c r="BI1808" s="1"/>
      <c r="BJ1808" s="1"/>
      <c r="BK1808" s="1"/>
      <c r="BL1808" s="1"/>
      <c r="BM1808" s="1"/>
      <c r="BN1808" s="1"/>
      <c r="BO1808" s="1"/>
      <c r="BP1808" s="1" t="s">
        <v>9609</v>
      </c>
      <c r="BQ1808" s="3"/>
      <c r="BR1808" s="3"/>
    </row>
    <row r="1809" spans="1:70">
      <c r="A1809" s="1" t="s">
        <v>16711</v>
      </c>
      <c r="B1809" s="1" t="s">
        <v>13846</v>
      </c>
      <c r="C1809" s="1" t="s">
        <v>20851</v>
      </c>
      <c r="D1809" s="1"/>
      <c r="E1809" s="1"/>
      <c r="F1809" s="1"/>
      <c r="G1809" s="1"/>
      <c r="H1809" s="1" t="s">
        <v>20852</v>
      </c>
      <c r="I1809" s="1" t="s">
        <v>20852</v>
      </c>
      <c r="J1809" s="1"/>
      <c r="K1809" s="1"/>
      <c r="L1809" s="1"/>
      <c r="M1809" s="1"/>
      <c r="N1809" s="1"/>
      <c r="O1809" s="1"/>
      <c r="P1809" s="1"/>
      <c r="Q1809" s="1"/>
      <c r="R1809" s="1"/>
      <c r="S1809" s="1"/>
      <c r="T1809" s="1"/>
      <c r="U1809" s="1"/>
      <c r="V1809" s="1"/>
      <c r="W1809" s="1"/>
      <c r="X1809" s="1"/>
      <c r="Y1809" s="1"/>
      <c r="Z1809" s="1"/>
      <c r="AA1809" s="1"/>
      <c r="AB1809" s="1"/>
      <c r="AC1809" s="1"/>
      <c r="AD1809" s="1" t="s">
        <v>93</v>
      </c>
      <c r="AE1809" s="1" t="s">
        <v>93</v>
      </c>
      <c r="AF1809" s="1"/>
      <c r="AG1809" s="1"/>
      <c r="AH1809" s="1"/>
      <c r="AI1809" s="1"/>
      <c r="AJ1809" s="1"/>
      <c r="AK1809" s="1"/>
      <c r="AL1809" s="1"/>
      <c r="AM1809" s="1"/>
      <c r="AN1809" s="1"/>
      <c r="AO1809" s="1"/>
      <c r="AP1809" s="1"/>
      <c r="AQ1809" s="1"/>
      <c r="AR1809" s="1"/>
      <c r="AS1809" s="1"/>
      <c r="AT1809" s="1"/>
      <c r="AU1809" s="1"/>
      <c r="AV1809" s="1"/>
      <c r="AW1809" s="1"/>
      <c r="AX1809" s="1"/>
      <c r="AY1809" s="1"/>
      <c r="AZ1809" s="1"/>
      <c r="BA1809" s="1"/>
      <c r="BB1809" s="1"/>
      <c r="BC1809" s="1"/>
      <c r="BD1809" s="1"/>
      <c r="BE1809" s="1"/>
      <c r="BF1809" s="1"/>
      <c r="BG1809" s="1"/>
      <c r="BH1809" s="1"/>
      <c r="BI1809" s="1"/>
      <c r="BJ1809" s="1"/>
      <c r="BK1809" s="1"/>
      <c r="BL1809" s="1"/>
      <c r="BM1809" s="1"/>
      <c r="BN1809" s="1"/>
      <c r="BO1809" s="1"/>
      <c r="BP1809" s="1" t="s">
        <v>9609</v>
      </c>
      <c r="BQ1809" s="3"/>
      <c r="BR1809" s="3"/>
    </row>
    <row r="1810" spans="1:70">
      <c r="A1810" s="1" t="s">
        <v>16711</v>
      </c>
      <c r="B1810" s="1" t="s">
        <v>13846</v>
      </c>
      <c r="C1810" s="1" t="s">
        <v>20853</v>
      </c>
      <c r="D1810" s="1"/>
      <c r="E1810" s="1"/>
      <c r="F1810" s="1"/>
      <c r="G1810" s="1"/>
      <c r="H1810" s="1" t="s">
        <v>20854</v>
      </c>
      <c r="I1810" s="1" t="s">
        <v>20854</v>
      </c>
      <c r="J1810" s="1"/>
      <c r="K1810" s="1"/>
      <c r="L1810" s="1"/>
      <c r="M1810" s="1"/>
      <c r="N1810" s="1"/>
      <c r="O1810" s="1"/>
      <c r="P1810" s="1"/>
      <c r="Q1810" s="1"/>
      <c r="R1810" s="1"/>
      <c r="S1810" s="1"/>
      <c r="T1810" s="1"/>
      <c r="U1810" s="1"/>
      <c r="V1810" s="1"/>
      <c r="W1810" s="1"/>
      <c r="X1810" s="1"/>
      <c r="Y1810" s="1"/>
      <c r="Z1810" s="1"/>
      <c r="AA1810" s="1"/>
      <c r="AB1810" s="1"/>
      <c r="AC1810" s="1"/>
      <c r="AD1810" s="1" t="s">
        <v>93</v>
      </c>
      <c r="AE1810" s="1" t="s">
        <v>93</v>
      </c>
      <c r="AF1810" s="1"/>
      <c r="AG1810" s="1"/>
      <c r="AH1810" s="1"/>
      <c r="AI1810" s="1"/>
      <c r="AJ1810" s="1"/>
      <c r="AK1810" s="1"/>
      <c r="AL1810" s="1"/>
      <c r="AM1810" s="1"/>
      <c r="AN1810" s="1"/>
      <c r="AO1810" s="1"/>
      <c r="AP1810" s="1"/>
      <c r="AQ1810" s="1"/>
      <c r="AR1810" s="1"/>
      <c r="AS1810" s="1"/>
      <c r="AT1810" s="1"/>
      <c r="AU1810" s="1"/>
      <c r="AV1810" s="1"/>
      <c r="AW1810" s="1"/>
      <c r="AX1810" s="1"/>
      <c r="AY1810" s="1"/>
      <c r="AZ1810" s="1"/>
      <c r="BA1810" s="1"/>
      <c r="BB1810" s="1"/>
      <c r="BC1810" s="1"/>
      <c r="BD1810" s="1"/>
      <c r="BE1810" s="1"/>
      <c r="BF1810" s="1"/>
      <c r="BG1810" s="1"/>
      <c r="BH1810" s="1"/>
      <c r="BI1810" s="1"/>
      <c r="BJ1810" s="1"/>
      <c r="BK1810" s="1"/>
      <c r="BL1810" s="1"/>
      <c r="BM1810" s="1"/>
      <c r="BN1810" s="1"/>
      <c r="BO1810" s="1"/>
      <c r="BP1810" s="1" t="s">
        <v>9609</v>
      </c>
      <c r="BQ1810" s="3"/>
      <c r="BR1810" s="3"/>
    </row>
    <row r="1811" spans="1:70">
      <c r="A1811" s="1" t="s">
        <v>16711</v>
      </c>
      <c r="B1811" s="1" t="s">
        <v>13846</v>
      </c>
      <c r="C1811" s="1" t="s">
        <v>20855</v>
      </c>
      <c r="D1811" s="1"/>
      <c r="E1811" s="1"/>
      <c r="F1811" s="1"/>
      <c r="G1811" s="1"/>
      <c r="H1811" s="1" t="s">
        <v>20856</v>
      </c>
      <c r="I1811" s="1" t="s">
        <v>20856</v>
      </c>
      <c r="J1811" s="1"/>
      <c r="K1811" s="1"/>
      <c r="L1811" s="1"/>
      <c r="M1811" s="1"/>
      <c r="N1811" s="1"/>
      <c r="O1811" s="1"/>
      <c r="P1811" s="1"/>
      <c r="Q1811" s="1"/>
      <c r="R1811" s="1"/>
      <c r="S1811" s="1"/>
      <c r="T1811" s="1"/>
      <c r="U1811" s="1"/>
      <c r="V1811" s="1"/>
      <c r="W1811" s="1"/>
      <c r="X1811" s="1"/>
      <c r="Y1811" s="1"/>
      <c r="Z1811" s="1"/>
      <c r="AA1811" s="1"/>
      <c r="AB1811" s="1"/>
      <c r="AC1811" s="1"/>
      <c r="AD1811" s="1" t="s">
        <v>93</v>
      </c>
      <c r="AE1811" s="1" t="s">
        <v>93</v>
      </c>
      <c r="AF1811" s="1"/>
      <c r="AG1811" s="1"/>
      <c r="AH1811" s="1"/>
      <c r="AI1811" s="1"/>
      <c r="AJ1811" s="1"/>
      <c r="AK1811" s="1"/>
      <c r="AL1811" s="1"/>
      <c r="AM1811" s="1"/>
      <c r="AN1811" s="1"/>
      <c r="AO1811" s="1"/>
      <c r="AP1811" s="1"/>
      <c r="AQ1811" s="1"/>
      <c r="AR1811" s="1"/>
      <c r="AS1811" s="1"/>
      <c r="AT1811" s="1"/>
      <c r="AU1811" s="1"/>
      <c r="AV1811" s="1"/>
      <c r="AW1811" s="1"/>
      <c r="AX1811" s="1"/>
      <c r="AY1811" s="1"/>
      <c r="AZ1811" s="1"/>
      <c r="BA1811" s="1"/>
      <c r="BB1811" s="1"/>
      <c r="BC1811" s="1"/>
      <c r="BD1811" s="1"/>
      <c r="BE1811" s="1"/>
      <c r="BF1811" s="1"/>
      <c r="BG1811" s="1"/>
      <c r="BH1811" s="1"/>
      <c r="BI1811" s="1"/>
      <c r="BJ1811" s="1"/>
      <c r="BK1811" s="1"/>
      <c r="BL1811" s="1"/>
      <c r="BM1811" s="1"/>
      <c r="BN1811" s="1"/>
      <c r="BO1811" s="1"/>
      <c r="BP1811" s="1" t="s">
        <v>9609</v>
      </c>
      <c r="BQ1811" s="3"/>
      <c r="BR1811" s="3"/>
    </row>
    <row r="1812" spans="1:70">
      <c r="A1812" s="1" t="s">
        <v>16711</v>
      </c>
      <c r="B1812" s="1" t="s">
        <v>13846</v>
      </c>
      <c r="C1812" s="1" t="s">
        <v>20857</v>
      </c>
      <c r="D1812" s="1"/>
      <c r="E1812" s="1"/>
      <c r="F1812" s="1"/>
      <c r="G1812" s="1"/>
      <c r="H1812" s="1" t="s">
        <v>20858</v>
      </c>
      <c r="I1812" s="1" t="s">
        <v>20858</v>
      </c>
      <c r="J1812" s="1"/>
      <c r="K1812" s="1"/>
      <c r="L1812" s="1"/>
      <c r="M1812" s="1"/>
      <c r="N1812" s="1"/>
      <c r="O1812" s="1"/>
      <c r="P1812" s="1"/>
      <c r="Q1812" s="1"/>
      <c r="R1812" s="1"/>
      <c r="S1812" s="1"/>
      <c r="T1812" s="1"/>
      <c r="U1812" s="1"/>
      <c r="V1812" s="1"/>
      <c r="W1812" s="1"/>
      <c r="X1812" s="1"/>
      <c r="Y1812" s="1"/>
      <c r="Z1812" s="1"/>
      <c r="AA1812" s="1"/>
      <c r="AB1812" s="1"/>
      <c r="AC1812" s="1"/>
      <c r="AD1812" s="1" t="s">
        <v>93</v>
      </c>
      <c r="AE1812" s="1" t="s">
        <v>93</v>
      </c>
      <c r="AF1812" s="1"/>
      <c r="AG1812" s="1"/>
      <c r="AH1812" s="1"/>
      <c r="AI1812" s="1"/>
      <c r="AJ1812" s="1"/>
      <c r="AK1812" s="1"/>
      <c r="AL1812" s="1"/>
      <c r="AM1812" s="1"/>
      <c r="AN1812" s="1"/>
      <c r="AO1812" s="1"/>
      <c r="AP1812" s="1"/>
      <c r="AQ1812" s="1"/>
      <c r="AR1812" s="1"/>
      <c r="AS1812" s="1"/>
      <c r="AT1812" s="1"/>
      <c r="AU1812" s="1"/>
      <c r="AV1812" s="1"/>
      <c r="AW1812" s="1"/>
      <c r="AX1812" s="1"/>
      <c r="AY1812" s="1"/>
      <c r="AZ1812" s="1"/>
      <c r="BA1812" s="1"/>
      <c r="BB1812" s="1"/>
      <c r="BC1812" s="1"/>
      <c r="BD1812" s="1"/>
      <c r="BE1812" s="1"/>
      <c r="BF1812" s="1"/>
      <c r="BG1812" s="1"/>
      <c r="BH1812" s="1"/>
      <c r="BI1812" s="1"/>
      <c r="BJ1812" s="1"/>
      <c r="BK1812" s="1"/>
      <c r="BL1812" s="1"/>
      <c r="BM1812" s="1"/>
      <c r="BN1812" s="1"/>
      <c r="BO1812" s="1"/>
      <c r="BP1812" s="1" t="s">
        <v>9609</v>
      </c>
      <c r="BQ1812" s="3"/>
      <c r="BR1812" s="3"/>
    </row>
    <row r="1813" spans="1:70">
      <c r="A1813" s="1" t="s">
        <v>16711</v>
      </c>
      <c r="B1813" s="1" t="s">
        <v>13846</v>
      </c>
      <c r="C1813" s="1" t="s">
        <v>20859</v>
      </c>
      <c r="D1813" s="1"/>
      <c r="E1813" s="1"/>
      <c r="F1813" s="1"/>
      <c r="G1813" s="1"/>
      <c r="H1813" s="1" t="s">
        <v>20860</v>
      </c>
      <c r="I1813" s="1" t="s">
        <v>20860</v>
      </c>
      <c r="J1813" s="1"/>
      <c r="K1813" s="1"/>
      <c r="L1813" s="1"/>
      <c r="M1813" s="1"/>
      <c r="N1813" s="1"/>
      <c r="O1813" s="1"/>
      <c r="P1813" s="1"/>
      <c r="Q1813" s="1"/>
      <c r="R1813" s="1"/>
      <c r="S1813" s="1"/>
      <c r="T1813" s="1"/>
      <c r="U1813" s="1"/>
      <c r="V1813" s="1"/>
      <c r="W1813" s="1"/>
      <c r="X1813" s="1"/>
      <c r="Y1813" s="1"/>
      <c r="Z1813" s="1"/>
      <c r="AA1813" s="1"/>
      <c r="AB1813" s="1"/>
      <c r="AC1813" s="1"/>
      <c r="AD1813" s="1" t="s">
        <v>93</v>
      </c>
      <c r="AE1813" s="1" t="s">
        <v>93</v>
      </c>
      <c r="AF1813" s="1"/>
      <c r="AG1813" s="1"/>
      <c r="AH1813" s="1"/>
      <c r="AI1813" s="1"/>
      <c r="AJ1813" s="1"/>
      <c r="AK1813" s="1"/>
      <c r="AL1813" s="1"/>
      <c r="AM1813" s="1"/>
      <c r="AN1813" s="1"/>
      <c r="AO1813" s="1"/>
      <c r="AP1813" s="1"/>
      <c r="AQ1813" s="1"/>
      <c r="AR1813" s="1"/>
      <c r="AS1813" s="1"/>
      <c r="AT1813" s="1"/>
      <c r="AU1813" s="1"/>
      <c r="AV1813" s="1"/>
      <c r="AW1813" s="1"/>
      <c r="AX1813" s="1"/>
      <c r="AY1813" s="1"/>
      <c r="AZ1813" s="1"/>
      <c r="BA1813" s="1"/>
      <c r="BB1813" s="1"/>
      <c r="BC1813" s="1"/>
      <c r="BD1813" s="1"/>
      <c r="BE1813" s="1"/>
      <c r="BF1813" s="1"/>
      <c r="BG1813" s="1"/>
      <c r="BH1813" s="1"/>
      <c r="BI1813" s="1"/>
      <c r="BJ1813" s="1"/>
      <c r="BK1813" s="1"/>
      <c r="BL1813" s="1"/>
      <c r="BM1813" s="1"/>
      <c r="BN1813" s="1"/>
      <c r="BO1813" s="1"/>
      <c r="BP1813" s="1" t="s">
        <v>9609</v>
      </c>
      <c r="BQ1813" s="3"/>
      <c r="BR1813" s="3"/>
    </row>
    <row r="1814" spans="1:70">
      <c r="A1814" s="1" t="s">
        <v>16711</v>
      </c>
      <c r="B1814" s="1" t="s">
        <v>13846</v>
      </c>
      <c r="C1814" s="1" t="s">
        <v>20861</v>
      </c>
      <c r="D1814" s="1"/>
      <c r="E1814" s="1"/>
      <c r="F1814" s="1"/>
      <c r="G1814" s="1"/>
      <c r="H1814" s="1" t="s">
        <v>20862</v>
      </c>
      <c r="I1814" s="1" t="s">
        <v>20862</v>
      </c>
      <c r="J1814" s="1"/>
      <c r="K1814" s="1"/>
      <c r="L1814" s="1"/>
      <c r="M1814" s="1"/>
      <c r="N1814" s="1"/>
      <c r="O1814" s="1"/>
      <c r="P1814" s="1"/>
      <c r="Q1814" s="1"/>
      <c r="R1814" s="1"/>
      <c r="S1814" s="1"/>
      <c r="T1814" s="1"/>
      <c r="U1814" s="1"/>
      <c r="V1814" s="1"/>
      <c r="W1814" s="1"/>
      <c r="X1814" s="1"/>
      <c r="Y1814" s="1"/>
      <c r="Z1814" s="1"/>
      <c r="AA1814" s="1"/>
      <c r="AB1814" s="1"/>
      <c r="AC1814" s="1"/>
      <c r="AD1814" s="1" t="s">
        <v>93</v>
      </c>
      <c r="AE1814" s="1" t="s">
        <v>93</v>
      </c>
      <c r="AF1814" s="1"/>
      <c r="AG1814" s="1"/>
      <c r="AH1814" s="1"/>
      <c r="AI1814" s="1"/>
      <c r="AJ1814" s="1"/>
      <c r="AK1814" s="1"/>
      <c r="AL1814" s="1"/>
      <c r="AM1814" s="1"/>
      <c r="AN1814" s="1"/>
      <c r="AO1814" s="1"/>
      <c r="AP1814" s="1"/>
      <c r="AQ1814" s="1"/>
      <c r="AR1814" s="1"/>
      <c r="AS1814" s="1"/>
      <c r="AT1814" s="1"/>
      <c r="AU1814" s="1"/>
      <c r="AV1814" s="1"/>
      <c r="AW1814" s="1"/>
      <c r="AX1814" s="1"/>
      <c r="AY1814" s="1"/>
      <c r="AZ1814" s="1"/>
      <c r="BA1814" s="1"/>
      <c r="BB1814" s="1"/>
      <c r="BC1814" s="1"/>
      <c r="BD1814" s="1"/>
      <c r="BE1814" s="1"/>
      <c r="BF1814" s="1"/>
      <c r="BG1814" s="1"/>
      <c r="BH1814" s="1"/>
      <c r="BI1814" s="1"/>
      <c r="BJ1814" s="1"/>
      <c r="BK1814" s="1"/>
      <c r="BL1814" s="1"/>
      <c r="BM1814" s="1"/>
      <c r="BN1814" s="1"/>
      <c r="BO1814" s="1"/>
      <c r="BP1814" s="1" t="s">
        <v>9609</v>
      </c>
      <c r="BQ1814" s="3"/>
      <c r="BR1814" s="3"/>
    </row>
    <row r="1815" spans="1:70">
      <c r="A1815" s="1" t="s">
        <v>16711</v>
      </c>
      <c r="B1815" s="1" t="s">
        <v>13846</v>
      </c>
      <c r="C1815" s="1" t="s">
        <v>20863</v>
      </c>
      <c r="D1815" s="1"/>
      <c r="E1815" s="1"/>
      <c r="F1815" s="1"/>
      <c r="G1815" s="1"/>
      <c r="H1815" s="1" t="s">
        <v>20864</v>
      </c>
      <c r="I1815" s="1" t="s">
        <v>20864</v>
      </c>
      <c r="J1815" s="1"/>
      <c r="K1815" s="1"/>
      <c r="L1815" s="1"/>
      <c r="M1815" s="1"/>
      <c r="N1815" s="1"/>
      <c r="O1815" s="1"/>
      <c r="P1815" s="1"/>
      <c r="Q1815" s="1"/>
      <c r="R1815" s="1"/>
      <c r="S1815" s="1"/>
      <c r="T1815" s="1"/>
      <c r="U1815" s="1"/>
      <c r="V1815" s="1"/>
      <c r="W1815" s="1"/>
      <c r="X1815" s="1"/>
      <c r="Y1815" s="1"/>
      <c r="Z1815" s="1"/>
      <c r="AA1815" s="1"/>
      <c r="AB1815" s="1"/>
      <c r="AC1815" s="1"/>
      <c r="AD1815" s="1" t="s">
        <v>93</v>
      </c>
      <c r="AE1815" s="1" t="s">
        <v>93</v>
      </c>
      <c r="AF1815" s="1"/>
      <c r="AG1815" s="1"/>
      <c r="AH1815" s="1"/>
      <c r="AI1815" s="1"/>
      <c r="AJ1815" s="1"/>
      <c r="AK1815" s="1"/>
      <c r="AL1815" s="1"/>
      <c r="AM1815" s="1"/>
      <c r="AN1815" s="1"/>
      <c r="AO1815" s="1"/>
      <c r="AP1815" s="1"/>
      <c r="AQ1815" s="1"/>
      <c r="AR1815" s="1"/>
      <c r="AS1815" s="1"/>
      <c r="AT1815" s="1"/>
      <c r="AU1815" s="1"/>
      <c r="AV1815" s="1"/>
      <c r="AW1815" s="1"/>
      <c r="AX1815" s="1"/>
      <c r="AY1815" s="1"/>
      <c r="AZ1815" s="1"/>
      <c r="BA1815" s="1"/>
      <c r="BB1815" s="1"/>
      <c r="BC1815" s="1"/>
      <c r="BD1815" s="1"/>
      <c r="BE1815" s="1"/>
      <c r="BF1815" s="1"/>
      <c r="BG1815" s="1"/>
      <c r="BH1815" s="1"/>
      <c r="BI1815" s="1"/>
      <c r="BJ1815" s="1"/>
      <c r="BK1815" s="1"/>
      <c r="BL1815" s="1"/>
      <c r="BM1815" s="1"/>
      <c r="BN1815" s="1"/>
      <c r="BO1815" s="1"/>
      <c r="BP1815" s="1" t="s">
        <v>9609</v>
      </c>
      <c r="BQ1815" s="3"/>
      <c r="BR1815" s="3"/>
    </row>
    <row r="1816" spans="1:70">
      <c r="A1816" s="1" t="s">
        <v>16711</v>
      </c>
      <c r="B1816" s="1" t="s">
        <v>13846</v>
      </c>
      <c r="C1816" s="1" t="s">
        <v>20865</v>
      </c>
      <c r="D1816" s="1"/>
      <c r="E1816" s="1"/>
      <c r="F1816" s="1"/>
      <c r="G1816" s="1"/>
      <c r="H1816" s="1" t="s">
        <v>20866</v>
      </c>
      <c r="I1816" s="1" t="s">
        <v>20866</v>
      </c>
      <c r="J1816" s="1"/>
      <c r="K1816" s="1"/>
      <c r="L1816" s="1"/>
      <c r="M1816" s="1"/>
      <c r="N1816" s="1"/>
      <c r="O1816" s="1"/>
      <c r="P1816" s="1"/>
      <c r="Q1816" s="1"/>
      <c r="R1816" s="1"/>
      <c r="S1816" s="1"/>
      <c r="T1816" s="1"/>
      <c r="U1816" s="1"/>
      <c r="V1816" s="1"/>
      <c r="W1816" s="1"/>
      <c r="X1816" s="1"/>
      <c r="Y1816" s="1"/>
      <c r="Z1816" s="1"/>
      <c r="AA1816" s="1"/>
      <c r="AB1816" s="1"/>
      <c r="AC1816" s="1"/>
      <c r="AD1816" s="1" t="s">
        <v>93</v>
      </c>
      <c r="AE1816" s="1" t="s">
        <v>93</v>
      </c>
      <c r="AF1816" s="1"/>
      <c r="AG1816" s="1"/>
      <c r="AH1816" s="1"/>
      <c r="AI1816" s="1"/>
      <c r="AJ1816" s="1"/>
      <c r="AK1816" s="1"/>
      <c r="AL1816" s="1"/>
      <c r="AM1816" s="1"/>
      <c r="AN1816" s="1"/>
      <c r="AO1816" s="1"/>
      <c r="AP1816" s="1"/>
      <c r="AQ1816" s="1"/>
      <c r="AR1816" s="1"/>
      <c r="AS1816" s="1"/>
      <c r="AT1816" s="1"/>
      <c r="AU1816" s="1"/>
      <c r="AV1816" s="1"/>
      <c r="AW1816" s="1"/>
      <c r="AX1816" s="1"/>
      <c r="AY1816" s="1"/>
      <c r="AZ1816" s="1"/>
      <c r="BA1816" s="1"/>
      <c r="BB1816" s="1"/>
      <c r="BC1816" s="1"/>
      <c r="BD1816" s="1"/>
      <c r="BE1816" s="1"/>
      <c r="BF1816" s="1"/>
      <c r="BG1816" s="1"/>
      <c r="BH1816" s="1"/>
      <c r="BI1816" s="1"/>
      <c r="BJ1816" s="1"/>
      <c r="BK1816" s="1"/>
      <c r="BL1816" s="1"/>
      <c r="BM1816" s="1"/>
      <c r="BN1816" s="1"/>
      <c r="BO1816" s="1"/>
      <c r="BP1816" s="1" t="s">
        <v>9609</v>
      </c>
      <c r="BQ1816" s="3"/>
      <c r="BR1816" s="3"/>
    </row>
    <row r="1817" spans="1:70">
      <c r="A1817" s="1" t="s">
        <v>16711</v>
      </c>
      <c r="B1817" s="1" t="s">
        <v>13846</v>
      </c>
      <c r="C1817" s="1" t="s">
        <v>20867</v>
      </c>
      <c r="D1817" s="1"/>
      <c r="E1817" s="1"/>
      <c r="F1817" s="1"/>
      <c r="G1817" s="1"/>
      <c r="H1817" s="1" t="s">
        <v>20868</v>
      </c>
      <c r="I1817" s="1" t="s">
        <v>20868</v>
      </c>
      <c r="J1817" s="1"/>
      <c r="K1817" s="1"/>
      <c r="L1817" s="1"/>
      <c r="M1817" s="1"/>
      <c r="N1817" s="1"/>
      <c r="O1817" s="1"/>
      <c r="P1817" s="1"/>
      <c r="Q1817" s="1"/>
      <c r="R1817" s="1"/>
      <c r="S1817" s="1"/>
      <c r="T1817" s="1"/>
      <c r="U1817" s="1"/>
      <c r="V1817" s="1"/>
      <c r="W1817" s="1"/>
      <c r="X1817" s="1"/>
      <c r="Y1817" s="1"/>
      <c r="Z1817" s="1"/>
      <c r="AA1817" s="1"/>
      <c r="AB1817" s="1"/>
      <c r="AC1817" s="1"/>
      <c r="AD1817" s="1" t="s">
        <v>93</v>
      </c>
      <c r="AE1817" s="1" t="s">
        <v>93</v>
      </c>
      <c r="AF1817" s="1"/>
      <c r="AG1817" s="1"/>
      <c r="AH1817" s="1"/>
      <c r="AI1817" s="1"/>
      <c r="AJ1817" s="1"/>
      <c r="AK1817" s="1"/>
      <c r="AL1817" s="1"/>
      <c r="AM1817" s="1"/>
      <c r="AN1817" s="1"/>
      <c r="AO1817" s="1"/>
      <c r="AP1817" s="1"/>
      <c r="AQ1817" s="1"/>
      <c r="AR1817" s="1"/>
      <c r="AS1817" s="1"/>
      <c r="AT1817" s="1"/>
      <c r="AU1817" s="1"/>
      <c r="AV1817" s="1"/>
      <c r="AW1817" s="1"/>
      <c r="AX1817" s="1"/>
      <c r="AY1817" s="1"/>
      <c r="AZ1817" s="1"/>
      <c r="BA1817" s="1"/>
      <c r="BB1817" s="1"/>
      <c r="BC1817" s="1"/>
      <c r="BD1817" s="1"/>
      <c r="BE1817" s="1"/>
      <c r="BF1817" s="1"/>
      <c r="BG1817" s="1"/>
      <c r="BH1817" s="1"/>
      <c r="BI1817" s="1"/>
      <c r="BJ1817" s="1"/>
      <c r="BK1817" s="1"/>
      <c r="BL1817" s="1"/>
      <c r="BM1817" s="1"/>
      <c r="BN1817" s="1"/>
      <c r="BO1817" s="1"/>
      <c r="BP1817" s="1" t="s">
        <v>9609</v>
      </c>
      <c r="BQ1817" s="3"/>
      <c r="BR1817" s="3"/>
    </row>
    <row r="1818" spans="1:70">
      <c r="A1818" s="1" t="s">
        <v>16711</v>
      </c>
      <c r="B1818" s="1" t="s">
        <v>13846</v>
      </c>
      <c r="C1818" s="1" t="s">
        <v>20869</v>
      </c>
      <c r="D1818" s="1"/>
      <c r="E1818" s="1"/>
      <c r="F1818" s="1"/>
      <c r="G1818" s="1"/>
      <c r="H1818" s="1" t="s">
        <v>20870</v>
      </c>
      <c r="I1818" s="1" t="s">
        <v>20870</v>
      </c>
      <c r="J1818" s="1"/>
      <c r="K1818" s="1"/>
      <c r="L1818" s="1"/>
      <c r="M1818" s="1"/>
      <c r="N1818" s="1"/>
      <c r="O1818" s="1"/>
      <c r="P1818" s="1"/>
      <c r="Q1818" s="1"/>
      <c r="R1818" s="1"/>
      <c r="S1818" s="1"/>
      <c r="T1818" s="1"/>
      <c r="U1818" s="1"/>
      <c r="V1818" s="1"/>
      <c r="W1818" s="1"/>
      <c r="X1818" s="1"/>
      <c r="Y1818" s="1"/>
      <c r="Z1818" s="1"/>
      <c r="AA1818" s="1"/>
      <c r="AB1818" s="1"/>
      <c r="AC1818" s="1"/>
      <c r="AD1818" s="1" t="s">
        <v>93</v>
      </c>
      <c r="AE1818" s="1" t="s">
        <v>93</v>
      </c>
      <c r="AF1818" s="1"/>
      <c r="AG1818" s="1"/>
      <c r="AH1818" s="1"/>
      <c r="AI1818" s="1"/>
      <c r="AJ1818" s="1"/>
      <c r="AK1818" s="1"/>
      <c r="AL1818" s="1"/>
      <c r="AM1818" s="1"/>
      <c r="AN1818" s="1"/>
      <c r="AO1818" s="1"/>
      <c r="AP1818" s="1"/>
      <c r="AQ1818" s="1"/>
      <c r="AR1818" s="1"/>
      <c r="AS1818" s="1"/>
      <c r="AT1818" s="1"/>
      <c r="AU1818" s="1"/>
      <c r="AV1818" s="1"/>
      <c r="AW1818" s="1"/>
      <c r="AX1818" s="1"/>
      <c r="AY1818" s="1"/>
      <c r="AZ1818" s="1"/>
      <c r="BA1818" s="1"/>
      <c r="BB1818" s="1"/>
      <c r="BC1818" s="1"/>
      <c r="BD1818" s="1"/>
      <c r="BE1818" s="1"/>
      <c r="BF1818" s="1"/>
      <c r="BG1818" s="1"/>
      <c r="BH1818" s="1"/>
      <c r="BI1818" s="1"/>
      <c r="BJ1818" s="1"/>
      <c r="BK1818" s="1"/>
      <c r="BL1818" s="1"/>
      <c r="BM1818" s="1"/>
      <c r="BN1818" s="1"/>
      <c r="BO1818" s="1"/>
      <c r="BP1818" s="1" t="s">
        <v>9609</v>
      </c>
      <c r="BQ1818" s="3"/>
      <c r="BR1818" s="3"/>
    </row>
    <row r="1819" spans="1:70">
      <c r="A1819" s="1" t="s">
        <v>16711</v>
      </c>
      <c r="B1819" s="1" t="s">
        <v>13846</v>
      </c>
      <c r="C1819" s="1" t="s">
        <v>20871</v>
      </c>
      <c r="D1819" s="1"/>
      <c r="E1819" s="1"/>
      <c r="F1819" s="1"/>
      <c r="G1819" s="1"/>
      <c r="H1819" s="1" t="s">
        <v>20872</v>
      </c>
      <c r="I1819" s="1" t="s">
        <v>20872</v>
      </c>
      <c r="J1819" s="1"/>
      <c r="K1819" s="1"/>
      <c r="L1819" s="1"/>
      <c r="M1819" s="1"/>
      <c r="N1819" s="1"/>
      <c r="O1819" s="1"/>
      <c r="P1819" s="1"/>
      <c r="Q1819" s="1"/>
      <c r="R1819" s="1"/>
      <c r="S1819" s="1"/>
      <c r="T1819" s="1"/>
      <c r="U1819" s="1"/>
      <c r="V1819" s="1"/>
      <c r="W1819" s="1"/>
      <c r="X1819" s="1"/>
      <c r="Y1819" s="1"/>
      <c r="Z1819" s="1"/>
      <c r="AA1819" s="1"/>
      <c r="AB1819" s="1"/>
      <c r="AC1819" s="1"/>
      <c r="AD1819" s="1" t="s">
        <v>93</v>
      </c>
      <c r="AE1819" s="1" t="s">
        <v>93</v>
      </c>
      <c r="AF1819" s="1"/>
      <c r="AG1819" s="1"/>
      <c r="AH1819" s="1"/>
      <c r="AI1819" s="1"/>
      <c r="AJ1819" s="1"/>
      <c r="AK1819" s="1"/>
      <c r="AL1819" s="1"/>
      <c r="AM1819" s="1"/>
      <c r="AN1819" s="1"/>
      <c r="AO1819" s="1"/>
      <c r="AP1819" s="1"/>
      <c r="AQ1819" s="1"/>
      <c r="AR1819" s="1"/>
      <c r="AS1819" s="1"/>
      <c r="AT1819" s="1"/>
      <c r="AU1819" s="1"/>
      <c r="AV1819" s="1"/>
      <c r="AW1819" s="1"/>
      <c r="AX1819" s="1"/>
      <c r="AY1819" s="1"/>
      <c r="AZ1819" s="1"/>
      <c r="BA1819" s="1"/>
      <c r="BB1819" s="1"/>
      <c r="BC1819" s="1"/>
      <c r="BD1819" s="1"/>
      <c r="BE1819" s="1"/>
      <c r="BF1819" s="1"/>
      <c r="BG1819" s="1"/>
      <c r="BH1819" s="1"/>
      <c r="BI1819" s="1"/>
      <c r="BJ1819" s="1"/>
      <c r="BK1819" s="1"/>
      <c r="BL1819" s="1"/>
      <c r="BM1819" s="1"/>
      <c r="BN1819" s="1"/>
      <c r="BO1819" s="1"/>
      <c r="BP1819" s="1" t="s">
        <v>9609</v>
      </c>
      <c r="BQ1819" s="3"/>
      <c r="BR1819" s="3"/>
    </row>
    <row r="1820" spans="1:70">
      <c r="A1820" s="1" t="s">
        <v>16711</v>
      </c>
      <c r="B1820" s="1" t="s">
        <v>13846</v>
      </c>
      <c r="C1820" s="1" t="s">
        <v>20873</v>
      </c>
      <c r="D1820" s="1"/>
      <c r="E1820" s="1"/>
      <c r="F1820" s="1"/>
      <c r="G1820" s="1"/>
      <c r="H1820" s="1" t="s">
        <v>20874</v>
      </c>
      <c r="I1820" s="1" t="s">
        <v>20874</v>
      </c>
      <c r="J1820" s="1"/>
      <c r="K1820" s="1"/>
      <c r="L1820" s="1"/>
      <c r="M1820" s="1"/>
      <c r="N1820" s="1"/>
      <c r="O1820" s="1"/>
      <c r="P1820" s="1"/>
      <c r="Q1820" s="1"/>
      <c r="R1820" s="1"/>
      <c r="S1820" s="1"/>
      <c r="T1820" s="1"/>
      <c r="U1820" s="1"/>
      <c r="V1820" s="1"/>
      <c r="W1820" s="1"/>
      <c r="X1820" s="1"/>
      <c r="Y1820" s="1"/>
      <c r="Z1820" s="1"/>
      <c r="AA1820" s="1"/>
      <c r="AB1820" s="1"/>
      <c r="AC1820" s="1"/>
      <c r="AD1820" s="1" t="s">
        <v>93</v>
      </c>
      <c r="AE1820" s="1" t="s">
        <v>93</v>
      </c>
      <c r="AF1820" s="1"/>
      <c r="AG1820" s="1"/>
      <c r="AH1820" s="1"/>
      <c r="AI1820" s="1"/>
      <c r="AJ1820" s="1"/>
      <c r="AK1820" s="1"/>
      <c r="AL1820" s="1"/>
      <c r="AM1820" s="1"/>
      <c r="AN1820" s="1"/>
      <c r="AO1820" s="1"/>
      <c r="AP1820" s="1"/>
      <c r="AQ1820" s="1"/>
      <c r="AR1820" s="1"/>
      <c r="AS1820" s="1"/>
      <c r="AT1820" s="1"/>
      <c r="AU1820" s="1"/>
      <c r="AV1820" s="1"/>
      <c r="AW1820" s="1"/>
      <c r="AX1820" s="1"/>
      <c r="AY1820" s="1"/>
      <c r="AZ1820" s="1"/>
      <c r="BA1820" s="1"/>
      <c r="BB1820" s="1"/>
      <c r="BC1820" s="1"/>
      <c r="BD1820" s="1"/>
      <c r="BE1820" s="1"/>
      <c r="BF1820" s="1"/>
      <c r="BG1820" s="1"/>
      <c r="BH1820" s="1"/>
      <c r="BI1820" s="1"/>
      <c r="BJ1820" s="1"/>
      <c r="BK1820" s="1"/>
      <c r="BL1820" s="1"/>
      <c r="BM1820" s="1"/>
      <c r="BN1820" s="1"/>
      <c r="BO1820" s="1"/>
      <c r="BP1820" s="1" t="s">
        <v>9609</v>
      </c>
      <c r="BQ1820" s="3"/>
      <c r="BR1820" s="3"/>
    </row>
    <row r="1821" spans="1:70">
      <c r="A1821" s="1" t="s">
        <v>16711</v>
      </c>
      <c r="B1821" s="1" t="s">
        <v>13846</v>
      </c>
      <c r="C1821" s="1" t="s">
        <v>20875</v>
      </c>
      <c r="D1821" s="1"/>
      <c r="E1821" s="1"/>
      <c r="F1821" s="1"/>
      <c r="G1821" s="1"/>
      <c r="H1821" s="1" t="s">
        <v>20876</v>
      </c>
      <c r="I1821" s="1" t="s">
        <v>20876</v>
      </c>
      <c r="J1821" s="1"/>
      <c r="K1821" s="1"/>
      <c r="L1821" s="1"/>
      <c r="M1821" s="1"/>
      <c r="N1821" s="1"/>
      <c r="O1821" s="1"/>
      <c r="P1821" s="1"/>
      <c r="Q1821" s="1"/>
      <c r="R1821" s="1"/>
      <c r="S1821" s="1"/>
      <c r="T1821" s="1"/>
      <c r="U1821" s="1"/>
      <c r="V1821" s="1"/>
      <c r="W1821" s="1"/>
      <c r="X1821" s="1"/>
      <c r="Y1821" s="1"/>
      <c r="Z1821" s="1"/>
      <c r="AA1821" s="1"/>
      <c r="AB1821" s="1"/>
      <c r="AC1821" s="1"/>
      <c r="AD1821" s="1" t="s">
        <v>93</v>
      </c>
      <c r="AE1821" s="1" t="s">
        <v>93</v>
      </c>
      <c r="AF1821" s="1"/>
      <c r="AG1821" s="1"/>
      <c r="AH1821" s="1"/>
      <c r="AI1821" s="1"/>
      <c r="AJ1821" s="1"/>
      <c r="AK1821" s="1"/>
      <c r="AL1821" s="1"/>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t="s">
        <v>9609</v>
      </c>
      <c r="BQ1821" s="3"/>
      <c r="BR1821" s="3"/>
    </row>
    <row r="1822" spans="1:70">
      <c r="A1822" s="1" t="s">
        <v>16711</v>
      </c>
      <c r="B1822" s="1" t="s">
        <v>13846</v>
      </c>
      <c r="C1822" s="1" t="s">
        <v>20877</v>
      </c>
      <c r="D1822" s="1"/>
      <c r="E1822" s="1"/>
      <c r="F1822" s="1"/>
      <c r="G1822" s="1"/>
      <c r="H1822" s="1" t="s">
        <v>20878</v>
      </c>
      <c r="I1822" s="1" t="s">
        <v>20878</v>
      </c>
      <c r="J1822" s="1"/>
      <c r="K1822" s="1"/>
      <c r="L1822" s="1"/>
      <c r="M1822" s="1"/>
      <c r="N1822" s="1"/>
      <c r="O1822" s="1"/>
      <c r="P1822" s="1"/>
      <c r="Q1822" s="1"/>
      <c r="R1822" s="1"/>
      <c r="S1822" s="1"/>
      <c r="T1822" s="1"/>
      <c r="U1822" s="1"/>
      <c r="V1822" s="1"/>
      <c r="W1822" s="1"/>
      <c r="X1822" s="1"/>
      <c r="Y1822" s="1"/>
      <c r="Z1822" s="1"/>
      <c r="AA1822" s="1"/>
      <c r="AB1822" s="1"/>
      <c r="AC1822" s="1"/>
      <c r="AD1822" s="1" t="s">
        <v>93</v>
      </c>
      <c r="AE1822" s="1" t="s">
        <v>93</v>
      </c>
      <c r="AF1822" s="1"/>
      <c r="AG1822" s="1"/>
      <c r="AH1822" s="1"/>
      <c r="AI1822" s="1"/>
      <c r="AJ1822" s="1"/>
      <c r="AK1822" s="1"/>
      <c r="AL1822" s="1"/>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t="s">
        <v>9609</v>
      </c>
      <c r="BQ1822" s="3"/>
      <c r="BR1822" s="3"/>
    </row>
    <row r="1823" spans="1:70">
      <c r="A1823" s="1" t="s">
        <v>16711</v>
      </c>
      <c r="B1823" s="1" t="s">
        <v>13846</v>
      </c>
      <c r="C1823" s="1" t="s">
        <v>20879</v>
      </c>
      <c r="D1823" s="1"/>
      <c r="E1823" s="1"/>
      <c r="F1823" s="1"/>
      <c r="G1823" s="1"/>
      <c r="H1823" s="1" t="s">
        <v>20880</v>
      </c>
      <c r="I1823" s="1" t="s">
        <v>20880</v>
      </c>
      <c r="J1823" s="1"/>
      <c r="K1823" s="1"/>
      <c r="L1823" s="1"/>
      <c r="M1823" s="1"/>
      <c r="N1823" s="1"/>
      <c r="O1823" s="1"/>
      <c r="P1823" s="1"/>
      <c r="Q1823" s="1"/>
      <c r="R1823" s="1"/>
      <c r="S1823" s="1"/>
      <c r="T1823" s="1"/>
      <c r="U1823" s="1"/>
      <c r="V1823" s="1"/>
      <c r="W1823" s="1"/>
      <c r="X1823" s="1"/>
      <c r="Y1823" s="1"/>
      <c r="Z1823" s="1"/>
      <c r="AA1823" s="1"/>
      <c r="AB1823" s="1"/>
      <c r="AC1823" s="1"/>
      <c r="AD1823" s="1" t="s">
        <v>93</v>
      </c>
      <c r="AE1823" s="1" t="s">
        <v>93</v>
      </c>
      <c r="AF1823" s="1"/>
      <c r="AG1823" s="1"/>
      <c r="AH1823" s="1"/>
      <c r="AI1823" s="1"/>
      <c r="AJ1823" s="1"/>
      <c r="AK1823" s="1"/>
      <c r="AL1823" s="1"/>
      <c r="AM1823" s="1"/>
      <c r="AN1823" s="1"/>
      <c r="AO1823" s="1"/>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c r="BL1823" s="1"/>
      <c r="BM1823" s="1"/>
      <c r="BN1823" s="1"/>
      <c r="BO1823" s="1"/>
      <c r="BP1823" s="1" t="s">
        <v>9609</v>
      </c>
      <c r="BQ1823" s="3"/>
      <c r="BR1823" s="3"/>
    </row>
    <row r="1824" spans="1:70">
      <c r="A1824" s="1" t="s">
        <v>16711</v>
      </c>
      <c r="B1824" s="1" t="s">
        <v>13846</v>
      </c>
      <c r="C1824" s="1" t="s">
        <v>20881</v>
      </c>
      <c r="D1824" s="1"/>
      <c r="E1824" s="1"/>
      <c r="F1824" s="1"/>
      <c r="G1824" s="1"/>
      <c r="H1824" s="1" t="s">
        <v>20882</v>
      </c>
      <c r="I1824" s="1" t="s">
        <v>20882</v>
      </c>
      <c r="J1824" s="1"/>
      <c r="K1824" s="1"/>
      <c r="L1824" s="1"/>
      <c r="M1824" s="1"/>
      <c r="N1824" s="1"/>
      <c r="O1824" s="1"/>
      <c r="P1824" s="1"/>
      <c r="Q1824" s="1"/>
      <c r="R1824" s="1"/>
      <c r="S1824" s="1"/>
      <c r="T1824" s="1"/>
      <c r="U1824" s="1"/>
      <c r="V1824" s="1"/>
      <c r="W1824" s="1"/>
      <c r="X1824" s="1"/>
      <c r="Y1824" s="1"/>
      <c r="Z1824" s="1"/>
      <c r="AA1824" s="1"/>
      <c r="AB1824" s="1"/>
      <c r="AC1824" s="1"/>
      <c r="AD1824" s="1" t="s">
        <v>93</v>
      </c>
      <c r="AE1824" s="1" t="s">
        <v>93</v>
      </c>
      <c r="AF1824" s="1"/>
      <c r="AG1824" s="1"/>
      <c r="AH1824" s="1"/>
      <c r="AI1824" s="1"/>
      <c r="AJ1824" s="1"/>
      <c r="AK1824" s="1"/>
      <c r="AL1824" s="1"/>
      <c r="AM1824" s="1"/>
      <c r="AN1824" s="1"/>
      <c r="AO1824" s="1"/>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c r="BL1824" s="1"/>
      <c r="BM1824" s="1"/>
      <c r="BN1824" s="1"/>
      <c r="BO1824" s="1"/>
      <c r="BP1824" s="1" t="s">
        <v>9609</v>
      </c>
      <c r="BQ1824" s="3"/>
      <c r="BR1824" s="3"/>
    </row>
    <row r="1825" spans="1:70">
      <c r="A1825" s="1" t="s">
        <v>16711</v>
      </c>
      <c r="B1825" s="1" t="s">
        <v>13846</v>
      </c>
      <c r="C1825" s="1" t="s">
        <v>20883</v>
      </c>
      <c r="D1825" s="1"/>
      <c r="E1825" s="1"/>
      <c r="F1825" s="1"/>
      <c r="G1825" s="1"/>
      <c r="H1825" s="1" t="s">
        <v>20884</v>
      </c>
      <c r="I1825" s="1" t="s">
        <v>20884</v>
      </c>
      <c r="J1825" s="1"/>
      <c r="K1825" s="1"/>
      <c r="L1825" s="1"/>
      <c r="M1825" s="1"/>
      <c r="N1825" s="1"/>
      <c r="O1825" s="1"/>
      <c r="P1825" s="1"/>
      <c r="Q1825" s="1"/>
      <c r="R1825" s="1"/>
      <c r="S1825" s="1"/>
      <c r="T1825" s="1"/>
      <c r="U1825" s="1"/>
      <c r="V1825" s="1"/>
      <c r="W1825" s="1"/>
      <c r="X1825" s="1"/>
      <c r="Y1825" s="1"/>
      <c r="Z1825" s="1"/>
      <c r="AA1825" s="1"/>
      <c r="AB1825" s="1"/>
      <c r="AC1825" s="1"/>
      <c r="AD1825" s="1" t="s">
        <v>93</v>
      </c>
      <c r="AE1825" s="1" t="s">
        <v>93</v>
      </c>
      <c r="AF1825" s="1"/>
      <c r="AG1825" s="1"/>
      <c r="AH1825" s="1"/>
      <c r="AI1825" s="1"/>
      <c r="AJ1825" s="1"/>
      <c r="AK1825" s="1"/>
      <c r="AL1825" s="1"/>
      <c r="AM1825" s="1"/>
      <c r="AN1825" s="1"/>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t="s">
        <v>9609</v>
      </c>
      <c r="BQ1825" s="3"/>
      <c r="BR1825" s="3"/>
    </row>
    <row r="1826" spans="1:70">
      <c r="A1826" s="1" t="s">
        <v>16711</v>
      </c>
      <c r="B1826" s="1" t="s">
        <v>13846</v>
      </c>
      <c r="C1826" s="1" t="s">
        <v>20885</v>
      </c>
      <c r="D1826" s="1"/>
      <c r="E1826" s="1"/>
      <c r="F1826" s="1"/>
      <c r="G1826" s="1"/>
      <c r="H1826" s="1" t="s">
        <v>20886</v>
      </c>
      <c r="I1826" s="1" t="s">
        <v>20886</v>
      </c>
      <c r="J1826" s="1"/>
      <c r="K1826" s="1"/>
      <c r="L1826" s="1"/>
      <c r="M1826" s="1"/>
      <c r="N1826" s="1"/>
      <c r="O1826" s="1"/>
      <c r="P1826" s="1"/>
      <c r="Q1826" s="1"/>
      <c r="R1826" s="1"/>
      <c r="S1826" s="1"/>
      <c r="T1826" s="1"/>
      <c r="U1826" s="1"/>
      <c r="V1826" s="1"/>
      <c r="W1826" s="1"/>
      <c r="X1826" s="1"/>
      <c r="Y1826" s="1"/>
      <c r="Z1826" s="1"/>
      <c r="AA1826" s="1"/>
      <c r="AB1826" s="1"/>
      <c r="AC1826" s="1"/>
      <c r="AD1826" s="1" t="s">
        <v>93</v>
      </c>
      <c r="AE1826" s="1" t="s">
        <v>93</v>
      </c>
      <c r="AF1826" s="1"/>
      <c r="AG1826" s="1"/>
      <c r="AH1826" s="1"/>
      <c r="AI1826" s="1"/>
      <c r="AJ1826" s="1"/>
      <c r="AK1826" s="1"/>
      <c r="AL1826" s="1"/>
      <c r="AM1826" s="1"/>
      <c r="AN1826" s="1"/>
      <c r="AO1826" s="1"/>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c r="BL1826" s="1"/>
      <c r="BM1826" s="1"/>
      <c r="BN1826" s="1"/>
      <c r="BO1826" s="1"/>
      <c r="BP1826" s="1" t="s">
        <v>9609</v>
      </c>
      <c r="BQ1826" s="3"/>
      <c r="BR1826" s="3"/>
    </row>
    <row r="1827" spans="1:70">
      <c r="A1827" s="1" t="s">
        <v>16711</v>
      </c>
      <c r="B1827" s="1" t="s">
        <v>13846</v>
      </c>
      <c r="C1827" s="1" t="s">
        <v>20887</v>
      </c>
      <c r="D1827" s="1"/>
      <c r="E1827" s="1"/>
      <c r="F1827" s="1"/>
      <c r="G1827" s="1"/>
      <c r="H1827" s="1" t="s">
        <v>20888</v>
      </c>
      <c r="I1827" s="1" t="s">
        <v>20888</v>
      </c>
      <c r="J1827" s="1"/>
      <c r="K1827" s="1"/>
      <c r="L1827" s="1"/>
      <c r="M1827" s="1"/>
      <c r="N1827" s="1"/>
      <c r="O1827" s="1"/>
      <c r="P1827" s="1"/>
      <c r="Q1827" s="1"/>
      <c r="R1827" s="1"/>
      <c r="S1827" s="1"/>
      <c r="T1827" s="1"/>
      <c r="U1827" s="1"/>
      <c r="V1827" s="1"/>
      <c r="W1827" s="1"/>
      <c r="X1827" s="1"/>
      <c r="Y1827" s="1"/>
      <c r="Z1827" s="1"/>
      <c r="AA1827" s="1"/>
      <c r="AB1827" s="1"/>
      <c r="AC1827" s="1"/>
      <c r="AD1827" s="1" t="s">
        <v>93</v>
      </c>
      <c r="AE1827" s="1" t="s">
        <v>93</v>
      </c>
      <c r="AF1827" s="1"/>
      <c r="AG1827" s="1"/>
      <c r="AH1827" s="1"/>
      <c r="AI1827" s="1"/>
      <c r="AJ1827" s="1"/>
      <c r="AK1827" s="1"/>
      <c r="AL1827" s="1"/>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t="s">
        <v>9609</v>
      </c>
      <c r="BQ1827" s="3"/>
      <c r="BR1827" s="3"/>
    </row>
    <row r="1828" spans="1:70">
      <c r="A1828" s="1" t="s">
        <v>16711</v>
      </c>
      <c r="B1828" s="1" t="s">
        <v>13846</v>
      </c>
      <c r="C1828" s="1" t="s">
        <v>20889</v>
      </c>
      <c r="D1828" s="1"/>
      <c r="E1828" s="1"/>
      <c r="F1828" s="1"/>
      <c r="G1828" s="1"/>
      <c r="H1828" s="1" t="s">
        <v>20890</v>
      </c>
      <c r="I1828" s="1" t="s">
        <v>20890</v>
      </c>
      <c r="J1828" s="1"/>
      <c r="K1828" s="1"/>
      <c r="L1828" s="1"/>
      <c r="M1828" s="1"/>
      <c r="N1828" s="1"/>
      <c r="O1828" s="1"/>
      <c r="P1828" s="1"/>
      <c r="Q1828" s="1"/>
      <c r="R1828" s="1"/>
      <c r="S1828" s="1"/>
      <c r="T1828" s="1"/>
      <c r="U1828" s="1"/>
      <c r="V1828" s="1"/>
      <c r="W1828" s="1"/>
      <c r="X1828" s="1"/>
      <c r="Y1828" s="1"/>
      <c r="Z1828" s="1"/>
      <c r="AA1828" s="1"/>
      <c r="AB1828" s="1"/>
      <c r="AC1828" s="1"/>
      <c r="AD1828" s="1" t="s">
        <v>93</v>
      </c>
      <c r="AE1828" s="1" t="s">
        <v>93</v>
      </c>
      <c r="AF1828" s="1"/>
      <c r="AG1828" s="1"/>
      <c r="AH1828" s="1"/>
      <c r="AI1828" s="1"/>
      <c r="AJ1828" s="1"/>
      <c r="AK1828" s="1"/>
      <c r="AL1828" s="1"/>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t="s">
        <v>9609</v>
      </c>
      <c r="BQ1828" s="3"/>
      <c r="BR1828" s="3"/>
    </row>
    <row r="1829" spans="1:70">
      <c r="A1829" s="1" t="s">
        <v>16711</v>
      </c>
      <c r="B1829" s="1" t="s">
        <v>13846</v>
      </c>
      <c r="C1829" s="1" t="s">
        <v>20891</v>
      </c>
      <c r="D1829" s="1"/>
      <c r="E1829" s="1"/>
      <c r="F1829" s="1"/>
      <c r="G1829" s="1"/>
      <c r="H1829" s="1" t="s">
        <v>20892</v>
      </c>
      <c r="I1829" s="1" t="s">
        <v>20892</v>
      </c>
      <c r="J1829" s="1"/>
      <c r="K1829" s="1"/>
      <c r="L1829" s="1"/>
      <c r="M1829" s="1"/>
      <c r="N1829" s="1"/>
      <c r="O1829" s="1"/>
      <c r="P1829" s="1"/>
      <c r="Q1829" s="1"/>
      <c r="R1829" s="1"/>
      <c r="S1829" s="1"/>
      <c r="T1829" s="1"/>
      <c r="U1829" s="1"/>
      <c r="V1829" s="1"/>
      <c r="W1829" s="1"/>
      <c r="X1829" s="1"/>
      <c r="Y1829" s="1"/>
      <c r="Z1829" s="1"/>
      <c r="AA1829" s="1"/>
      <c r="AB1829" s="1"/>
      <c r="AC1829" s="1"/>
      <c r="AD1829" s="1" t="s">
        <v>93</v>
      </c>
      <c r="AE1829" s="1" t="s">
        <v>93</v>
      </c>
      <c r="AF1829" s="1"/>
      <c r="AG1829" s="1"/>
      <c r="AH1829" s="1"/>
      <c r="AI1829" s="1"/>
      <c r="AJ1829" s="1"/>
      <c r="AK1829" s="1"/>
      <c r="AL1829" s="1"/>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t="s">
        <v>9609</v>
      </c>
      <c r="BQ1829" s="3"/>
      <c r="BR1829" s="3"/>
    </row>
    <row r="1830" spans="1:70">
      <c r="A1830" s="1" t="s">
        <v>16711</v>
      </c>
      <c r="B1830" s="1" t="s">
        <v>13846</v>
      </c>
      <c r="C1830" s="1" t="s">
        <v>20893</v>
      </c>
      <c r="D1830" s="1"/>
      <c r="E1830" s="1"/>
      <c r="F1830" s="1"/>
      <c r="G1830" s="1"/>
      <c r="H1830" s="1" t="s">
        <v>20894</v>
      </c>
      <c r="I1830" s="1" t="s">
        <v>20894</v>
      </c>
      <c r="J1830" s="1"/>
      <c r="K1830" s="1"/>
      <c r="L1830" s="1"/>
      <c r="M1830" s="1"/>
      <c r="N1830" s="1"/>
      <c r="O1830" s="1"/>
      <c r="P1830" s="1"/>
      <c r="Q1830" s="1"/>
      <c r="R1830" s="1"/>
      <c r="S1830" s="1"/>
      <c r="T1830" s="1"/>
      <c r="U1830" s="1"/>
      <c r="V1830" s="1"/>
      <c r="W1830" s="1"/>
      <c r="X1830" s="1"/>
      <c r="Y1830" s="1"/>
      <c r="Z1830" s="1"/>
      <c r="AA1830" s="1"/>
      <c r="AB1830" s="1"/>
      <c r="AC1830" s="1"/>
      <c r="AD1830" s="1" t="s">
        <v>93</v>
      </c>
      <c r="AE1830" s="1" t="s">
        <v>93</v>
      </c>
      <c r="AF1830" s="1"/>
      <c r="AG1830" s="1"/>
      <c r="AH1830" s="1"/>
      <c r="AI1830" s="1"/>
      <c r="AJ1830" s="1"/>
      <c r="AK1830" s="1"/>
      <c r="AL1830" s="1"/>
      <c r="AM1830" s="1"/>
      <c r="AN1830" s="1"/>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t="s">
        <v>9609</v>
      </c>
      <c r="BQ1830" s="3"/>
      <c r="BR1830" s="3"/>
    </row>
    <row r="1831" spans="1:70">
      <c r="A1831" s="1" t="s">
        <v>16711</v>
      </c>
      <c r="B1831" s="1" t="s">
        <v>13846</v>
      </c>
      <c r="C1831" s="1" t="s">
        <v>20895</v>
      </c>
      <c r="D1831" s="1"/>
      <c r="E1831" s="1"/>
      <c r="F1831" s="1"/>
      <c r="G1831" s="1"/>
      <c r="H1831" s="1" t="s">
        <v>20896</v>
      </c>
      <c r="I1831" s="1" t="s">
        <v>20896</v>
      </c>
      <c r="J1831" s="1"/>
      <c r="K1831" s="1"/>
      <c r="L1831" s="1"/>
      <c r="M1831" s="1"/>
      <c r="N1831" s="1"/>
      <c r="O1831" s="1"/>
      <c r="P1831" s="1"/>
      <c r="Q1831" s="1"/>
      <c r="R1831" s="1"/>
      <c r="S1831" s="1"/>
      <c r="T1831" s="1"/>
      <c r="U1831" s="1"/>
      <c r="V1831" s="1"/>
      <c r="W1831" s="1"/>
      <c r="X1831" s="1"/>
      <c r="Y1831" s="1"/>
      <c r="Z1831" s="1"/>
      <c r="AA1831" s="1"/>
      <c r="AB1831" s="1"/>
      <c r="AC1831" s="1"/>
      <c r="AD1831" s="1" t="s">
        <v>93</v>
      </c>
      <c r="AE1831" s="1" t="s">
        <v>93</v>
      </c>
      <c r="AF1831" s="1"/>
      <c r="AG1831" s="1"/>
      <c r="AH1831" s="1"/>
      <c r="AI1831" s="1"/>
      <c r="AJ1831" s="1"/>
      <c r="AK1831" s="1"/>
      <c r="AL1831" s="1"/>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t="s">
        <v>9609</v>
      </c>
      <c r="BQ1831" s="3"/>
      <c r="BR1831" s="3"/>
    </row>
    <row r="1832" spans="1:70">
      <c r="A1832" s="1" t="s">
        <v>16711</v>
      </c>
      <c r="B1832" s="1" t="s">
        <v>13846</v>
      </c>
      <c r="C1832" s="1" t="s">
        <v>20897</v>
      </c>
      <c r="D1832" s="1"/>
      <c r="E1832" s="1"/>
      <c r="F1832" s="1"/>
      <c r="G1832" s="1"/>
      <c r="H1832" s="1" t="s">
        <v>20898</v>
      </c>
      <c r="I1832" s="1" t="s">
        <v>20898</v>
      </c>
      <c r="J1832" s="1"/>
      <c r="K1832" s="1"/>
      <c r="L1832" s="1"/>
      <c r="M1832" s="1"/>
      <c r="N1832" s="1"/>
      <c r="O1832" s="1"/>
      <c r="P1832" s="1"/>
      <c r="Q1832" s="1"/>
      <c r="R1832" s="1"/>
      <c r="S1832" s="1"/>
      <c r="T1832" s="1"/>
      <c r="U1832" s="1"/>
      <c r="V1832" s="1"/>
      <c r="W1832" s="1"/>
      <c r="X1832" s="1"/>
      <c r="Y1832" s="1"/>
      <c r="Z1832" s="1"/>
      <c r="AA1832" s="1"/>
      <c r="AB1832" s="1"/>
      <c r="AC1832" s="1"/>
      <c r="AD1832" s="1" t="s">
        <v>93</v>
      </c>
      <c r="AE1832" s="1" t="s">
        <v>93</v>
      </c>
      <c r="AF1832" s="1"/>
      <c r="AG1832" s="1"/>
      <c r="AH1832" s="1"/>
      <c r="AI1832" s="1"/>
      <c r="AJ1832" s="1"/>
      <c r="AK1832" s="1"/>
      <c r="AL1832" s="1"/>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t="s">
        <v>9609</v>
      </c>
      <c r="BQ1832" s="3"/>
      <c r="BR1832" s="3"/>
    </row>
    <row r="1833" spans="1:70">
      <c r="A1833" s="1" t="s">
        <v>16711</v>
      </c>
      <c r="B1833" s="1" t="s">
        <v>13846</v>
      </c>
      <c r="C1833" s="1" t="s">
        <v>20899</v>
      </c>
      <c r="D1833" s="1" t="s">
        <v>20900</v>
      </c>
      <c r="E1833" s="1" t="s">
        <v>20901</v>
      </c>
      <c r="F1833" s="1" t="s">
        <v>20902</v>
      </c>
      <c r="G1833" s="1" t="s">
        <v>20903</v>
      </c>
      <c r="H1833" s="1" t="s">
        <v>20904</v>
      </c>
      <c r="I1833" s="1" t="s">
        <v>20904</v>
      </c>
      <c r="J1833" s="1">
        <v>9924902501</v>
      </c>
      <c r="K1833" s="1" t="s">
        <v>79</v>
      </c>
      <c r="L1833" s="1" t="s">
        <v>20905</v>
      </c>
      <c r="M1833" s="1" t="s">
        <v>81</v>
      </c>
      <c r="N1833" s="1" t="s">
        <v>20906</v>
      </c>
      <c r="O1833" s="1" t="s">
        <v>20907</v>
      </c>
      <c r="P1833" s="1" t="s">
        <v>214</v>
      </c>
      <c r="Q1833" s="1">
        <v>386014394538</v>
      </c>
      <c r="R1833" s="1" t="s">
        <v>20908</v>
      </c>
      <c r="S1833" s="1">
        <v>9824258861</v>
      </c>
      <c r="T1833" s="1" t="s">
        <v>20909</v>
      </c>
      <c r="U1833" s="1" t="s">
        <v>20910</v>
      </c>
      <c r="V1833" s="1">
        <v>9664525787</v>
      </c>
      <c r="W1833" s="1" t="s">
        <v>16314</v>
      </c>
      <c r="X1833" s="1" t="s">
        <v>20911</v>
      </c>
      <c r="Y1833" s="1" t="s">
        <v>8152</v>
      </c>
      <c r="Z1833" s="1" t="s">
        <v>662</v>
      </c>
      <c r="AA1833" s="1" t="s">
        <v>20911</v>
      </c>
      <c r="AB1833" s="1" t="s">
        <v>8152</v>
      </c>
      <c r="AC1833" s="1" t="s">
        <v>662</v>
      </c>
      <c r="AD1833" s="1" t="s">
        <v>93</v>
      </c>
      <c r="AE1833" s="1" t="s">
        <v>93</v>
      </c>
      <c r="AF1833" s="1" t="s">
        <v>20912</v>
      </c>
      <c r="AG1833" s="1" t="s">
        <v>20913</v>
      </c>
      <c r="AH1833" s="1" t="s">
        <v>460</v>
      </c>
      <c r="AI1833" s="1" t="s">
        <v>826</v>
      </c>
      <c r="AJ1833" s="1">
        <v>80</v>
      </c>
      <c r="AK1833" s="1"/>
      <c r="AL1833" s="1" t="s">
        <v>20914</v>
      </c>
      <c r="AM1833" s="1" t="s">
        <v>20913</v>
      </c>
      <c r="AN1833" s="1" t="s">
        <v>284</v>
      </c>
      <c r="AO1833" s="1" t="s">
        <v>9945</v>
      </c>
      <c r="AP1833" s="1">
        <v>70</v>
      </c>
      <c r="AQ1833" s="1"/>
      <c r="AR1833" s="1"/>
      <c r="AS1833" s="1"/>
      <c r="AT1833" s="1"/>
      <c r="AU1833" s="1"/>
      <c r="AV1833" s="1"/>
      <c r="AW1833" s="1"/>
      <c r="AX1833" s="1" t="s">
        <v>20915</v>
      </c>
      <c r="AY1833" s="1" t="s">
        <v>20916</v>
      </c>
      <c r="AZ1833" s="1" t="s">
        <v>229</v>
      </c>
      <c r="BA1833" s="1" t="s">
        <v>20917</v>
      </c>
      <c r="BB1833" s="1">
        <v>78.67</v>
      </c>
      <c r="BC1833" s="1"/>
      <c r="BD1833" s="1"/>
      <c r="BE1833" s="1"/>
      <c r="BF1833" s="1"/>
      <c r="BG1833" s="1"/>
      <c r="BH1833" s="1"/>
      <c r="BI1833" s="1"/>
      <c r="BJ1833" s="1" t="s">
        <v>20918</v>
      </c>
      <c r="BK1833" s="1"/>
      <c r="BL1833" s="1"/>
      <c r="BM1833" s="1"/>
      <c r="BN1833" s="1"/>
      <c r="BO1833" s="1" t="s">
        <v>20919</v>
      </c>
      <c r="BP1833" s="1" t="s">
        <v>9609</v>
      </c>
      <c r="BQ1833" s="3"/>
      <c r="BR1833" s="3"/>
    </row>
    <row r="1834" spans="1:70">
      <c r="A1834" s="1" t="s">
        <v>16711</v>
      </c>
      <c r="B1834" s="1" t="s">
        <v>13846</v>
      </c>
      <c r="C1834" s="1" t="s">
        <v>20920</v>
      </c>
      <c r="D1834" s="1"/>
      <c r="E1834" s="1"/>
      <c r="F1834" s="1"/>
      <c r="G1834" s="1"/>
      <c r="H1834" s="1" t="s">
        <v>20921</v>
      </c>
      <c r="I1834" s="1" t="s">
        <v>20921</v>
      </c>
      <c r="J1834" s="1"/>
      <c r="K1834" s="1"/>
      <c r="L1834" s="1"/>
      <c r="M1834" s="1"/>
      <c r="N1834" s="1"/>
      <c r="O1834" s="1"/>
      <c r="P1834" s="1"/>
      <c r="Q1834" s="1"/>
      <c r="R1834" s="1"/>
      <c r="S1834" s="1"/>
      <c r="T1834" s="1"/>
      <c r="U1834" s="1"/>
      <c r="V1834" s="1"/>
      <c r="W1834" s="1"/>
      <c r="X1834" s="1"/>
      <c r="Y1834" s="1"/>
      <c r="Z1834" s="1"/>
      <c r="AA1834" s="1"/>
      <c r="AB1834" s="1"/>
      <c r="AC1834" s="1"/>
      <c r="AD1834" s="1" t="s">
        <v>93</v>
      </c>
      <c r="AE1834" s="1" t="s">
        <v>93</v>
      </c>
      <c r="AF1834" s="1"/>
      <c r="AG1834" s="1"/>
      <c r="AH1834" s="1"/>
      <c r="AI1834" s="1"/>
      <c r="AJ1834" s="1"/>
      <c r="AK1834" s="1"/>
      <c r="AL1834" s="1"/>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t="s">
        <v>9609</v>
      </c>
      <c r="BQ1834" s="3"/>
      <c r="BR1834" s="3"/>
    </row>
    <row r="1835" spans="1:70">
      <c r="A1835" s="1" t="s">
        <v>16711</v>
      </c>
      <c r="B1835" s="1" t="s">
        <v>13846</v>
      </c>
      <c r="C1835" s="1" t="s">
        <v>20922</v>
      </c>
      <c r="D1835" s="1"/>
      <c r="E1835" s="1"/>
      <c r="F1835" s="1"/>
      <c r="G1835" s="1"/>
      <c r="H1835" s="1" t="s">
        <v>20923</v>
      </c>
      <c r="I1835" s="1" t="s">
        <v>20923</v>
      </c>
      <c r="J1835" s="1"/>
      <c r="K1835" s="1"/>
      <c r="L1835" s="1"/>
      <c r="M1835" s="1"/>
      <c r="N1835" s="1"/>
      <c r="O1835" s="1"/>
      <c r="P1835" s="1"/>
      <c r="Q1835" s="1"/>
      <c r="R1835" s="1"/>
      <c r="S1835" s="1"/>
      <c r="T1835" s="1"/>
      <c r="U1835" s="1"/>
      <c r="V1835" s="1"/>
      <c r="W1835" s="1"/>
      <c r="X1835" s="1"/>
      <c r="Y1835" s="1"/>
      <c r="Z1835" s="1"/>
      <c r="AA1835" s="1"/>
      <c r="AB1835" s="1"/>
      <c r="AC1835" s="1"/>
      <c r="AD1835" s="1" t="s">
        <v>93</v>
      </c>
      <c r="AE1835" s="1" t="s">
        <v>93</v>
      </c>
      <c r="AF1835" s="1"/>
      <c r="AG1835" s="1"/>
      <c r="AH1835" s="1"/>
      <c r="AI1835" s="1"/>
      <c r="AJ1835" s="1"/>
      <c r="AK1835" s="1"/>
      <c r="AL1835" s="1"/>
      <c r="AM1835" s="1"/>
      <c r="AN1835" s="1"/>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t="s">
        <v>9609</v>
      </c>
      <c r="BQ1835" s="3"/>
      <c r="BR1835" s="3"/>
    </row>
    <row r="1836" spans="1:70">
      <c r="A1836" s="1" t="s">
        <v>16711</v>
      </c>
      <c r="B1836" s="1" t="s">
        <v>13846</v>
      </c>
      <c r="C1836" s="1" t="s">
        <v>20924</v>
      </c>
      <c r="D1836" s="1"/>
      <c r="E1836" s="1"/>
      <c r="F1836" s="1"/>
      <c r="G1836" s="1"/>
      <c r="H1836" s="1" t="s">
        <v>20925</v>
      </c>
      <c r="I1836" s="1" t="s">
        <v>20925</v>
      </c>
      <c r="J1836" s="1"/>
      <c r="K1836" s="1"/>
      <c r="L1836" s="1"/>
      <c r="M1836" s="1"/>
      <c r="N1836" s="1"/>
      <c r="O1836" s="1"/>
      <c r="P1836" s="1"/>
      <c r="Q1836" s="1"/>
      <c r="R1836" s="1"/>
      <c r="S1836" s="1"/>
      <c r="T1836" s="1"/>
      <c r="U1836" s="1"/>
      <c r="V1836" s="1"/>
      <c r="W1836" s="1"/>
      <c r="X1836" s="1"/>
      <c r="Y1836" s="1"/>
      <c r="Z1836" s="1"/>
      <c r="AA1836" s="1"/>
      <c r="AB1836" s="1"/>
      <c r="AC1836" s="1"/>
      <c r="AD1836" s="1" t="s">
        <v>93</v>
      </c>
      <c r="AE1836" s="1" t="s">
        <v>93</v>
      </c>
      <c r="AF1836" s="1"/>
      <c r="AG1836" s="1"/>
      <c r="AH1836" s="1"/>
      <c r="AI1836" s="1"/>
      <c r="AJ1836" s="1"/>
      <c r="AK1836" s="1"/>
      <c r="AL1836" s="1"/>
      <c r="AM1836" s="1"/>
      <c r="AN1836" s="1"/>
      <c r="AO1836" s="1"/>
      <c r="AP1836" s="1"/>
      <c r="AQ1836" s="1"/>
      <c r="AR1836" s="1"/>
      <c r="AS1836" s="1"/>
      <c r="AT1836" s="1"/>
      <c r="AU1836" s="1"/>
      <c r="AV1836" s="1"/>
      <c r="AW1836" s="1"/>
      <c r="AX1836" s="1"/>
      <c r="AY1836" s="1"/>
      <c r="AZ1836" s="1"/>
      <c r="BA1836" s="1"/>
      <c r="BB1836" s="1"/>
      <c r="BC1836" s="1"/>
      <c r="BD1836" s="1"/>
      <c r="BE1836" s="1"/>
      <c r="BF1836" s="1"/>
      <c r="BG1836" s="1"/>
      <c r="BH1836" s="1"/>
      <c r="BI1836" s="1"/>
      <c r="BJ1836" s="1"/>
      <c r="BK1836" s="1"/>
      <c r="BL1836" s="1"/>
      <c r="BM1836" s="1"/>
      <c r="BN1836" s="1"/>
      <c r="BO1836" s="1"/>
      <c r="BP1836" s="1" t="s">
        <v>9609</v>
      </c>
      <c r="BQ1836" s="3"/>
      <c r="BR1836" s="3"/>
    </row>
    <row r="1837" spans="1:70">
      <c r="A1837" s="1" t="s">
        <v>16711</v>
      </c>
      <c r="B1837" s="1" t="s">
        <v>13846</v>
      </c>
      <c r="C1837" s="1" t="s">
        <v>20926</v>
      </c>
      <c r="D1837" s="1"/>
      <c r="E1837" s="1"/>
      <c r="F1837" s="1"/>
      <c r="G1837" s="1"/>
      <c r="H1837" s="1" t="s">
        <v>20927</v>
      </c>
      <c r="I1837" s="1" t="s">
        <v>20927</v>
      </c>
      <c r="J1837" s="1"/>
      <c r="K1837" s="1"/>
      <c r="L1837" s="1"/>
      <c r="M1837" s="1"/>
      <c r="N1837" s="1"/>
      <c r="O1837" s="1"/>
      <c r="P1837" s="1"/>
      <c r="Q1837" s="1"/>
      <c r="R1837" s="1"/>
      <c r="S1837" s="1"/>
      <c r="T1837" s="1"/>
      <c r="U1837" s="1"/>
      <c r="V1837" s="1"/>
      <c r="W1837" s="1"/>
      <c r="X1837" s="1"/>
      <c r="Y1837" s="1"/>
      <c r="Z1837" s="1"/>
      <c r="AA1837" s="1"/>
      <c r="AB1837" s="1"/>
      <c r="AC1837" s="1"/>
      <c r="AD1837" s="1" t="s">
        <v>93</v>
      </c>
      <c r="AE1837" s="1" t="s">
        <v>93</v>
      </c>
      <c r="AF1837" s="1"/>
      <c r="AG1837" s="1"/>
      <c r="AH1837" s="1"/>
      <c r="AI1837" s="1"/>
      <c r="AJ1837" s="1"/>
      <c r="AK1837" s="1"/>
      <c r="AL1837" s="1"/>
      <c r="AM1837" s="1"/>
      <c r="AN1837" s="1"/>
      <c r="AO1837" s="1"/>
      <c r="AP1837" s="1"/>
      <c r="AQ1837" s="1"/>
      <c r="AR1837" s="1"/>
      <c r="AS1837" s="1"/>
      <c r="AT1837" s="1"/>
      <c r="AU1837" s="1"/>
      <c r="AV1837" s="1"/>
      <c r="AW1837" s="1"/>
      <c r="AX1837" s="1"/>
      <c r="AY1837" s="1"/>
      <c r="AZ1837" s="1"/>
      <c r="BA1837" s="1"/>
      <c r="BB1837" s="1"/>
      <c r="BC1837" s="1"/>
      <c r="BD1837" s="1"/>
      <c r="BE1837" s="1"/>
      <c r="BF1837" s="1"/>
      <c r="BG1837" s="1"/>
      <c r="BH1837" s="1"/>
      <c r="BI1837" s="1"/>
      <c r="BJ1837" s="1"/>
      <c r="BK1837" s="1"/>
      <c r="BL1837" s="1"/>
      <c r="BM1837" s="1"/>
      <c r="BN1837" s="1"/>
      <c r="BO1837" s="1"/>
      <c r="BP1837" s="1" t="s">
        <v>9609</v>
      </c>
      <c r="BQ1837" s="3"/>
      <c r="BR1837" s="3"/>
    </row>
    <row r="1838" spans="1:70">
      <c r="A1838" s="1" t="s">
        <v>16711</v>
      </c>
      <c r="B1838" s="1" t="s">
        <v>13846</v>
      </c>
      <c r="C1838" s="1" t="s">
        <v>20928</v>
      </c>
      <c r="D1838" s="1"/>
      <c r="E1838" s="1"/>
      <c r="F1838" s="1"/>
      <c r="G1838" s="1"/>
      <c r="H1838" s="1" t="s">
        <v>20929</v>
      </c>
      <c r="I1838" s="1" t="s">
        <v>20929</v>
      </c>
      <c r="J1838" s="1"/>
      <c r="K1838" s="1"/>
      <c r="L1838" s="1"/>
      <c r="M1838" s="1"/>
      <c r="N1838" s="1"/>
      <c r="O1838" s="1"/>
      <c r="P1838" s="1"/>
      <c r="Q1838" s="1"/>
      <c r="R1838" s="1"/>
      <c r="S1838" s="1"/>
      <c r="T1838" s="1"/>
      <c r="U1838" s="1"/>
      <c r="V1838" s="1"/>
      <c r="W1838" s="1"/>
      <c r="X1838" s="1"/>
      <c r="Y1838" s="1"/>
      <c r="Z1838" s="1"/>
      <c r="AA1838" s="1"/>
      <c r="AB1838" s="1"/>
      <c r="AC1838" s="1"/>
      <c r="AD1838" s="1" t="s">
        <v>93</v>
      </c>
      <c r="AE1838" s="1" t="s">
        <v>93</v>
      </c>
      <c r="AF1838" s="1"/>
      <c r="AG1838" s="1"/>
      <c r="AH1838" s="1"/>
      <c r="AI1838" s="1"/>
      <c r="AJ1838" s="1"/>
      <c r="AK1838" s="1"/>
      <c r="AL1838" s="1"/>
      <c r="AM1838" s="1"/>
      <c r="AN1838" s="1"/>
      <c r="AO1838" s="1"/>
      <c r="AP1838" s="1"/>
      <c r="AQ1838" s="1"/>
      <c r="AR1838" s="1"/>
      <c r="AS1838" s="1"/>
      <c r="AT1838" s="1"/>
      <c r="AU1838" s="1"/>
      <c r="AV1838" s="1"/>
      <c r="AW1838" s="1"/>
      <c r="AX1838" s="1"/>
      <c r="AY1838" s="1"/>
      <c r="AZ1838" s="1"/>
      <c r="BA1838" s="1"/>
      <c r="BB1838" s="1"/>
      <c r="BC1838" s="1"/>
      <c r="BD1838" s="1"/>
      <c r="BE1838" s="1"/>
      <c r="BF1838" s="1"/>
      <c r="BG1838" s="1"/>
      <c r="BH1838" s="1"/>
      <c r="BI1838" s="1"/>
      <c r="BJ1838" s="1"/>
      <c r="BK1838" s="1"/>
      <c r="BL1838" s="1"/>
      <c r="BM1838" s="1"/>
      <c r="BN1838" s="1"/>
      <c r="BO1838" s="1"/>
      <c r="BP1838" s="1" t="s">
        <v>9609</v>
      </c>
      <c r="BQ1838" s="3"/>
      <c r="BR1838" s="3"/>
    </row>
    <row r="1839" spans="1:70">
      <c r="A1839" s="1" t="s">
        <v>16711</v>
      </c>
      <c r="B1839" s="1" t="s">
        <v>13846</v>
      </c>
      <c r="C1839" s="1" t="s">
        <v>20930</v>
      </c>
      <c r="D1839" s="1"/>
      <c r="E1839" s="1"/>
      <c r="F1839" s="1"/>
      <c r="G1839" s="1"/>
      <c r="H1839" s="1" t="s">
        <v>20931</v>
      </c>
      <c r="I1839" s="1" t="s">
        <v>20931</v>
      </c>
      <c r="J1839" s="1"/>
      <c r="K1839" s="1"/>
      <c r="L1839" s="1"/>
      <c r="M1839" s="1"/>
      <c r="N1839" s="1"/>
      <c r="O1839" s="1"/>
      <c r="P1839" s="1"/>
      <c r="Q1839" s="1"/>
      <c r="R1839" s="1"/>
      <c r="S1839" s="1"/>
      <c r="T1839" s="1"/>
      <c r="U1839" s="1"/>
      <c r="V1839" s="1"/>
      <c r="W1839" s="1"/>
      <c r="X1839" s="1"/>
      <c r="Y1839" s="1"/>
      <c r="Z1839" s="1"/>
      <c r="AA1839" s="1"/>
      <c r="AB1839" s="1"/>
      <c r="AC1839" s="1"/>
      <c r="AD1839" s="1" t="s">
        <v>93</v>
      </c>
      <c r="AE1839" s="1" t="s">
        <v>93</v>
      </c>
      <c r="AF1839" s="1"/>
      <c r="AG1839" s="1"/>
      <c r="AH1839" s="1"/>
      <c r="AI1839" s="1"/>
      <c r="AJ1839" s="1"/>
      <c r="AK1839" s="1"/>
      <c r="AL1839" s="1"/>
      <c r="AM1839" s="1"/>
      <c r="AN1839" s="1"/>
      <c r="AO1839" s="1"/>
      <c r="AP1839" s="1"/>
      <c r="AQ1839" s="1"/>
      <c r="AR1839" s="1"/>
      <c r="AS1839" s="1"/>
      <c r="AT1839" s="1"/>
      <c r="AU1839" s="1"/>
      <c r="AV1839" s="1"/>
      <c r="AW1839" s="1"/>
      <c r="AX1839" s="1"/>
      <c r="AY1839" s="1"/>
      <c r="AZ1839" s="1"/>
      <c r="BA1839" s="1"/>
      <c r="BB1839" s="1"/>
      <c r="BC1839" s="1"/>
      <c r="BD1839" s="1"/>
      <c r="BE1839" s="1"/>
      <c r="BF1839" s="1"/>
      <c r="BG1839" s="1"/>
      <c r="BH1839" s="1"/>
      <c r="BI1839" s="1"/>
      <c r="BJ1839" s="1"/>
      <c r="BK1839" s="1"/>
      <c r="BL1839" s="1"/>
      <c r="BM1839" s="1"/>
      <c r="BN1839" s="1"/>
      <c r="BO1839" s="1"/>
      <c r="BP1839" s="1" t="s">
        <v>9609</v>
      </c>
      <c r="BQ1839" s="3"/>
      <c r="BR1839" s="3"/>
    </row>
    <row r="1840" spans="1:70">
      <c r="A1840" s="1" t="s">
        <v>16711</v>
      </c>
      <c r="B1840" s="1" t="s">
        <v>13846</v>
      </c>
      <c r="C1840" s="1" t="s">
        <v>20932</v>
      </c>
      <c r="D1840" s="1"/>
      <c r="E1840" s="1"/>
      <c r="F1840" s="1"/>
      <c r="G1840" s="1"/>
      <c r="H1840" s="1" t="s">
        <v>20933</v>
      </c>
      <c r="I1840" s="1" t="s">
        <v>20933</v>
      </c>
      <c r="J1840" s="1"/>
      <c r="K1840" s="1"/>
      <c r="L1840" s="1"/>
      <c r="M1840" s="1"/>
      <c r="N1840" s="1"/>
      <c r="O1840" s="1"/>
      <c r="P1840" s="1"/>
      <c r="Q1840" s="1"/>
      <c r="R1840" s="1"/>
      <c r="S1840" s="1"/>
      <c r="T1840" s="1"/>
      <c r="U1840" s="1"/>
      <c r="V1840" s="1"/>
      <c r="W1840" s="1"/>
      <c r="X1840" s="1"/>
      <c r="Y1840" s="1"/>
      <c r="Z1840" s="1"/>
      <c r="AA1840" s="1"/>
      <c r="AB1840" s="1"/>
      <c r="AC1840" s="1"/>
      <c r="AD1840" s="1" t="s">
        <v>93</v>
      </c>
      <c r="AE1840" s="1" t="s">
        <v>93</v>
      </c>
      <c r="AF1840" s="1"/>
      <c r="AG1840" s="1"/>
      <c r="AH1840" s="1"/>
      <c r="AI1840" s="1"/>
      <c r="AJ1840" s="1"/>
      <c r="AK1840" s="1"/>
      <c r="AL1840" s="1"/>
      <c r="AM1840" s="1"/>
      <c r="AN1840" s="1"/>
      <c r="AO1840" s="1"/>
      <c r="AP1840" s="1"/>
      <c r="AQ1840" s="1"/>
      <c r="AR1840" s="1"/>
      <c r="AS1840" s="1"/>
      <c r="AT1840" s="1"/>
      <c r="AU1840" s="1"/>
      <c r="AV1840" s="1"/>
      <c r="AW1840" s="1"/>
      <c r="AX1840" s="1"/>
      <c r="AY1840" s="1"/>
      <c r="AZ1840" s="1"/>
      <c r="BA1840" s="1"/>
      <c r="BB1840" s="1"/>
      <c r="BC1840" s="1"/>
      <c r="BD1840" s="1"/>
      <c r="BE1840" s="1"/>
      <c r="BF1840" s="1"/>
      <c r="BG1840" s="1"/>
      <c r="BH1840" s="1"/>
      <c r="BI1840" s="1"/>
      <c r="BJ1840" s="1"/>
      <c r="BK1840" s="1"/>
      <c r="BL1840" s="1"/>
      <c r="BM1840" s="1"/>
      <c r="BN1840" s="1"/>
      <c r="BO1840" s="1"/>
      <c r="BP1840" s="1" t="s">
        <v>9609</v>
      </c>
      <c r="BQ1840" s="3"/>
      <c r="BR1840" s="3"/>
    </row>
    <row r="1841" spans="1:70">
      <c r="A1841" s="1" t="s">
        <v>16711</v>
      </c>
      <c r="B1841" s="1" t="s">
        <v>13846</v>
      </c>
      <c r="C1841" s="1" t="s">
        <v>20934</v>
      </c>
      <c r="D1841" s="1"/>
      <c r="E1841" s="1"/>
      <c r="F1841" s="1"/>
      <c r="G1841" s="1"/>
      <c r="H1841" s="1" t="s">
        <v>20935</v>
      </c>
      <c r="I1841" s="1" t="s">
        <v>20935</v>
      </c>
      <c r="J1841" s="1"/>
      <c r="K1841" s="1"/>
      <c r="L1841" s="1"/>
      <c r="M1841" s="1"/>
      <c r="N1841" s="1"/>
      <c r="O1841" s="1"/>
      <c r="P1841" s="1"/>
      <c r="Q1841" s="1"/>
      <c r="R1841" s="1"/>
      <c r="S1841" s="1"/>
      <c r="T1841" s="1"/>
      <c r="U1841" s="1"/>
      <c r="V1841" s="1"/>
      <c r="W1841" s="1"/>
      <c r="X1841" s="1"/>
      <c r="Y1841" s="1"/>
      <c r="Z1841" s="1"/>
      <c r="AA1841" s="1"/>
      <c r="AB1841" s="1"/>
      <c r="AC1841" s="1"/>
      <c r="AD1841" s="1" t="s">
        <v>93</v>
      </c>
      <c r="AE1841" s="1" t="s">
        <v>93</v>
      </c>
      <c r="AF1841" s="1"/>
      <c r="AG1841" s="1"/>
      <c r="AH1841" s="1"/>
      <c r="AI1841" s="1"/>
      <c r="AJ1841" s="1"/>
      <c r="AK1841" s="1"/>
      <c r="AL1841" s="1"/>
      <c r="AM1841" s="1"/>
      <c r="AN1841" s="1"/>
      <c r="AO1841" s="1"/>
      <c r="AP1841" s="1"/>
      <c r="AQ1841" s="1"/>
      <c r="AR1841" s="1"/>
      <c r="AS1841" s="1"/>
      <c r="AT1841" s="1"/>
      <c r="AU1841" s="1"/>
      <c r="AV1841" s="1"/>
      <c r="AW1841" s="1"/>
      <c r="AX1841" s="1"/>
      <c r="AY1841" s="1"/>
      <c r="AZ1841" s="1"/>
      <c r="BA1841" s="1"/>
      <c r="BB1841" s="1"/>
      <c r="BC1841" s="1"/>
      <c r="BD1841" s="1"/>
      <c r="BE1841" s="1"/>
      <c r="BF1841" s="1"/>
      <c r="BG1841" s="1"/>
      <c r="BH1841" s="1"/>
      <c r="BI1841" s="1"/>
      <c r="BJ1841" s="1"/>
      <c r="BK1841" s="1"/>
      <c r="BL1841" s="1"/>
      <c r="BM1841" s="1"/>
      <c r="BN1841" s="1"/>
      <c r="BO1841" s="1"/>
      <c r="BP1841" s="1" t="s">
        <v>9609</v>
      </c>
      <c r="BQ1841" s="3"/>
      <c r="BR1841" s="3"/>
    </row>
    <row r="1842" spans="1:70">
      <c r="A1842" s="1" t="s">
        <v>16711</v>
      </c>
      <c r="B1842" s="1" t="s">
        <v>13846</v>
      </c>
      <c r="C1842" s="1" t="s">
        <v>20936</v>
      </c>
      <c r="D1842" s="1"/>
      <c r="E1842" s="1"/>
      <c r="F1842" s="1"/>
      <c r="G1842" s="1"/>
      <c r="H1842" s="1" t="s">
        <v>20937</v>
      </c>
      <c r="I1842" s="1" t="s">
        <v>20937</v>
      </c>
      <c r="J1842" s="1"/>
      <c r="K1842" s="1"/>
      <c r="L1842" s="1"/>
      <c r="M1842" s="1"/>
      <c r="N1842" s="1"/>
      <c r="O1842" s="1"/>
      <c r="P1842" s="1"/>
      <c r="Q1842" s="1"/>
      <c r="R1842" s="1"/>
      <c r="S1842" s="1"/>
      <c r="T1842" s="1"/>
      <c r="U1842" s="1"/>
      <c r="V1842" s="1"/>
      <c r="W1842" s="1"/>
      <c r="X1842" s="1"/>
      <c r="Y1842" s="1"/>
      <c r="Z1842" s="1"/>
      <c r="AA1842" s="1"/>
      <c r="AB1842" s="1"/>
      <c r="AC1842" s="1"/>
      <c r="AD1842" s="1" t="s">
        <v>93</v>
      </c>
      <c r="AE1842" s="1" t="s">
        <v>93</v>
      </c>
      <c r="AF1842" s="1"/>
      <c r="AG1842" s="1"/>
      <c r="AH1842" s="1"/>
      <c r="AI1842" s="1"/>
      <c r="AJ1842" s="1"/>
      <c r="AK1842" s="1"/>
      <c r="AL1842" s="1"/>
      <c r="AM1842" s="1"/>
      <c r="AN1842" s="1"/>
      <c r="AO1842" s="1"/>
      <c r="AP1842" s="1"/>
      <c r="AQ1842" s="1"/>
      <c r="AR1842" s="1"/>
      <c r="AS1842" s="1"/>
      <c r="AT1842" s="1"/>
      <c r="AU1842" s="1"/>
      <c r="AV1842" s="1"/>
      <c r="AW1842" s="1"/>
      <c r="AX1842" s="1"/>
      <c r="AY1842" s="1"/>
      <c r="AZ1842" s="1"/>
      <c r="BA1842" s="1"/>
      <c r="BB1842" s="1"/>
      <c r="BC1842" s="1"/>
      <c r="BD1842" s="1"/>
      <c r="BE1842" s="1"/>
      <c r="BF1842" s="1"/>
      <c r="BG1842" s="1"/>
      <c r="BH1842" s="1"/>
      <c r="BI1842" s="1"/>
      <c r="BJ1842" s="1"/>
      <c r="BK1842" s="1"/>
      <c r="BL1842" s="1"/>
      <c r="BM1842" s="1"/>
      <c r="BN1842" s="1"/>
      <c r="BO1842" s="1"/>
      <c r="BP1842" s="1" t="s">
        <v>9609</v>
      </c>
      <c r="BQ1842" s="3"/>
      <c r="BR1842" s="3"/>
    </row>
    <row r="1843" spans="1:70">
      <c r="A1843" s="1" t="s">
        <v>16711</v>
      </c>
      <c r="B1843" s="1" t="s">
        <v>13846</v>
      </c>
      <c r="C1843" s="1" t="s">
        <v>20938</v>
      </c>
      <c r="D1843" s="1"/>
      <c r="E1843" s="1"/>
      <c r="F1843" s="1"/>
      <c r="G1843" s="1"/>
      <c r="H1843" s="1" t="s">
        <v>20939</v>
      </c>
      <c r="I1843" s="1" t="s">
        <v>20939</v>
      </c>
      <c r="J1843" s="1"/>
      <c r="K1843" s="1"/>
      <c r="L1843" s="1"/>
      <c r="M1843" s="1"/>
      <c r="N1843" s="1"/>
      <c r="O1843" s="1"/>
      <c r="P1843" s="1"/>
      <c r="Q1843" s="1"/>
      <c r="R1843" s="1"/>
      <c r="S1843" s="1"/>
      <c r="T1843" s="1"/>
      <c r="U1843" s="1"/>
      <c r="V1843" s="1"/>
      <c r="W1843" s="1"/>
      <c r="X1843" s="1"/>
      <c r="Y1843" s="1"/>
      <c r="Z1843" s="1"/>
      <c r="AA1843" s="1"/>
      <c r="AB1843" s="1"/>
      <c r="AC1843" s="1"/>
      <c r="AD1843" s="1" t="s">
        <v>93</v>
      </c>
      <c r="AE1843" s="1" t="s">
        <v>93</v>
      </c>
      <c r="AF1843" s="1"/>
      <c r="AG1843" s="1"/>
      <c r="AH1843" s="1"/>
      <c r="AI1843" s="1"/>
      <c r="AJ1843" s="1"/>
      <c r="AK1843" s="1"/>
      <c r="AL1843" s="1"/>
      <c r="AM1843" s="1"/>
      <c r="AN1843" s="1"/>
      <c r="AO1843" s="1"/>
      <c r="AP1843" s="1"/>
      <c r="AQ1843" s="1"/>
      <c r="AR1843" s="1"/>
      <c r="AS1843" s="1"/>
      <c r="AT1843" s="1"/>
      <c r="AU1843" s="1"/>
      <c r="AV1843" s="1"/>
      <c r="AW1843" s="1"/>
      <c r="AX1843" s="1"/>
      <c r="AY1843" s="1"/>
      <c r="AZ1843" s="1"/>
      <c r="BA1843" s="1"/>
      <c r="BB1843" s="1"/>
      <c r="BC1843" s="1"/>
      <c r="BD1843" s="1"/>
      <c r="BE1843" s="1"/>
      <c r="BF1843" s="1"/>
      <c r="BG1843" s="1"/>
      <c r="BH1843" s="1"/>
      <c r="BI1843" s="1"/>
      <c r="BJ1843" s="1"/>
      <c r="BK1843" s="1"/>
      <c r="BL1843" s="1"/>
      <c r="BM1843" s="1"/>
      <c r="BN1843" s="1"/>
      <c r="BO1843" s="1"/>
      <c r="BP1843" s="1" t="s">
        <v>9609</v>
      </c>
      <c r="BQ1843" s="3"/>
      <c r="BR1843" s="3"/>
    </row>
    <row r="1844" spans="1:70">
      <c r="A1844" s="1" t="s">
        <v>16711</v>
      </c>
      <c r="B1844" s="1" t="s">
        <v>13846</v>
      </c>
      <c r="C1844" s="1" t="s">
        <v>20940</v>
      </c>
      <c r="D1844" s="1"/>
      <c r="E1844" s="1"/>
      <c r="F1844" s="1"/>
      <c r="G1844" s="1"/>
      <c r="H1844" s="1" t="s">
        <v>20941</v>
      </c>
      <c r="I1844" s="1" t="s">
        <v>20941</v>
      </c>
      <c r="J1844" s="1"/>
      <c r="K1844" s="1"/>
      <c r="L1844" s="1"/>
      <c r="M1844" s="1"/>
      <c r="N1844" s="1"/>
      <c r="O1844" s="1"/>
      <c r="P1844" s="1"/>
      <c r="Q1844" s="1"/>
      <c r="R1844" s="1"/>
      <c r="S1844" s="1"/>
      <c r="T1844" s="1"/>
      <c r="U1844" s="1"/>
      <c r="V1844" s="1"/>
      <c r="W1844" s="1"/>
      <c r="X1844" s="1"/>
      <c r="Y1844" s="1"/>
      <c r="Z1844" s="1"/>
      <c r="AA1844" s="1"/>
      <c r="AB1844" s="1"/>
      <c r="AC1844" s="1"/>
      <c r="AD1844" s="1" t="s">
        <v>93</v>
      </c>
      <c r="AE1844" s="1" t="s">
        <v>93</v>
      </c>
      <c r="AF1844" s="1"/>
      <c r="AG1844" s="1"/>
      <c r="AH1844" s="1"/>
      <c r="AI1844" s="1"/>
      <c r="AJ1844" s="1"/>
      <c r="AK1844" s="1"/>
      <c r="AL1844" s="1"/>
      <c r="AM1844" s="1"/>
      <c r="AN1844" s="1"/>
      <c r="AO1844" s="1"/>
      <c r="AP1844" s="1"/>
      <c r="AQ1844" s="1"/>
      <c r="AR1844" s="1"/>
      <c r="AS1844" s="1"/>
      <c r="AT1844" s="1"/>
      <c r="AU1844" s="1"/>
      <c r="AV1844" s="1"/>
      <c r="AW1844" s="1"/>
      <c r="AX1844" s="1"/>
      <c r="AY1844" s="1"/>
      <c r="AZ1844" s="1"/>
      <c r="BA1844" s="1"/>
      <c r="BB1844" s="1"/>
      <c r="BC1844" s="1"/>
      <c r="BD1844" s="1"/>
      <c r="BE1844" s="1"/>
      <c r="BF1844" s="1"/>
      <c r="BG1844" s="1"/>
      <c r="BH1844" s="1"/>
      <c r="BI1844" s="1"/>
      <c r="BJ1844" s="1"/>
      <c r="BK1844" s="1"/>
      <c r="BL1844" s="1"/>
      <c r="BM1844" s="1"/>
      <c r="BN1844" s="1"/>
      <c r="BO1844" s="1"/>
      <c r="BP1844" s="1" t="s">
        <v>9609</v>
      </c>
      <c r="BQ1844" s="3"/>
      <c r="BR1844" s="3"/>
    </row>
    <row r="1845" spans="1:70">
      <c r="A1845" s="1" t="s">
        <v>16711</v>
      </c>
      <c r="B1845" s="1" t="s">
        <v>13846</v>
      </c>
      <c r="C1845" s="1" t="s">
        <v>20942</v>
      </c>
      <c r="D1845" s="1"/>
      <c r="E1845" s="1"/>
      <c r="F1845" s="1"/>
      <c r="G1845" s="1"/>
      <c r="H1845" s="1" t="s">
        <v>20943</v>
      </c>
      <c r="I1845" s="1" t="s">
        <v>20943</v>
      </c>
      <c r="J1845" s="1"/>
      <c r="K1845" s="1"/>
      <c r="L1845" s="1"/>
      <c r="M1845" s="1"/>
      <c r="N1845" s="1"/>
      <c r="O1845" s="1"/>
      <c r="P1845" s="1"/>
      <c r="Q1845" s="1"/>
      <c r="R1845" s="1"/>
      <c r="S1845" s="1"/>
      <c r="T1845" s="1"/>
      <c r="U1845" s="1"/>
      <c r="V1845" s="1"/>
      <c r="W1845" s="1"/>
      <c r="X1845" s="1"/>
      <c r="Y1845" s="1"/>
      <c r="Z1845" s="1"/>
      <c r="AA1845" s="1"/>
      <c r="AB1845" s="1"/>
      <c r="AC1845" s="1"/>
      <c r="AD1845" s="1" t="s">
        <v>93</v>
      </c>
      <c r="AE1845" s="1" t="s">
        <v>93</v>
      </c>
      <c r="AF1845" s="1"/>
      <c r="AG1845" s="1"/>
      <c r="AH1845" s="1"/>
      <c r="AI1845" s="1"/>
      <c r="AJ1845" s="1"/>
      <c r="AK1845" s="1"/>
      <c r="AL1845" s="1"/>
      <c r="AM1845" s="1"/>
      <c r="AN1845" s="1"/>
      <c r="AO1845" s="1"/>
      <c r="AP1845" s="1"/>
      <c r="AQ1845" s="1"/>
      <c r="AR1845" s="1"/>
      <c r="AS1845" s="1"/>
      <c r="AT1845" s="1"/>
      <c r="AU1845" s="1"/>
      <c r="AV1845" s="1"/>
      <c r="AW1845" s="1"/>
      <c r="AX1845" s="1"/>
      <c r="AY1845" s="1"/>
      <c r="AZ1845" s="1"/>
      <c r="BA1845" s="1"/>
      <c r="BB1845" s="1"/>
      <c r="BC1845" s="1"/>
      <c r="BD1845" s="1"/>
      <c r="BE1845" s="1"/>
      <c r="BF1845" s="1"/>
      <c r="BG1845" s="1"/>
      <c r="BH1845" s="1"/>
      <c r="BI1845" s="1"/>
      <c r="BJ1845" s="1"/>
      <c r="BK1845" s="1"/>
      <c r="BL1845" s="1"/>
      <c r="BM1845" s="1"/>
      <c r="BN1845" s="1"/>
      <c r="BO1845" s="1"/>
      <c r="BP1845" s="1" t="s">
        <v>9609</v>
      </c>
      <c r="BQ1845" s="3"/>
      <c r="BR1845" s="3"/>
    </row>
    <row r="1846" spans="1:70">
      <c r="A1846" s="1" t="s">
        <v>17142</v>
      </c>
      <c r="B1846" s="1" t="s">
        <v>13846</v>
      </c>
      <c r="C1846" s="1" t="s">
        <v>20944</v>
      </c>
      <c r="D1846" s="1"/>
      <c r="E1846" s="1"/>
      <c r="F1846" s="1"/>
      <c r="G1846" s="1"/>
      <c r="H1846" s="1" t="s">
        <v>20945</v>
      </c>
      <c r="I1846" s="1" t="s">
        <v>20945</v>
      </c>
      <c r="J1846" s="1"/>
      <c r="K1846" s="1"/>
      <c r="L1846" s="1"/>
      <c r="M1846" s="1"/>
      <c r="N1846" s="1"/>
      <c r="O1846" s="1"/>
      <c r="P1846" s="1"/>
      <c r="Q1846" s="1"/>
      <c r="R1846" s="1"/>
      <c r="S1846" s="1"/>
      <c r="T1846" s="1"/>
      <c r="U1846" s="1"/>
      <c r="V1846" s="1"/>
      <c r="W1846" s="1"/>
      <c r="X1846" s="1"/>
      <c r="Y1846" s="1"/>
      <c r="Z1846" s="1"/>
      <c r="AA1846" s="1"/>
      <c r="AB1846" s="1"/>
      <c r="AC1846" s="1"/>
      <c r="AD1846" s="1" t="s">
        <v>93</v>
      </c>
      <c r="AE1846" s="1" t="s">
        <v>93</v>
      </c>
      <c r="AF1846" s="1"/>
      <c r="AG1846" s="1"/>
      <c r="AH1846" s="1"/>
      <c r="AI1846" s="1"/>
      <c r="AJ1846" s="1"/>
      <c r="AK1846" s="1"/>
      <c r="AL1846" s="1"/>
      <c r="AM1846" s="1"/>
      <c r="AN1846" s="1"/>
      <c r="AO1846" s="1"/>
      <c r="AP1846" s="1"/>
      <c r="AQ1846" s="1"/>
      <c r="AR1846" s="1"/>
      <c r="AS1846" s="1"/>
      <c r="AT1846" s="1"/>
      <c r="AU1846" s="1"/>
      <c r="AV1846" s="1"/>
      <c r="AW1846" s="1"/>
      <c r="AX1846" s="1"/>
      <c r="AY1846" s="1"/>
      <c r="AZ1846" s="1"/>
      <c r="BA1846" s="1"/>
      <c r="BB1846" s="1"/>
      <c r="BC1846" s="1"/>
      <c r="BD1846" s="1"/>
      <c r="BE1846" s="1"/>
      <c r="BF1846" s="1"/>
      <c r="BG1846" s="1"/>
      <c r="BH1846" s="1"/>
      <c r="BI1846" s="1"/>
      <c r="BJ1846" s="1"/>
      <c r="BK1846" s="1"/>
      <c r="BL1846" s="1"/>
      <c r="BM1846" s="1"/>
      <c r="BN1846" s="1"/>
      <c r="BO1846" s="1"/>
      <c r="BP1846" s="1" t="s">
        <v>9609</v>
      </c>
      <c r="BQ1846" s="3"/>
      <c r="BR1846" s="3"/>
    </row>
    <row r="1847" spans="1:70">
      <c r="A1847" s="1" t="s">
        <v>17142</v>
      </c>
      <c r="B1847" s="1" t="s">
        <v>13846</v>
      </c>
      <c r="C1847" s="1" t="s">
        <v>20946</v>
      </c>
      <c r="D1847" s="1" t="s">
        <v>20947</v>
      </c>
      <c r="E1847" s="1" t="s">
        <v>20948</v>
      </c>
      <c r="F1847" s="1" t="s">
        <v>20949</v>
      </c>
      <c r="G1847" s="1" t="s">
        <v>20950</v>
      </c>
      <c r="H1847" s="1" t="s">
        <v>20951</v>
      </c>
      <c r="I1847" s="1" t="s">
        <v>20951</v>
      </c>
      <c r="J1847" s="1">
        <v>7021637171</v>
      </c>
      <c r="K1847" s="1" t="s">
        <v>79</v>
      </c>
      <c r="L1847" s="1" t="s">
        <v>20952</v>
      </c>
      <c r="M1847" s="1" t="s">
        <v>81</v>
      </c>
      <c r="N1847" s="1" t="s">
        <v>350</v>
      </c>
      <c r="O1847" s="1" t="s">
        <v>20953</v>
      </c>
      <c r="P1847" s="1" t="s">
        <v>214</v>
      </c>
      <c r="Q1847" s="1">
        <v>622475675271</v>
      </c>
      <c r="R1847" s="1" t="s">
        <v>20954</v>
      </c>
      <c r="S1847" s="1">
        <v>9820563517</v>
      </c>
      <c r="T1847" s="1" t="s">
        <v>20955</v>
      </c>
      <c r="U1847" s="1" t="s">
        <v>20956</v>
      </c>
      <c r="V1847" s="1">
        <v>7021633838</v>
      </c>
      <c r="W1847" s="1" t="s">
        <v>273</v>
      </c>
      <c r="X1847" s="1" t="s">
        <v>20957</v>
      </c>
      <c r="Y1847" s="1" t="s">
        <v>1857</v>
      </c>
      <c r="Z1847" s="1" t="s">
        <v>92</v>
      </c>
      <c r="AA1847" s="1" t="s">
        <v>20957</v>
      </c>
      <c r="AB1847" s="1" t="s">
        <v>1857</v>
      </c>
      <c r="AC1847" s="1" t="s">
        <v>92</v>
      </c>
      <c r="AD1847" s="1" t="s">
        <v>93</v>
      </c>
      <c r="AE1847" s="1" t="s">
        <v>93</v>
      </c>
      <c r="AF1847" s="1"/>
      <c r="AG1847" s="1"/>
      <c r="AH1847" s="1"/>
      <c r="AI1847" s="1"/>
      <c r="AJ1847" s="1"/>
      <c r="AK1847" s="1"/>
      <c r="AL1847" s="1"/>
      <c r="AM1847" s="1"/>
      <c r="AN1847" s="1"/>
      <c r="AO1847" s="1"/>
      <c r="AP1847" s="1"/>
      <c r="AQ1847" s="1"/>
      <c r="AR1847" s="1"/>
      <c r="AS1847" s="1"/>
      <c r="AT1847" s="1"/>
      <c r="AU1847" s="1"/>
      <c r="AV1847" s="1"/>
      <c r="AW1847" s="1"/>
      <c r="AX1847" s="1"/>
      <c r="AY1847" s="1"/>
      <c r="AZ1847" s="1"/>
      <c r="BA1847" s="1"/>
      <c r="BB1847" s="1"/>
      <c r="BC1847" s="1"/>
      <c r="BD1847" s="1"/>
      <c r="BE1847" s="1"/>
      <c r="BF1847" s="1"/>
      <c r="BG1847" s="1"/>
      <c r="BH1847" s="1"/>
      <c r="BI1847" s="1"/>
      <c r="BJ1847" s="1"/>
      <c r="BK1847" s="1"/>
      <c r="BL1847" s="1"/>
      <c r="BM1847" s="1"/>
      <c r="BN1847" s="1"/>
      <c r="BO1847" s="1"/>
      <c r="BP1847" s="1" t="str">
        <f>HYPERLINK("https://nconnect.nicmar.ac.in/storage/profile/6a7f2e8348ded.png","Download")</f>
        <v>0</v>
      </c>
      <c r="BQ1847" s="3"/>
      <c r="BR1847" s="3"/>
    </row>
    <row r="1848" spans="1:70">
      <c r="A1848" s="1" t="s">
        <v>17142</v>
      </c>
      <c r="B1848" s="1" t="s">
        <v>13846</v>
      </c>
      <c r="C1848" s="1" t="s">
        <v>20958</v>
      </c>
      <c r="D1848" s="1"/>
      <c r="E1848" s="1"/>
      <c r="F1848" s="1"/>
      <c r="G1848" s="1"/>
      <c r="H1848" s="1" t="s">
        <v>20959</v>
      </c>
      <c r="I1848" s="1" t="s">
        <v>20959</v>
      </c>
      <c r="J1848" s="1"/>
      <c r="K1848" s="1"/>
      <c r="L1848" s="1"/>
      <c r="M1848" s="1"/>
      <c r="N1848" s="1"/>
      <c r="O1848" s="1"/>
      <c r="P1848" s="1"/>
      <c r="Q1848" s="1"/>
      <c r="R1848" s="1"/>
      <c r="S1848" s="1"/>
      <c r="T1848" s="1"/>
      <c r="U1848" s="1"/>
      <c r="V1848" s="1"/>
      <c r="W1848" s="1"/>
      <c r="X1848" s="1"/>
      <c r="Y1848" s="1"/>
      <c r="Z1848" s="1"/>
      <c r="AA1848" s="1"/>
      <c r="AB1848" s="1"/>
      <c r="AC1848" s="1"/>
      <c r="AD1848" s="1" t="s">
        <v>93</v>
      </c>
      <c r="AE1848" s="1" t="s">
        <v>93</v>
      </c>
      <c r="AF1848" s="1"/>
      <c r="AG1848" s="1"/>
      <c r="AH1848" s="1"/>
      <c r="AI1848" s="1"/>
      <c r="AJ1848" s="1"/>
      <c r="AK1848" s="1"/>
      <c r="AL1848" s="1"/>
      <c r="AM1848" s="1"/>
      <c r="AN1848" s="1"/>
      <c r="AO1848" s="1"/>
      <c r="AP1848" s="1"/>
      <c r="AQ1848" s="1"/>
      <c r="AR1848" s="1"/>
      <c r="AS1848" s="1"/>
      <c r="AT1848" s="1"/>
      <c r="AU1848" s="1"/>
      <c r="AV1848" s="1"/>
      <c r="AW1848" s="1"/>
      <c r="AX1848" s="1"/>
      <c r="AY1848" s="1"/>
      <c r="AZ1848" s="1"/>
      <c r="BA1848" s="1"/>
      <c r="BB1848" s="1"/>
      <c r="BC1848" s="1"/>
      <c r="BD1848" s="1"/>
      <c r="BE1848" s="1"/>
      <c r="BF1848" s="1"/>
      <c r="BG1848" s="1"/>
      <c r="BH1848" s="1"/>
      <c r="BI1848" s="1"/>
      <c r="BJ1848" s="1"/>
      <c r="BK1848" s="1"/>
      <c r="BL1848" s="1"/>
      <c r="BM1848" s="1"/>
      <c r="BN1848" s="1"/>
      <c r="BO1848" s="1"/>
      <c r="BP1848" s="1" t="s">
        <v>9609</v>
      </c>
      <c r="BQ1848" s="3"/>
      <c r="BR1848" s="3"/>
    </row>
    <row r="1849" spans="1:70">
      <c r="A1849" s="1" t="s">
        <v>17142</v>
      </c>
      <c r="B1849" s="1" t="s">
        <v>13846</v>
      </c>
      <c r="C1849" s="1" t="s">
        <v>20960</v>
      </c>
      <c r="D1849" s="1"/>
      <c r="E1849" s="1"/>
      <c r="F1849" s="1"/>
      <c r="G1849" s="1"/>
      <c r="H1849" s="1" t="s">
        <v>20961</v>
      </c>
      <c r="I1849" s="1" t="s">
        <v>20961</v>
      </c>
      <c r="J1849" s="1"/>
      <c r="K1849" s="1"/>
      <c r="L1849" s="1"/>
      <c r="M1849" s="1"/>
      <c r="N1849" s="1"/>
      <c r="O1849" s="1"/>
      <c r="P1849" s="1"/>
      <c r="Q1849" s="1"/>
      <c r="R1849" s="1"/>
      <c r="S1849" s="1"/>
      <c r="T1849" s="1"/>
      <c r="U1849" s="1"/>
      <c r="V1849" s="1"/>
      <c r="W1849" s="1"/>
      <c r="X1849" s="1"/>
      <c r="Y1849" s="1"/>
      <c r="Z1849" s="1"/>
      <c r="AA1849" s="1"/>
      <c r="AB1849" s="1"/>
      <c r="AC1849" s="1"/>
      <c r="AD1849" s="1" t="s">
        <v>93</v>
      </c>
      <c r="AE1849" s="1" t="s">
        <v>93</v>
      </c>
      <c r="AF1849" s="1"/>
      <c r="AG1849" s="1"/>
      <c r="AH1849" s="1"/>
      <c r="AI1849" s="1"/>
      <c r="AJ1849" s="1"/>
      <c r="AK1849" s="1"/>
      <c r="AL1849" s="1"/>
      <c r="AM1849" s="1"/>
      <c r="AN1849" s="1"/>
      <c r="AO1849" s="1"/>
      <c r="AP1849" s="1"/>
      <c r="AQ1849" s="1"/>
      <c r="AR1849" s="1"/>
      <c r="AS1849" s="1"/>
      <c r="AT1849" s="1"/>
      <c r="AU1849" s="1"/>
      <c r="AV1849" s="1"/>
      <c r="AW1849" s="1"/>
      <c r="AX1849" s="1"/>
      <c r="AY1849" s="1"/>
      <c r="AZ1849" s="1"/>
      <c r="BA1849" s="1"/>
      <c r="BB1849" s="1"/>
      <c r="BC1849" s="1"/>
      <c r="BD1849" s="1"/>
      <c r="BE1849" s="1"/>
      <c r="BF1849" s="1"/>
      <c r="BG1849" s="1"/>
      <c r="BH1849" s="1"/>
      <c r="BI1849" s="1"/>
      <c r="BJ1849" s="1"/>
      <c r="BK1849" s="1"/>
      <c r="BL1849" s="1"/>
      <c r="BM1849" s="1"/>
      <c r="BN1849" s="1"/>
      <c r="BO1849" s="1"/>
      <c r="BP1849" s="1" t="s">
        <v>9609</v>
      </c>
      <c r="BQ1849" s="3"/>
      <c r="BR1849" s="3"/>
    </row>
    <row r="1850" spans="1:70">
      <c r="A1850" s="1" t="s">
        <v>17142</v>
      </c>
      <c r="B1850" s="1" t="s">
        <v>13846</v>
      </c>
      <c r="C1850" s="1" t="s">
        <v>20962</v>
      </c>
      <c r="D1850" s="1"/>
      <c r="E1850" s="1"/>
      <c r="F1850" s="1"/>
      <c r="G1850" s="1"/>
      <c r="H1850" s="1" t="s">
        <v>20963</v>
      </c>
      <c r="I1850" s="1" t="s">
        <v>20963</v>
      </c>
      <c r="J1850" s="1"/>
      <c r="K1850" s="1"/>
      <c r="L1850" s="1"/>
      <c r="M1850" s="1"/>
      <c r="N1850" s="1"/>
      <c r="O1850" s="1"/>
      <c r="P1850" s="1"/>
      <c r="Q1850" s="1"/>
      <c r="R1850" s="1"/>
      <c r="S1850" s="1"/>
      <c r="T1850" s="1"/>
      <c r="U1850" s="1"/>
      <c r="V1850" s="1"/>
      <c r="W1850" s="1"/>
      <c r="X1850" s="1"/>
      <c r="Y1850" s="1"/>
      <c r="Z1850" s="1"/>
      <c r="AA1850" s="1"/>
      <c r="AB1850" s="1"/>
      <c r="AC1850" s="1"/>
      <c r="AD1850" s="1" t="s">
        <v>93</v>
      </c>
      <c r="AE1850" s="1" t="s">
        <v>93</v>
      </c>
      <c r="AF1850" s="1"/>
      <c r="AG1850" s="1"/>
      <c r="AH1850" s="1"/>
      <c r="AI1850" s="1"/>
      <c r="AJ1850" s="1"/>
      <c r="AK1850" s="1"/>
      <c r="AL1850" s="1"/>
      <c r="AM1850" s="1"/>
      <c r="AN1850" s="1"/>
      <c r="AO1850" s="1"/>
      <c r="AP1850" s="1"/>
      <c r="AQ1850" s="1"/>
      <c r="AR1850" s="1"/>
      <c r="AS1850" s="1"/>
      <c r="AT1850" s="1"/>
      <c r="AU1850" s="1"/>
      <c r="AV1850" s="1"/>
      <c r="AW1850" s="1"/>
      <c r="AX1850" s="1"/>
      <c r="AY1850" s="1"/>
      <c r="AZ1850" s="1"/>
      <c r="BA1850" s="1"/>
      <c r="BB1850" s="1"/>
      <c r="BC1850" s="1"/>
      <c r="BD1850" s="1"/>
      <c r="BE1850" s="1"/>
      <c r="BF1850" s="1"/>
      <c r="BG1850" s="1"/>
      <c r="BH1850" s="1"/>
      <c r="BI1850" s="1"/>
      <c r="BJ1850" s="1"/>
      <c r="BK1850" s="1"/>
      <c r="BL1850" s="1"/>
      <c r="BM1850" s="1"/>
      <c r="BN1850" s="1"/>
      <c r="BO1850" s="1"/>
      <c r="BP1850" s="1" t="s">
        <v>9609</v>
      </c>
      <c r="BQ1850" s="3"/>
      <c r="BR1850" s="3"/>
    </row>
    <row r="1851" spans="1:70">
      <c r="A1851" s="1" t="s">
        <v>17142</v>
      </c>
      <c r="B1851" s="1" t="s">
        <v>13846</v>
      </c>
      <c r="C1851" s="1" t="s">
        <v>20964</v>
      </c>
      <c r="D1851" s="1"/>
      <c r="E1851" s="1"/>
      <c r="F1851" s="1"/>
      <c r="G1851" s="1"/>
      <c r="H1851" s="1" t="s">
        <v>20965</v>
      </c>
      <c r="I1851" s="1" t="s">
        <v>20965</v>
      </c>
      <c r="J1851" s="1"/>
      <c r="K1851" s="1"/>
      <c r="L1851" s="1"/>
      <c r="M1851" s="1"/>
      <c r="N1851" s="1"/>
      <c r="O1851" s="1"/>
      <c r="P1851" s="1"/>
      <c r="Q1851" s="1"/>
      <c r="R1851" s="1"/>
      <c r="S1851" s="1"/>
      <c r="T1851" s="1"/>
      <c r="U1851" s="1"/>
      <c r="V1851" s="1"/>
      <c r="W1851" s="1"/>
      <c r="X1851" s="1"/>
      <c r="Y1851" s="1"/>
      <c r="Z1851" s="1"/>
      <c r="AA1851" s="1"/>
      <c r="AB1851" s="1"/>
      <c r="AC1851" s="1"/>
      <c r="AD1851" s="1" t="s">
        <v>93</v>
      </c>
      <c r="AE1851" s="1" t="s">
        <v>93</v>
      </c>
      <c r="AF1851" s="1"/>
      <c r="AG1851" s="1"/>
      <c r="AH1851" s="1"/>
      <c r="AI1851" s="1"/>
      <c r="AJ1851" s="1"/>
      <c r="AK1851" s="1"/>
      <c r="AL1851" s="1"/>
      <c r="AM1851" s="1"/>
      <c r="AN1851" s="1"/>
      <c r="AO1851" s="1"/>
      <c r="AP1851" s="1"/>
      <c r="AQ1851" s="1"/>
      <c r="AR1851" s="1"/>
      <c r="AS1851" s="1"/>
      <c r="AT1851" s="1"/>
      <c r="AU1851" s="1"/>
      <c r="AV1851" s="1"/>
      <c r="AW1851" s="1"/>
      <c r="AX1851" s="1"/>
      <c r="AY1851" s="1"/>
      <c r="AZ1851" s="1"/>
      <c r="BA1851" s="1"/>
      <c r="BB1851" s="1"/>
      <c r="BC1851" s="1"/>
      <c r="BD1851" s="1"/>
      <c r="BE1851" s="1"/>
      <c r="BF1851" s="1"/>
      <c r="BG1851" s="1"/>
      <c r="BH1851" s="1"/>
      <c r="BI1851" s="1"/>
      <c r="BJ1851" s="1"/>
      <c r="BK1851" s="1"/>
      <c r="BL1851" s="1"/>
      <c r="BM1851" s="1"/>
      <c r="BN1851" s="1"/>
      <c r="BO1851" s="1"/>
      <c r="BP1851" s="1" t="s">
        <v>9609</v>
      </c>
      <c r="BQ1851" s="3"/>
      <c r="BR1851" s="3"/>
    </row>
    <row r="1852" spans="1:70">
      <c r="A1852" s="1" t="s">
        <v>17142</v>
      </c>
      <c r="B1852" s="1" t="s">
        <v>13846</v>
      </c>
      <c r="C1852" s="1" t="s">
        <v>20966</v>
      </c>
      <c r="D1852" s="1"/>
      <c r="E1852" s="1"/>
      <c r="F1852" s="1"/>
      <c r="G1852" s="1"/>
      <c r="H1852" s="1" t="s">
        <v>20967</v>
      </c>
      <c r="I1852" s="1" t="s">
        <v>20967</v>
      </c>
      <c r="J1852" s="1"/>
      <c r="K1852" s="1"/>
      <c r="L1852" s="1"/>
      <c r="M1852" s="1"/>
      <c r="N1852" s="1"/>
      <c r="O1852" s="1"/>
      <c r="P1852" s="1"/>
      <c r="Q1852" s="1"/>
      <c r="R1852" s="1"/>
      <c r="S1852" s="1"/>
      <c r="T1852" s="1"/>
      <c r="U1852" s="1"/>
      <c r="V1852" s="1"/>
      <c r="W1852" s="1"/>
      <c r="X1852" s="1"/>
      <c r="Y1852" s="1"/>
      <c r="Z1852" s="1"/>
      <c r="AA1852" s="1"/>
      <c r="AB1852" s="1"/>
      <c r="AC1852" s="1"/>
      <c r="AD1852" s="1" t="s">
        <v>93</v>
      </c>
      <c r="AE1852" s="1" t="s">
        <v>93</v>
      </c>
      <c r="AF1852" s="1"/>
      <c r="AG1852" s="1"/>
      <c r="AH1852" s="1"/>
      <c r="AI1852" s="1"/>
      <c r="AJ1852" s="1"/>
      <c r="AK1852" s="1"/>
      <c r="AL1852" s="1"/>
      <c r="AM1852" s="1"/>
      <c r="AN1852" s="1"/>
      <c r="AO1852" s="1"/>
      <c r="AP1852" s="1"/>
      <c r="AQ1852" s="1"/>
      <c r="AR1852" s="1"/>
      <c r="AS1852" s="1"/>
      <c r="AT1852" s="1"/>
      <c r="AU1852" s="1"/>
      <c r="AV1852" s="1"/>
      <c r="AW1852" s="1"/>
      <c r="AX1852" s="1"/>
      <c r="AY1852" s="1"/>
      <c r="AZ1852" s="1"/>
      <c r="BA1852" s="1"/>
      <c r="BB1852" s="1"/>
      <c r="BC1852" s="1"/>
      <c r="BD1852" s="1"/>
      <c r="BE1852" s="1"/>
      <c r="BF1852" s="1"/>
      <c r="BG1852" s="1"/>
      <c r="BH1852" s="1"/>
      <c r="BI1852" s="1"/>
      <c r="BJ1852" s="1"/>
      <c r="BK1852" s="1"/>
      <c r="BL1852" s="1"/>
      <c r="BM1852" s="1"/>
      <c r="BN1852" s="1"/>
      <c r="BO1852" s="1"/>
      <c r="BP1852" s="1" t="s">
        <v>9609</v>
      </c>
      <c r="BQ1852" s="3"/>
      <c r="BR1852" s="3"/>
    </row>
    <row r="1853" spans="1:70">
      <c r="A1853" s="1" t="s">
        <v>17142</v>
      </c>
      <c r="B1853" s="1" t="s">
        <v>13846</v>
      </c>
      <c r="C1853" s="1" t="s">
        <v>20968</v>
      </c>
      <c r="D1853" s="1"/>
      <c r="E1853" s="1"/>
      <c r="F1853" s="1"/>
      <c r="G1853" s="1"/>
      <c r="H1853" s="1" t="s">
        <v>20969</v>
      </c>
      <c r="I1853" s="1" t="s">
        <v>20969</v>
      </c>
      <c r="J1853" s="1"/>
      <c r="K1853" s="1"/>
      <c r="L1853" s="1"/>
      <c r="M1853" s="1"/>
      <c r="N1853" s="1"/>
      <c r="O1853" s="1"/>
      <c r="P1853" s="1"/>
      <c r="Q1853" s="1"/>
      <c r="R1853" s="1"/>
      <c r="S1853" s="1"/>
      <c r="T1853" s="1"/>
      <c r="U1853" s="1"/>
      <c r="V1853" s="1"/>
      <c r="W1853" s="1"/>
      <c r="X1853" s="1"/>
      <c r="Y1853" s="1"/>
      <c r="Z1853" s="1"/>
      <c r="AA1853" s="1"/>
      <c r="AB1853" s="1"/>
      <c r="AC1853" s="1"/>
      <c r="AD1853" s="1" t="s">
        <v>93</v>
      </c>
      <c r="AE1853" s="1" t="s">
        <v>93</v>
      </c>
      <c r="AF1853" s="1"/>
      <c r="AG1853" s="1"/>
      <c r="AH1853" s="1"/>
      <c r="AI1853" s="1"/>
      <c r="AJ1853" s="1"/>
      <c r="AK1853" s="1"/>
      <c r="AL1853" s="1"/>
      <c r="AM1853" s="1"/>
      <c r="AN1853" s="1"/>
      <c r="AO1853" s="1"/>
      <c r="AP1853" s="1"/>
      <c r="AQ1853" s="1"/>
      <c r="AR1853" s="1"/>
      <c r="AS1853" s="1"/>
      <c r="AT1853" s="1"/>
      <c r="AU1853" s="1"/>
      <c r="AV1853" s="1"/>
      <c r="AW1853" s="1"/>
      <c r="AX1853" s="1"/>
      <c r="AY1853" s="1"/>
      <c r="AZ1853" s="1"/>
      <c r="BA1853" s="1"/>
      <c r="BB1853" s="1"/>
      <c r="BC1853" s="1"/>
      <c r="BD1853" s="1"/>
      <c r="BE1853" s="1"/>
      <c r="BF1853" s="1"/>
      <c r="BG1853" s="1"/>
      <c r="BH1853" s="1"/>
      <c r="BI1853" s="1"/>
      <c r="BJ1853" s="1"/>
      <c r="BK1853" s="1"/>
      <c r="BL1853" s="1"/>
      <c r="BM1853" s="1"/>
      <c r="BN1853" s="1"/>
      <c r="BO1853" s="1"/>
      <c r="BP1853" s="1" t="s">
        <v>9609</v>
      </c>
      <c r="BQ1853" s="3"/>
      <c r="BR1853" s="3"/>
    </row>
    <row r="1854" spans="1:70">
      <c r="A1854" s="1" t="s">
        <v>17142</v>
      </c>
      <c r="B1854" s="1" t="s">
        <v>13846</v>
      </c>
      <c r="C1854" s="1" t="s">
        <v>20970</v>
      </c>
      <c r="D1854" s="1"/>
      <c r="E1854" s="1"/>
      <c r="F1854" s="1"/>
      <c r="G1854" s="1"/>
      <c r="H1854" s="1" t="s">
        <v>20971</v>
      </c>
      <c r="I1854" s="1" t="s">
        <v>20971</v>
      </c>
      <c r="J1854" s="1"/>
      <c r="K1854" s="1"/>
      <c r="L1854" s="1"/>
      <c r="M1854" s="1"/>
      <c r="N1854" s="1"/>
      <c r="O1854" s="1"/>
      <c r="P1854" s="1"/>
      <c r="Q1854" s="1"/>
      <c r="R1854" s="1"/>
      <c r="S1854" s="1"/>
      <c r="T1854" s="1"/>
      <c r="U1854" s="1"/>
      <c r="V1854" s="1"/>
      <c r="W1854" s="1"/>
      <c r="X1854" s="1"/>
      <c r="Y1854" s="1"/>
      <c r="Z1854" s="1"/>
      <c r="AA1854" s="1"/>
      <c r="AB1854" s="1"/>
      <c r="AC1854" s="1"/>
      <c r="AD1854" s="1" t="s">
        <v>93</v>
      </c>
      <c r="AE1854" s="1" t="s">
        <v>93</v>
      </c>
      <c r="AF1854" s="1"/>
      <c r="AG1854" s="1"/>
      <c r="AH1854" s="1"/>
      <c r="AI1854" s="1"/>
      <c r="AJ1854" s="1"/>
      <c r="AK1854" s="1"/>
      <c r="AL1854" s="1"/>
      <c r="AM1854" s="1"/>
      <c r="AN1854" s="1"/>
      <c r="AO1854" s="1"/>
      <c r="AP1854" s="1"/>
      <c r="AQ1854" s="1"/>
      <c r="AR1854" s="1"/>
      <c r="AS1854" s="1"/>
      <c r="AT1854" s="1"/>
      <c r="AU1854" s="1"/>
      <c r="AV1854" s="1"/>
      <c r="AW1854" s="1"/>
      <c r="AX1854" s="1"/>
      <c r="AY1854" s="1"/>
      <c r="AZ1854" s="1"/>
      <c r="BA1854" s="1"/>
      <c r="BB1854" s="1"/>
      <c r="BC1854" s="1"/>
      <c r="BD1854" s="1"/>
      <c r="BE1854" s="1"/>
      <c r="BF1854" s="1"/>
      <c r="BG1854" s="1"/>
      <c r="BH1854" s="1"/>
      <c r="BI1854" s="1"/>
      <c r="BJ1854" s="1"/>
      <c r="BK1854" s="1"/>
      <c r="BL1854" s="1"/>
      <c r="BM1854" s="1"/>
      <c r="BN1854" s="1"/>
      <c r="BO1854" s="1"/>
      <c r="BP1854" s="1" t="s">
        <v>9609</v>
      </c>
      <c r="BQ1854" s="3"/>
      <c r="BR1854" s="3"/>
    </row>
    <row r="1855" spans="1:70">
      <c r="A1855" s="1" t="s">
        <v>17142</v>
      </c>
      <c r="B1855" s="1" t="s">
        <v>13846</v>
      </c>
      <c r="C1855" s="1" t="s">
        <v>20972</v>
      </c>
      <c r="D1855" s="1"/>
      <c r="E1855" s="1"/>
      <c r="F1855" s="1"/>
      <c r="G1855" s="1"/>
      <c r="H1855" s="1" t="s">
        <v>20973</v>
      </c>
      <c r="I1855" s="1" t="s">
        <v>20973</v>
      </c>
      <c r="J1855" s="1"/>
      <c r="K1855" s="1"/>
      <c r="L1855" s="1"/>
      <c r="M1855" s="1"/>
      <c r="N1855" s="1"/>
      <c r="O1855" s="1"/>
      <c r="P1855" s="1"/>
      <c r="Q1855" s="1"/>
      <c r="R1855" s="1"/>
      <c r="S1855" s="1"/>
      <c r="T1855" s="1"/>
      <c r="U1855" s="1"/>
      <c r="V1855" s="1"/>
      <c r="W1855" s="1"/>
      <c r="X1855" s="1"/>
      <c r="Y1855" s="1"/>
      <c r="Z1855" s="1"/>
      <c r="AA1855" s="1"/>
      <c r="AB1855" s="1"/>
      <c r="AC1855" s="1"/>
      <c r="AD1855" s="1" t="s">
        <v>93</v>
      </c>
      <c r="AE1855" s="1" t="s">
        <v>93</v>
      </c>
      <c r="AF1855" s="1"/>
      <c r="AG1855" s="1"/>
      <c r="AH1855" s="1"/>
      <c r="AI1855" s="1"/>
      <c r="AJ1855" s="1"/>
      <c r="AK1855" s="1"/>
      <c r="AL1855" s="1"/>
      <c r="AM1855" s="1"/>
      <c r="AN1855" s="1"/>
      <c r="AO1855" s="1"/>
      <c r="AP1855" s="1"/>
      <c r="AQ1855" s="1"/>
      <c r="AR1855" s="1"/>
      <c r="AS1855" s="1"/>
      <c r="AT1855" s="1"/>
      <c r="AU1855" s="1"/>
      <c r="AV1855" s="1"/>
      <c r="AW1855" s="1"/>
      <c r="AX1855" s="1"/>
      <c r="AY1855" s="1"/>
      <c r="AZ1855" s="1"/>
      <c r="BA1855" s="1"/>
      <c r="BB1855" s="1"/>
      <c r="BC1855" s="1"/>
      <c r="BD1855" s="1"/>
      <c r="BE1855" s="1"/>
      <c r="BF1855" s="1"/>
      <c r="BG1855" s="1"/>
      <c r="BH1855" s="1"/>
      <c r="BI1855" s="1"/>
      <c r="BJ1855" s="1"/>
      <c r="BK1855" s="1"/>
      <c r="BL1855" s="1"/>
      <c r="BM1855" s="1"/>
      <c r="BN1855" s="1"/>
      <c r="BO1855" s="1"/>
      <c r="BP1855" s="1" t="s">
        <v>9609</v>
      </c>
      <c r="BQ1855" s="3"/>
      <c r="BR1855" s="3"/>
    </row>
    <row r="1856" spans="1:70">
      <c r="A1856" s="1" t="s">
        <v>17142</v>
      </c>
      <c r="B1856" s="1" t="s">
        <v>13846</v>
      </c>
      <c r="C1856" s="1" t="s">
        <v>20974</v>
      </c>
      <c r="D1856" s="1"/>
      <c r="E1856" s="1"/>
      <c r="F1856" s="1"/>
      <c r="G1856" s="1"/>
      <c r="H1856" s="1" t="s">
        <v>20975</v>
      </c>
      <c r="I1856" s="1" t="s">
        <v>20975</v>
      </c>
      <c r="J1856" s="1"/>
      <c r="K1856" s="1"/>
      <c r="L1856" s="1"/>
      <c r="M1856" s="1"/>
      <c r="N1856" s="1"/>
      <c r="O1856" s="1"/>
      <c r="P1856" s="1"/>
      <c r="Q1856" s="1"/>
      <c r="R1856" s="1"/>
      <c r="S1856" s="1"/>
      <c r="T1856" s="1"/>
      <c r="U1856" s="1"/>
      <c r="V1856" s="1"/>
      <c r="W1856" s="1"/>
      <c r="X1856" s="1"/>
      <c r="Y1856" s="1"/>
      <c r="Z1856" s="1"/>
      <c r="AA1856" s="1"/>
      <c r="AB1856" s="1"/>
      <c r="AC1856" s="1"/>
      <c r="AD1856" s="1" t="s">
        <v>93</v>
      </c>
      <c r="AE1856" s="1" t="s">
        <v>93</v>
      </c>
      <c r="AF1856" s="1"/>
      <c r="AG1856" s="1"/>
      <c r="AH1856" s="1"/>
      <c r="AI1856" s="1"/>
      <c r="AJ1856" s="1"/>
      <c r="AK1856" s="1"/>
      <c r="AL1856" s="1"/>
      <c r="AM1856" s="1"/>
      <c r="AN1856" s="1"/>
      <c r="AO1856" s="1"/>
      <c r="AP1856" s="1"/>
      <c r="AQ1856" s="1"/>
      <c r="AR1856" s="1"/>
      <c r="AS1856" s="1"/>
      <c r="AT1856" s="1"/>
      <c r="AU1856" s="1"/>
      <c r="AV1856" s="1"/>
      <c r="AW1856" s="1"/>
      <c r="AX1856" s="1"/>
      <c r="AY1856" s="1"/>
      <c r="AZ1856" s="1"/>
      <c r="BA1856" s="1"/>
      <c r="BB1856" s="1"/>
      <c r="BC1856" s="1"/>
      <c r="BD1856" s="1"/>
      <c r="BE1856" s="1"/>
      <c r="BF1856" s="1"/>
      <c r="BG1856" s="1"/>
      <c r="BH1856" s="1"/>
      <c r="BI1856" s="1"/>
      <c r="BJ1856" s="1"/>
      <c r="BK1856" s="1"/>
      <c r="BL1856" s="1"/>
      <c r="BM1856" s="1"/>
      <c r="BN1856" s="1"/>
      <c r="BO1856" s="1"/>
      <c r="BP1856" s="1" t="s">
        <v>9609</v>
      </c>
      <c r="BQ1856" s="3"/>
      <c r="BR1856" s="3"/>
    </row>
    <row r="1857" spans="1:70">
      <c r="A1857" s="1" t="s">
        <v>17142</v>
      </c>
      <c r="B1857" s="1" t="s">
        <v>13846</v>
      </c>
      <c r="C1857" s="1" t="s">
        <v>20976</v>
      </c>
      <c r="D1857" s="1"/>
      <c r="E1857" s="1"/>
      <c r="F1857" s="1"/>
      <c r="G1857" s="1"/>
      <c r="H1857" s="1" t="s">
        <v>20977</v>
      </c>
      <c r="I1857" s="1" t="s">
        <v>20977</v>
      </c>
      <c r="J1857" s="1"/>
      <c r="K1857" s="1"/>
      <c r="L1857" s="1"/>
      <c r="M1857" s="1"/>
      <c r="N1857" s="1"/>
      <c r="O1857" s="1"/>
      <c r="P1857" s="1"/>
      <c r="Q1857" s="1"/>
      <c r="R1857" s="1"/>
      <c r="S1857" s="1"/>
      <c r="T1857" s="1"/>
      <c r="U1857" s="1"/>
      <c r="V1857" s="1"/>
      <c r="W1857" s="1"/>
      <c r="X1857" s="1"/>
      <c r="Y1857" s="1"/>
      <c r="Z1857" s="1"/>
      <c r="AA1857" s="1"/>
      <c r="AB1857" s="1"/>
      <c r="AC1857" s="1"/>
      <c r="AD1857" s="1" t="s">
        <v>93</v>
      </c>
      <c r="AE1857" s="1" t="s">
        <v>93</v>
      </c>
      <c r="AF1857" s="1"/>
      <c r="AG1857" s="1"/>
      <c r="AH1857" s="1"/>
      <c r="AI1857" s="1"/>
      <c r="AJ1857" s="1"/>
      <c r="AK1857" s="1"/>
      <c r="AL1857" s="1"/>
      <c r="AM1857" s="1"/>
      <c r="AN1857" s="1"/>
      <c r="AO1857" s="1"/>
      <c r="AP1857" s="1"/>
      <c r="AQ1857" s="1"/>
      <c r="AR1857" s="1"/>
      <c r="AS1857" s="1"/>
      <c r="AT1857" s="1"/>
      <c r="AU1857" s="1"/>
      <c r="AV1857" s="1"/>
      <c r="AW1857" s="1"/>
      <c r="AX1857" s="1"/>
      <c r="AY1857" s="1"/>
      <c r="AZ1857" s="1"/>
      <c r="BA1857" s="1"/>
      <c r="BB1857" s="1"/>
      <c r="BC1857" s="1"/>
      <c r="BD1857" s="1"/>
      <c r="BE1857" s="1"/>
      <c r="BF1857" s="1"/>
      <c r="BG1857" s="1"/>
      <c r="BH1857" s="1"/>
      <c r="BI1857" s="1"/>
      <c r="BJ1857" s="1"/>
      <c r="BK1857" s="1"/>
      <c r="BL1857" s="1"/>
      <c r="BM1857" s="1"/>
      <c r="BN1857" s="1"/>
      <c r="BO1857" s="1"/>
      <c r="BP1857" s="1" t="s">
        <v>9609</v>
      </c>
      <c r="BQ1857" s="3"/>
      <c r="BR1857" s="3"/>
    </row>
    <row r="1858" spans="1:70">
      <c r="A1858" s="1" t="s">
        <v>17142</v>
      </c>
      <c r="B1858" s="1" t="s">
        <v>13846</v>
      </c>
      <c r="C1858" s="1" t="s">
        <v>20978</v>
      </c>
      <c r="D1858" s="1"/>
      <c r="E1858" s="1"/>
      <c r="F1858" s="1"/>
      <c r="G1858" s="1"/>
      <c r="H1858" s="1" t="s">
        <v>20979</v>
      </c>
      <c r="I1858" s="1" t="s">
        <v>20979</v>
      </c>
      <c r="J1858" s="1"/>
      <c r="K1858" s="1"/>
      <c r="L1858" s="1"/>
      <c r="M1858" s="1"/>
      <c r="N1858" s="1"/>
      <c r="O1858" s="1"/>
      <c r="P1858" s="1"/>
      <c r="Q1858" s="1"/>
      <c r="R1858" s="1"/>
      <c r="S1858" s="1"/>
      <c r="T1858" s="1"/>
      <c r="U1858" s="1"/>
      <c r="V1858" s="1"/>
      <c r="W1858" s="1"/>
      <c r="X1858" s="1"/>
      <c r="Y1858" s="1"/>
      <c r="Z1858" s="1"/>
      <c r="AA1858" s="1"/>
      <c r="AB1858" s="1"/>
      <c r="AC1858" s="1"/>
      <c r="AD1858" s="1" t="s">
        <v>93</v>
      </c>
      <c r="AE1858" s="1" t="s">
        <v>93</v>
      </c>
      <c r="AF1858" s="1"/>
      <c r="AG1858" s="1"/>
      <c r="AH1858" s="1"/>
      <c r="AI1858" s="1"/>
      <c r="AJ1858" s="1"/>
      <c r="AK1858" s="1"/>
      <c r="AL1858" s="1"/>
      <c r="AM1858" s="1"/>
      <c r="AN1858" s="1"/>
      <c r="AO1858" s="1"/>
      <c r="AP1858" s="1"/>
      <c r="AQ1858" s="1"/>
      <c r="AR1858" s="1"/>
      <c r="AS1858" s="1"/>
      <c r="AT1858" s="1"/>
      <c r="AU1858" s="1"/>
      <c r="AV1858" s="1"/>
      <c r="AW1858" s="1"/>
      <c r="AX1858" s="1"/>
      <c r="AY1858" s="1"/>
      <c r="AZ1858" s="1"/>
      <c r="BA1858" s="1"/>
      <c r="BB1858" s="1"/>
      <c r="BC1858" s="1"/>
      <c r="BD1858" s="1"/>
      <c r="BE1858" s="1"/>
      <c r="BF1858" s="1"/>
      <c r="BG1858" s="1"/>
      <c r="BH1858" s="1"/>
      <c r="BI1858" s="1"/>
      <c r="BJ1858" s="1"/>
      <c r="BK1858" s="1"/>
      <c r="BL1858" s="1"/>
      <c r="BM1858" s="1"/>
      <c r="BN1858" s="1"/>
      <c r="BO1858" s="1"/>
      <c r="BP1858" s="1" t="s">
        <v>9609</v>
      </c>
      <c r="BQ1858" s="3"/>
      <c r="BR1858" s="3"/>
    </row>
    <row r="1859" spans="1:70">
      <c r="A1859" s="1" t="s">
        <v>17142</v>
      </c>
      <c r="B1859" s="1" t="s">
        <v>13846</v>
      </c>
      <c r="C1859" s="1" t="s">
        <v>20980</v>
      </c>
      <c r="D1859" s="1"/>
      <c r="E1859" s="1"/>
      <c r="F1859" s="1"/>
      <c r="G1859" s="1"/>
      <c r="H1859" s="1" t="s">
        <v>20981</v>
      </c>
      <c r="I1859" s="1" t="s">
        <v>20981</v>
      </c>
      <c r="J1859" s="1"/>
      <c r="K1859" s="1"/>
      <c r="L1859" s="1"/>
      <c r="M1859" s="1"/>
      <c r="N1859" s="1"/>
      <c r="O1859" s="1"/>
      <c r="P1859" s="1"/>
      <c r="Q1859" s="1"/>
      <c r="R1859" s="1"/>
      <c r="S1859" s="1"/>
      <c r="T1859" s="1"/>
      <c r="U1859" s="1"/>
      <c r="V1859" s="1"/>
      <c r="W1859" s="1"/>
      <c r="X1859" s="1"/>
      <c r="Y1859" s="1"/>
      <c r="Z1859" s="1"/>
      <c r="AA1859" s="1"/>
      <c r="AB1859" s="1"/>
      <c r="AC1859" s="1"/>
      <c r="AD1859" s="1" t="s">
        <v>93</v>
      </c>
      <c r="AE1859" s="1" t="s">
        <v>93</v>
      </c>
      <c r="AF1859" s="1"/>
      <c r="AG1859" s="1"/>
      <c r="AH1859" s="1"/>
      <c r="AI1859" s="1"/>
      <c r="AJ1859" s="1"/>
      <c r="AK1859" s="1"/>
      <c r="AL1859" s="1"/>
      <c r="AM1859" s="1"/>
      <c r="AN1859" s="1"/>
      <c r="AO1859" s="1"/>
      <c r="AP1859" s="1"/>
      <c r="AQ1859" s="1"/>
      <c r="AR1859" s="1"/>
      <c r="AS1859" s="1"/>
      <c r="AT1859" s="1"/>
      <c r="AU1859" s="1"/>
      <c r="AV1859" s="1"/>
      <c r="AW1859" s="1"/>
      <c r="AX1859" s="1"/>
      <c r="AY1859" s="1"/>
      <c r="AZ1859" s="1"/>
      <c r="BA1859" s="1"/>
      <c r="BB1859" s="1"/>
      <c r="BC1859" s="1"/>
      <c r="BD1859" s="1"/>
      <c r="BE1859" s="1"/>
      <c r="BF1859" s="1"/>
      <c r="BG1859" s="1"/>
      <c r="BH1859" s="1"/>
      <c r="BI1859" s="1"/>
      <c r="BJ1859" s="1"/>
      <c r="BK1859" s="1"/>
      <c r="BL1859" s="1"/>
      <c r="BM1859" s="1"/>
      <c r="BN1859" s="1"/>
      <c r="BO1859" s="1"/>
      <c r="BP1859" s="1" t="s">
        <v>9609</v>
      </c>
      <c r="BQ1859" s="3"/>
      <c r="BR1859" s="3"/>
    </row>
    <row r="1860" spans="1:70">
      <c r="A1860" s="1" t="s">
        <v>17142</v>
      </c>
      <c r="B1860" s="1" t="s">
        <v>13846</v>
      </c>
      <c r="C1860" s="1" t="s">
        <v>20982</v>
      </c>
      <c r="D1860" s="1"/>
      <c r="E1860" s="1"/>
      <c r="F1860" s="1"/>
      <c r="G1860" s="1"/>
      <c r="H1860" s="1" t="s">
        <v>20983</v>
      </c>
      <c r="I1860" s="1" t="s">
        <v>20983</v>
      </c>
      <c r="J1860" s="1"/>
      <c r="K1860" s="1"/>
      <c r="L1860" s="1"/>
      <c r="M1860" s="1"/>
      <c r="N1860" s="1"/>
      <c r="O1860" s="1"/>
      <c r="P1860" s="1"/>
      <c r="Q1860" s="1"/>
      <c r="R1860" s="1"/>
      <c r="S1860" s="1"/>
      <c r="T1860" s="1"/>
      <c r="U1860" s="1"/>
      <c r="V1860" s="1"/>
      <c r="W1860" s="1"/>
      <c r="X1860" s="1"/>
      <c r="Y1860" s="1"/>
      <c r="Z1860" s="1"/>
      <c r="AA1860" s="1"/>
      <c r="AB1860" s="1"/>
      <c r="AC1860" s="1"/>
      <c r="AD1860" s="1" t="s">
        <v>93</v>
      </c>
      <c r="AE1860" s="1" t="s">
        <v>93</v>
      </c>
      <c r="AF1860" s="1"/>
      <c r="AG1860" s="1"/>
      <c r="AH1860" s="1"/>
      <c r="AI1860" s="1"/>
      <c r="AJ1860" s="1"/>
      <c r="AK1860" s="1"/>
      <c r="AL1860" s="1"/>
      <c r="AM1860" s="1"/>
      <c r="AN1860" s="1"/>
      <c r="AO1860" s="1"/>
      <c r="AP1860" s="1"/>
      <c r="AQ1860" s="1"/>
      <c r="AR1860" s="1"/>
      <c r="AS1860" s="1"/>
      <c r="AT1860" s="1"/>
      <c r="AU1860" s="1"/>
      <c r="AV1860" s="1"/>
      <c r="AW1860" s="1"/>
      <c r="AX1860" s="1"/>
      <c r="AY1860" s="1"/>
      <c r="AZ1860" s="1"/>
      <c r="BA1860" s="1"/>
      <c r="BB1860" s="1"/>
      <c r="BC1860" s="1"/>
      <c r="BD1860" s="1"/>
      <c r="BE1860" s="1"/>
      <c r="BF1860" s="1"/>
      <c r="BG1860" s="1"/>
      <c r="BH1860" s="1"/>
      <c r="BI1860" s="1"/>
      <c r="BJ1860" s="1"/>
      <c r="BK1860" s="1"/>
      <c r="BL1860" s="1"/>
      <c r="BM1860" s="1"/>
      <c r="BN1860" s="1"/>
      <c r="BO1860" s="1"/>
      <c r="BP1860" s="1" t="s">
        <v>9609</v>
      </c>
      <c r="BQ1860" s="3"/>
      <c r="BR1860" s="3"/>
    </row>
    <row r="1861" spans="1:70">
      <c r="A1861" s="1" t="s">
        <v>17142</v>
      </c>
      <c r="B1861" s="1" t="s">
        <v>13846</v>
      </c>
      <c r="C1861" s="1" t="s">
        <v>20984</v>
      </c>
      <c r="D1861" s="1"/>
      <c r="E1861" s="1"/>
      <c r="F1861" s="1"/>
      <c r="G1861" s="1"/>
      <c r="H1861" s="1" t="s">
        <v>20985</v>
      </c>
      <c r="I1861" s="1" t="s">
        <v>20985</v>
      </c>
      <c r="J1861" s="1"/>
      <c r="K1861" s="1"/>
      <c r="L1861" s="1"/>
      <c r="M1861" s="1"/>
      <c r="N1861" s="1"/>
      <c r="O1861" s="1"/>
      <c r="P1861" s="1"/>
      <c r="Q1861" s="1"/>
      <c r="R1861" s="1"/>
      <c r="S1861" s="1"/>
      <c r="T1861" s="1"/>
      <c r="U1861" s="1"/>
      <c r="V1861" s="1"/>
      <c r="W1861" s="1"/>
      <c r="X1861" s="1"/>
      <c r="Y1861" s="1"/>
      <c r="Z1861" s="1"/>
      <c r="AA1861" s="1"/>
      <c r="AB1861" s="1"/>
      <c r="AC1861" s="1"/>
      <c r="AD1861" s="1" t="s">
        <v>93</v>
      </c>
      <c r="AE1861" s="1" t="s">
        <v>93</v>
      </c>
      <c r="AF1861" s="1"/>
      <c r="AG1861" s="1"/>
      <c r="AH1861" s="1"/>
      <c r="AI1861" s="1"/>
      <c r="AJ1861" s="1"/>
      <c r="AK1861" s="1"/>
      <c r="AL1861" s="1"/>
      <c r="AM1861" s="1"/>
      <c r="AN1861" s="1"/>
      <c r="AO1861" s="1"/>
      <c r="AP1861" s="1"/>
      <c r="AQ1861" s="1"/>
      <c r="AR1861" s="1"/>
      <c r="AS1861" s="1"/>
      <c r="AT1861" s="1"/>
      <c r="AU1861" s="1"/>
      <c r="AV1861" s="1"/>
      <c r="AW1861" s="1"/>
      <c r="AX1861" s="1"/>
      <c r="AY1861" s="1"/>
      <c r="AZ1861" s="1"/>
      <c r="BA1861" s="1"/>
      <c r="BB1861" s="1"/>
      <c r="BC1861" s="1"/>
      <c r="BD1861" s="1"/>
      <c r="BE1861" s="1"/>
      <c r="BF1861" s="1"/>
      <c r="BG1861" s="1"/>
      <c r="BH1861" s="1"/>
      <c r="BI1861" s="1"/>
      <c r="BJ1861" s="1"/>
      <c r="BK1861" s="1"/>
      <c r="BL1861" s="1"/>
      <c r="BM1861" s="1"/>
      <c r="BN1861" s="1"/>
      <c r="BO1861" s="1"/>
      <c r="BP1861" s="1" t="s">
        <v>9609</v>
      </c>
      <c r="BQ1861" s="3"/>
      <c r="BR1861" s="3"/>
    </row>
    <row r="1862" spans="1:70">
      <c r="A1862" s="1" t="s">
        <v>17142</v>
      </c>
      <c r="B1862" s="1" t="s">
        <v>13846</v>
      </c>
      <c r="C1862" s="1" t="s">
        <v>20986</v>
      </c>
      <c r="D1862" s="1"/>
      <c r="E1862" s="1"/>
      <c r="F1862" s="1"/>
      <c r="G1862" s="1"/>
      <c r="H1862" s="1" t="s">
        <v>20987</v>
      </c>
      <c r="I1862" s="1" t="s">
        <v>20987</v>
      </c>
      <c r="J1862" s="1"/>
      <c r="K1862" s="1"/>
      <c r="L1862" s="1"/>
      <c r="M1862" s="1"/>
      <c r="N1862" s="1"/>
      <c r="O1862" s="1"/>
      <c r="P1862" s="1"/>
      <c r="Q1862" s="1"/>
      <c r="R1862" s="1"/>
      <c r="S1862" s="1"/>
      <c r="T1862" s="1"/>
      <c r="U1862" s="1"/>
      <c r="V1862" s="1"/>
      <c r="W1862" s="1"/>
      <c r="X1862" s="1"/>
      <c r="Y1862" s="1"/>
      <c r="Z1862" s="1"/>
      <c r="AA1862" s="1"/>
      <c r="AB1862" s="1"/>
      <c r="AC1862" s="1"/>
      <c r="AD1862" s="1" t="s">
        <v>93</v>
      </c>
      <c r="AE1862" s="1" t="s">
        <v>93</v>
      </c>
      <c r="AF1862" s="1"/>
      <c r="AG1862" s="1"/>
      <c r="AH1862" s="1"/>
      <c r="AI1862" s="1"/>
      <c r="AJ1862" s="1"/>
      <c r="AK1862" s="1"/>
      <c r="AL1862" s="1"/>
      <c r="AM1862" s="1"/>
      <c r="AN1862" s="1"/>
      <c r="AO1862" s="1"/>
      <c r="AP1862" s="1"/>
      <c r="AQ1862" s="1"/>
      <c r="AR1862" s="1"/>
      <c r="AS1862" s="1"/>
      <c r="AT1862" s="1"/>
      <c r="AU1862" s="1"/>
      <c r="AV1862" s="1"/>
      <c r="AW1862" s="1"/>
      <c r="AX1862" s="1"/>
      <c r="AY1862" s="1"/>
      <c r="AZ1862" s="1"/>
      <c r="BA1862" s="1"/>
      <c r="BB1862" s="1"/>
      <c r="BC1862" s="1"/>
      <c r="BD1862" s="1"/>
      <c r="BE1862" s="1"/>
      <c r="BF1862" s="1"/>
      <c r="BG1862" s="1"/>
      <c r="BH1862" s="1"/>
      <c r="BI1862" s="1"/>
      <c r="BJ1862" s="1"/>
      <c r="BK1862" s="1"/>
      <c r="BL1862" s="1"/>
      <c r="BM1862" s="1"/>
      <c r="BN1862" s="1"/>
      <c r="BO1862" s="1"/>
      <c r="BP1862" s="1" t="s">
        <v>9609</v>
      </c>
      <c r="BQ1862" s="3"/>
      <c r="BR1862" s="3"/>
    </row>
    <row r="1863" spans="1:70">
      <c r="A1863" s="1" t="s">
        <v>17142</v>
      </c>
      <c r="B1863" s="1" t="s">
        <v>13846</v>
      </c>
      <c r="C1863" s="1" t="s">
        <v>20988</v>
      </c>
      <c r="D1863" s="1"/>
      <c r="E1863" s="1"/>
      <c r="F1863" s="1"/>
      <c r="G1863" s="1"/>
      <c r="H1863" s="1" t="s">
        <v>20989</v>
      </c>
      <c r="I1863" s="1" t="s">
        <v>20989</v>
      </c>
      <c r="J1863" s="1"/>
      <c r="K1863" s="1"/>
      <c r="L1863" s="1"/>
      <c r="M1863" s="1"/>
      <c r="N1863" s="1"/>
      <c r="O1863" s="1"/>
      <c r="P1863" s="1"/>
      <c r="Q1863" s="1"/>
      <c r="R1863" s="1"/>
      <c r="S1863" s="1"/>
      <c r="T1863" s="1"/>
      <c r="U1863" s="1"/>
      <c r="V1863" s="1"/>
      <c r="W1863" s="1"/>
      <c r="X1863" s="1"/>
      <c r="Y1863" s="1"/>
      <c r="Z1863" s="1"/>
      <c r="AA1863" s="1"/>
      <c r="AB1863" s="1"/>
      <c r="AC1863" s="1"/>
      <c r="AD1863" s="1" t="s">
        <v>93</v>
      </c>
      <c r="AE1863" s="1" t="s">
        <v>93</v>
      </c>
      <c r="AF1863" s="1"/>
      <c r="AG1863" s="1"/>
      <c r="AH1863" s="1"/>
      <c r="AI1863" s="1"/>
      <c r="AJ1863" s="1"/>
      <c r="AK1863" s="1"/>
      <c r="AL1863" s="1"/>
      <c r="AM1863" s="1"/>
      <c r="AN1863" s="1"/>
      <c r="AO1863" s="1"/>
      <c r="AP1863" s="1"/>
      <c r="AQ1863" s="1"/>
      <c r="AR1863" s="1"/>
      <c r="AS1863" s="1"/>
      <c r="AT1863" s="1"/>
      <c r="AU1863" s="1"/>
      <c r="AV1863" s="1"/>
      <c r="AW1863" s="1"/>
      <c r="AX1863" s="1"/>
      <c r="AY1863" s="1"/>
      <c r="AZ1863" s="1"/>
      <c r="BA1863" s="1"/>
      <c r="BB1863" s="1"/>
      <c r="BC1863" s="1"/>
      <c r="BD1863" s="1"/>
      <c r="BE1863" s="1"/>
      <c r="BF1863" s="1"/>
      <c r="BG1863" s="1"/>
      <c r="BH1863" s="1"/>
      <c r="BI1863" s="1"/>
      <c r="BJ1863" s="1"/>
      <c r="BK1863" s="1"/>
      <c r="BL1863" s="1"/>
      <c r="BM1863" s="1"/>
      <c r="BN1863" s="1"/>
      <c r="BO1863" s="1"/>
      <c r="BP1863" s="1" t="s">
        <v>9609</v>
      </c>
      <c r="BQ1863" s="3"/>
      <c r="BR1863" s="3"/>
    </row>
    <row r="1864" spans="1:70">
      <c r="A1864" s="1" t="s">
        <v>14387</v>
      </c>
      <c r="B1864" s="1" t="s">
        <v>13846</v>
      </c>
      <c r="C1864" s="1" t="s">
        <v>20990</v>
      </c>
      <c r="D1864" s="1"/>
      <c r="E1864" s="1"/>
      <c r="F1864" s="1"/>
      <c r="G1864" s="1"/>
      <c r="H1864" s="1" t="s">
        <v>20991</v>
      </c>
      <c r="I1864" s="1" t="s">
        <v>20991</v>
      </c>
      <c r="J1864" s="1"/>
      <c r="K1864" s="1"/>
      <c r="L1864" s="1"/>
      <c r="M1864" s="1"/>
      <c r="N1864" s="1"/>
      <c r="O1864" s="1"/>
      <c r="P1864" s="1"/>
      <c r="Q1864" s="1"/>
      <c r="R1864" s="1"/>
      <c r="S1864" s="1"/>
      <c r="T1864" s="1"/>
      <c r="U1864" s="1"/>
      <c r="V1864" s="1"/>
      <c r="W1864" s="1"/>
      <c r="X1864" s="1"/>
      <c r="Y1864" s="1"/>
      <c r="Z1864" s="1"/>
      <c r="AA1864" s="1"/>
      <c r="AB1864" s="1"/>
      <c r="AC1864" s="1"/>
      <c r="AD1864" s="1" t="s">
        <v>93</v>
      </c>
      <c r="AE1864" s="1" t="s">
        <v>93</v>
      </c>
      <c r="AF1864" s="1"/>
      <c r="AG1864" s="1"/>
      <c r="AH1864" s="1"/>
      <c r="AI1864" s="1"/>
      <c r="AJ1864" s="1"/>
      <c r="AK1864" s="1"/>
      <c r="AL1864" s="1"/>
      <c r="AM1864" s="1"/>
      <c r="AN1864" s="1"/>
      <c r="AO1864" s="1"/>
      <c r="AP1864" s="1"/>
      <c r="AQ1864" s="1"/>
      <c r="AR1864" s="1"/>
      <c r="AS1864" s="1"/>
      <c r="AT1864" s="1"/>
      <c r="AU1864" s="1"/>
      <c r="AV1864" s="1"/>
      <c r="AW1864" s="1"/>
      <c r="AX1864" s="1"/>
      <c r="AY1864" s="1"/>
      <c r="AZ1864" s="1"/>
      <c r="BA1864" s="1"/>
      <c r="BB1864" s="1"/>
      <c r="BC1864" s="1"/>
      <c r="BD1864" s="1"/>
      <c r="BE1864" s="1"/>
      <c r="BF1864" s="1"/>
      <c r="BG1864" s="1"/>
      <c r="BH1864" s="1"/>
      <c r="BI1864" s="1"/>
      <c r="BJ1864" s="1"/>
      <c r="BK1864" s="1"/>
      <c r="BL1864" s="1"/>
      <c r="BM1864" s="1"/>
      <c r="BN1864" s="1"/>
      <c r="BO1864" s="1"/>
      <c r="BP1864" s="1" t="s">
        <v>9609</v>
      </c>
      <c r="BQ1864" s="3"/>
      <c r="BR1864" s="3"/>
    </row>
    <row r="1865" spans="1:70">
      <c r="A1865" s="1" t="s">
        <v>14387</v>
      </c>
      <c r="B1865" s="1" t="s">
        <v>13846</v>
      </c>
      <c r="C1865" s="1" t="s">
        <v>20992</v>
      </c>
      <c r="D1865" s="1"/>
      <c r="E1865" s="1"/>
      <c r="F1865" s="1"/>
      <c r="G1865" s="1"/>
      <c r="H1865" s="1" t="s">
        <v>20993</v>
      </c>
      <c r="I1865" s="1" t="s">
        <v>20993</v>
      </c>
      <c r="J1865" s="1"/>
      <c r="K1865" s="1"/>
      <c r="L1865" s="1"/>
      <c r="M1865" s="1"/>
      <c r="N1865" s="1"/>
      <c r="O1865" s="1"/>
      <c r="P1865" s="1"/>
      <c r="Q1865" s="1"/>
      <c r="R1865" s="1"/>
      <c r="S1865" s="1"/>
      <c r="T1865" s="1"/>
      <c r="U1865" s="1"/>
      <c r="V1865" s="1"/>
      <c r="W1865" s="1"/>
      <c r="X1865" s="1"/>
      <c r="Y1865" s="1"/>
      <c r="Z1865" s="1"/>
      <c r="AA1865" s="1"/>
      <c r="AB1865" s="1"/>
      <c r="AC1865" s="1"/>
      <c r="AD1865" s="1" t="s">
        <v>93</v>
      </c>
      <c r="AE1865" s="1" t="s">
        <v>93</v>
      </c>
      <c r="AF1865" s="1"/>
      <c r="AG1865" s="1"/>
      <c r="AH1865" s="1"/>
      <c r="AI1865" s="1"/>
      <c r="AJ1865" s="1"/>
      <c r="AK1865" s="1"/>
      <c r="AL1865" s="1"/>
      <c r="AM1865" s="1"/>
      <c r="AN1865" s="1"/>
      <c r="AO1865" s="1"/>
      <c r="AP1865" s="1"/>
      <c r="AQ1865" s="1"/>
      <c r="AR1865" s="1"/>
      <c r="AS1865" s="1"/>
      <c r="AT1865" s="1"/>
      <c r="AU1865" s="1"/>
      <c r="AV1865" s="1"/>
      <c r="AW1865" s="1"/>
      <c r="AX1865" s="1"/>
      <c r="AY1865" s="1"/>
      <c r="AZ1865" s="1"/>
      <c r="BA1865" s="1"/>
      <c r="BB1865" s="1"/>
      <c r="BC1865" s="1"/>
      <c r="BD1865" s="1"/>
      <c r="BE1865" s="1"/>
      <c r="BF1865" s="1"/>
      <c r="BG1865" s="1"/>
      <c r="BH1865" s="1"/>
      <c r="BI1865" s="1"/>
      <c r="BJ1865" s="1"/>
      <c r="BK1865" s="1"/>
      <c r="BL1865" s="1"/>
      <c r="BM1865" s="1"/>
      <c r="BN1865" s="1"/>
      <c r="BO1865" s="1"/>
      <c r="BP1865" s="1" t="s">
        <v>9609</v>
      </c>
      <c r="BQ1865" s="3"/>
      <c r="BR1865" s="3"/>
    </row>
    <row r="1866" spans="1:70">
      <c r="A1866" s="1" t="s">
        <v>14387</v>
      </c>
      <c r="B1866" s="1" t="s">
        <v>13846</v>
      </c>
      <c r="C1866" s="1" t="s">
        <v>20994</v>
      </c>
      <c r="D1866" s="1"/>
      <c r="E1866" s="1"/>
      <c r="F1866" s="1"/>
      <c r="G1866" s="1"/>
      <c r="H1866" s="1" t="s">
        <v>20995</v>
      </c>
      <c r="I1866" s="1" t="s">
        <v>20995</v>
      </c>
      <c r="J1866" s="1"/>
      <c r="K1866" s="1"/>
      <c r="L1866" s="1"/>
      <c r="M1866" s="1"/>
      <c r="N1866" s="1"/>
      <c r="O1866" s="1"/>
      <c r="P1866" s="1"/>
      <c r="Q1866" s="1"/>
      <c r="R1866" s="1"/>
      <c r="S1866" s="1"/>
      <c r="T1866" s="1"/>
      <c r="U1866" s="1"/>
      <c r="V1866" s="1"/>
      <c r="W1866" s="1"/>
      <c r="X1866" s="1"/>
      <c r="Y1866" s="1"/>
      <c r="Z1866" s="1"/>
      <c r="AA1866" s="1"/>
      <c r="AB1866" s="1"/>
      <c r="AC1866" s="1"/>
      <c r="AD1866" s="1" t="s">
        <v>93</v>
      </c>
      <c r="AE1866" s="1" t="s">
        <v>93</v>
      </c>
      <c r="AF1866" s="1"/>
      <c r="AG1866" s="1"/>
      <c r="AH1866" s="1"/>
      <c r="AI1866" s="1"/>
      <c r="AJ1866" s="1"/>
      <c r="AK1866" s="1"/>
      <c r="AL1866" s="1"/>
      <c r="AM1866" s="1"/>
      <c r="AN1866" s="1"/>
      <c r="AO1866" s="1"/>
      <c r="AP1866" s="1"/>
      <c r="AQ1866" s="1"/>
      <c r="AR1866" s="1"/>
      <c r="AS1866" s="1"/>
      <c r="AT1866" s="1"/>
      <c r="AU1866" s="1"/>
      <c r="AV1866" s="1"/>
      <c r="AW1866" s="1"/>
      <c r="AX1866" s="1"/>
      <c r="AY1866" s="1"/>
      <c r="AZ1866" s="1"/>
      <c r="BA1866" s="1"/>
      <c r="BB1866" s="1"/>
      <c r="BC1866" s="1"/>
      <c r="BD1866" s="1"/>
      <c r="BE1866" s="1"/>
      <c r="BF1866" s="1"/>
      <c r="BG1866" s="1"/>
      <c r="BH1866" s="1"/>
      <c r="BI1866" s="1"/>
      <c r="BJ1866" s="1"/>
      <c r="BK1866" s="1"/>
      <c r="BL1866" s="1"/>
      <c r="BM1866" s="1"/>
      <c r="BN1866" s="1"/>
      <c r="BO1866" s="1"/>
      <c r="BP1866" s="1" t="s">
        <v>9609</v>
      </c>
      <c r="BQ1866" s="3"/>
      <c r="BR1866" s="3"/>
    </row>
    <row r="1867" spans="1:70">
      <c r="A1867" s="1" t="s">
        <v>14387</v>
      </c>
      <c r="B1867" s="1" t="s">
        <v>13846</v>
      </c>
      <c r="C1867" s="1" t="s">
        <v>20996</v>
      </c>
      <c r="D1867" s="1"/>
      <c r="E1867" s="1"/>
      <c r="F1867" s="1"/>
      <c r="G1867" s="1"/>
      <c r="H1867" s="1" t="s">
        <v>20997</v>
      </c>
      <c r="I1867" s="1" t="s">
        <v>20997</v>
      </c>
      <c r="J1867" s="1"/>
      <c r="K1867" s="1"/>
      <c r="L1867" s="1"/>
      <c r="M1867" s="1"/>
      <c r="N1867" s="1"/>
      <c r="O1867" s="1"/>
      <c r="P1867" s="1"/>
      <c r="Q1867" s="1"/>
      <c r="R1867" s="1"/>
      <c r="S1867" s="1"/>
      <c r="T1867" s="1"/>
      <c r="U1867" s="1"/>
      <c r="V1867" s="1"/>
      <c r="W1867" s="1"/>
      <c r="X1867" s="1"/>
      <c r="Y1867" s="1"/>
      <c r="Z1867" s="1"/>
      <c r="AA1867" s="1"/>
      <c r="AB1867" s="1"/>
      <c r="AC1867" s="1"/>
      <c r="AD1867" s="1" t="s">
        <v>93</v>
      </c>
      <c r="AE1867" s="1" t="s">
        <v>93</v>
      </c>
      <c r="AF1867" s="1"/>
      <c r="AG1867" s="1"/>
      <c r="AH1867" s="1"/>
      <c r="AI1867" s="1"/>
      <c r="AJ1867" s="1"/>
      <c r="AK1867" s="1"/>
      <c r="AL1867" s="1"/>
      <c r="AM1867" s="1"/>
      <c r="AN1867" s="1"/>
      <c r="AO1867" s="1"/>
      <c r="AP1867" s="1"/>
      <c r="AQ1867" s="1"/>
      <c r="AR1867" s="1"/>
      <c r="AS1867" s="1"/>
      <c r="AT1867" s="1"/>
      <c r="AU1867" s="1"/>
      <c r="AV1867" s="1"/>
      <c r="AW1867" s="1"/>
      <c r="AX1867" s="1"/>
      <c r="AY1867" s="1"/>
      <c r="AZ1867" s="1"/>
      <c r="BA1867" s="1"/>
      <c r="BB1867" s="1"/>
      <c r="BC1867" s="1"/>
      <c r="BD1867" s="1"/>
      <c r="BE1867" s="1"/>
      <c r="BF1867" s="1"/>
      <c r="BG1867" s="1"/>
      <c r="BH1867" s="1"/>
      <c r="BI1867" s="1"/>
      <c r="BJ1867" s="1"/>
      <c r="BK1867" s="1"/>
      <c r="BL1867" s="1"/>
      <c r="BM1867" s="1"/>
      <c r="BN1867" s="1"/>
      <c r="BO1867" s="1"/>
      <c r="BP1867" s="1" t="s">
        <v>9609</v>
      </c>
      <c r="BQ1867" s="3"/>
      <c r="BR1867" s="3"/>
    </row>
    <row r="1868" spans="1:70">
      <c r="A1868" s="1" t="s">
        <v>14387</v>
      </c>
      <c r="B1868" s="1" t="s">
        <v>13846</v>
      </c>
      <c r="C1868" s="1" t="s">
        <v>20998</v>
      </c>
      <c r="D1868" s="1"/>
      <c r="E1868" s="1"/>
      <c r="F1868" s="1"/>
      <c r="G1868" s="1"/>
      <c r="H1868" s="1" t="s">
        <v>20999</v>
      </c>
      <c r="I1868" s="1" t="s">
        <v>20999</v>
      </c>
      <c r="J1868" s="1"/>
      <c r="K1868" s="1"/>
      <c r="L1868" s="1"/>
      <c r="M1868" s="1"/>
      <c r="N1868" s="1"/>
      <c r="O1868" s="1"/>
      <c r="P1868" s="1"/>
      <c r="Q1868" s="1"/>
      <c r="R1868" s="1"/>
      <c r="S1868" s="1"/>
      <c r="T1868" s="1"/>
      <c r="U1868" s="1"/>
      <c r="V1868" s="1"/>
      <c r="W1868" s="1"/>
      <c r="X1868" s="1"/>
      <c r="Y1868" s="1"/>
      <c r="Z1868" s="1"/>
      <c r="AA1868" s="1"/>
      <c r="AB1868" s="1"/>
      <c r="AC1868" s="1"/>
      <c r="AD1868" s="1" t="s">
        <v>93</v>
      </c>
      <c r="AE1868" s="1" t="s">
        <v>93</v>
      </c>
      <c r="AF1868" s="1"/>
      <c r="AG1868" s="1"/>
      <c r="AH1868" s="1"/>
      <c r="AI1868" s="1"/>
      <c r="AJ1868" s="1"/>
      <c r="AK1868" s="1"/>
      <c r="AL1868" s="1"/>
      <c r="AM1868" s="1"/>
      <c r="AN1868" s="1"/>
      <c r="AO1868" s="1"/>
      <c r="AP1868" s="1"/>
      <c r="AQ1868" s="1"/>
      <c r="AR1868" s="1"/>
      <c r="AS1868" s="1"/>
      <c r="AT1868" s="1"/>
      <c r="AU1868" s="1"/>
      <c r="AV1868" s="1"/>
      <c r="AW1868" s="1"/>
      <c r="AX1868" s="1"/>
      <c r="AY1868" s="1"/>
      <c r="AZ1868" s="1"/>
      <c r="BA1868" s="1"/>
      <c r="BB1868" s="1"/>
      <c r="BC1868" s="1"/>
      <c r="BD1868" s="1"/>
      <c r="BE1868" s="1"/>
      <c r="BF1868" s="1"/>
      <c r="BG1868" s="1"/>
      <c r="BH1868" s="1"/>
      <c r="BI1868" s="1"/>
      <c r="BJ1868" s="1"/>
      <c r="BK1868" s="1"/>
      <c r="BL1868" s="1"/>
      <c r="BM1868" s="1"/>
      <c r="BN1868" s="1"/>
      <c r="BO1868" s="1"/>
      <c r="BP1868" s="1" t="s">
        <v>9609</v>
      </c>
      <c r="BQ1868" s="3"/>
      <c r="BR1868" s="3"/>
    </row>
    <row r="1869" spans="1:70">
      <c r="A1869" s="1" t="s">
        <v>14387</v>
      </c>
      <c r="B1869" s="1" t="s">
        <v>13846</v>
      </c>
      <c r="C1869" s="1" t="s">
        <v>21000</v>
      </c>
      <c r="D1869" s="1"/>
      <c r="E1869" s="1"/>
      <c r="F1869" s="1"/>
      <c r="G1869" s="1"/>
      <c r="H1869" s="1" t="s">
        <v>21001</v>
      </c>
      <c r="I1869" s="1" t="s">
        <v>21001</v>
      </c>
      <c r="J1869" s="1"/>
      <c r="K1869" s="1"/>
      <c r="L1869" s="1"/>
      <c r="M1869" s="1"/>
      <c r="N1869" s="1"/>
      <c r="O1869" s="1"/>
      <c r="P1869" s="1"/>
      <c r="Q1869" s="1"/>
      <c r="R1869" s="1"/>
      <c r="S1869" s="1"/>
      <c r="T1869" s="1"/>
      <c r="U1869" s="1"/>
      <c r="V1869" s="1"/>
      <c r="W1869" s="1"/>
      <c r="X1869" s="1"/>
      <c r="Y1869" s="1"/>
      <c r="Z1869" s="1"/>
      <c r="AA1869" s="1"/>
      <c r="AB1869" s="1"/>
      <c r="AC1869" s="1"/>
      <c r="AD1869" s="1" t="s">
        <v>93</v>
      </c>
      <c r="AE1869" s="1" t="s">
        <v>93</v>
      </c>
      <c r="AF1869" s="1"/>
      <c r="AG1869" s="1"/>
      <c r="AH1869" s="1"/>
      <c r="AI1869" s="1"/>
      <c r="AJ1869" s="1"/>
      <c r="AK1869" s="1"/>
      <c r="AL1869" s="1"/>
      <c r="AM1869" s="1"/>
      <c r="AN1869" s="1"/>
      <c r="AO1869" s="1"/>
      <c r="AP1869" s="1"/>
      <c r="AQ1869" s="1"/>
      <c r="AR1869" s="1"/>
      <c r="AS1869" s="1"/>
      <c r="AT1869" s="1"/>
      <c r="AU1869" s="1"/>
      <c r="AV1869" s="1"/>
      <c r="AW1869" s="1"/>
      <c r="AX1869" s="1"/>
      <c r="AY1869" s="1"/>
      <c r="AZ1869" s="1"/>
      <c r="BA1869" s="1"/>
      <c r="BB1869" s="1"/>
      <c r="BC1869" s="1"/>
      <c r="BD1869" s="1"/>
      <c r="BE1869" s="1"/>
      <c r="BF1869" s="1"/>
      <c r="BG1869" s="1"/>
      <c r="BH1869" s="1"/>
      <c r="BI1869" s="1"/>
      <c r="BJ1869" s="1"/>
      <c r="BK1869" s="1"/>
      <c r="BL1869" s="1"/>
      <c r="BM1869" s="1"/>
      <c r="BN1869" s="1"/>
      <c r="BO1869" s="1"/>
      <c r="BP1869" s="1" t="s">
        <v>9609</v>
      </c>
      <c r="BQ1869" s="3"/>
      <c r="BR1869" s="3"/>
    </row>
    <row r="1870" spans="1:70">
      <c r="A1870" s="1" t="s">
        <v>14387</v>
      </c>
      <c r="B1870" s="1" t="s">
        <v>13846</v>
      </c>
      <c r="C1870" s="1" t="s">
        <v>21002</v>
      </c>
      <c r="D1870" s="1"/>
      <c r="E1870" s="1"/>
      <c r="F1870" s="1"/>
      <c r="G1870" s="1"/>
      <c r="H1870" s="1" t="s">
        <v>21003</v>
      </c>
      <c r="I1870" s="1" t="s">
        <v>21003</v>
      </c>
      <c r="J1870" s="1"/>
      <c r="K1870" s="1"/>
      <c r="L1870" s="1"/>
      <c r="M1870" s="1"/>
      <c r="N1870" s="1"/>
      <c r="O1870" s="1"/>
      <c r="P1870" s="1"/>
      <c r="Q1870" s="1"/>
      <c r="R1870" s="1"/>
      <c r="S1870" s="1"/>
      <c r="T1870" s="1"/>
      <c r="U1870" s="1"/>
      <c r="V1870" s="1"/>
      <c r="W1870" s="1"/>
      <c r="X1870" s="1"/>
      <c r="Y1870" s="1"/>
      <c r="Z1870" s="1"/>
      <c r="AA1870" s="1"/>
      <c r="AB1870" s="1"/>
      <c r="AC1870" s="1"/>
      <c r="AD1870" s="1" t="s">
        <v>93</v>
      </c>
      <c r="AE1870" s="1" t="s">
        <v>93</v>
      </c>
      <c r="AF1870" s="1"/>
      <c r="AG1870" s="1"/>
      <c r="AH1870" s="1"/>
      <c r="AI1870" s="1"/>
      <c r="AJ1870" s="1"/>
      <c r="AK1870" s="1"/>
      <c r="AL1870" s="1"/>
      <c r="AM1870" s="1"/>
      <c r="AN1870" s="1"/>
      <c r="AO1870" s="1"/>
      <c r="AP1870" s="1"/>
      <c r="AQ1870" s="1"/>
      <c r="AR1870" s="1"/>
      <c r="AS1870" s="1"/>
      <c r="AT1870" s="1"/>
      <c r="AU1870" s="1"/>
      <c r="AV1870" s="1"/>
      <c r="AW1870" s="1"/>
      <c r="AX1870" s="1"/>
      <c r="AY1870" s="1"/>
      <c r="AZ1870" s="1"/>
      <c r="BA1870" s="1"/>
      <c r="BB1870" s="1"/>
      <c r="BC1870" s="1"/>
      <c r="BD1870" s="1"/>
      <c r="BE1870" s="1"/>
      <c r="BF1870" s="1"/>
      <c r="BG1870" s="1"/>
      <c r="BH1870" s="1"/>
      <c r="BI1870" s="1"/>
      <c r="BJ1870" s="1"/>
      <c r="BK1870" s="1"/>
      <c r="BL1870" s="1"/>
      <c r="BM1870" s="1"/>
      <c r="BN1870" s="1"/>
      <c r="BO1870" s="1"/>
      <c r="BP1870" s="1" t="s">
        <v>9609</v>
      </c>
      <c r="BQ1870" s="3"/>
      <c r="BR1870" s="3"/>
    </row>
    <row r="1871" spans="1:70">
      <c r="A1871" s="1" t="s">
        <v>14387</v>
      </c>
      <c r="B1871" s="1" t="s">
        <v>13846</v>
      </c>
      <c r="C1871" s="1" t="s">
        <v>21004</v>
      </c>
      <c r="D1871" s="1"/>
      <c r="E1871" s="1"/>
      <c r="F1871" s="1"/>
      <c r="G1871" s="1"/>
      <c r="H1871" s="1" t="s">
        <v>21005</v>
      </c>
      <c r="I1871" s="1" t="s">
        <v>21005</v>
      </c>
      <c r="J1871" s="1"/>
      <c r="K1871" s="1"/>
      <c r="L1871" s="1"/>
      <c r="M1871" s="1"/>
      <c r="N1871" s="1"/>
      <c r="O1871" s="1"/>
      <c r="P1871" s="1"/>
      <c r="Q1871" s="1"/>
      <c r="R1871" s="1"/>
      <c r="S1871" s="1"/>
      <c r="T1871" s="1"/>
      <c r="U1871" s="1"/>
      <c r="V1871" s="1"/>
      <c r="W1871" s="1"/>
      <c r="X1871" s="1"/>
      <c r="Y1871" s="1"/>
      <c r="Z1871" s="1"/>
      <c r="AA1871" s="1"/>
      <c r="AB1871" s="1"/>
      <c r="AC1871" s="1"/>
      <c r="AD1871" s="1" t="s">
        <v>93</v>
      </c>
      <c r="AE1871" s="1" t="s">
        <v>93</v>
      </c>
      <c r="AF1871" s="1"/>
      <c r="AG1871" s="1"/>
      <c r="AH1871" s="1"/>
      <c r="AI1871" s="1"/>
      <c r="AJ1871" s="1"/>
      <c r="AK1871" s="1"/>
      <c r="AL1871" s="1"/>
      <c r="AM1871" s="1"/>
      <c r="AN1871" s="1"/>
      <c r="AO1871" s="1"/>
      <c r="AP1871" s="1"/>
      <c r="AQ1871" s="1"/>
      <c r="AR1871" s="1"/>
      <c r="AS1871" s="1"/>
      <c r="AT1871" s="1"/>
      <c r="AU1871" s="1"/>
      <c r="AV1871" s="1"/>
      <c r="AW1871" s="1"/>
      <c r="AX1871" s="1"/>
      <c r="AY1871" s="1"/>
      <c r="AZ1871" s="1"/>
      <c r="BA1871" s="1"/>
      <c r="BB1871" s="1"/>
      <c r="BC1871" s="1"/>
      <c r="BD1871" s="1"/>
      <c r="BE1871" s="1"/>
      <c r="BF1871" s="1"/>
      <c r="BG1871" s="1"/>
      <c r="BH1871" s="1"/>
      <c r="BI1871" s="1"/>
      <c r="BJ1871" s="1"/>
      <c r="BK1871" s="1"/>
      <c r="BL1871" s="1"/>
      <c r="BM1871" s="1"/>
      <c r="BN1871" s="1"/>
      <c r="BO1871" s="1"/>
      <c r="BP1871" s="1" t="s">
        <v>9609</v>
      </c>
      <c r="BQ1871" s="3"/>
      <c r="BR1871" s="3"/>
    </row>
    <row r="1872" spans="1:70">
      <c r="A1872" s="1" t="s">
        <v>14387</v>
      </c>
      <c r="B1872" s="1" t="s">
        <v>13846</v>
      </c>
      <c r="C1872" s="1" t="s">
        <v>21006</v>
      </c>
      <c r="D1872" s="1"/>
      <c r="E1872" s="1"/>
      <c r="F1872" s="1"/>
      <c r="G1872" s="1"/>
      <c r="H1872" s="1" t="s">
        <v>21007</v>
      </c>
      <c r="I1872" s="1" t="s">
        <v>21007</v>
      </c>
      <c r="J1872" s="1"/>
      <c r="K1872" s="1"/>
      <c r="L1872" s="1"/>
      <c r="M1872" s="1"/>
      <c r="N1872" s="1"/>
      <c r="O1872" s="1"/>
      <c r="P1872" s="1"/>
      <c r="Q1872" s="1"/>
      <c r="R1872" s="1"/>
      <c r="S1872" s="1"/>
      <c r="T1872" s="1"/>
      <c r="U1872" s="1"/>
      <c r="V1872" s="1"/>
      <c r="W1872" s="1"/>
      <c r="X1872" s="1"/>
      <c r="Y1872" s="1"/>
      <c r="Z1872" s="1"/>
      <c r="AA1872" s="1"/>
      <c r="AB1872" s="1"/>
      <c r="AC1872" s="1"/>
      <c r="AD1872" s="1" t="s">
        <v>93</v>
      </c>
      <c r="AE1872" s="1" t="s">
        <v>93</v>
      </c>
      <c r="AF1872" s="1"/>
      <c r="AG1872" s="1"/>
      <c r="AH1872" s="1"/>
      <c r="AI1872" s="1"/>
      <c r="AJ1872" s="1"/>
      <c r="AK1872" s="1"/>
      <c r="AL1872" s="1"/>
      <c r="AM1872" s="1"/>
      <c r="AN1872" s="1"/>
      <c r="AO1872" s="1"/>
      <c r="AP1872" s="1"/>
      <c r="AQ1872" s="1"/>
      <c r="AR1872" s="1"/>
      <c r="AS1872" s="1"/>
      <c r="AT1872" s="1"/>
      <c r="AU1872" s="1"/>
      <c r="AV1872" s="1"/>
      <c r="AW1872" s="1"/>
      <c r="AX1872" s="1"/>
      <c r="AY1872" s="1"/>
      <c r="AZ1872" s="1"/>
      <c r="BA1872" s="1"/>
      <c r="BB1872" s="1"/>
      <c r="BC1872" s="1"/>
      <c r="BD1872" s="1"/>
      <c r="BE1872" s="1"/>
      <c r="BF1872" s="1"/>
      <c r="BG1872" s="1"/>
      <c r="BH1872" s="1"/>
      <c r="BI1872" s="1"/>
      <c r="BJ1872" s="1"/>
      <c r="BK1872" s="1"/>
      <c r="BL1872" s="1"/>
      <c r="BM1872" s="1"/>
      <c r="BN1872" s="1"/>
      <c r="BO1872" s="1"/>
      <c r="BP1872" s="1" t="s">
        <v>9609</v>
      </c>
      <c r="BQ1872" s="3"/>
      <c r="BR1872" s="3"/>
    </row>
    <row r="1873" spans="1:70">
      <c r="A1873" s="1" t="s">
        <v>14387</v>
      </c>
      <c r="B1873" s="1" t="s">
        <v>13846</v>
      </c>
      <c r="C1873" s="1" t="s">
        <v>21008</v>
      </c>
      <c r="D1873" s="1"/>
      <c r="E1873" s="1"/>
      <c r="F1873" s="1"/>
      <c r="G1873" s="1"/>
      <c r="H1873" s="1" t="s">
        <v>21009</v>
      </c>
      <c r="I1873" s="1" t="s">
        <v>21009</v>
      </c>
      <c r="J1873" s="1"/>
      <c r="K1873" s="1"/>
      <c r="L1873" s="1"/>
      <c r="M1873" s="1"/>
      <c r="N1873" s="1"/>
      <c r="O1873" s="1"/>
      <c r="P1873" s="1"/>
      <c r="Q1873" s="1"/>
      <c r="R1873" s="1"/>
      <c r="S1873" s="1"/>
      <c r="T1873" s="1"/>
      <c r="U1873" s="1"/>
      <c r="V1873" s="1"/>
      <c r="W1873" s="1"/>
      <c r="X1873" s="1"/>
      <c r="Y1873" s="1"/>
      <c r="Z1873" s="1"/>
      <c r="AA1873" s="1"/>
      <c r="AB1873" s="1"/>
      <c r="AC1873" s="1"/>
      <c r="AD1873" s="1" t="s">
        <v>93</v>
      </c>
      <c r="AE1873" s="1" t="s">
        <v>93</v>
      </c>
      <c r="AF1873" s="1"/>
      <c r="AG1873" s="1"/>
      <c r="AH1873" s="1"/>
      <c r="AI1873" s="1"/>
      <c r="AJ1873" s="1"/>
      <c r="AK1873" s="1"/>
      <c r="AL1873" s="1"/>
      <c r="AM1873" s="1"/>
      <c r="AN1873" s="1"/>
      <c r="AO1873" s="1"/>
      <c r="AP1873" s="1"/>
      <c r="AQ1873" s="1"/>
      <c r="AR1873" s="1"/>
      <c r="AS1873" s="1"/>
      <c r="AT1873" s="1"/>
      <c r="AU1873" s="1"/>
      <c r="AV1873" s="1"/>
      <c r="AW1873" s="1"/>
      <c r="AX1873" s="1"/>
      <c r="AY1873" s="1"/>
      <c r="AZ1873" s="1"/>
      <c r="BA1873" s="1"/>
      <c r="BB1873" s="1"/>
      <c r="BC1873" s="1"/>
      <c r="BD1873" s="1"/>
      <c r="BE1873" s="1"/>
      <c r="BF1873" s="1"/>
      <c r="BG1873" s="1"/>
      <c r="BH1873" s="1"/>
      <c r="BI1873" s="1"/>
      <c r="BJ1873" s="1"/>
      <c r="BK1873" s="1"/>
      <c r="BL1873" s="1"/>
      <c r="BM1873" s="1"/>
      <c r="BN1873" s="1"/>
      <c r="BO1873" s="1"/>
      <c r="BP1873" s="1" t="s">
        <v>9609</v>
      </c>
      <c r="BQ1873" s="3"/>
      <c r="BR1873" s="3"/>
    </row>
    <row r="1874" spans="1:70">
      <c r="A1874" s="1" t="s">
        <v>14387</v>
      </c>
      <c r="B1874" s="1" t="s">
        <v>13846</v>
      </c>
      <c r="C1874" s="1" t="s">
        <v>21010</v>
      </c>
      <c r="D1874" s="1"/>
      <c r="E1874" s="1"/>
      <c r="F1874" s="1"/>
      <c r="G1874" s="1"/>
      <c r="H1874" s="1" t="s">
        <v>21011</v>
      </c>
      <c r="I1874" s="1" t="s">
        <v>21011</v>
      </c>
      <c r="J1874" s="1"/>
      <c r="K1874" s="1"/>
      <c r="L1874" s="1"/>
      <c r="M1874" s="1"/>
      <c r="N1874" s="1"/>
      <c r="O1874" s="1"/>
      <c r="P1874" s="1"/>
      <c r="Q1874" s="1"/>
      <c r="R1874" s="1"/>
      <c r="S1874" s="1"/>
      <c r="T1874" s="1"/>
      <c r="U1874" s="1"/>
      <c r="V1874" s="1"/>
      <c r="W1874" s="1"/>
      <c r="X1874" s="1"/>
      <c r="Y1874" s="1"/>
      <c r="Z1874" s="1"/>
      <c r="AA1874" s="1"/>
      <c r="AB1874" s="1"/>
      <c r="AC1874" s="1"/>
      <c r="AD1874" s="1" t="s">
        <v>93</v>
      </c>
      <c r="AE1874" s="1" t="s">
        <v>93</v>
      </c>
      <c r="AF1874" s="1"/>
      <c r="AG1874" s="1"/>
      <c r="AH1874" s="1"/>
      <c r="AI1874" s="1"/>
      <c r="AJ1874" s="1"/>
      <c r="AK1874" s="1"/>
      <c r="AL1874" s="1"/>
      <c r="AM1874" s="1"/>
      <c r="AN1874" s="1"/>
      <c r="AO1874" s="1"/>
      <c r="AP1874" s="1"/>
      <c r="AQ1874" s="1"/>
      <c r="AR1874" s="1"/>
      <c r="AS1874" s="1"/>
      <c r="AT1874" s="1"/>
      <c r="AU1874" s="1"/>
      <c r="AV1874" s="1"/>
      <c r="AW1874" s="1"/>
      <c r="AX1874" s="1"/>
      <c r="AY1874" s="1"/>
      <c r="AZ1874" s="1"/>
      <c r="BA1874" s="1"/>
      <c r="BB1874" s="1"/>
      <c r="BC1874" s="1"/>
      <c r="BD1874" s="1"/>
      <c r="BE1874" s="1"/>
      <c r="BF1874" s="1"/>
      <c r="BG1874" s="1"/>
      <c r="BH1874" s="1"/>
      <c r="BI1874" s="1"/>
      <c r="BJ1874" s="1"/>
      <c r="BK1874" s="1"/>
      <c r="BL1874" s="1"/>
      <c r="BM1874" s="1"/>
      <c r="BN1874" s="1"/>
      <c r="BO1874" s="1"/>
      <c r="BP1874" s="1" t="s">
        <v>9609</v>
      </c>
      <c r="BQ1874" s="3"/>
      <c r="BR1874" s="3"/>
    </row>
    <row r="1875" spans="1:70">
      <c r="A1875" s="1" t="s">
        <v>14387</v>
      </c>
      <c r="B1875" s="1" t="s">
        <v>13846</v>
      </c>
      <c r="C1875" s="1" t="s">
        <v>21012</v>
      </c>
      <c r="D1875" s="1"/>
      <c r="E1875" s="1"/>
      <c r="F1875" s="1"/>
      <c r="G1875" s="1"/>
      <c r="H1875" s="1" t="s">
        <v>21013</v>
      </c>
      <c r="I1875" s="1" t="s">
        <v>21013</v>
      </c>
      <c r="J1875" s="1"/>
      <c r="K1875" s="1"/>
      <c r="L1875" s="1"/>
      <c r="M1875" s="1"/>
      <c r="N1875" s="1"/>
      <c r="O1875" s="1"/>
      <c r="P1875" s="1"/>
      <c r="Q1875" s="1"/>
      <c r="R1875" s="1"/>
      <c r="S1875" s="1"/>
      <c r="T1875" s="1"/>
      <c r="U1875" s="1"/>
      <c r="V1875" s="1"/>
      <c r="W1875" s="1"/>
      <c r="X1875" s="1"/>
      <c r="Y1875" s="1"/>
      <c r="Z1875" s="1"/>
      <c r="AA1875" s="1"/>
      <c r="AB1875" s="1"/>
      <c r="AC1875" s="1"/>
      <c r="AD1875" s="1" t="s">
        <v>93</v>
      </c>
      <c r="AE1875" s="1" t="s">
        <v>93</v>
      </c>
      <c r="AF1875" s="1"/>
      <c r="AG1875" s="1"/>
      <c r="AH1875" s="1"/>
      <c r="AI1875" s="1"/>
      <c r="AJ1875" s="1"/>
      <c r="AK1875" s="1"/>
      <c r="AL1875" s="1"/>
      <c r="AM1875" s="1"/>
      <c r="AN1875" s="1"/>
      <c r="AO1875" s="1"/>
      <c r="AP1875" s="1"/>
      <c r="AQ1875" s="1"/>
      <c r="AR1875" s="1"/>
      <c r="AS1875" s="1"/>
      <c r="AT1875" s="1"/>
      <c r="AU1875" s="1"/>
      <c r="AV1875" s="1"/>
      <c r="AW1875" s="1"/>
      <c r="AX1875" s="1"/>
      <c r="AY1875" s="1"/>
      <c r="AZ1875" s="1"/>
      <c r="BA1875" s="1"/>
      <c r="BB1875" s="1"/>
      <c r="BC1875" s="1"/>
      <c r="BD1875" s="1"/>
      <c r="BE1875" s="1"/>
      <c r="BF1875" s="1"/>
      <c r="BG1875" s="1"/>
      <c r="BH1875" s="1"/>
      <c r="BI1875" s="1"/>
      <c r="BJ1875" s="1"/>
      <c r="BK1875" s="1"/>
      <c r="BL1875" s="1"/>
      <c r="BM1875" s="1"/>
      <c r="BN1875" s="1"/>
      <c r="BO1875" s="1"/>
      <c r="BP1875" s="1" t="s">
        <v>9609</v>
      </c>
      <c r="BQ1875" s="3"/>
      <c r="BR1875" s="3"/>
    </row>
    <row r="1876" spans="1:70">
      <c r="A1876" s="1" t="s">
        <v>14387</v>
      </c>
      <c r="B1876" s="1" t="s">
        <v>13846</v>
      </c>
      <c r="C1876" s="1" t="s">
        <v>21014</v>
      </c>
      <c r="D1876" s="1"/>
      <c r="E1876" s="1"/>
      <c r="F1876" s="1"/>
      <c r="G1876" s="1"/>
      <c r="H1876" s="1" t="s">
        <v>21015</v>
      </c>
      <c r="I1876" s="1" t="s">
        <v>21015</v>
      </c>
      <c r="J1876" s="1"/>
      <c r="K1876" s="1"/>
      <c r="L1876" s="1"/>
      <c r="M1876" s="1"/>
      <c r="N1876" s="1"/>
      <c r="O1876" s="1"/>
      <c r="P1876" s="1"/>
      <c r="Q1876" s="1"/>
      <c r="R1876" s="1"/>
      <c r="S1876" s="1"/>
      <c r="T1876" s="1"/>
      <c r="U1876" s="1"/>
      <c r="V1876" s="1"/>
      <c r="W1876" s="1"/>
      <c r="X1876" s="1"/>
      <c r="Y1876" s="1"/>
      <c r="Z1876" s="1"/>
      <c r="AA1876" s="1"/>
      <c r="AB1876" s="1"/>
      <c r="AC1876" s="1"/>
      <c r="AD1876" s="1" t="s">
        <v>93</v>
      </c>
      <c r="AE1876" s="1" t="s">
        <v>93</v>
      </c>
      <c r="AF1876" s="1"/>
      <c r="AG1876" s="1"/>
      <c r="AH1876" s="1"/>
      <c r="AI1876" s="1"/>
      <c r="AJ1876" s="1"/>
      <c r="AK1876" s="1"/>
      <c r="AL1876" s="1"/>
      <c r="AM1876" s="1"/>
      <c r="AN1876" s="1"/>
      <c r="AO1876" s="1"/>
      <c r="AP1876" s="1"/>
      <c r="AQ1876" s="1"/>
      <c r="AR1876" s="1"/>
      <c r="AS1876" s="1"/>
      <c r="AT1876" s="1"/>
      <c r="AU1876" s="1"/>
      <c r="AV1876" s="1"/>
      <c r="AW1876" s="1"/>
      <c r="AX1876" s="1"/>
      <c r="AY1876" s="1"/>
      <c r="AZ1876" s="1"/>
      <c r="BA1876" s="1"/>
      <c r="BB1876" s="1"/>
      <c r="BC1876" s="1"/>
      <c r="BD1876" s="1"/>
      <c r="BE1876" s="1"/>
      <c r="BF1876" s="1"/>
      <c r="BG1876" s="1"/>
      <c r="BH1876" s="1"/>
      <c r="BI1876" s="1"/>
      <c r="BJ1876" s="1"/>
      <c r="BK1876" s="1"/>
      <c r="BL1876" s="1"/>
      <c r="BM1876" s="1"/>
      <c r="BN1876" s="1"/>
      <c r="BO1876" s="1"/>
      <c r="BP1876" s="1" t="s">
        <v>9609</v>
      </c>
      <c r="BQ1876" s="3"/>
      <c r="BR1876" s="3"/>
    </row>
    <row r="1877" spans="1:70">
      <c r="A1877" s="1" t="s">
        <v>14387</v>
      </c>
      <c r="B1877" s="1" t="s">
        <v>13846</v>
      </c>
      <c r="C1877" s="1" t="s">
        <v>21016</v>
      </c>
      <c r="D1877" s="1"/>
      <c r="E1877" s="1"/>
      <c r="F1877" s="1"/>
      <c r="G1877" s="1"/>
      <c r="H1877" s="1" t="s">
        <v>21017</v>
      </c>
      <c r="I1877" s="1" t="s">
        <v>21017</v>
      </c>
      <c r="J1877" s="1"/>
      <c r="K1877" s="1"/>
      <c r="L1877" s="1"/>
      <c r="M1877" s="1"/>
      <c r="N1877" s="1"/>
      <c r="O1877" s="1"/>
      <c r="P1877" s="1"/>
      <c r="Q1877" s="1"/>
      <c r="R1877" s="1"/>
      <c r="S1877" s="1"/>
      <c r="T1877" s="1"/>
      <c r="U1877" s="1"/>
      <c r="V1877" s="1"/>
      <c r="W1877" s="1"/>
      <c r="X1877" s="1"/>
      <c r="Y1877" s="1"/>
      <c r="Z1877" s="1"/>
      <c r="AA1877" s="1"/>
      <c r="AB1877" s="1"/>
      <c r="AC1877" s="1"/>
      <c r="AD1877" s="1" t="s">
        <v>93</v>
      </c>
      <c r="AE1877" s="1" t="s">
        <v>93</v>
      </c>
      <c r="AF1877" s="1"/>
      <c r="AG1877" s="1"/>
      <c r="AH1877" s="1"/>
      <c r="AI1877" s="1"/>
      <c r="AJ1877" s="1"/>
      <c r="AK1877" s="1"/>
      <c r="AL1877" s="1"/>
      <c r="AM1877" s="1"/>
      <c r="AN1877" s="1"/>
      <c r="AO1877" s="1"/>
      <c r="AP1877" s="1"/>
      <c r="AQ1877" s="1"/>
      <c r="AR1877" s="1"/>
      <c r="AS1877" s="1"/>
      <c r="AT1877" s="1"/>
      <c r="AU1877" s="1"/>
      <c r="AV1877" s="1"/>
      <c r="AW1877" s="1"/>
      <c r="AX1877" s="1"/>
      <c r="AY1877" s="1"/>
      <c r="AZ1877" s="1"/>
      <c r="BA1877" s="1"/>
      <c r="BB1877" s="1"/>
      <c r="BC1877" s="1"/>
      <c r="BD1877" s="1"/>
      <c r="BE1877" s="1"/>
      <c r="BF1877" s="1"/>
      <c r="BG1877" s="1"/>
      <c r="BH1877" s="1"/>
      <c r="BI1877" s="1"/>
      <c r="BJ1877" s="1"/>
      <c r="BK1877" s="1"/>
      <c r="BL1877" s="1"/>
      <c r="BM1877" s="1"/>
      <c r="BN1877" s="1"/>
      <c r="BO1877" s="1"/>
      <c r="BP1877" s="1" t="s">
        <v>9609</v>
      </c>
      <c r="BQ1877" s="3"/>
      <c r="BR1877" s="3"/>
    </row>
    <row r="1878" spans="1:70">
      <c r="A1878" s="1" t="s">
        <v>14387</v>
      </c>
      <c r="B1878" s="1" t="s">
        <v>13846</v>
      </c>
      <c r="C1878" s="1" t="s">
        <v>21018</v>
      </c>
      <c r="D1878" s="1"/>
      <c r="E1878" s="1"/>
      <c r="F1878" s="1"/>
      <c r="G1878" s="1"/>
      <c r="H1878" s="1" t="s">
        <v>21019</v>
      </c>
      <c r="I1878" s="1" t="s">
        <v>21019</v>
      </c>
      <c r="J1878" s="1"/>
      <c r="K1878" s="1"/>
      <c r="L1878" s="1"/>
      <c r="M1878" s="1"/>
      <c r="N1878" s="1"/>
      <c r="O1878" s="1"/>
      <c r="P1878" s="1"/>
      <c r="Q1878" s="1"/>
      <c r="R1878" s="1"/>
      <c r="S1878" s="1"/>
      <c r="T1878" s="1"/>
      <c r="U1878" s="1"/>
      <c r="V1878" s="1"/>
      <c r="W1878" s="1"/>
      <c r="X1878" s="1"/>
      <c r="Y1878" s="1"/>
      <c r="Z1878" s="1"/>
      <c r="AA1878" s="1"/>
      <c r="AB1878" s="1"/>
      <c r="AC1878" s="1"/>
      <c r="AD1878" s="1" t="s">
        <v>93</v>
      </c>
      <c r="AE1878" s="1" t="s">
        <v>93</v>
      </c>
      <c r="AF1878" s="1"/>
      <c r="AG1878" s="1"/>
      <c r="AH1878" s="1"/>
      <c r="AI1878" s="1"/>
      <c r="AJ1878" s="1"/>
      <c r="AK1878" s="1"/>
      <c r="AL1878" s="1"/>
      <c r="AM1878" s="1"/>
      <c r="AN1878" s="1"/>
      <c r="AO1878" s="1"/>
      <c r="AP1878" s="1"/>
      <c r="AQ1878" s="1"/>
      <c r="AR1878" s="1"/>
      <c r="AS1878" s="1"/>
      <c r="AT1878" s="1"/>
      <c r="AU1878" s="1"/>
      <c r="AV1878" s="1"/>
      <c r="AW1878" s="1"/>
      <c r="AX1878" s="1"/>
      <c r="AY1878" s="1"/>
      <c r="AZ1878" s="1"/>
      <c r="BA1878" s="1"/>
      <c r="BB1878" s="1"/>
      <c r="BC1878" s="1"/>
      <c r="BD1878" s="1"/>
      <c r="BE1878" s="1"/>
      <c r="BF1878" s="1"/>
      <c r="BG1878" s="1"/>
      <c r="BH1878" s="1"/>
      <c r="BI1878" s="1"/>
      <c r="BJ1878" s="1"/>
      <c r="BK1878" s="1"/>
      <c r="BL1878" s="1"/>
      <c r="BM1878" s="1"/>
      <c r="BN1878" s="1"/>
      <c r="BO1878" s="1"/>
      <c r="BP1878" s="1" t="s">
        <v>9609</v>
      </c>
      <c r="BQ1878" s="3"/>
      <c r="BR1878" s="3"/>
    </row>
    <row r="1879" spans="1:70">
      <c r="A1879" s="1" t="s">
        <v>14387</v>
      </c>
      <c r="B1879" s="1" t="s">
        <v>13846</v>
      </c>
      <c r="C1879" s="1" t="s">
        <v>21020</v>
      </c>
      <c r="D1879" s="1"/>
      <c r="E1879" s="1"/>
      <c r="F1879" s="1"/>
      <c r="G1879" s="1"/>
      <c r="H1879" s="1" t="s">
        <v>21021</v>
      </c>
      <c r="I1879" s="1" t="s">
        <v>21021</v>
      </c>
      <c r="J1879" s="1"/>
      <c r="K1879" s="1"/>
      <c r="L1879" s="1"/>
      <c r="M1879" s="1"/>
      <c r="N1879" s="1"/>
      <c r="O1879" s="1"/>
      <c r="P1879" s="1"/>
      <c r="Q1879" s="1"/>
      <c r="R1879" s="1"/>
      <c r="S1879" s="1"/>
      <c r="T1879" s="1"/>
      <c r="U1879" s="1"/>
      <c r="V1879" s="1"/>
      <c r="W1879" s="1"/>
      <c r="X1879" s="1"/>
      <c r="Y1879" s="1"/>
      <c r="Z1879" s="1"/>
      <c r="AA1879" s="1"/>
      <c r="AB1879" s="1"/>
      <c r="AC1879" s="1"/>
      <c r="AD1879" s="1" t="s">
        <v>93</v>
      </c>
      <c r="AE1879" s="1" t="s">
        <v>93</v>
      </c>
      <c r="AF1879" s="1"/>
      <c r="AG1879" s="1"/>
      <c r="AH1879" s="1"/>
      <c r="AI1879" s="1"/>
      <c r="AJ1879" s="1"/>
      <c r="AK1879" s="1"/>
      <c r="AL1879" s="1"/>
      <c r="AM1879" s="1"/>
      <c r="AN1879" s="1"/>
      <c r="AO1879" s="1"/>
      <c r="AP1879" s="1"/>
      <c r="AQ1879" s="1"/>
      <c r="AR1879" s="1"/>
      <c r="AS1879" s="1"/>
      <c r="AT1879" s="1"/>
      <c r="AU1879" s="1"/>
      <c r="AV1879" s="1"/>
      <c r="AW1879" s="1"/>
      <c r="AX1879" s="1"/>
      <c r="AY1879" s="1"/>
      <c r="AZ1879" s="1"/>
      <c r="BA1879" s="1"/>
      <c r="BB1879" s="1"/>
      <c r="BC1879" s="1"/>
      <c r="BD1879" s="1"/>
      <c r="BE1879" s="1"/>
      <c r="BF1879" s="1"/>
      <c r="BG1879" s="1"/>
      <c r="BH1879" s="1"/>
      <c r="BI1879" s="1"/>
      <c r="BJ1879" s="1"/>
      <c r="BK1879" s="1"/>
      <c r="BL1879" s="1"/>
      <c r="BM1879" s="1"/>
      <c r="BN1879" s="1"/>
      <c r="BO1879" s="1"/>
      <c r="BP1879" s="1" t="s">
        <v>9609</v>
      </c>
      <c r="BQ1879" s="3"/>
      <c r="BR1879" s="3"/>
    </row>
    <row r="1880" spans="1:70">
      <c r="A1880" s="1" t="s">
        <v>14387</v>
      </c>
      <c r="B1880" s="1" t="s">
        <v>13846</v>
      </c>
      <c r="C1880" s="1" t="s">
        <v>21022</v>
      </c>
      <c r="D1880" s="1"/>
      <c r="E1880" s="1"/>
      <c r="F1880" s="1"/>
      <c r="G1880" s="1"/>
      <c r="H1880" s="1" t="s">
        <v>21023</v>
      </c>
      <c r="I1880" s="1" t="s">
        <v>21023</v>
      </c>
      <c r="J1880" s="1"/>
      <c r="K1880" s="1"/>
      <c r="L1880" s="1"/>
      <c r="M1880" s="1"/>
      <c r="N1880" s="1"/>
      <c r="O1880" s="1"/>
      <c r="P1880" s="1"/>
      <c r="Q1880" s="1"/>
      <c r="R1880" s="1"/>
      <c r="S1880" s="1"/>
      <c r="T1880" s="1"/>
      <c r="U1880" s="1"/>
      <c r="V1880" s="1"/>
      <c r="W1880" s="1"/>
      <c r="X1880" s="1"/>
      <c r="Y1880" s="1"/>
      <c r="Z1880" s="1"/>
      <c r="AA1880" s="1"/>
      <c r="AB1880" s="1"/>
      <c r="AC1880" s="1"/>
      <c r="AD1880" s="1" t="s">
        <v>93</v>
      </c>
      <c r="AE1880" s="1" t="s">
        <v>93</v>
      </c>
      <c r="AF1880" s="1"/>
      <c r="AG1880" s="1"/>
      <c r="AH1880" s="1"/>
      <c r="AI1880" s="1"/>
      <c r="AJ1880" s="1"/>
      <c r="AK1880" s="1"/>
      <c r="AL1880" s="1"/>
      <c r="AM1880" s="1"/>
      <c r="AN1880" s="1"/>
      <c r="AO1880" s="1"/>
      <c r="AP1880" s="1"/>
      <c r="AQ1880" s="1"/>
      <c r="AR1880" s="1"/>
      <c r="AS1880" s="1"/>
      <c r="AT1880" s="1"/>
      <c r="AU1880" s="1"/>
      <c r="AV1880" s="1"/>
      <c r="AW1880" s="1"/>
      <c r="AX1880" s="1"/>
      <c r="AY1880" s="1"/>
      <c r="AZ1880" s="1"/>
      <c r="BA1880" s="1"/>
      <c r="BB1880" s="1"/>
      <c r="BC1880" s="1"/>
      <c r="BD1880" s="1"/>
      <c r="BE1880" s="1"/>
      <c r="BF1880" s="1"/>
      <c r="BG1880" s="1"/>
      <c r="BH1880" s="1"/>
      <c r="BI1880" s="1"/>
      <c r="BJ1880" s="1"/>
      <c r="BK1880" s="1"/>
      <c r="BL1880" s="1"/>
      <c r="BM1880" s="1"/>
      <c r="BN1880" s="1"/>
      <c r="BO1880" s="1"/>
      <c r="BP1880" s="1" t="s">
        <v>9609</v>
      </c>
      <c r="BQ1880" s="3"/>
      <c r="BR1880" s="3"/>
    </row>
    <row r="1881" spans="1:70">
      <c r="A1881" s="1" t="s">
        <v>14387</v>
      </c>
      <c r="B1881" s="1" t="s">
        <v>13846</v>
      </c>
      <c r="C1881" s="1" t="s">
        <v>21024</v>
      </c>
      <c r="D1881" s="1"/>
      <c r="E1881" s="1"/>
      <c r="F1881" s="1"/>
      <c r="G1881" s="1"/>
      <c r="H1881" s="1" t="s">
        <v>21025</v>
      </c>
      <c r="I1881" s="1" t="s">
        <v>21025</v>
      </c>
      <c r="J1881" s="1"/>
      <c r="K1881" s="1"/>
      <c r="L1881" s="1"/>
      <c r="M1881" s="1"/>
      <c r="N1881" s="1"/>
      <c r="O1881" s="1"/>
      <c r="P1881" s="1"/>
      <c r="Q1881" s="1"/>
      <c r="R1881" s="1"/>
      <c r="S1881" s="1"/>
      <c r="T1881" s="1"/>
      <c r="U1881" s="1"/>
      <c r="V1881" s="1"/>
      <c r="W1881" s="1"/>
      <c r="X1881" s="1"/>
      <c r="Y1881" s="1"/>
      <c r="Z1881" s="1"/>
      <c r="AA1881" s="1"/>
      <c r="AB1881" s="1"/>
      <c r="AC1881" s="1"/>
      <c r="AD1881" s="1" t="s">
        <v>93</v>
      </c>
      <c r="AE1881" s="1" t="s">
        <v>93</v>
      </c>
      <c r="AF1881" s="1"/>
      <c r="AG1881" s="1"/>
      <c r="AH1881" s="1"/>
      <c r="AI1881" s="1"/>
      <c r="AJ1881" s="1"/>
      <c r="AK1881" s="1"/>
      <c r="AL1881" s="1"/>
      <c r="AM1881" s="1"/>
      <c r="AN1881" s="1"/>
      <c r="AO1881" s="1"/>
      <c r="AP1881" s="1"/>
      <c r="AQ1881" s="1"/>
      <c r="AR1881" s="1"/>
      <c r="AS1881" s="1"/>
      <c r="AT1881" s="1"/>
      <c r="AU1881" s="1"/>
      <c r="AV1881" s="1"/>
      <c r="AW1881" s="1"/>
      <c r="AX1881" s="1"/>
      <c r="AY1881" s="1"/>
      <c r="AZ1881" s="1"/>
      <c r="BA1881" s="1"/>
      <c r="BB1881" s="1"/>
      <c r="BC1881" s="1"/>
      <c r="BD1881" s="1"/>
      <c r="BE1881" s="1"/>
      <c r="BF1881" s="1"/>
      <c r="BG1881" s="1"/>
      <c r="BH1881" s="1"/>
      <c r="BI1881" s="1"/>
      <c r="BJ1881" s="1"/>
      <c r="BK1881" s="1"/>
      <c r="BL1881" s="1"/>
      <c r="BM1881" s="1"/>
      <c r="BN1881" s="1"/>
      <c r="BO1881" s="1"/>
      <c r="BP1881" s="1" t="s">
        <v>9609</v>
      </c>
      <c r="BQ1881" s="3"/>
      <c r="BR1881" s="3"/>
    </row>
    <row r="1882" spans="1:70">
      <c r="A1882" s="1" t="s">
        <v>14387</v>
      </c>
      <c r="B1882" s="1" t="s">
        <v>13846</v>
      </c>
      <c r="C1882" s="1" t="s">
        <v>21026</v>
      </c>
      <c r="D1882" s="1"/>
      <c r="E1882" s="1"/>
      <c r="F1882" s="1"/>
      <c r="G1882" s="1"/>
      <c r="H1882" s="1" t="s">
        <v>21027</v>
      </c>
      <c r="I1882" s="1" t="s">
        <v>21027</v>
      </c>
      <c r="J1882" s="1"/>
      <c r="K1882" s="1"/>
      <c r="L1882" s="1"/>
      <c r="M1882" s="1"/>
      <c r="N1882" s="1"/>
      <c r="O1882" s="1"/>
      <c r="P1882" s="1"/>
      <c r="Q1882" s="1"/>
      <c r="R1882" s="1"/>
      <c r="S1882" s="1"/>
      <c r="T1882" s="1"/>
      <c r="U1882" s="1"/>
      <c r="V1882" s="1"/>
      <c r="W1882" s="1"/>
      <c r="X1882" s="1"/>
      <c r="Y1882" s="1"/>
      <c r="Z1882" s="1"/>
      <c r="AA1882" s="1"/>
      <c r="AB1882" s="1"/>
      <c r="AC1882" s="1"/>
      <c r="AD1882" s="1" t="s">
        <v>93</v>
      </c>
      <c r="AE1882" s="1" t="s">
        <v>93</v>
      </c>
      <c r="AF1882" s="1"/>
      <c r="AG1882" s="1"/>
      <c r="AH1882" s="1"/>
      <c r="AI1882" s="1"/>
      <c r="AJ1882" s="1"/>
      <c r="AK1882" s="1"/>
      <c r="AL1882" s="1"/>
      <c r="AM1882" s="1"/>
      <c r="AN1882" s="1"/>
      <c r="AO1882" s="1"/>
      <c r="AP1882" s="1"/>
      <c r="AQ1882" s="1"/>
      <c r="AR1882" s="1"/>
      <c r="AS1882" s="1"/>
      <c r="AT1882" s="1"/>
      <c r="AU1882" s="1"/>
      <c r="AV1882" s="1"/>
      <c r="AW1882" s="1"/>
      <c r="AX1882" s="1"/>
      <c r="AY1882" s="1"/>
      <c r="AZ1882" s="1"/>
      <c r="BA1882" s="1"/>
      <c r="BB1882" s="1"/>
      <c r="BC1882" s="1"/>
      <c r="BD1882" s="1"/>
      <c r="BE1882" s="1"/>
      <c r="BF1882" s="1"/>
      <c r="BG1882" s="1"/>
      <c r="BH1882" s="1"/>
      <c r="BI1882" s="1"/>
      <c r="BJ1882" s="1"/>
      <c r="BK1882" s="1"/>
      <c r="BL1882" s="1"/>
      <c r="BM1882" s="1"/>
      <c r="BN1882" s="1"/>
      <c r="BO1882" s="1"/>
      <c r="BP1882" s="1" t="s">
        <v>9609</v>
      </c>
      <c r="BQ1882" s="3"/>
      <c r="BR1882" s="3"/>
    </row>
    <row r="1883" spans="1:70">
      <c r="A1883" s="1" t="s">
        <v>14387</v>
      </c>
      <c r="B1883" s="1" t="s">
        <v>13846</v>
      </c>
      <c r="C1883" s="1" t="s">
        <v>21028</v>
      </c>
      <c r="D1883" s="1"/>
      <c r="E1883" s="1"/>
      <c r="F1883" s="1"/>
      <c r="G1883" s="1"/>
      <c r="H1883" s="1" t="s">
        <v>21029</v>
      </c>
      <c r="I1883" s="1" t="s">
        <v>21029</v>
      </c>
      <c r="J1883" s="1"/>
      <c r="K1883" s="1"/>
      <c r="L1883" s="1"/>
      <c r="M1883" s="1"/>
      <c r="N1883" s="1"/>
      <c r="O1883" s="1"/>
      <c r="P1883" s="1"/>
      <c r="Q1883" s="1"/>
      <c r="R1883" s="1"/>
      <c r="S1883" s="1"/>
      <c r="T1883" s="1"/>
      <c r="U1883" s="1"/>
      <c r="V1883" s="1"/>
      <c r="W1883" s="1"/>
      <c r="X1883" s="1"/>
      <c r="Y1883" s="1"/>
      <c r="Z1883" s="1"/>
      <c r="AA1883" s="1"/>
      <c r="AB1883" s="1"/>
      <c r="AC1883" s="1"/>
      <c r="AD1883" s="1" t="s">
        <v>93</v>
      </c>
      <c r="AE1883" s="1" t="s">
        <v>93</v>
      </c>
      <c r="AF1883" s="1"/>
      <c r="AG1883" s="1"/>
      <c r="AH1883" s="1"/>
      <c r="AI1883" s="1"/>
      <c r="AJ1883" s="1"/>
      <c r="AK1883" s="1"/>
      <c r="AL1883" s="1"/>
      <c r="AM1883" s="1"/>
      <c r="AN1883" s="1"/>
      <c r="AO1883" s="1"/>
      <c r="AP1883" s="1"/>
      <c r="AQ1883" s="1"/>
      <c r="AR1883" s="1"/>
      <c r="AS1883" s="1"/>
      <c r="AT1883" s="1"/>
      <c r="AU1883" s="1"/>
      <c r="AV1883" s="1"/>
      <c r="AW1883" s="1"/>
      <c r="AX1883" s="1"/>
      <c r="AY1883" s="1"/>
      <c r="AZ1883" s="1"/>
      <c r="BA1883" s="1"/>
      <c r="BB1883" s="1"/>
      <c r="BC1883" s="1"/>
      <c r="BD1883" s="1"/>
      <c r="BE1883" s="1"/>
      <c r="BF1883" s="1"/>
      <c r="BG1883" s="1"/>
      <c r="BH1883" s="1"/>
      <c r="BI1883" s="1"/>
      <c r="BJ1883" s="1"/>
      <c r="BK1883" s="1"/>
      <c r="BL1883" s="1"/>
      <c r="BM1883" s="1"/>
      <c r="BN1883" s="1"/>
      <c r="BO1883" s="1"/>
      <c r="BP1883" s="1" t="s">
        <v>9609</v>
      </c>
      <c r="BQ1883" s="3"/>
      <c r="BR1883" s="3"/>
    </row>
    <row r="1884" spans="1:70">
      <c r="A1884" s="1" t="s">
        <v>14387</v>
      </c>
      <c r="B1884" s="1" t="s">
        <v>13846</v>
      </c>
      <c r="C1884" s="1" t="s">
        <v>21030</v>
      </c>
      <c r="D1884" s="1"/>
      <c r="E1884" s="1"/>
      <c r="F1884" s="1"/>
      <c r="G1884" s="1"/>
      <c r="H1884" s="1" t="s">
        <v>21031</v>
      </c>
      <c r="I1884" s="1" t="s">
        <v>21031</v>
      </c>
      <c r="J1884" s="1"/>
      <c r="K1884" s="1"/>
      <c r="L1884" s="1"/>
      <c r="M1884" s="1"/>
      <c r="N1884" s="1"/>
      <c r="O1884" s="1"/>
      <c r="P1884" s="1"/>
      <c r="Q1884" s="1"/>
      <c r="R1884" s="1"/>
      <c r="S1884" s="1"/>
      <c r="T1884" s="1"/>
      <c r="U1884" s="1"/>
      <c r="V1884" s="1"/>
      <c r="W1884" s="1"/>
      <c r="X1884" s="1"/>
      <c r="Y1884" s="1"/>
      <c r="Z1884" s="1"/>
      <c r="AA1884" s="1"/>
      <c r="AB1884" s="1"/>
      <c r="AC1884" s="1"/>
      <c r="AD1884" s="1" t="s">
        <v>93</v>
      </c>
      <c r="AE1884" s="1" t="s">
        <v>93</v>
      </c>
      <c r="AF1884" s="1"/>
      <c r="AG1884" s="1"/>
      <c r="AH1884" s="1"/>
      <c r="AI1884" s="1"/>
      <c r="AJ1884" s="1"/>
      <c r="AK1884" s="1"/>
      <c r="AL1884" s="1"/>
      <c r="AM1884" s="1"/>
      <c r="AN1884" s="1"/>
      <c r="AO1884" s="1"/>
      <c r="AP1884" s="1"/>
      <c r="AQ1884" s="1"/>
      <c r="AR1884" s="1"/>
      <c r="AS1884" s="1"/>
      <c r="AT1884" s="1"/>
      <c r="AU1884" s="1"/>
      <c r="AV1884" s="1"/>
      <c r="AW1884" s="1"/>
      <c r="AX1884" s="1"/>
      <c r="AY1884" s="1"/>
      <c r="AZ1884" s="1"/>
      <c r="BA1884" s="1"/>
      <c r="BB1884" s="1"/>
      <c r="BC1884" s="1"/>
      <c r="BD1884" s="1"/>
      <c r="BE1884" s="1"/>
      <c r="BF1884" s="1"/>
      <c r="BG1884" s="1"/>
      <c r="BH1884" s="1"/>
      <c r="BI1884" s="1"/>
      <c r="BJ1884" s="1"/>
      <c r="BK1884" s="1"/>
      <c r="BL1884" s="1"/>
      <c r="BM1884" s="1"/>
      <c r="BN1884" s="1"/>
      <c r="BO1884" s="1"/>
      <c r="BP1884" s="1" t="s">
        <v>9609</v>
      </c>
      <c r="BQ1884" s="3"/>
      <c r="BR1884" s="3"/>
    </row>
    <row r="1885" spans="1:70">
      <c r="A1885" s="1" t="s">
        <v>14387</v>
      </c>
      <c r="B1885" s="1" t="s">
        <v>13846</v>
      </c>
      <c r="C1885" s="1" t="s">
        <v>21032</v>
      </c>
      <c r="D1885" s="1"/>
      <c r="E1885" s="1"/>
      <c r="F1885" s="1"/>
      <c r="G1885" s="1"/>
      <c r="H1885" s="1" t="s">
        <v>21033</v>
      </c>
      <c r="I1885" s="1" t="s">
        <v>21033</v>
      </c>
      <c r="J1885" s="1"/>
      <c r="K1885" s="1"/>
      <c r="L1885" s="1"/>
      <c r="M1885" s="1"/>
      <c r="N1885" s="1"/>
      <c r="O1885" s="1"/>
      <c r="P1885" s="1"/>
      <c r="Q1885" s="1"/>
      <c r="R1885" s="1"/>
      <c r="S1885" s="1"/>
      <c r="T1885" s="1"/>
      <c r="U1885" s="1"/>
      <c r="V1885" s="1"/>
      <c r="W1885" s="1"/>
      <c r="X1885" s="1"/>
      <c r="Y1885" s="1"/>
      <c r="Z1885" s="1"/>
      <c r="AA1885" s="1"/>
      <c r="AB1885" s="1"/>
      <c r="AC1885" s="1"/>
      <c r="AD1885" s="1" t="s">
        <v>93</v>
      </c>
      <c r="AE1885" s="1" t="s">
        <v>93</v>
      </c>
      <c r="AF1885" s="1"/>
      <c r="AG1885" s="1"/>
      <c r="AH1885" s="1"/>
      <c r="AI1885" s="1"/>
      <c r="AJ1885" s="1"/>
      <c r="AK1885" s="1"/>
      <c r="AL1885" s="1"/>
      <c r="AM1885" s="1"/>
      <c r="AN1885" s="1"/>
      <c r="AO1885" s="1"/>
      <c r="AP1885" s="1"/>
      <c r="AQ1885" s="1"/>
      <c r="AR1885" s="1"/>
      <c r="AS1885" s="1"/>
      <c r="AT1885" s="1"/>
      <c r="AU1885" s="1"/>
      <c r="AV1885" s="1"/>
      <c r="AW1885" s="1"/>
      <c r="AX1885" s="1"/>
      <c r="AY1885" s="1"/>
      <c r="AZ1885" s="1"/>
      <c r="BA1885" s="1"/>
      <c r="BB1885" s="1"/>
      <c r="BC1885" s="1"/>
      <c r="BD1885" s="1"/>
      <c r="BE1885" s="1"/>
      <c r="BF1885" s="1"/>
      <c r="BG1885" s="1"/>
      <c r="BH1885" s="1"/>
      <c r="BI1885" s="1"/>
      <c r="BJ1885" s="1"/>
      <c r="BK1885" s="1"/>
      <c r="BL1885" s="1"/>
      <c r="BM1885" s="1"/>
      <c r="BN1885" s="1"/>
      <c r="BO1885" s="1"/>
      <c r="BP1885" s="1" t="s">
        <v>9609</v>
      </c>
      <c r="BQ1885" s="3"/>
      <c r="BR1885" s="3"/>
    </row>
    <row r="1886" spans="1:70">
      <c r="A1886" s="1" t="s">
        <v>14387</v>
      </c>
      <c r="B1886" s="1" t="s">
        <v>13846</v>
      </c>
      <c r="C1886" s="1" t="s">
        <v>21034</v>
      </c>
      <c r="D1886" s="1"/>
      <c r="E1886" s="1"/>
      <c r="F1886" s="1"/>
      <c r="G1886" s="1"/>
      <c r="H1886" s="1" t="s">
        <v>21035</v>
      </c>
      <c r="I1886" s="1" t="s">
        <v>21035</v>
      </c>
      <c r="J1886" s="1"/>
      <c r="K1886" s="1"/>
      <c r="L1886" s="1"/>
      <c r="M1886" s="1"/>
      <c r="N1886" s="1"/>
      <c r="O1886" s="1"/>
      <c r="P1886" s="1"/>
      <c r="Q1886" s="1"/>
      <c r="R1886" s="1"/>
      <c r="S1886" s="1"/>
      <c r="T1886" s="1"/>
      <c r="U1886" s="1"/>
      <c r="V1886" s="1"/>
      <c r="W1886" s="1"/>
      <c r="X1886" s="1"/>
      <c r="Y1886" s="1"/>
      <c r="Z1886" s="1"/>
      <c r="AA1886" s="1"/>
      <c r="AB1886" s="1"/>
      <c r="AC1886" s="1"/>
      <c r="AD1886" s="1" t="s">
        <v>93</v>
      </c>
      <c r="AE1886" s="1" t="s">
        <v>93</v>
      </c>
      <c r="AF1886" s="1"/>
      <c r="AG1886" s="1"/>
      <c r="AH1886" s="1"/>
      <c r="AI1886" s="1"/>
      <c r="AJ1886" s="1"/>
      <c r="AK1886" s="1"/>
      <c r="AL1886" s="1"/>
      <c r="AM1886" s="1"/>
      <c r="AN1886" s="1"/>
      <c r="AO1886" s="1"/>
      <c r="AP1886" s="1"/>
      <c r="AQ1886" s="1"/>
      <c r="AR1886" s="1"/>
      <c r="AS1886" s="1"/>
      <c r="AT1886" s="1"/>
      <c r="AU1886" s="1"/>
      <c r="AV1886" s="1"/>
      <c r="AW1886" s="1"/>
      <c r="AX1886" s="1"/>
      <c r="AY1886" s="1"/>
      <c r="AZ1886" s="1"/>
      <c r="BA1886" s="1"/>
      <c r="BB1886" s="1"/>
      <c r="BC1886" s="1"/>
      <c r="BD1886" s="1"/>
      <c r="BE1886" s="1"/>
      <c r="BF1886" s="1"/>
      <c r="BG1886" s="1"/>
      <c r="BH1886" s="1"/>
      <c r="BI1886" s="1"/>
      <c r="BJ1886" s="1"/>
      <c r="BK1886" s="1"/>
      <c r="BL1886" s="1"/>
      <c r="BM1886" s="1"/>
      <c r="BN1886" s="1"/>
      <c r="BO1886" s="1"/>
      <c r="BP1886" s="1" t="s">
        <v>9609</v>
      </c>
      <c r="BQ1886" s="3"/>
      <c r="BR1886" s="3"/>
    </row>
    <row r="1887" spans="1:70">
      <c r="A1887" s="1" t="s">
        <v>14387</v>
      </c>
      <c r="B1887" s="1" t="s">
        <v>13846</v>
      </c>
      <c r="C1887" s="1" t="s">
        <v>21036</v>
      </c>
      <c r="D1887" s="1"/>
      <c r="E1887" s="1"/>
      <c r="F1887" s="1"/>
      <c r="G1887" s="1"/>
      <c r="H1887" s="1" t="s">
        <v>21037</v>
      </c>
      <c r="I1887" s="1" t="s">
        <v>21037</v>
      </c>
      <c r="J1887" s="1"/>
      <c r="K1887" s="1"/>
      <c r="L1887" s="1"/>
      <c r="M1887" s="1"/>
      <c r="N1887" s="1"/>
      <c r="O1887" s="1"/>
      <c r="P1887" s="1"/>
      <c r="Q1887" s="1"/>
      <c r="R1887" s="1"/>
      <c r="S1887" s="1"/>
      <c r="T1887" s="1"/>
      <c r="U1887" s="1"/>
      <c r="V1887" s="1"/>
      <c r="W1887" s="1"/>
      <c r="X1887" s="1"/>
      <c r="Y1887" s="1"/>
      <c r="Z1887" s="1"/>
      <c r="AA1887" s="1"/>
      <c r="AB1887" s="1"/>
      <c r="AC1887" s="1"/>
      <c r="AD1887" s="1" t="s">
        <v>93</v>
      </c>
      <c r="AE1887" s="1" t="s">
        <v>93</v>
      </c>
      <c r="AF1887" s="1"/>
      <c r="AG1887" s="1"/>
      <c r="AH1887" s="1"/>
      <c r="AI1887" s="1"/>
      <c r="AJ1887" s="1"/>
      <c r="AK1887" s="1"/>
      <c r="AL1887" s="1"/>
      <c r="AM1887" s="1"/>
      <c r="AN1887" s="1"/>
      <c r="AO1887" s="1"/>
      <c r="AP1887" s="1"/>
      <c r="AQ1887" s="1"/>
      <c r="AR1887" s="1"/>
      <c r="AS1887" s="1"/>
      <c r="AT1887" s="1"/>
      <c r="AU1887" s="1"/>
      <c r="AV1887" s="1"/>
      <c r="AW1887" s="1"/>
      <c r="AX1887" s="1"/>
      <c r="AY1887" s="1"/>
      <c r="AZ1887" s="1"/>
      <c r="BA1887" s="1"/>
      <c r="BB1887" s="1"/>
      <c r="BC1887" s="1"/>
      <c r="BD1887" s="1"/>
      <c r="BE1887" s="1"/>
      <c r="BF1887" s="1"/>
      <c r="BG1887" s="1"/>
      <c r="BH1887" s="1"/>
      <c r="BI1887" s="1"/>
      <c r="BJ1887" s="1"/>
      <c r="BK1887" s="1"/>
      <c r="BL1887" s="1"/>
      <c r="BM1887" s="1"/>
      <c r="BN1887" s="1"/>
      <c r="BO1887" s="1"/>
      <c r="BP1887" s="1" t="s">
        <v>9609</v>
      </c>
      <c r="BQ1887" s="3"/>
      <c r="BR1887" s="3"/>
    </row>
    <row r="1888" spans="1:70">
      <c r="A1888" s="1" t="s">
        <v>14387</v>
      </c>
      <c r="B1888" s="1" t="s">
        <v>13846</v>
      </c>
      <c r="C1888" s="1" t="s">
        <v>21038</v>
      </c>
      <c r="D1888" s="1"/>
      <c r="E1888" s="1"/>
      <c r="F1888" s="1"/>
      <c r="G1888" s="1"/>
      <c r="H1888" s="1" t="s">
        <v>21039</v>
      </c>
      <c r="I1888" s="1" t="s">
        <v>21039</v>
      </c>
      <c r="J1888" s="1"/>
      <c r="K1888" s="1"/>
      <c r="L1888" s="1"/>
      <c r="M1888" s="1"/>
      <c r="N1888" s="1"/>
      <c r="O1888" s="1"/>
      <c r="P1888" s="1"/>
      <c r="Q1888" s="1"/>
      <c r="R1888" s="1"/>
      <c r="S1888" s="1"/>
      <c r="T1888" s="1"/>
      <c r="U1888" s="1"/>
      <c r="V1888" s="1"/>
      <c r="W1888" s="1"/>
      <c r="X1888" s="1"/>
      <c r="Y1888" s="1"/>
      <c r="Z1888" s="1"/>
      <c r="AA1888" s="1"/>
      <c r="AB1888" s="1"/>
      <c r="AC1888" s="1"/>
      <c r="AD1888" s="1" t="s">
        <v>93</v>
      </c>
      <c r="AE1888" s="1" t="s">
        <v>93</v>
      </c>
      <c r="AF1888" s="1"/>
      <c r="AG1888" s="1"/>
      <c r="AH1888" s="1"/>
      <c r="AI1888" s="1"/>
      <c r="AJ1888" s="1"/>
      <c r="AK1888" s="1"/>
      <c r="AL1888" s="1"/>
      <c r="AM1888" s="1"/>
      <c r="AN1888" s="1"/>
      <c r="AO1888" s="1"/>
      <c r="AP1888" s="1"/>
      <c r="AQ1888" s="1"/>
      <c r="AR1888" s="1"/>
      <c r="AS1888" s="1"/>
      <c r="AT1888" s="1"/>
      <c r="AU1888" s="1"/>
      <c r="AV1888" s="1"/>
      <c r="AW1888" s="1"/>
      <c r="AX1888" s="1"/>
      <c r="AY1888" s="1"/>
      <c r="AZ1888" s="1"/>
      <c r="BA1888" s="1"/>
      <c r="BB1888" s="1"/>
      <c r="BC1888" s="1"/>
      <c r="BD1888" s="1"/>
      <c r="BE1888" s="1"/>
      <c r="BF1888" s="1"/>
      <c r="BG1888" s="1"/>
      <c r="BH1888" s="1"/>
      <c r="BI1888" s="1"/>
      <c r="BJ1888" s="1"/>
      <c r="BK1888" s="1"/>
      <c r="BL1888" s="1"/>
      <c r="BM1888" s="1"/>
      <c r="BN1888" s="1"/>
      <c r="BO1888" s="1"/>
      <c r="BP1888" s="1" t="s">
        <v>9609</v>
      </c>
      <c r="BQ1888" s="3"/>
      <c r="BR1888" s="3"/>
    </row>
    <row r="1889" spans="1:70">
      <c r="A1889" s="1" t="s">
        <v>14387</v>
      </c>
      <c r="B1889" s="1" t="s">
        <v>13846</v>
      </c>
      <c r="C1889" s="1" t="s">
        <v>21040</v>
      </c>
      <c r="D1889" s="1"/>
      <c r="E1889" s="1"/>
      <c r="F1889" s="1"/>
      <c r="G1889" s="1"/>
      <c r="H1889" s="1" t="s">
        <v>21041</v>
      </c>
      <c r="I1889" s="1" t="s">
        <v>21041</v>
      </c>
      <c r="J1889" s="1"/>
      <c r="K1889" s="1"/>
      <c r="L1889" s="1"/>
      <c r="M1889" s="1"/>
      <c r="N1889" s="1"/>
      <c r="O1889" s="1"/>
      <c r="P1889" s="1"/>
      <c r="Q1889" s="1"/>
      <c r="R1889" s="1"/>
      <c r="S1889" s="1"/>
      <c r="T1889" s="1"/>
      <c r="U1889" s="1"/>
      <c r="V1889" s="1"/>
      <c r="W1889" s="1"/>
      <c r="X1889" s="1"/>
      <c r="Y1889" s="1"/>
      <c r="Z1889" s="1"/>
      <c r="AA1889" s="1"/>
      <c r="AB1889" s="1"/>
      <c r="AC1889" s="1"/>
      <c r="AD1889" s="1" t="s">
        <v>93</v>
      </c>
      <c r="AE1889" s="1" t="s">
        <v>93</v>
      </c>
      <c r="AF1889" s="1"/>
      <c r="AG1889" s="1"/>
      <c r="AH1889" s="1"/>
      <c r="AI1889" s="1"/>
      <c r="AJ1889" s="1"/>
      <c r="AK1889" s="1"/>
      <c r="AL1889" s="1"/>
      <c r="AM1889" s="1"/>
      <c r="AN1889" s="1"/>
      <c r="AO1889" s="1"/>
      <c r="AP1889" s="1"/>
      <c r="AQ1889" s="1"/>
      <c r="AR1889" s="1"/>
      <c r="AS1889" s="1"/>
      <c r="AT1889" s="1"/>
      <c r="AU1889" s="1"/>
      <c r="AV1889" s="1"/>
      <c r="AW1889" s="1"/>
      <c r="AX1889" s="1"/>
      <c r="AY1889" s="1"/>
      <c r="AZ1889" s="1"/>
      <c r="BA1889" s="1"/>
      <c r="BB1889" s="1"/>
      <c r="BC1889" s="1"/>
      <c r="BD1889" s="1"/>
      <c r="BE1889" s="1"/>
      <c r="BF1889" s="1"/>
      <c r="BG1889" s="1"/>
      <c r="BH1889" s="1"/>
      <c r="BI1889" s="1"/>
      <c r="BJ1889" s="1"/>
      <c r="BK1889" s="1"/>
      <c r="BL1889" s="1"/>
      <c r="BM1889" s="1"/>
      <c r="BN1889" s="1"/>
      <c r="BO1889" s="1"/>
      <c r="BP1889" s="1" t="s">
        <v>9609</v>
      </c>
      <c r="BQ1889" s="3"/>
      <c r="BR1889" s="3"/>
    </row>
    <row r="1890" spans="1:70">
      <c r="A1890" s="1" t="s">
        <v>14387</v>
      </c>
      <c r="B1890" s="1" t="s">
        <v>13846</v>
      </c>
      <c r="C1890" s="1" t="s">
        <v>21042</v>
      </c>
      <c r="D1890" s="1"/>
      <c r="E1890" s="1"/>
      <c r="F1890" s="1"/>
      <c r="G1890" s="1"/>
      <c r="H1890" s="1" t="s">
        <v>21043</v>
      </c>
      <c r="I1890" s="1" t="s">
        <v>21043</v>
      </c>
      <c r="J1890" s="1"/>
      <c r="K1890" s="1"/>
      <c r="L1890" s="1"/>
      <c r="M1890" s="1"/>
      <c r="N1890" s="1"/>
      <c r="O1890" s="1"/>
      <c r="P1890" s="1"/>
      <c r="Q1890" s="1"/>
      <c r="R1890" s="1"/>
      <c r="S1890" s="1"/>
      <c r="T1890" s="1"/>
      <c r="U1890" s="1"/>
      <c r="V1890" s="1"/>
      <c r="W1890" s="1"/>
      <c r="X1890" s="1"/>
      <c r="Y1890" s="1"/>
      <c r="Z1890" s="1"/>
      <c r="AA1890" s="1"/>
      <c r="AB1890" s="1"/>
      <c r="AC1890" s="1"/>
      <c r="AD1890" s="1" t="s">
        <v>93</v>
      </c>
      <c r="AE1890" s="1" t="s">
        <v>93</v>
      </c>
      <c r="AF1890" s="1"/>
      <c r="AG1890" s="1"/>
      <c r="AH1890" s="1"/>
      <c r="AI1890" s="1"/>
      <c r="AJ1890" s="1"/>
      <c r="AK1890" s="1"/>
      <c r="AL1890" s="1"/>
      <c r="AM1890" s="1"/>
      <c r="AN1890" s="1"/>
      <c r="AO1890" s="1"/>
      <c r="AP1890" s="1"/>
      <c r="AQ1890" s="1"/>
      <c r="AR1890" s="1"/>
      <c r="AS1890" s="1"/>
      <c r="AT1890" s="1"/>
      <c r="AU1890" s="1"/>
      <c r="AV1890" s="1"/>
      <c r="AW1890" s="1"/>
      <c r="AX1890" s="1"/>
      <c r="AY1890" s="1"/>
      <c r="AZ1890" s="1"/>
      <c r="BA1890" s="1"/>
      <c r="BB1890" s="1"/>
      <c r="BC1890" s="1"/>
      <c r="BD1890" s="1"/>
      <c r="BE1890" s="1"/>
      <c r="BF1890" s="1"/>
      <c r="BG1890" s="1"/>
      <c r="BH1890" s="1"/>
      <c r="BI1890" s="1"/>
      <c r="BJ1890" s="1"/>
      <c r="BK1890" s="1"/>
      <c r="BL1890" s="1"/>
      <c r="BM1890" s="1"/>
      <c r="BN1890" s="1"/>
      <c r="BO1890" s="1"/>
      <c r="BP1890" s="1" t="s">
        <v>9609</v>
      </c>
      <c r="BQ1890" s="3"/>
      <c r="BR1890" s="3"/>
    </row>
    <row r="1891" spans="1:70">
      <c r="A1891" s="1" t="s">
        <v>14387</v>
      </c>
      <c r="B1891" s="1" t="s">
        <v>13846</v>
      </c>
      <c r="C1891" s="1" t="s">
        <v>21044</v>
      </c>
      <c r="D1891" s="1"/>
      <c r="E1891" s="1"/>
      <c r="F1891" s="1"/>
      <c r="G1891" s="1"/>
      <c r="H1891" s="1" t="s">
        <v>21045</v>
      </c>
      <c r="I1891" s="1" t="s">
        <v>21045</v>
      </c>
      <c r="J1891" s="1"/>
      <c r="K1891" s="1"/>
      <c r="L1891" s="1"/>
      <c r="M1891" s="1"/>
      <c r="N1891" s="1"/>
      <c r="O1891" s="1"/>
      <c r="P1891" s="1"/>
      <c r="Q1891" s="1"/>
      <c r="R1891" s="1"/>
      <c r="S1891" s="1"/>
      <c r="T1891" s="1"/>
      <c r="U1891" s="1"/>
      <c r="V1891" s="1"/>
      <c r="W1891" s="1"/>
      <c r="X1891" s="1"/>
      <c r="Y1891" s="1"/>
      <c r="Z1891" s="1"/>
      <c r="AA1891" s="1"/>
      <c r="AB1891" s="1"/>
      <c r="AC1891" s="1"/>
      <c r="AD1891" s="1" t="s">
        <v>93</v>
      </c>
      <c r="AE1891" s="1" t="s">
        <v>93</v>
      </c>
      <c r="AF1891" s="1"/>
      <c r="AG1891" s="1"/>
      <c r="AH1891" s="1"/>
      <c r="AI1891" s="1"/>
      <c r="AJ1891" s="1"/>
      <c r="AK1891" s="1"/>
      <c r="AL1891" s="1"/>
      <c r="AM1891" s="1"/>
      <c r="AN1891" s="1"/>
      <c r="AO1891" s="1"/>
      <c r="AP1891" s="1"/>
      <c r="AQ1891" s="1"/>
      <c r="AR1891" s="1"/>
      <c r="AS1891" s="1"/>
      <c r="AT1891" s="1"/>
      <c r="AU1891" s="1"/>
      <c r="AV1891" s="1"/>
      <c r="AW1891" s="1"/>
      <c r="AX1891" s="1"/>
      <c r="AY1891" s="1"/>
      <c r="AZ1891" s="1"/>
      <c r="BA1891" s="1"/>
      <c r="BB1891" s="1"/>
      <c r="BC1891" s="1"/>
      <c r="BD1891" s="1"/>
      <c r="BE1891" s="1"/>
      <c r="BF1891" s="1"/>
      <c r="BG1891" s="1"/>
      <c r="BH1891" s="1"/>
      <c r="BI1891" s="1"/>
      <c r="BJ1891" s="1"/>
      <c r="BK1891" s="1"/>
      <c r="BL1891" s="1"/>
      <c r="BM1891" s="1"/>
      <c r="BN1891" s="1"/>
      <c r="BO1891" s="1"/>
      <c r="BP1891" s="1" t="s">
        <v>9609</v>
      </c>
      <c r="BQ1891" s="3"/>
      <c r="BR1891" s="3"/>
    </row>
    <row r="1892" spans="1:70">
      <c r="A1892" s="1" t="s">
        <v>14387</v>
      </c>
      <c r="B1892" s="1" t="s">
        <v>13846</v>
      </c>
      <c r="C1892" s="1" t="s">
        <v>21046</v>
      </c>
      <c r="D1892" s="1"/>
      <c r="E1892" s="1"/>
      <c r="F1892" s="1"/>
      <c r="G1892" s="1"/>
      <c r="H1892" s="1" t="s">
        <v>21047</v>
      </c>
      <c r="I1892" s="1" t="s">
        <v>21047</v>
      </c>
      <c r="J1892" s="1"/>
      <c r="K1892" s="1"/>
      <c r="L1892" s="1"/>
      <c r="M1892" s="1"/>
      <c r="N1892" s="1"/>
      <c r="O1892" s="1"/>
      <c r="P1892" s="1"/>
      <c r="Q1892" s="1"/>
      <c r="R1892" s="1"/>
      <c r="S1892" s="1"/>
      <c r="T1892" s="1"/>
      <c r="U1892" s="1"/>
      <c r="V1892" s="1"/>
      <c r="W1892" s="1"/>
      <c r="X1892" s="1"/>
      <c r="Y1892" s="1"/>
      <c r="Z1892" s="1"/>
      <c r="AA1892" s="1"/>
      <c r="AB1892" s="1"/>
      <c r="AC1892" s="1"/>
      <c r="AD1892" s="1" t="s">
        <v>93</v>
      </c>
      <c r="AE1892" s="1" t="s">
        <v>93</v>
      </c>
      <c r="AF1892" s="1"/>
      <c r="AG1892" s="1"/>
      <c r="AH1892" s="1"/>
      <c r="AI1892" s="1"/>
      <c r="AJ1892" s="1"/>
      <c r="AK1892" s="1"/>
      <c r="AL1892" s="1"/>
      <c r="AM1892" s="1"/>
      <c r="AN1892" s="1"/>
      <c r="AO1892" s="1"/>
      <c r="AP1892" s="1"/>
      <c r="AQ1892" s="1"/>
      <c r="AR1892" s="1"/>
      <c r="AS1892" s="1"/>
      <c r="AT1892" s="1"/>
      <c r="AU1892" s="1"/>
      <c r="AV1892" s="1"/>
      <c r="AW1892" s="1"/>
      <c r="AX1892" s="1"/>
      <c r="AY1892" s="1"/>
      <c r="AZ1892" s="1"/>
      <c r="BA1892" s="1"/>
      <c r="BB1892" s="1"/>
      <c r="BC1892" s="1"/>
      <c r="BD1892" s="1"/>
      <c r="BE1892" s="1"/>
      <c r="BF1892" s="1"/>
      <c r="BG1892" s="1"/>
      <c r="BH1892" s="1"/>
      <c r="BI1892" s="1"/>
      <c r="BJ1892" s="1"/>
      <c r="BK1892" s="1"/>
      <c r="BL1892" s="1"/>
      <c r="BM1892" s="1"/>
      <c r="BN1892" s="1"/>
      <c r="BO1892" s="1"/>
      <c r="BP1892" s="1" t="s">
        <v>9609</v>
      </c>
      <c r="BQ1892" s="3"/>
      <c r="BR1892" s="3"/>
    </row>
    <row r="1893" spans="1:70">
      <c r="A1893" s="1" t="s">
        <v>14387</v>
      </c>
      <c r="B1893" s="1" t="s">
        <v>13846</v>
      </c>
      <c r="C1893" s="1" t="s">
        <v>21048</v>
      </c>
      <c r="D1893" s="1"/>
      <c r="E1893" s="1"/>
      <c r="F1893" s="1"/>
      <c r="G1893" s="1"/>
      <c r="H1893" s="1" t="s">
        <v>21049</v>
      </c>
      <c r="I1893" s="1" t="s">
        <v>21049</v>
      </c>
      <c r="J1893" s="1"/>
      <c r="K1893" s="1"/>
      <c r="L1893" s="1"/>
      <c r="M1893" s="1"/>
      <c r="N1893" s="1"/>
      <c r="O1893" s="1"/>
      <c r="P1893" s="1"/>
      <c r="Q1893" s="1"/>
      <c r="R1893" s="1"/>
      <c r="S1893" s="1"/>
      <c r="T1893" s="1"/>
      <c r="U1893" s="1"/>
      <c r="V1893" s="1"/>
      <c r="W1893" s="1"/>
      <c r="X1893" s="1"/>
      <c r="Y1893" s="1"/>
      <c r="Z1893" s="1"/>
      <c r="AA1893" s="1"/>
      <c r="AB1893" s="1"/>
      <c r="AC1893" s="1"/>
      <c r="AD1893" s="1" t="s">
        <v>93</v>
      </c>
      <c r="AE1893" s="1" t="s">
        <v>93</v>
      </c>
      <c r="AF1893" s="1"/>
      <c r="AG1893" s="1"/>
      <c r="AH1893" s="1"/>
      <c r="AI1893" s="1"/>
      <c r="AJ1893" s="1"/>
      <c r="AK1893" s="1"/>
      <c r="AL1893" s="1"/>
      <c r="AM1893" s="1"/>
      <c r="AN1893" s="1"/>
      <c r="AO1893" s="1"/>
      <c r="AP1893" s="1"/>
      <c r="AQ1893" s="1"/>
      <c r="AR1893" s="1"/>
      <c r="AS1893" s="1"/>
      <c r="AT1893" s="1"/>
      <c r="AU1893" s="1"/>
      <c r="AV1893" s="1"/>
      <c r="AW1893" s="1"/>
      <c r="AX1893" s="1"/>
      <c r="AY1893" s="1"/>
      <c r="AZ1893" s="1"/>
      <c r="BA1893" s="1"/>
      <c r="BB1893" s="1"/>
      <c r="BC1893" s="1"/>
      <c r="BD1893" s="1"/>
      <c r="BE1893" s="1"/>
      <c r="BF1893" s="1"/>
      <c r="BG1893" s="1"/>
      <c r="BH1893" s="1"/>
      <c r="BI1893" s="1"/>
      <c r="BJ1893" s="1"/>
      <c r="BK1893" s="1"/>
      <c r="BL1893" s="1"/>
      <c r="BM1893" s="1"/>
      <c r="BN1893" s="1"/>
      <c r="BO1893" s="1"/>
      <c r="BP1893" s="1" t="s">
        <v>9609</v>
      </c>
      <c r="BQ1893" s="3"/>
      <c r="BR1893" s="3"/>
    </row>
    <row r="1894" spans="1:70">
      <c r="A1894" s="1" t="s">
        <v>14387</v>
      </c>
      <c r="B1894" s="1" t="s">
        <v>13846</v>
      </c>
      <c r="C1894" s="1" t="s">
        <v>21050</v>
      </c>
      <c r="D1894" s="1"/>
      <c r="E1894" s="1"/>
      <c r="F1894" s="1"/>
      <c r="G1894" s="1"/>
      <c r="H1894" s="1" t="s">
        <v>21051</v>
      </c>
      <c r="I1894" s="1" t="s">
        <v>21051</v>
      </c>
      <c r="J1894" s="1"/>
      <c r="K1894" s="1"/>
      <c r="L1894" s="1"/>
      <c r="M1894" s="1"/>
      <c r="N1894" s="1"/>
      <c r="O1894" s="1"/>
      <c r="P1894" s="1"/>
      <c r="Q1894" s="1"/>
      <c r="R1894" s="1"/>
      <c r="S1894" s="1"/>
      <c r="T1894" s="1"/>
      <c r="U1894" s="1"/>
      <c r="V1894" s="1"/>
      <c r="W1894" s="1"/>
      <c r="X1894" s="1"/>
      <c r="Y1894" s="1"/>
      <c r="Z1894" s="1"/>
      <c r="AA1894" s="1"/>
      <c r="AB1894" s="1"/>
      <c r="AC1894" s="1"/>
      <c r="AD1894" s="1" t="s">
        <v>93</v>
      </c>
      <c r="AE1894" s="1" t="s">
        <v>93</v>
      </c>
      <c r="AF1894" s="1"/>
      <c r="AG1894" s="1"/>
      <c r="AH1894" s="1"/>
      <c r="AI1894" s="1"/>
      <c r="AJ1894" s="1"/>
      <c r="AK1894" s="1"/>
      <c r="AL1894" s="1"/>
      <c r="AM1894" s="1"/>
      <c r="AN1894" s="1"/>
      <c r="AO1894" s="1"/>
      <c r="AP1894" s="1"/>
      <c r="AQ1894" s="1"/>
      <c r="AR1894" s="1"/>
      <c r="AS1894" s="1"/>
      <c r="AT1894" s="1"/>
      <c r="AU1894" s="1"/>
      <c r="AV1894" s="1"/>
      <c r="AW1894" s="1"/>
      <c r="AX1894" s="1"/>
      <c r="AY1894" s="1"/>
      <c r="AZ1894" s="1"/>
      <c r="BA1894" s="1"/>
      <c r="BB1894" s="1"/>
      <c r="BC1894" s="1"/>
      <c r="BD1894" s="1"/>
      <c r="BE1894" s="1"/>
      <c r="BF1894" s="1"/>
      <c r="BG1894" s="1"/>
      <c r="BH1894" s="1"/>
      <c r="BI1894" s="1"/>
      <c r="BJ1894" s="1"/>
      <c r="BK1894" s="1"/>
      <c r="BL1894" s="1"/>
      <c r="BM1894" s="1"/>
      <c r="BN1894" s="1"/>
      <c r="BO1894" s="1"/>
      <c r="BP1894" s="1" t="s">
        <v>9609</v>
      </c>
      <c r="BQ1894" s="3"/>
      <c r="BR1894" s="3"/>
    </row>
    <row r="1895" spans="1:70">
      <c r="A1895" s="1" t="s">
        <v>14387</v>
      </c>
      <c r="B1895" s="1" t="s">
        <v>13846</v>
      </c>
      <c r="C1895" s="1" t="s">
        <v>21052</v>
      </c>
      <c r="D1895" s="1"/>
      <c r="E1895" s="1"/>
      <c r="F1895" s="1"/>
      <c r="G1895" s="1"/>
      <c r="H1895" s="1" t="s">
        <v>21053</v>
      </c>
      <c r="I1895" s="1" t="s">
        <v>21053</v>
      </c>
      <c r="J1895" s="1"/>
      <c r="K1895" s="1"/>
      <c r="L1895" s="1"/>
      <c r="M1895" s="1"/>
      <c r="N1895" s="1"/>
      <c r="O1895" s="1"/>
      <c r="P1895" s="1"/>
      <c r="Q1895" s="1"/>
      <c r="R1895" s="1"/>
      <c r="S1895" s="1"/>
      <c r="T1895" s="1"/>
      <c r="U1895" s="1"/>
      <c r="V1895" s="1"/>
      <c r="W1895" s="1"/>
      <c r="X1895" s="1"/>
      <c r="Y1895" s="1"/>
      <c r="Z1895" s="1"/>
      <c r="AA1895" s="1"/>
      <c r="AB1895" s="1"/>
      <c r="AC1895" s="1"/>
      <c r="AD1895" s="1" t="s">
        <v>93</v>
      </c>
      <c r="AE1895" s="1" t="s">
        <v>93</v>
      </c>
      <c r="AF1895" s="1"/>
      <c r="AG1895" s="1"/>
      <c r="AH1895" s="1"/>
      <c r="AI1895" s="1"/>
      <c r="AJ1895" s="1"/>
      <c r="AK1895" s="1"/>
      <c r="AL1895" s="1"/>
      <c r="AM1895" s="1"/>
      <c r="AN1895" s="1"/>
      <c r="AO1895" s="1"/>
      <c r="AP1895" s="1"/>
      <c r="AQ1895" s="1"/>
      <c r="AR1895" s="1"/>
      <c r="AS1895" s="1"/>
      <c r="AT1895" s="1"/>
      <c r="AU1895" s="1"/>
      <c r="AV1895" s="1"/>
      <c r="AW1895" s="1"/>
      <c r="AX1895" s="1"/>
      <c r="AY1895" s="1"/>
      <c r="AZ1895" s="1"/>
      <c r="BA1895" s="1"/>
      <c r="BB1895" s="1"/>
      <c r="BC1895" s="1"/>
      <c r="BD1895" s="1"/>
      <c r="BE1895" s="1"/>
      <c r="BF1895" s="1"/>
      <c r="BG1895" s="1"/>
      <c r="BH1895" s="1"/>
      <c r="BI1895" s="1"/>
      <c r="BJ1895" s="1"/>
      <c r="BK1895" s="1"/>
      <c r="BL1895" s="1"/>
      <c r="BM1895" s="1"/>
      <c r="BN1895" s="1"/>
      <c r="BO1895" s="1"/>
      <c r="BP1895" s="1" t="s">
        <v>9609</v>
      </c>
      <c r="BQ1895" s="3"/>
      <c r="BR1895" s="3"/>
    </row>
    <row r="1896" spans="1:70">
      <c r="A1896" s="1" t="s">
        <v>14387</v>
      </c>
      <c r="B1896" s="1" t="s">
        <v>13846</v>
      </c>
      <c r="C1896" s="1" t="s">
        <v>21054</v>
      </c>
      <c r="D1896" s="1"/>
      <c r="E1896" s="1"/>
      <c r="F1896" s="1"/>
      <c r="G1896" s="1"/>
      <c r="H1896" s="1" t="s">
        <v>21055</v>
      </c>
      <c r="I1896" s="1" t="s">
        <v>21055</v>
      </c>
      <c r="J1896" s="1"/>
      <c r="K1896" s="1"/>
      <c r="L1896" s="1"/>
      <c r="M1896" s="1"/>
      <c r="N1896" s="1"/>
      <c r="O1896" s="1"/>
      <c r="P1896" s="1"/>
      <c r="Q1896" s="1"/>
      <c r="R1896" s="1"/>
      <c r="S1896" s="1"/>
      <c r="T1896" s="1"/>
      <c r="U1896" s="1"/>
      <c r="V1896" s="1"/>
      <c r="W1896" s="1"/>
      <c r="X1896" s="1"/>
      <c r="Y1896" s="1"/>
      <c r="Z1896" s="1"/>
      <c r="AA1896" s="1"/>
      <c r="AB1896" s="1"/>
      <c r="AC1896" s="1"/>
      <c r="AD1896" s="1" t="s">
        <v>93</v>
      </c>
      <c r="AE1896" s="1" t="s">
        <v>93</v>
      </c>
      <c r="AF1896" s="1"/>
      <c r="AG1896" s="1"/>
      <c r="AH1896" s="1"/>
      <c r="AI1896" s="1"/>
      <c r="AJ1896" s="1"/>
      <c r="AK1896" s="1"/>
      <c r="AL1896" s="1"/>
      <c r="AM1896" s="1"/>
      <c r="AN1896" s="1"/>
      <c r="AO1896" s="1"/>
      <c r="AP1896" s="1"/>
      <c r="AQ1896" s="1"/>
      <c r="AR1896" s="1"/>
      <c r="AS1896" s="1"/>
      <c r="AT1896" s="1"/>
      <c r="AU1896" s="1"/>
      <c r="AV1896" s="1"/>
      <c r="AW1896" s="1"/>
      <c r="AX1896" s="1"/>
      <c r="AY1896" s="1"/>
      <c r="AZ1896" s="1"/>
      <c r="BA1896" s="1"/>
      <c r="BB1896" s="1"/>
      <c r="BC1896" s="1"/>
      <c r="BD1896" s="1"/>
      <c r="BE1896" s="1"/>
      <c r="BF1896" s="1"/>
      <c r="BG1896" s="1"/>
      <c r="BH1896" s="1"/>
      <c r="BI1896" s="1"/>
      <c r="BJ1896" s="1"/>
      <c r="BK1896" s="1"/>
      <c r="BL1896" s="1"/>
      <c r="BM1896" s="1"/>
      <c r="BN1896" s="1"/>
      <c r="BO1896" s="1"/>
      <c r="BP1896" s="1" t="s">
        <v>9609</v>
      </c>
      <c r="BQ1896" s="3"/>
      <c r="BR1896" s="3"/>
    </row>
    <row r="1897" spans="1:70">
      <c r="A1897" s="1" t="s">
        <v>14387</v>
      </c>
      <c r="B1897" s="1" t="s">
        <v>13846</v>
      </c>
      <c r="C1897" s="1" t="s">
        <v>21056</v>
      </c>
      <c r="D1897" s="1"/>
      <c r="E1897" s="1"/>
      <c r="F1897" s="1"/>
      <c r="G1897" s="1"/>
      <c r="H1897" s="1" t="s">
        <v>21057</v>
      </c>
      <c r="I1897" s="1" t="s">
        <v>21057</v>
      </c>
      <c r="J1897" s="1"/>
      <c r="K1897" s="1"/>
      <c r="L1897" s="1"/>
      <c r="M1897" s="1"/>
      <c r="N1897" s="1"/>
      <c r="O1897" s="1"/>
      <c r="P1897" s="1"/>
      <c r="Q1897" s="1"/>
      <c r="R1897" s="1"/>
      <c r="S1897" s="1"/>
      <c r="T1897" s="1"/>
      <c r="U1897" s="1"/>
      <c r="V1897" s="1"/>
      <c r="W1897" s="1"/>
      <c r="X1897" s="1"/>
      <c r="Y1897" s="1"/>
      <c r="Z1897" s="1"/>
      <c r="AA1897" s="1"/>
      <c r="AB1897" s="1"/>
      <c r="AC1897" s="1"/>
      <c r="AD1897" s="1" t="s">
        <v>93</v>
      </c>
      <c r="AE1897" s="1" t="s">
        <v>93</v>
      </c>
      <c r="AF1897" s="1"/>
      <c r="AG1897" s="1"/>
      <c r="AH1897" s="1"/>
      <c r="AI1897" s="1"/>
      <c r="AJ1897" s="1"/>
      <c r="AK1897" s="1"/>
      <c r="AL1897" s="1"/>
      <c r="AM1897" s="1"/>
      <c r="AN1897" s="1"/>
      <c r="AO1897" s="1"/>
      <c r="AP1897" s="1"/>
      <c r="AQ1897" s="1"/>
      <c r="AR1897" s="1"/>
      <c r="AS1897" s="1"/>
      <c r="AT1897" s="1"/>
      <c r="AU1897" s="1"/>
      <c r="AV1897" s="1"/>
      <c r="AW1897" s="1"/>
      <c r="AX1897" s="1"/>
      <c r="AY1897" s="1"/>
      <c r="AZ1897" s="1"/>
      <c r="BA1897" s="1"/>
      <c r="BB1897" s="1"/>
      <c r="BC1897" s="1"/>
      <c r="BD1897" s="1"/>
      <c r="BE1897" s="1"/>
      <c r="BF1897" s="1"/>
      <c r="BG1897" s="1"/>
      <c r="BH1897" s="1"/>
      <c r="BI1897" s="1"/>
      <c r="BJ1897" s="1"/>
      <c r="BK1897" s="1"/>
      <c r="BL1897" s="1"/>
      <c r="BM1897" s="1"/>
      <c r="BN1897" s="1"/>
      <c r="BO1897" s="1"/>
      <c r="BP1897" s="1" t="s">
        <v>9609</v>
      </c>
      <c r="BQ1897" s="3"/>
      <c r="BR1897" s="3"/>
    </row>
    <row r="1898" spans="1:70">
      <c r="A1898" s="1" t="s">
        <v>14387</v>
      </c>
      <c r="B1898" s="1" t="s">
        <v>13846</v>
      </c>
      <c r="C1898" s="1" t="s">
        <v>21058</v>
      </c>
      <c r="D1898" s="1"/>
      <c r="E1898" s="1"/>
      <c r="F1898" s="1"/>
      <c r="G1898" s="1"/>
      <c r="H1898" s="1" t="s">
        <v>21059</v>
      </c>
      <c r="I1898" s="1" t="s">
        <v>21059</v>
      </c>
      <c r="J1898" s="1"/>
      <c r="K1898" s="1"/>
      <c r="L1898" s="1"/>
      <c r="M1898" s="1"/>
      <c r="N1898" s="1"/>
      <c r="O1898" s="1"/>
      <c r="P1898" s="1"/>
      <c r="Q1898" s="1"/>
      <c r="R1898" s="1"/>
      <c r="S1898" s="1"/>
      <c r="T1898" s="1"/>
      <c r="U1898" s="1"/>
      <c r="V1898" s="1"/>
      <c r="W1898" s="1"/>
      <c r="X1898" s="1"/>
      <c r="Y1898" s="1"/>
      <c r="Z1898" s="1"/>
      <c r="AA1898" s="1"/>
      <c r="AB1898" s="1"/>
      <c r="AC1898" s="1"/>
      <c r="AD1898" s="1" t="s">
        <v>93</v>
      </c>
      <c r="AE1898" s="1" t="s">
        <v>93</v>
      </c>
      <c r="AF1898" s="1"/>
      <c r="AG1898" s="1"/>
      <c r="AH1898" s="1"/>
      <c r="AI1898" s="1"/>
      <c r="AJ1898" s="1"/>
      <c r="AK1898" s="1"/>
      <c r="AL1898" s="1"/>
      <c r="AM1898" s="1"/>
      <c r="AN1898" s="1"/>
      <c r="AO1898" s="1"/>
      <c r="AP1898" s="1"/>
      <c r="AQ1898" s="1"/>
      <c r="AR1898" s="1"/>
      <c r="AS1898" s="1"/>
      <c r="AT1898" s="1"/>
      <c r="AU1898" s="1"/>
      <c r="AV1898" s="1"/>
      <c r="AW1898" s="1"/>
      <c r="AX1898" s="1"/>
      <c r="AY1898" s="1"/>
      <c r="AZ1898" s="1"/>
      <c r="BA1898" s="1"/>
      <c r="BB1898" s="1"/>
      <c r="BC1898" s="1"/>
      <c r="BD1898" s="1"/>
      <c r="BE1898" s="1"/>
      <c r="BF1898" s="1"/>
      <c r="BG1898" s="1"/>
      <c r="BH1898" s="1"/>
      <c r="BI1898" s="1"/>
      <c r="BJ1898" s="1"/>
      <c r="BK1898" s="1"/>
      <c r="BL1898" s="1"/>
      <c r="BM1898" s="1"/>
      <c r="BN1898" s="1"/>
      <c r="BO1898" s="1"/>
      <c r="BP1898" s="1" t="s">
        <v>9609</v>
      </c>
      <c r="BQ1898" s="3"/>
      <c r="BR1898" s="3"/>
    </row>
    <row r="1899" spans="1:70">
      <c r="A1899" s="1" t="s">
        <v>14387</v>
      </c>
      <c r="B1899" s="1" t="s">
        <v>13846</v>
      </c>
      <c r="C1899" s="1" t="s">
        <v>21060</v>
      </c>
      <c r="D1899" s="1"/>
      <c r="E1899" s="1"/>
      <c r="F1899" s="1"/>
      <c r="G1899" s="1"/>
      <c r="H1899" s="1" t="s">
        <v>21061</v>
      </c>
      <c r="I1899" s="1" t="s">
        <v>21061</v>
      </c>
      <c r="J1899" s="1"/>
      <c r="K1899" s="1"/>
      <c r="L1899" s="1"/>
      <c r="M1899" s="1"/>
      <c r="N1899" s="1"/>
      <c r="O1899" s="1"/>
      <c r="P1899" s="1"/>
      <c r="Q1899" s="1"/>
      <c r="R1899" s="1"/>
      <c r="S1899" s="1"/>
      <c r="T1899" s="1"/>
      <c r="U1899" s="1"/>
      <c r="V1899" s="1"/>
      <c r="W1899" s="1"/>
      <c r="X1899" s="1"/>
      <c r="Y1899" s="1"/>
      <c r="Z1899" s="1"/>
      <c r="AA1899" s="1"/>
      <c r="AB1899" s="1"/>
      <c r="AC1899" s="1"/>
      <c r="AD1899" s="1" t="s">
        <v>93</v>
      </c>
      <c r="AE1899" s="1" t="s">
        <v>93</v>
      </c>
      <c r="AF1899" s="1"/>
      <c r="AG1899" s="1"/>
      <c r="AH1899" s="1"/>
      <c r="AI1899" s="1"/>
      <c r="AJ1899" s="1"/>
      <c r="AK1899" s="1"/>
      <c r="AL1899" s="1"/>
      <c r="AM1899" s="1"/>
      <c r="AN1899" s="1"/>
      <c r="AO1899" s="1"/>
      <c r="AP1899" s="1"/>
      <c r="AQ1899" s="1"/>
      <c r="AR1899" s="1"/>
      <c r="AS1899" s="1"/>
      <c r="AT1899" s="1"/>
      <c r="AU1899" s="1"/>
      <c r="AV1899" s="1"/>
      <c r="AW1899" s="1"/>
      <c r="AX1899" s="1"/>
      <c r="AY1899" s="1"/>
      <c r="AZ1899" s="1"/>
      <c r="BA1899" s="1"/>
      <c r="BB1899" s="1"/>
      <c r="BC1899" s="1"/>
      <c r="BD1899" s="1"/>
      <c r="BE1899" s="1"/>
      <c r="BF1899" s="1"/>
      <c r="BG1899" s="1"/>
      <c r="BH1899" s="1"/>
      <c r="BI1899" s="1"/>
      <c r="BJ1899" s="1"/>
      <c r="BK1899" s="1"/>
      <c r="BL1899" s="1"/>
      <c r="BM1899" s="1"/>
      <c r="BN1899" s="1"/>
      <c r="BO1899" s="1"/>
      <c r="BP1899" s="1" t="s">
        <v>9609</v>
      </c>
      <c r="BQ1899" s="3"/>
      <c r="BR1899" s="3"/>
    </row>
    <row r="1900" spans="1:70">
      <c r="A1900" s="1" t="s">
        <v>14387</v>
      </c>
      <c r="B1900" s="1" t="s">
        <v>13846</v>
      </c>
      <c r="C1900" s="1" t="s">
        <v>21062</v>
      </c>
      <c r="D1900" s="1"/>
      <c r="E1900" s="1"/>
      <c r="F1900" s="1"/>
      <c r="G1900" s="1"/>
      <c r="H1900" s="1" t="s">
        <v>21063</v>
      </c>
      <c r="I1900" s="1" t="s">
        <v>21063</v>
      </c>
      <c r="J1900" s="1"/>
      <c r="K1900" s="1"/>
      <c r="L1900" s="1"/>
      <c r="M1900" s="1"/>
      <c r="N1900" s="1"/>
      <c r="O1900" s="1"/>
      <c r="P1900" s="1"/>
      <c r="Q1900" s="1"/>
      <c r="R1900" s="1"/>
      <c r="S1900" s="1"/>
      <c r="T1900" s="1"/>
      <c r="U1900" s="1"/>
      <c r="V1900" s="1"/>
      <c r="W1900" s="1"/>
      <c r="X1900" s="1"/>
      <c r="Y1900" s="1"/>
      <c r="Z1900" s="1"/>
      <c r="AA1900" s="1"/>
      <c r="AB1900" s="1"/>
      <c r="AC1900" s="1"/>
      <c r="AD1900" s="1" t="s">
        <v>93</v>
      </c>
      <c r="AE1900" s="1" t="s">
        <v>93</v>
      </c>
      <c r="AF1900" s="1"/>
      <c r="AG1900" s="1"/>
      <c r="AH1900" s="1"/>
      <c r="AI1900" s="1"/>
      <c r="AJ1900" s="1"/>
      <c r="AK1900" s="1"/>
      <c r="AL1900" s="1"/>
      <c r="AM1900" s="1"/>
      <c r="AN1900" s="1"/>
      <c r="AO1900" s="1"/>
      <c r="AP1900" s="1"/>
      <c r="AQ1900" s="1"/>
      <c r="AR1900" s="1"/>
      <c r="AS1900" s="1"/>
      <c r="AT1900" s="1"/>
      <c r="AU1900" s="1"/>
      <c r="AV1900" s="1"/>
      <c r="AW1900" s="1"/>
      <c r="AX1900" s="1"/>
      <c r="AY1900" s="1"/>
      <c r="AZ1900" s="1"/>
      <c r="BA1900" s="1"/>
      <c r="BB1900" s="1"/>
      <c r="BC1900" s="1"/>
      <c r="BD1900" s="1"/>
      <c r="BE1900" s="1"/>
      <c r="BF1900" s="1"/>
      <c r="BG1900" s="1"/>
      <c r="BH1900" s="1"/>
      <c r="BI1900" s="1"/>
      <c r="BJ1900" s="1"/>
      <c r="BK1900" s="1"/>
      <c r="BL1900" s="1"/>
      <c r="BM1900" s="1"/>
      <c r="BN1900" s="1"/>
      <c r="BO1900" s="1"/>
      <c r="BP1900" s="1" t="s">
        <v>9609</v>
      </c>
      <c r="BQ1900" s="3"/>
      <c r="BR1900" s="3"/>
    </row>
    <row r="1901" spans="1:70">
      <c r="A1901" s="1" t="s">
        <v>14387</v>
      </c>
      <c r="B1901" s="1" t="s">
        <v>13846</v>
      </c>
      <c r="C1901" s="1" t="s">
        <v>21064</v>
      </c>
      <c r="D1901" s="1"/>
      <c r="E1901" s="1"/>
      <c r="F1901" s="1"/>
      <c r="G1901" s="1"/>
      <c r="H1901" s="1" t="s">
        <v>21065</v>
      </c>
      <c r="I1901" s="1" t="s">
        <v>21065</v>
      </c>
      <c r="J1901" s="1"/>
      <c r="K1901" s="1"/>
      <c r="L1901" s="1"/>
      <c r="M1901" s="1"/>
      <c r="N1901" s="1"/>
      <c r="O1901" s="1"/>
      <c r="P1901" s="1"/>
      <c r="Q1901" s="1"/>
      <c r="R1901" s="1"/>
      <c r="S1901" s="1"/>
      <c r="T1901" s="1"/>
      <c r="U1901" s="1"/>
      <c r="V1901" s="1"/>
      <c r="W1901" s="1"/>
      <c r="X1901" s="1"/>
      <c r="Y1901" s="1"/>
      <c r="Z1901" s="1"/>
      <c r="AA1901" s="1"/>
      <c r="AB1901" s="1"/>
      <c r="AC1901" s="1"/>
      <c r="AD1901" s="1" t="s">
        <v>93</v>
      </c>
      <c r="AE1901" s="1" t="s">
        <v>93</v>
      </c>
      <c r="AF1901" s="1"/>
      <c r="AG1901" s="1"/>
      <c r="AH1901" s="1"/>
      <c r="AI1901" s="1"/>
      <c r="AJ1901" s="1"/>
      <c r="AK1901" s="1"/>
      <c r="AL1901" s="1"/>
      <c r="AM1901" s="1"/>
      <c r="AN1901" s="1"/>
      <c r="AO1901" s="1"/>
      <c r="AP1901" s="1"/>
      <c r="AQ1901" s="1"/>
      <c r="AR1901" s="1"/>
      <c r="AS1901" s="1"/>
      <c r="AT1901" s="1"/>
      <c r="AU1901" s="1"/>
      <c r="AV1901" s="1"/>
      <c r="AW1901" s="1"/>
      <c r="AX1901" s="1"/>
      <c r="AY1901" s="1"/>
      <c r="AZ1901" s="1"/>
      <c r="BA1901" s="1"/>
      <c r="BB1901" s="1"/>
      <c r="BC1901" s="1"/>
      <c r="BD1901" s="1"/>
      <c r="BE1901" s="1"/>
      <c r="BF1901" s="1"/>
      <c r="BG1901" s="1"/>
      <c r="BH1901" s="1"/>
      <c r="BI1901" s="1"/>
      <c r="BJ1901" s="1"/>
      <c r="BK1901" s="1"/>
      <c r="BL1901" s="1"/>
      <c r="BM1901" s="1"/>
      <c r="BN1901" s="1"/>
      <c r="BO1901" s="1"/>
      <c r="BP1901" s="1" t="s">
        <v>9609</v>
      </c>
      <c r="BQ1901" s="3"/>
      <c r="BR1901" s="3"/>
    </row>
    <row r="1902" spans="1:70">
      <c r="A1902" s="1" t="s">
        <v>14387</v>
      </c>
      <c r="B1902" s="1" t="s">
        <v>13846</v>
      </c>
      <c r="C1902" s="1" t="s">
        <v>21066</v>
      </c>
      <c r="D1902" s="1"/>
      <c r="E1902" s="1"/>
      <c r="F1902" s="1"/>
      <c r="G1902" s="1"/>
      <c r="H1902" s="1" t="s">
        <v>21067</v>
      </c>
      <c r="I1902" s="1" t="s">
        <v>21067</v>
      </c>
      <c r="J1902" s="1"/>
      <c r="K1902" s="1"/>
      <c r="L1902" s="1"/>
      <c r="M1902" s="1"/>
      <c r="N1902" s="1"/>
      <c r="O1902" s="1"/>
      <c r="P1902" s="1"/>
      <c r="Q1902" s="1"/>
      <c r="R1902" s="1"/>
      <c r="S1902" s="1"/>
      <c r="T1902" s="1"/>
      <c r="U1902" s="1"/>
      <c r="V1902" s="1"/>
      <c r="W1902" s="1"/>
      <c r="X1902" s="1"/>
      <c r="Y1902" s="1"/>
      <c r="Z1902" s="1"/>
      <c r="AA1902" s="1"/>
      <c r="AB1902" s="1"/>
      <c r="AC1902" s="1"/>
      <c r="AD1902" s="1" t="s">
        <v>93</v>
      </c>
      <c r="AE1902" s="1" t="s">
        <v>93</v>
      </c>
      <c r="AF1902" s="1"/>
      <c r="AG1902" s="1"/>
      <c r="AH1902" s="1"/>
      <c r="AI1902" s="1"/>
      <c r="AJ1902" s="1"/>
      <c r="AK1902" s="1"/>
      <c r="AL1902" s="1"/>
      <c r="AM1902" s="1"/>
      <c r="AN1902" s="1"/>
      <c r="AO1902" s="1"/>
      <c r="AP1902" s="1"/>
      <c r="AQ1902" s="1"/>
      <c r="AR1902" s="1"/>
      <c r="AS1902" s="1"/>
      <c r="AT1902" s="1"/>
      <c r="AU1902" s="1"/>
      <c r="AV1902" s="1"/>
      <c r="AW1902" s="1"/>
      <c r="AX1902" s="1"/>
      <c r="AY1902" s="1"/>
      <c r="AZ1902" s="1"/>
      <c r="BA1902" s="1"/>
      <c r="BB1902" s="1"/>
      <c r="BC1902" s="1"/>
      <c r="BD1902" s="1"/>
      <c r="BE1902" s="1"/>
      <c r="BF1902" s="1"/>
      <c r="BG1902" s="1"/>
      <c r="BH1902" s="1"/>
      <c r="BI1902" s="1"/>
      <c r="BJ1902" s="1"/>
      <c r="BK1902" s="1"/>
      <c r="BL1902" s="1"/>
      <c r="BM1902" s="1"/>
      <c r="BN1902" s="1"/>
      <c r="BO1902" s="1"/>
      <c r="BP1902" s="1" t="s">
        <v>9609</v>
      </c>
      <c r="BQ1902" s="3"/>
      <c r="BR1902" s="3"/>
    </row>
    <row r="1903" spans="1:70">
      <c r="A1903" s="1" t="s">
        <v>14387</v>
      </c>
      <c r="B1903" s="1" t="s">
        <v>13846</v>
      </c>
      <c r="C1903" s="1" t="s">
        <v>21068</v>
      </c>
      <c r="D1903" s="1"/>
      <c r="E1903" s="1"/>
      <c r="F1903" s="1"/>
      <c r="G1903" s="1"/>
      <c r="H1903" s="1" t="s">
        <v>21069</v>
      </c>
      <c r="I1903" s="1" t="s">
        <v>21069</v>
      </c>
      <c r="J1903" s="1"/>
      <c r="K1903" s="1"/>
      <c r="L1903" s="1"/>
      <c r="M1903" s="1"/>
      <c r="N1903" s="1"/>
      <c r="O1903" s="1"/>
      <c r="P1903" s="1"/>
      <c r="Q1903" s="1"/>
      <c r="R1903" s="1"/>
      <c r="S1903" s="1"/>
      <c r="T1903" s="1"/>
      <c r="U1903" s="1"/>
      <c r="V1903" s="1"/>
      <c r="W1903" s="1"/>
      <c r="X1903" s="1"/>
      <c r="Y1903" s="1"/>
      <c r="Z1903" s="1"/>
      <c r="AA1903" s="1"/>
      <c r="AB1903" s="1"/>
      <c r="AC1903" s="1"/>
      <c r="AD1903" s="1" t="s">
        <v>93</v>
      </c>
      <c r="AE1903" s="1" t="s">
        <v>93</v>
      </c>
      <c r="AF1903" s="1"/>
      <c r="AG1903" s="1"/>
      <c r="AH1903" s="1"/>
      <c r="AI1903" s="1"/>
      <c r="AJ1903" s="1"/>
      <c r="AK1903" s="1"/>
      <c r="AL1903" s="1"/>
      <c r="AM1903" s="1"/>
      <c r="AN1903" s="1"/>
      <c r="AO1903" s="1"/>
      <c r="AP1903" s="1"/>
      <c r="AQ1903" s="1"/>
      <c r="AR1903" s="1"/>
      <c r="AS1903" s="1"/>
      <c r="AT1903" s="1"/>
      <c r="AU1903" s="1"/>
      <c r="AV1903" s="1"/>
      <c r="AW1903" s="1"/>
      <c r="AX1903" s="1"/>
      <c r="AY1903" s="1"/>
      <c r="AZ1903" s="1"/>
      <c r="BA1903" s="1"/>
      <c r="BB1903" s="1"/>
      <c r="BC1903" s="1"/>
      <c r="BD1903" s="1"/>
      <c r="BE1903" s="1"/>
      <c r="BF1903" s="1"/>
      <c r="BG1903" s="1"/>
      <c r="BH1903" s="1"/>
      <c r="BI1903" s="1"/>
      <c r="BJ1903" s="1"/>
      <c r="BK1903" s="1"/>
      <c r="BL1903" s="1"/>
      <c r="BM1903" s="1"/>
      <c r="BN1903" s="1"/>
      <c r="BO1903" s="1"/>
      <c r="BP1903" s="1" t="s">
        <v>9609</v>
      </c>
      <c r="BQ1903" s="3"/>
      <c r="BR1903" s="3"/>
    </row>
    <row r="1904" spans="1:70">
      <c r="A1904" s="1" t="s">
        <v>14387</v>
      </c>
      <c r="B1904" s="1" t="s">
        <v>13846</v>
      </c>
      <c r="C1904" s="1" t="s">
        <v>21070</v>
      </c>
      <c r="D1904" s="1"/>
      <c r="E1904" s="1"/>
      <c r="F1904" s="1"/>
      <c r="G1904" s="1"/>
      <c r="H1904" s="1" t="s">
        <v>21071</v>
      </c>
      <c r="I1904" s="1" t="s">
        <v>21071</v>
      </c>
      <c r="J1904" s="1"/>
      <c r="K1904" s="1"/>
      <c r="L1904" s="1"/>
      <c r="M1904" s="1"/>
      <c r="N1904" s="1"/>
      <c r="O1904" s="1"/>
      <c r="P1904" s="1"/>
      <c r="Q1904" s="1"/>
      <c r="R1904" s="1"/>
      <c r="S1904" s="1"/>
      <c r="T1904" s="1"/>
      <c r="U1904" s="1"/>
      <c r="V1904" s="1"/>
      <c r="W1904" s="1"/>
      <c r="X1904" s="1"/>
      <c r="Y1904" s="1"/>
      <c r="Z1904" s="1"/>
      <c r="AA1904" s="1"/>
      <c r="AB1904" s="1"/>
      <c r="AC1904" s="1"/>
      <c r="AD1904" s="1" t="s">
        <v>93</v>
      </c>
      <c r="AE1904" s="1" t="s">
        <v>93</v>
      </c>
      <c r="AF1904" s="1"/>
      <c r="AG1904" s="1"/>
      <c r="AH1904" s="1"/>
      <c r="AI1904" s="1"/>
      <c r="AJ1904" s="1"/>
      <c r="AK1904" s="1"/>
      <c r="AL1904" s="1"/>
      <c r="AM1904" s="1"/>
      <c r="AN1904" s="1"/>
      <c r="AO1904" s="1"/>
      <c r="AP1904" s="1"/>
      <c r="AQ1904" s="1"/>
      <c r="AR1904" s="1"/>
      <c r="AS1904" s="1"/>
      <c r="AT1904" s="1"/>
      <c r="AU1904" s="1"/>
      <c r="AV1904" s="1"/>
      <c r="AW1904" s="1"/>
      <c r="AX1904" s="1"/>
      <c r="AY1904" s="1"/>
      <c r="AZ1904" s="1"/>
      <c r="BA1904" s="1"/>
      <c r="BB1904" s="1"/>
      <c r="BC1904" s="1"/>
      <c r="BD1904" s="1"/>
      <c r="BE1904" s="1"/>
      <c r="BF1904" s="1"/>
      <c r="BG1904" s="1"/>
      <c r="BH1904" s="1"/>
      <c r="BI1904" s="1"/>
      <c r="BJ1904" s="1"/>
      <c r="BK1904" s="1"/>
      <c r="BL1904" s="1"/>
      <c r="BM1904" s="1"/>
      <c r="BN1904" s="1"/>
      <c r="BO1904" s="1"/>
      <c r="BP1904" s="1" t="s">
        <v>9609</v>
      </c>
      <c r="BQ1904" s="3"/>
      <c r="BR1904" s="3"/>
    </row>
    <row r="1905" spans="1:70">
      <c r="A1905" s="1" t="s">
        <v>14387</v>
      </c>
      <c r="B1905" s="1" t="s">
        <v>13846</v>
      </c>
      <c r="C1905" s="1" t="s">
        <v>21072</v>
      </c>
      <c r="D1905" s="1"/>
      <c r="E1905" s="1"/>
      <c r="F1905" s="1"/>
      <c r="G1905" s="1"/>
      <c r="H1905" s="1" t="s">
        <v>21073</v>
      </c>
      <c r="I1905" s="1" t="s">
        <v>21073</v>
      </c>
      <c r="J1905" s="1"/>
      <c r="K1905" s="1"/>
      <c r="L1905" s="1"/>
      <c r="M1905" s="1"/>
      <c r="N1905" s="1"/>
      <c r="O1905" s="1"/>
      <c r="P1905" s="1"/>
      <c r="Q1905" s="1"/>
      <c r="R1905" s="1"/>
      <c r="S1905" s="1"/>
      <c r="T1905" s="1"/>
      <c r="U1905" s="1"/>
      <c r="V1905" s="1"/>
      <c r="W1905" s="1"/>
      <c r="X1905" s="1"/>
      <c r="Y1905" s="1"/>
      <c r="Z1905" s="1"/>
      <c r="AA1905" s="1"/>
      <c r="AB1905" s="1"/>
      <c r="AC1905" s="1"/>
      <c r="AD1905" s="1" t="s">
        <v>93</v>
      </c>
      <c r="AE1905" s="1" t="s">
        <v>93</v>
      </c>
      <c r="AF1905" s="1"/>
      <c r="AG1905" s="1"/>
      <c r="AH1905" s="1"/>
      <c r="AI1905" s="1"/>
      <c r="AJ1905" s="1"/>
      <c r="AK1905" s="1"/>
      <c r="AL1905" s="1"/>
      <c r="AM1905" s="1"/>
      <c r="AN1905" s="1"/>
      <c r="AO1905" s="1"/>
      <c r="AP1905" s="1"/>
      <c r="AQ1905" s="1"/>
      <c r="AR1905" s="1"/>
      <c r="AS1905" s="1"/>
      <c r="AT1905" s="1"/>
      <c r="AU1905" s="1"/>
      <c r="AV1905" s="1"/>
      <c r="AW1905" s="1"/>
      <c r="AX1905" s="1"/>
      <c r="AY1905" s="1"/>
      <c r="AZ1905" s="1"/>
      <c r="BA1905" s="1"/>
      <c r="BB1905" s="1"/>
      <c r="BC1905" s="1"/>
      <c r="BD1905" s="1"/>
      <c r="BE1905" s="1"/>
      <c r="BF1905" s="1"/>
      <c r="BG1905" s="1"/>
      <c r="BH1905" s="1"/>
      <c r="BI1905" s="1"/>
      <c r="BJ1905" s="1"/>
      <c r="BK1905" s="1"/>
      <c r="BL1905" s="1"/>
      <c r="BM1905" s="1"/>
      <c r="BN1905" s="1"/>
      <c r="BO1905" s="1"/>
      <c r="BP1905" s="1" t="s">
        <v>9609</v>
      </c>
      <c r="BQ1905" s="3"/>
      <c r="BR1905" s="3"/>
    </row>
    <row r="1906" spans="1:70">
      <c r="A1906" s="1" t="s">
        <v>14387</v>
      </c>
      <c r="B1906" s="1" t="s">
        <v>13846</v>
      </c>
      <c r="C1906" s="1" t="s">
        <v>21074</v>
      </c>
      <c r="D1906" s="1"/>
      <c r="E1906" s="1"/>
      <c r="F1906" s="1"/>
      <c r="G1906" s="1"/>
      <c r="H1906" s="1" t="s">
        <v>21075</v>
      </c>
      <c r="I1906" s="1" t="s">
        <v>21075</v>
      </c>
      <c r="J1906" s="1"/>
      <c r="K1906" s="1"/>
      <c r="L1906" s="1"/>
      <c r="M1906" s="1"/>
      <c r="N1906" s="1"/>
      <c r="O1906" s="1"/>
      <c r="P1906" s="1"/>
      <c r="Q1906" s="1"/>
      <c r="R1906" s="1"/>
      <c r="S1906" s="1"/>
      <c r="T1906" s="1"/>
      <c r="U1906" s="1"/>
      <c r="V1906" s="1"/>
      <c r="W1906" s="1"/>
      <c r="X1906" s="1"/>
      <c r="Y1906" s="1"/>
      <c r="Z1906" s="1"/>
      <c r="AA1906" s="1"/>
      <c r="AB1906" s="1"/>
      <c r="AC1906" s="1"/>
      <c r="AD1906" s="1" t="s">
        <v>93</v>
      </c>
      <c r="AE1906" s="1" t="s">
        <v>93</v>
      </c>
      <c r="AF1906" s="1"/>
      <c r="AG1906" s="1"/>
      <c r="AH1906" s="1"/>
      <c r="AI1906" s="1"/>
      <c r="AJ1906" s="1"/>
      <c r="AK1906" s="1"/>
      <c r="AL1906" s="1"/>
      <c r="AM1906" s="1"/>
      <c r="AN1906" s="1"/>
      <c r="AO1906" s="1"/>
      <c r="AP1906" s="1"/>
      <c r="AQ1906" s="1"/>
      <c r="AR1906" s="1"/>
      <c r="AS1906" s="1"/>
      <c r="AT1906" s="1"/>
      <c r="AU1906" s="1"/>
      <c r="AV1906" s="1"/>
      <c r="AW1906" s="1"/>
      <c r="AX1906" s="1"/>
      <c r="AY1906" s="1"/>
      <c r="AZ1906" s="1"/>
      <c r="BA1906" s="1"/>
      <c r="BB1906" s="1"/>
      <c r="BC1906" s="1"/>
      <c r="BD1906" s="1"/>
      <c r="BE1906" s="1"/>
      <c r="BF1906" s="1"/>
      <c r="BG1906" s="1"/>
      <c r="BH1906" s="1"/>
      <c r="BI1906" s="1"/>
      <c r="BJ1906" s="1"/>
      <c r="BK1906" s="1"/>
      <c r="BL1906" s="1"/>
      <c r="BM1906" s="1"/>
      <c r="BN1906" s="1"/>
      <c r="BO1906" s="1"/>
      <c r="BP1906" s="1" t="s">
        <v>9609</v>
      </c>
      <c r="BQ1906" s="3"/>
      <c r="BR1906" s="3"/>
    </row>
    <row r="1907" spans="1:70">
      <c r="A1907" s="1" t="s">
        <v>14387</v>
      </c>
      <c r="B1907" s="1" t="s">
        <v>13846</v>
      </c>
      <c r="C1907" s="1" t="s">
        <v>21076</v>
      </c>
      <c r="D1907" s="1"/>
      <c r="E1907" s="1"/>
      <c r="F1907" s="1"/>
      <c r="G1907" s="1"/>
      <c r="H1907" s="1" t="s">
        <v>21077</v>
      </c>
      <c r="I1907" s="1" t="s">
        <v>21077</v>
      </c>
      <c r="J1907" s="1"/>
      <c r="K1907" s="1"/>
      <c r="L1907" s="1"/>
      <c r="M1907" s="1"/>
      <c r="N1907" s="1"/>
      <c r="O1907" s="1"/>
      <c r="P1907" s="1"/>
      <c r="Q1907" s="1"/>
      <c r="R1907" s="1"/>
      <c r="S1907" s="1"/>
      <c r="T1907" s="1"/>
      <c r="U1907" s="1"/>
      <c r="V1907" s="1"/>
      <c r="W1907" s="1"/>
      <c r="X1907" s="1"/>
      <c r="Y1907" s="1"/>
      <c r="Z1907" s="1"/>
      <c r="AA1907" s="1"/>
      <c r="AB1907" s="1"/>
      <c r="AC1907" s="1"/>
      <c r="AD1907" s="1" t="s">
        <v>93</v>
      </c>
      <c r="AE1907" s="1" t="s">
        <v>93</v>
      </c>
      <c r="AF1907" s="1"/>
      <c r="AG1907" s="1"/>
      <c r="AH1907" s="1"/>
      <c r="AI1907" s="1"/>
      <c r="AJ1907" s="1"/>
      <c r="AK1907" s="1"/>
      <c r="AL1907" s="1"/>
      <c r="AM1907" s="1"/>
      <c r="AN1907" s="1"/>
      <c r="AO1907" s="1"/>
      <c r="AP1907" s="1"/>
      <c r="AQ1907" s="1"/>
      <c r="AR1907" s="1"/>
      <c r="AS1907" s="1"/>
      <c r="AT1907" s="1"/>
      <c r="AU1907" s="1"/>
      <c r="AV1907" s="1"/>
      <c r="AW1907" s="1"/>
      <c r="AX1907" s="1"/>
      <c r="AY1907" s="1"/>
      <c r="AZ1907" s="1"/>
      <c r="BA1907" s="1"/>
      <c r="BB1907" s="1"/>
      <c r="BC1907" s="1"/>
      <c r="BD1907" s="1"/>
      <c r="BE1907" s="1"/>
      <c r="BF1907" s="1"/>
      <c r="BG1907" s="1"/>
      <c r="BH1907" s="1"/>
      <c r="BI1907" s="1"/>
      <c r="BJ1907" s="1"/>
      <c r="BK1907" s="1"/>
      <c r="BL1907" s="1"/>
      <c r="BM1907" s="1"/>
      <c r="BN1907" s="1"/>
      <c r="BO1907" s="1"/>
      <c r="BP1907" s="1" t="s">
        <v>9609</v>
      </c>
      <c r="BQ1907" s="3"/>
      <c r="BR1907" s="3"/>
    </row>
    <row r="1908" spans="1:70">
      <c r="A1908" s="1" t="s">
        <v>14387</v>
      </c>
      <c r="B1908" s="1" t="s">
        <v>13846</v>
      </c>
      <c r="C1908" s="1" t="s">
        <v>21078</v>
      </c>
      <c r="D1908" s="1"/>
      <c r="E1908" s="1"/>
      <c r="F1908" s="1"/>
      <c r="G1908" s="1"/>
      <c r="H1908" s="1" t="s">
        <v>21079</v>
      </c>
      <c r="I1908" s="1" t="s">
        <v>21079</v>
      </c>
      <c r="J1908" s="1"/>
      <c r="K1908" s="1"/>
      <c r="L1908" s="1"/>
      <c r="M1908" s="1"/>
      <c r="N1908" s="1"/>
      <c r="O1908" s="1"/>
      <c r="P1908" s="1"/>
      <c r="Q1908" s="1"/>
      <c r="R1908" s="1"/>
      <c r="S1908" s="1"/>
      <c r="T1908" s="1"/>
      <c r="U1908" s="1"/>
      <c r="V1908" s="1"/>
      <c r="W1908" s="1"/>
      <c r="X1908" s="1"/>
      <c r="Y1908" s="1"/>
      <c r="Z1908" s="1"/>
      <c r="AA1908" s="1"/>
      <c r="AB1908" s="1"/>
      <c r="AC1908" s="1"/>
      <c r="AD1908" s="1" t="s">
        <v>93</v>
      </c>
      <c r="AE1908" s="1" t="s">
        <v>93</v>
      </c>
      <c r="AF1908" s="1"/>
      <c r="AG1908" s="1"/>
      <c r="AH1908" s="1"/>
      <c r="AI1908" s="1"/>
      <c r="AJ1908" s="1"/>
      <c r="AK1908" s="1"/>
      <c r="AL1908" s="1"/>
      <c r="AM1908" s="1"/>
      <c r="AN1908" s="1"/>
      <c r="AO1908" s="1"/>
      <c r="AP1908" s="1"/>
      <c r="AQ1908" s="1"/>
      <c r="AR1908" s="1"/>
      <c r="AS1908" s="1"/>
      <c r="AT1908" s="1"/>
      <c r="AU1908" s="1"/>
      <c r="AV1908" s="1"/>
      <c r="AW1908" s="1"/>
      <c r="AX1908" s="1"/>
      <c r="AY1908" s="1"/>
      <c r="AZ1908" s="1"/>
      <c r="BA1908" s="1"/>
      <c r="BB1908" s="1"/>
      <c r="BC1908" s="1"/>
      <c r="BD1908" s="1"/>
      <c r="BE1908" s="1"/>
      <c r="BF1908" s="1"/>
      <c r="BG1908" s="1"/>
      <c r="BH1908" s="1"/>
      <c r="BI1908" s="1"/>
      <c r="BJ1908" s="1"/>
      <c r="BK1908" s="1"/>
      <c r="BL1908" s="1"/>
      <c r="BM1908" s="1"/>
      <c r="BN1908" s="1"/>
      <c r="BO1908" s="1"/>
      <c r="BP1908" s="1" t="s">
        <v>9609</v>
      </c>
      <c r="BQ1908" s="3"/>
      <c r="BR1908" s="3"/>
    </row>
    <row r="1909" spans="1:70">
      <c r="A1909" s="1" t="s">
        <v>14387</v>
      </c>
      <c r="B1909" s="1" t="s">
        <v>13846</v>
      </c>
      <c r="C1909" s="1" t="s">
        <v>21080</v>
      </c>
      <c r="D1909" s="1"/>
      <c r="E1909" s="1"/>
      <c r="F1909" s="1"/>
      <c r="G1909" s="1"/>
      <c r="H1909" s="1" t="s">
        <v>21081</v>
      </c>
      <c r="I1909" s="1" t="s">
        <v>21081</v>
      </c>
      <c r="J1909" s="1"/>
      <c r="K1909" s="1"/>
      <c r="L1909" s="1"/>
      <c r="M1909" s="1"/>
      <c r="N1909" s="1"/>
      <c r="O1909" s="1"/>
      <c r="P1909" s="1"/>
      <c r="Q1909" s="1"/>
      <c r="R1909" s="1"/>
      <c r="S1909" s="1"/>
      <c r="T1909" s="1"/>
      <c r="U1909" s="1"/>
      <c r="V1909" s="1"/>
      <c r="W1909" s="1"/>
      <c r="X1909" s="1"/>
      <c r="Y1909" s="1"/>
      <c r="Z1909" s="1"/>
      <c r="AA1909" s="1"/>
      <c r="AB1909" s="1"/>
      <c r="AC1909" s="1"/>
      <c r="AD1909" s="1" t="s">
        <v>93</v>
      </c>
      <c r="AE1909" s="1" t="s">
        <v>93</v>
      </c>
      <c r="AF1909" s="1"/>
      <c r="AG1909" s="1"/>
      <c r="AH1909" s="1"/>
      <c r="AI1909" s="1"/>
      <c r="AJ1909" s="1"/>
      <c r="AK1909" s="1"/>
      <c r="AL1909" s="1"/>
      <c r="AM1909" s="1"/>
      <c r="AN1909" s="1"/>
      <c r="AO1909" s="1"/>
      <c r="AP1909" s="1"/>
      <c r="AQ1909" s="1"/>
      <c r="AR1909" s="1"/>
      <c r="AS1909" s="1"/>
      <c r="AT1909" s="1"/>
      <c r="AU1909" s="1"/>
      <c r="AV1909" s="1"/>
      <c r="AW1909" s="1"/>
      <c r="AX1909" s="1"/>
      <c r="AY1909" s="1"/>
      <c r="AZ1909" s="1"/>
      <c r="BA1909" s="1"/>
      <c r="BB1909" s="1"/>
      <c r="BC1909" s="1"/>
      <c r="BD1909" s="1"/>
      <c r="BE1909" s="1"/>
      <c r="BF1909" s="1"/>
      <c r="BG1909" s="1"/>
      <c r="BH1909" s="1"/>
      <c r="BI1909" s="1"/>
      <c r="BJ1909" s="1"/>
      <c r="BK1909" s="1"/>
      <c r="BL1909" s="1"/>
      <c r="BM1909" s="1"/>
      <c r="BN1909" s="1"/>
      <c r="BO1909" s="1"/>
      <c r="BP1909" s="1" t="s">
        <v>9609</v>
      </c>
      <c r="BQ1909" s="3"/>
      <c r="BR1909" s="3"/>
    </row>
    <row r="1910" spans="1:70">
      <c r="A1910" s="1" t="s">
        <v>14387</v>
      </c>
      <c r="B1910" s="1" t="s">
        <v>13846</v>
      </c>
      <c r="C1910" s="1" t="s">
        <v>21082</v>
      </c>
      <c r="D1910" s="1"/>
      <c r="E1910" s="1"/>
      <c r="F1910" s="1"/>
      <c r="G1910" s="1"/>
      <c r="H1910" s="1" t="s">
        <v>21083</v>
      </c>
      <c r="I1910" s="1" t="s">
        <v>21083</v>
      </c>
      <c r="J1910" s="1"/>
      <c r="K1910" s="1"/>
      <c r="L1910" s="1"/>
      <c r="M1910" s="1"/>
      <c r="N1910" s="1"/>
      <c r="O1910" s="1"/>
      <c r="P1910" s="1"/>
      <c r="Q1910" s="1"/>
      <c r="R1910" s="1"/>
      <c r="S1910" s="1"/>
      <c r="T1910" s="1"/>
      <c r="U1910" s="1"/>
      <c r="V1910" s="1"/>
      <c r="W1910" s="1"/>
      <c r="X1910" s="1"/>
      <c r="Y1910" s="1"/>
      <c r="Z1910" s="1"/>
      <c r="AA1910" s="1"/>
      <c r="AB1910" s="1"/>
      <c r="AC1910" s="1"/>
      <c r="AD1910" s="1" t="s">
        <v>93</v>
      </c>
      <c r="AE1910" s="1" t="s">
        <v>93</v>
      </c>
      <c r="AF1910" s="1"/>
      <c r="AG1910" s="1"/>
      <c r="AH1910" s="1"/>
      <c r="AI1910" s="1"/>
      <c r="AJ1910" s="1"/>
      <c r="AK1910" s="1"/>
      <c r="AL1910" s="1"/>
      <c r="AM1910" s="1"/>
      <c r="AN1910" s="1"/>
      <c r="AO1910" s="1"/>
      <c r="AP1910" s="1"/>
      <c r="AQ1910" s="1"/>
      <c r="AR1910" s="1"/>
      <c r="AS1910" s="1"/>
      <c r="AT1910" s="1"/>
      <c r="AU1910" s="1"/>
      <c r="AV1910" s="1"/>
      <c r="AW1910" s="1"/>
      <c r="AX1910" s="1"/>
      <c r="AY1910" s="1"/>
      <c r="AZ1910" s="1"/>
      <c r="BA1910" s="1"/>
      <c r="BB1910" s="1"/>
      <c r="BC1910" s="1"/>
      <c r="BD1910" s="1"/>
      <c r="BE1910" s="1"/>
      <c r="BF1910" s="1"/>
      <c r="BG1910" s="1"/>
      <c r="BH1910" s="1"/>
      <c r="BI1910" s="1"/>
      <c r="BJ1910" s="1"/>
      <c r="BK1910" s="1"/>
      <c r="BL1910" s="1"/>
      <c r="BM1910" s="1"/>
      <c r="BN1910" s="1"/>
      <c r="BO1910" s="1"/>
      <c r="BP1910" s="1" t="s">
        <v>9609</v>
      </c>
      <c r="BQ1910" s="3"/>
      <c r="BR1910" s="3"/>
    </row>
    <row r="1911" spans="1:70">
      <c r="A1911" s="1" t="s">
        <v>14387</v>
      </c>
      <c r="B1911" s="1" t="s">
        <v>13846</v>
      </c>
      <c r="C1911" s="1" t="s">
        <v>21084</v>
      </c>
      <c r="D1911" s="1"/>
      <c r="E1911" s="1"/>
      <c r="F1911" s="1"/>
      <c r="G1911" s="1"/>
      <c r="H1911" s="1" t="s">
        <v>21085</v>
      </c>
      <c r="I1911" s="1" t="s">
        <v>21085</v>
      </c>
      <c r="J1911" s="1"/>
      <c r="K1911" s="1"/>
      <c r="L1911" s="1"/>
      <c r="M1911" s="1"/>
      <c r="N1911" s="1"/>
      <c r="O1911" s="1"/>
      <c r="P1911" s="1"/>
      <c r="Q1911" s="1"/>
      <c r="R1911" s="1"/>
      <c r="S1911" s="1"/>
      <c r="T1911" s="1"/>
      <c r="U1911" s="1"/>
      <c r="V1911" s="1"/>
      <c r="W1911" s="1"/>
      <c r="X1911" s="1"/>
      <c r="Y1911" s="1"/>
      <c r="Z1911" s="1"/>
      <c r="AA1911" s="1"/>
      <c r="AB1911" s="1"/>
      <c r="AC1911" s="1"/>
      <c r="AD1911" s="1" t="s">
        <v>93</v>
      </c>
      <c r="AE1911" s="1" t="s">
        <v>93</v>
      </c>
      <c r="AF1911" s="1"/>
      <c r="AG1911" s="1"/>
      <c r="AH1911" s="1"/>
      <c r="AI1911" s="1"/>
      <c r="AJ1911" s="1"/>
      <c r="AK1911" s="1"/>
      <c r="AL1911" s="1"/>
      <c r="AM1911" s="1"/>
      <c r="AN1911" s="1"/>
      <c r="AO1911" s="1"/>
      <c r="AP1911" s="1"/>
      <c r="AQ1911" s="1"/>
      <c r="AR1911" s="1"/>
      <c r="AS1911" s="1"/>
      <c r="AT1911" s="1"/>
      <c r="AU1911" s="1"/>
      <c r="AV1911" s="1"/>
      <c r="AW1911" s="1"/>
      <c r="AX1911" s="1"/>
      <c r="AY1911" s="1"/>
      <c r="AZ1911" s="1"/>
      <c r="BA1911" s="1"/>
      <c r="BB1911" s="1"/>
      <c r="BC1911" s="1"/>
      <c r="BD1911" s="1"/>
      <c r="BE1911" s="1"/>
      <c r="BF1911" s="1"/>
      <c r="BG1911" s="1"/>
      <c r="BH1911" s="1"/>
      <c r="BI1911" s="1"/>
      <c r="BJ1911" s="1"/>
      <c r="BK1911" s="1"/>
      <c r="BL1911" s="1"/>
      <c r="BM1911" s="1"/>
      <c r="BN1911" s="1"/>
      <c r="BO1911" s="1"/>
      <c r="BP1911" s="1" t="s">
        <v>9609</v>
      </c>
      <c r="BQ1911" s="3"/>
      <c r="BR1911" s="3"/>
    </row>
    <row r="1912" spans="1:70">
      <c r="A1912" s="1" t="s">
        <v>14387</v>
      </c>
      <c r="B1912" s="1" t="s">
        <v>13846</v>
      </c>
      <c r="C1912" s="1" t="s">
        <v>21086</v>
      </c>
      <c r="D1912" s="1"/>
      <c r="E1912" s="1"/>
      <c r="F1912" s="1"/>
      <c r="G1912" s="1"/>
      <c r="H1912" s="1" t="s">
        <v>21087</v>
      </c>
      <c r="I1912" s="1" t="s">
        <v>21087</v>
      </c>
      <c r="J1912" s="1"/>
      <c r="K1912" s="1"/>
      <c r="L1912" s="1"/>
      <c r="M1912" s="1"/>
      <c r="N1912" s="1"/>
      <c r="O1912" s="1"/>
      <c r="P1912" s="1"/>
      <c r="Q1912" s="1"/>
      <c r="R1912" s="1"/>
      <c r="S1912" s="1"/>
      <c r="T1912" s="1"/>
      <c r="U1912" s="1"/>
      <c r="V1912" s="1"/>
      <c r="W1912" s="1"/>
      <c r="X1912" s="1"/>
      <c r="Y1912" s="1"/>
      <c r="Z1912" s="1"/>
      <c r="AA1912" s="1"/>
      <c r="AB1912" s="1"/>
      <c r="AC1912" s="1"/>
      <c r="AD1912" s="1" t="s">
        <v>93</v>
      </c>
      <c r="AE1912" s="1" t="s">
        <v>93</v>
      </c>
      <c r="AF1912" s="1"/>
      <c r="AG1912" s="1"/>
      <c r="AH1912" s="1"/>
      <c r="AI1912" s="1"/>
      <c r="AJ1912" s="1"/>
      <c r="AK1912" s="1"/>
      <c r="AL1912" s="1"/>
      <c r="AM1912" s="1"/>
      <c r="AN1912" s="1"/>
      <c r="AO1912" s="1"/>
      <c r="AP1912" s="1"/>
      <c r="AQ1912" s="1"/>
      <c r="AR1912" s="1"/>
      <c r="AS1912" s="1"/>
      <c r="AT1912" s="1"/>
      <c r="AU1912" s="1"/>
      <c r="AV1912" s="1"/>
      <c r="AW1912" s="1"/>
      <c r="AX1912" s="1"/>
      <c r="AY1912" s="1"/>
      <c r="AZ1912" s="1"/>
      <c r="BA1912" s="1"/>
      <c r="BB1912" s="1"/>
      <c r="BC1912" s="1"/>
      <c r="BD1912" s="1"/>
      <c r="BE1912" s="1"/>
      <c r="BF1912" s="1"/>
      <c r="BG1912" s="1"/>
      <c r="BH1912" s="1"/>
      <c r="BI1912" s="1"/>
      <c r="BJ1912" s="1"/>
      <c r="BK1912" s="1"/>
      <c r="BL1912" s="1"/>
      <c r="BM1912" s="1"/>
      <c r="BN1912" s="1"/>
      <c r="BO1912" s="1"/>
      <c r="BP1912" s="1" t="s">
        <v>9609</v>
      </c>
      <c r="BQ1912" s="3"/>
      <c r="BR1912" s="3"/>
    </row>
    <row r="1913" spans="1:70">
      <c r="A1913" s="1" t="s">
        <v>14387</v>
      </c>
      <c r="B1913" s="1" t="s">
        <v>13846</v>
      </c>
      <c r="C1913" s="1" t="s">
        <v>21088</v>
      </c>
      <c r="D1913" s="1"/>
      <c r="E1913" s="1"/>
      <c r="F1913" s="1"/>
      <c r="G1913" s="1"/>
      <c r="H1913" s="1" t="s">
        <v>21089</v>
      </c>
      <c r="I1913" s="1" t="s">
        <v>21089</v>
      </c>
      <c r="J1913" s="1"/>
      <c r="K1913" s="1"/>
      <c r="L1913" s="1"/>
      <c r="M1913" s="1"/>
      <c r="N1913" s="1"/>
      <c r="O1913" s="1"/>
      <c r="P1913" s="1"/>
      <c r="Q1913" s="1"/>
      <c r="R1913" s="1"/>
      <c r="S1913" s="1"/>
      <c r="T1913" s="1"/>
      <c r="U1913" s="1"/>
      <c r="V1913" s="1"/>
      <c r="W1913" s="1"/>
      <c r="X1913" s="1"/>
      <c r="Y1913" s="1"/>
      <c r="Z1913" s="1"/>
      <c r="AA1913" s="1"/>
      <c r="AB1913" s="1"/>
      <c r="AC1913" s="1"/>
      <c r="AD1913" s="1" t="s">
        <v>93</v>
      </c>
      <c r="AE1913" s="1" t="s">
        <v>93</v>
      </c>
      <c r="AF1913" s="1"/>
      <c r="AG1913" s="1"/>
      <c r="AH1913" s="1"/>
      <c r="AI1913" s="1"/>
      <c r="AJ1913" s="1"/>
      <c r="AK1913" s="1"/>
      <c r="AL1913" s="1"/>
      <c r="AM1913" s="1"/>
      <c r="AN1913" s="1"/>
      <c r="AO1913" s="1"/>
      <c r="AP1913" s="1"/>
      <c r="AQ1913" s="1"/>
      <c r="AR1913" s="1"/>
      <c r="AS1913" s="1"/>
      <c r="AT1913" s="1"/>
      <c r="AU1913" s="1"/>
      <c r="AV1913" s="1"/>
      <c r="AW1913" s="1"/>
      <c r="AX1913" s="1"/>
      <c r="AY1913" s="1"/>
      <c r="AZ1913" s="1"/>
      <c r="BA1913" s="1"/>
      <c r="BB1913" s="1"/>
      <c r="BC1913" s="1"/>
      <c r="BD1913" s="1"/>
      <c r="BE1913" s="1"/>
      <c r="BF1913" s="1"/>
      <c r="BG1913" s="1"/>
      <c r="BH1913" s="1"/>
      <c r="BI1913" s="1"/>
      <c r="BJ1913" s="1"/>
      <c r="BK1913" s="1"/>
      <c r="BL1913" s="1"/>
      <c r="BM1913" s="1"/>
      <c r="BN1913" s="1"/>
      <c r="BO1913" s="1"/>
      <c r="BP1913" s="1" t="s">
        <v>9609</v>
      </c>
      <c r="BQ1913" s="3"/>
      <c r="BR1913" s="3"/>
    </row>
    <row r="1914" spans="1:70">
      <c r="A1914" s="1" t="s">
        <v>14387</v>
      </c>
      <c r="B1914" s="1" t="s">
        <v>13846</v>
      </c>
      <c r="C1914" s="1" t="s">
        <v>21090</v>
      </c>
      <c r="D1914" s="1"/>
      <c r="E1914" s="1"/>
      <c r="F1914" s="1"/>
      <c r="G1914" s="1"/>
      <c r="H1914" s="1" t="s">
        <v>21091</v>
      </c>
      <c r="I1914" s="1" t="s">
        <v>21091</v>
      </c>
      <c r="J1914" s="1"/>
      <c r="K1914" s="1"/>
      <c r="L1914" s="1"/>
      <c r="M1914" s="1"/>
      <c r="N1914" s="1"/>
      <c r="O1914" s="1"/>
      <c r="P1914" s="1"/>
      <c r="Q1914" s="1"/>
      <c r="R1914" s="1"/>
      <c r="S1914" s="1"/>
      <c r="T1914" s="1"/>
      <c r="U1914" s="1"/>
      <c r="V1914" s="1"/>
      <c r="W1914" s="1"/>
      <c r="X1914" s="1"/>
      <c r="Y1914" s="1"/>
      <c r="Z1914" s="1"/>
      <c r="AA1914" s="1"/>
      <c r="AB1914" s="1"/>
      <c r="AC1914" s="1"/>
      <c r="AD1914" s="1" t="s">
        <v>93</v>
      </c>
      <c r="AE1914" s="1" t="s">
        <v>93</v>
      </c>
      <c r="AF1914" s="1"/>
      <c r="AG1914" s="1"/>
      <c r="AH1914" s="1"/>
      <c r="AI1914" s="1"/>
      <c r="AJ1914" s="1"/>
      <c r="AK1914" s="1"/>
      <c r="AL1914" s="1"/>
      <c r="AM1914" s="1"/>
      <c r="AN1914" s="1"/>
      <c r="AO1914" s="1"/>
      <c r="AP1914" s="1"/>
      <c r="AQ1914" s="1"/>
      <c r="AR1914" s="1"/>
      <c r="AS1914" s="1"/>
      <c r="AT1914" s="1"/>
      <c r="AU1914" s="1"/>
      <c r="AV1914" s="1"/>
      <c r="AW1914" s="1"/>
      <c r="AX1914" s="1"/>
      <c r="AY1914" s="1"/>
      <c r="AZ1914" s="1"/>
      <c r="BA1914" s="1"/>
      <c r="BB1914" s="1"/>
      <c r="BC1914" s="1"/>
      <c r="BD1914" s="1"/>
      <c r="BE1914" s="1"/>
      <c r="BF1914" s="1"/>
      <c r="BG1914" s="1"/>
      <c r="BH1914" s="1"/>
      <c r="BI1914" s="1"/>
      <c r="BJ1914" s="1"/>
      <c r="BK1914" s="1"/>
      <c r="BL1914" s="1"/>
      <c r="BM1914" s="1"/>
      <c r="BN1914" s="1"/>
      <c r="BO1914" s="1"/>
      <c r="BP1914" s="1" t="s">
        <v>9609</v>
      </c>
      <c r="BQ1914" s="3"/>
      <c r="BR1914" s="3"/>
    </row>
    <row r="1915" spans="1:70">
      <c r="A1915" s="1" t="s">
        <v>14387</v>
      </c>
      <c r="B1915" s="1" t="s">
        <v>13846</v>
      </c>
      <c r="C1915" s="1" t="s">
        <v>21092</v>
      </c>
      <c r="D1915" s="1"/>
      <c r="E1915" s="1"/>
      <c r="F1915" s="1"/>
      <c r="G1915" s="1"/>
      <c r="H1915" s="1" t="s">
        <v>21093</v>
      </c>
      <c r="I1915" s="1" t="s">
        <v>21093</v>
      </c>
      <c r="J1915" s="1"/>
      <c r="K1915" s="1"/>
      <c r="L1915" s="1"/>
      <c r="M1915" s="1"/>
      <c r="N1915" s="1"/>
      <c r="O1915" s="1"/>
      <c r="P1915" s="1"/>
      <c r="Q1915" s="1"/>
      <c r="R1915" s="1"/>
      <c r="S1915" s="1"/>
      <c r="T1915" s="1"/>
      <c r="U1915" s="1"/>
      <c r="V1915" s="1"/>
      <c r="W1915" s="1"/>
      <c r="X1915" s="1"/>
      <c r="Y1915" s="1"/>
      <c r="Z1915" s="1"/>
      <c r="AA1915" s="1"/>
      <c r="AB1915" s="1"/>
      <c r="AC1915" s="1"/>
      <c r="AD1915" s="1" t="s">
        <v>93</v>
      </c>
      <c r="AE1915" s="1" t="s">
        <v>93</v>
      </c>
      <c r="AF1915" s="1"/>
      <c r="AG1915" s="1"/>
      <c r="AH1915" s="1"/>
      <c r="AI1915" s="1"/>
      <c r="AJ1915" s="1"/>
      <c r="AK1915" s="1"/>
      <c r="AL1915" s="1"/>
      <c r="AM1915" s="1"/>
      <c r="AN1915" s="1"/>
      <c r="AO1915" s="1"/>
      <c r="AP1915" s="1"/>
      <c r="AQ1915" s="1"/>
      <c r="AR1915" s="1"/>
      <c r="AS1915" s="1"/>
      <c r="AT1915" s="1"/>
      <c r="AU1915" s="1"/>
      <c r="AV1915" s="1"/>
      <c r="AW1915" s="1"/>
      <c r="AX1915" s="1"/>
      <c r="AY1915" s="1"/>
      <c r="AZ1915" s="1"/>
      <c r="BA1915" s="1"/>
      <c r="BB1915" s="1"/>
      <c r="BC1915" s="1"/>
      <c r="BD1915" s="1"/>
      <c r="BE1915" s="1"/>
      <c r="BF1915" s="1"/>
      <c r="BG1915" s="1"/>
      <c r="BH1915" s="1"/>
      <c r="BI1915" s="1"/>
      <c r="BJ1915" s="1"/>
      <c r="BK1915" s="1"/>
      <c r="BL1915" s="1"/>
      <c r="BM1915" s="1"/>
      <c r="BN1915" s="1"/>
      <c r="BO1915" s="1"/>
      <c r="BP1915" s="1" t="s">
        <v>9609</v>
      </c>
      <c r="BQ1915" s="3"/>
      <c r="BR1915" s="3"/>
    </row>
    <row r="1916" spans="1:70">
      <c r="A1916" s="1" t="s">
        <v>14387</v>
      </c>
      <c r="B1916" s="1" t="s">
        <v>13846</v>
      </c>
      <c r="C1916" s="1" t="s">
        <v>21094</v>
      </c>
      <c r="D1916" s="1"/>
      <c r="E1916" s="1"/>
      <c r="F1916" s="1"/>
      <c r="G1916" s="1"/>
      <c r="H1916" s="1" t="s">
        <v>21095</v>
      </c>
      <c r="I1916" s="1" t="s">
        <v>21095</v>
      </c>
      <c r="J1916" s="1"/>
      <c r="K1916" s="1"/>
      <c r="L1916" s="1"/>
      <c r="M1916" s="1"/>
      <c r="N1916" s="1"/>
      <c r="O1916" s="1"/>
      <c r="P1916" s="1"/>
      <c r="Q1916" s="1"/>
      <c r="R1916" s="1"/>
      <c r="S1916" s="1"/>
      <c r="T1916" s="1"/>
      <c r="U1916" s="1"/>
      <c r="V1916" s="1"/>
      <c r="W1916" s="1"/>
      <c r="X1916" s="1"/>
      <c r="Y1916" s="1"/>
      <c r="Z1916" s="1"/>
      <c r="AA1916" s="1"/>
      <c r="AB1916" s="1"/>
      <c r="AC1916" s="1"/>
      <c r="AD1916" s="1" t="s">
        <v>93</v>
      </c>
      <c r="AE1916" s="1" t="s">
        <v>93</v>
      </c>
      <c r="AF1916" s="1"/>
      <c r="AG1916" s="1"/>
      <c r="AH1916" s="1"/>
      <c r="AI1916" s="1"/>
      <c r="AJ1916" s="1"/>
      <c r="AK1916" s="1"/>
      <c r="AL1916" s="1"/>
      <c r="AM1916" s="1"/>
      <c r="AN1916" s="1"/>
      <c r="AO1916" s="1"/>
      <c r="AP1916" s="1"/>
      <c r="AQ1916" s="1"/>
      <c r="AR1916" s="1"/>
      <c r="AS1916" s="1"/>
      <c r="AT1916" s="1"/>
      <c r="AU1916" s="1"/>
      <c r="AV1916" s="1"/>
      <c r="AW1916" s="1"/>
      <c r="AX1916" s="1"/>
      <c r="AY1916" s="1"/>
      <c r="AZ1916" s="1"/>
      <c r="BA1916" s="1"/>
      <c r="BB1916" s="1"/>
      <c r="BC1916" s="1"/>
      <c r="BD1916" s="1"/>
      <c r="BE1916" s="1"/>
      <c r="BF1916" s="1"/>
      <c r="BG1916" s="1"/>
      <c r="BH1916" s="1"/>
      <c r="BI1916" s="1"/>
      <c r="BJ1916" s="1"/>
      <c r="BK1916" s="1"/>
      <c r="BL1916" s="1"/>
      <c r="BM1916" s="1"/>
      <c r="BN1916" s="1"/>
      <c r="BO1916" s="1"/>
      <c r="BP1916" s="1" t="s">
        <v>9609</v>
      </c>
      <c r="BQ1916" s="3"/>
      <c r="BR1916" s="3"/>
    </row>
    <row r="1917" spans="1:70">
      <c r="A1917" s="1" t="s">
        <v>14387</v>
      </c>
      <c r="B1917" s="1" t="s">
        <v>13846</v>
      </c>
      <c r="C1917" s="1" t="s">
        <v>21096</v>
      </c>
      <c r="D1917" s="1"/>
      <c r="E1917" s="1"/>
      <c r="F1917" s="1"/>
      <c r="G1917" s="1"/>
      <c r="H1917" s="1" t="s">
        <v>21097</v>
      </c>
      <c r="I1917" s="1" t="s">
        <v>21097</v>
      </c>
      <c r="J1917" s="1"/>
      <c r="K1917" s="1"/>
      <c r="L1917" s="1"/>
      <c r="M1917" s="1"/>
      <c r="N1917" s="1"/>
      <c r="O1917" s="1"/>
      <c r="P1917" s="1"/>
      <c r="Q1917" s="1"/>
      <c r="R1917" s="1"/>
      <c r="S1917" s="1"/>
      <c r="T1917" s="1"/>
      <c r="U1917" s="1"/>
      <c r="V1917" s="1"/>
      <c r="W1917" s="1"/>
      <c r="X1917" s="1"/>
      <c r="Y1917" s="1"/>
      <c r="Z1917" s="1"/>
      <c r="AA1917" s="1"/>
      <c r="AB1917" s="1"/>
      <c r="AC1917" s="1"/>
      <c r="AD1917" s="1" t="s">
        <v>93</v>
      </c>
      <c r="AE1917" s="1" t="s">
        <v>93</v>
      </c>
      <c r="AF1917" s="1"/>
      <c r="AG1917" s="1"/>
      <c r="AH1917" s="1"/>
      <c r="AI1917" s="1"/>
      <c r="AJ1917" s="1"/>
      <c r="AK1917" s="1"/>
      <c r="AL1917" s="1"/>
      <c r="AM1917" s="1"/>
      <c r="AN1917" s="1"/>
      <c r="AO1917" s="1"/>
      <c r="AP1917" s="1"/>
      <c r="AQ1917" s="1"/>
      <c r="AR1917" s="1"/>
      <c r="AS1917" s="1"/>
      <c r="AT1917" s="1"/>
      <c r="AU1917" s="1"/>
      <c r="AV1917" s="1"/>
      <c r="AW1917" s="1"/>
      <c r="AX1917" s="1"/>
      <c r="AY1917" s="1"/>
      <c r="AZ1917" s="1"/>
      <c r="BA1917" s="1"/>
      <c r="BB1917" s="1"/>
      <c r="BC1917" s="1"/>
      <c r="BD1917" s="1"/>
      <c r="BE1917" s="1"/>
      <c r="BF1917" s="1"/>
      <c r="BG1917" s="1"/>
      <c r="BH1917" s="1"/>
      <c r="BI1917" s="1"/>
      <c r="BJ1917" s="1"/>
      <c r="BK1917" s="1"/>
      <c r="BL1917" s="1"/>
      <c r="BM1917" s="1"/>
      <c r="BN1917" s="1"/>
      <c r="BO1917" s="1"/>
      <c r="BP1917" s="1" t="s">
        <v>9609</v>
      </c>
      <c r="BQ1917" s="3"/>
      <c r="BR1917" s="3"/>
    </row>
    <row r="1918" spans="1:70">
      <c r="A1918" s="1" t="s">
        <v>14387</v>
      </c>
      <c r="B1918" s="1" t="s">
        <v>13846</v>
      </c>
      <c r="C1918" s="1" t="s">
        <v>21098</v>
      </c>
      <c r="D1918" s="1"/>
      <c r="E1918" s="1"/>
      <c r="F1918" s="1"/>
      <c r="G1918" s="1"/>
      <c r="H1918" s="1" t="s">
        <v>21099</v>
      </c>
      <c r="I1918" s="1" t="s">
        <v>21099</v>
      </c>
      <c r="J1918" s="1"/>
      <c r="K1918" s="1"/>
      <c r="L1918" s="1"/>
      <c r="M1918" s="1"/>
      <c r="N1918" s="1"/>
      <c r="O1918" s="1"/>
      <c r="P1918" s="1"/>
      <c r="Q1918" s="1"/>
      <c r="R1918" s="1"/>
      <c r="S1918" s="1"/>
      <c r="T1918" s="1"/>
      <c r="U1918" s="1"/>
      <c r="V1918" s="1"/>
      <c r="W1918" s="1"/>
      <c r="X1918" s="1"/>
      <c r="Y1918" s="1"/>
      <c r="Z1918" s="1"/>
      <c r="AA1918" s="1"/>
      <c r="AB1918" s="1"/>
      <c r="AC1918" s="1"/>
      <c r="AD1918" s="1" t="s">
        <v>93</v>
      </c>
      <c r="AE1918" s="1" t="s">
        <v>93</v>
      </c>
      <c r="AF1918" s="1"/>
      <c r="AG1918" s="1"/>
      <c r="AH1918" s="1"/>
      <c r="AI1918" s="1"/>
      <c r="AJ1918" s="1"/>
      <c r="AK1918" s="1"/>
      <c r="AL1918" s="1"/>
      <c r="AM1918" s="1"/>
      <c r="AN1918" s="1"/>
      <c r="AO1918" s="1"/>
      <c r="AP1918" s="1"/>
      <c r="AQ1918" s="1"/>
      <c r="AR1918" s="1"/>
      <c r="AS1918" s="1"/>
      <c r="AT1918" s="1"/>
      <c r="AU1918" s="1"/>
      <c r="AV1918" s="1"/>
      <c r="AW1918" s="1"/>
      <c r="AX1918" s="1"/>
      <c r="AY1918" s="1"/>
      <c r="AZ1918" s="1"/>
      <c r="BA1918" s="1"/>
      <c r="BB1918" s="1"/>
      <c r="BC1918" s="1"/>
      <c r="BD1918" s="1"/>
      <c r="BE1918" s="1"/>
      <c r="BF1918" s="1"/>
      <c r="BG1918" s="1"/>
      <c r="BH1918" s="1"/>
      <c r="BI1918" s="1"/>
      <c r="BJ1918" s="1"/>
      <c r="BK1918" s="1"/>
      <c r="BL1918" s="1"/>
      <c r="BM1918" s="1"/>
      <c r="BN1918" s="1"/>
      <c r="BO1918" s="1"/>
      <c r="BP1918" s="1" t="s">
        <v>9609</v>
      </c>
      <c r="BQ1918" s="3"/>
      <c r="BR1918" s="3"/>
    </row>
    <row r="1919" spans="1:70">
      <c r="A1919" s="1" t="s">
        <v>14387</v>
      </c>
      <c r="B1919" s="1" t="s">
        <v>13846</v>
      </c>
      <c r="C1919" s="1" t="s">
        <v>21100</v>
      </c>
      <c r="D1919" s="1"/>
      <c r="E1919" s="1"/>
      <c r="F1919" s="1"/>
      <c r="G1919" s="1"/>
      <c r="H1919" s="1" t="s">
        <v>21101</v>
      </c>
      <c r="I1919" s="1" t="s">
        <v>21101</v>
      </c>
      <c r="J1919" s="1"/>
      <c r="K1919" s="1"/>
      <c r="L1919" s="1"/>
      <c r="M1919" s="1"/>
      <c r="N1919" s="1"/>
      <c r="O1919" s="1"/>
      <c r="P1919" s="1"/>
      <c r="Q1919" s="1"/>
      <c r="R1919" s="1"/>
      <c r="S1919" s="1"/>
      <c r="T1919" s="1"/>
      <c r="U1919" s="1"/>
      <c r="V1919" s="1"/>
      <c r="W1919" s="1"/>
      <c r="X1919" s="1"/>
      <c r="Y1919" s="1"/>
      <c r="Z1919" s="1"/>
      <c r="AA1919" s="1"/>
      <c r="AB1919" s="1"/>
      <c r="AC1919" s="1"/>
      <c r="AD1919" s="1" t="s">
        <v>93</v>
      </c>
      <c r="AE1919" s="1" t="s">
        <v>93</v>
      </c>
      <c r="AF1919" s="1"/>
      <c r="AG1919" s="1"/>
      <c r="AH1919" s="1"/>
      <c r="AI1919" s="1"/>
      <c r="AJ1919" s="1"/>
      <c r="AK1919" s="1"/>
      <c r="AL1919" s="1"/>
      <c r="AM1919" s="1"/>
      <c r="AN1919" s="1"/>
      <c r="AO1919" s="1"/>
      <c r="AP1919" s="1"/>
      <c r="AQ1919" s="1"/>
      <c r="AR1919" s="1"/>
      <c r="AS1919" s="1"/>
      <c r="AT1919" s="1"/>
      <c r="AU1919" s="1"/>
      <c r="AV1919" s="1"/>
      <c r="AW1919" s="1"/>
      <c r="AX1919" s="1"/>
      <c r="AY1919" s="1"/>
      <c r="AZ1919" s="1"/>
      <c r="BA1919" s="1"/>
      <c r="BB1919" s="1"/>
      <c r="BC1919" s="1"/>
      <c r="BD1919" s="1"/>
      <c r="BE1919" s="1"/>
      <c r="BF1919" s="1"/>
      <c r="BG1919" s="1"/>
      <c r="BH1919" s="1"/>
      <c r="BI1919" s="1"/>
      <c r="BJ1919" s="1"/>
      <c r="BK1919" s="1"/>
      <c r="BL1919" s="1"/>
      <c r="BM1919" s="1"/>
      <c r="BN1919" s="1"/>
      <c r="BO1919" s="1"/>
      <c r="BP1919" s="1" t="s">
        <v>9609</v>
      </c>
      <c r="BQ1919" s="3"/>
      <c r="BR1919" s="3"/>
    </row>
    <row r="1920" spans="1:70">
      <c r="A1920" s="1" t="s">
        <v>14387</v>
      </c>
      <c r="B1920" s="1" t="s">
        <v>13846</v>
      </c>
      <c r="C1920" s="1" t="s">
        <v>21102</v>
      </c>
      <c r="D1920" s="1"/>
      <c r="E1920" s="1"/>
      <c r="F1920" s="1"/>
      <c r="G1920" s="1"/>
      <c r="H1920" s="1" t="s">
        <v>21103</v>
      </c>
      <c r="I1920" s="1" t="s">
        <v>21103</v>
      </c>
      <c r="J1920" s="1"/>
      <c r="K1920" s="1"/>
      <c r="L1920" s="1"/>
      <c r="M1920" s="1"/>
      <c r="N1920" s="1"/>
      <c r="O1920" s="1"/>
      <c r="P1920" s="1"/>
      <c r="Q1920" s="1"/>
      <c r="R1920" s="1"/>
      <c r="S1920" s="1"/>
      <c r="T1920" s="1"/>
      <c r="U1920" s="1"/>
      <c r="V1920" s="1"/>
      <c r="W1920" s="1"/>
      <c r="X1920" s="1"/>
      <c r="Y1920" s="1"/>
      <c r="Z1920" s="1"/>
      <c r="AA1920" s="1"/>
      <c r="AB1920" s="1"/>
      <c r="AC1920" s="1"/>
      <c r="AD1920" s="1" t="s">
        <v>93</v>
      </c>
      <c r="AE1920" s="1" t="s">
        <v>93</v>
      </c>
      <c r="AF1920" s="1"/>
      <c r="AG1920" s="1"/>
      <c r="AH1920" s="1"/>
      <c r="AI1920" s="1"/>
      <c r="AJ1920" s="1"/>
      <c r="AK1920" s="1"/>
      <c r="AL1920" s="1"/>
      <c r="AM1920" s="1"/>
      <c r="AN1920" s="1"/>
      <c r="AO1920" s="1"/>
      <c r="AP1920" s="1"/>
      <c r="AQ1920" s="1"/>
      <c r="AR1920" s="1"/>
      <c r="AS1920" s="1"/>
      <c r="AT1920" s="1"/>
      <c r="AU1920" s="1"/>
      <c r="AV1920" s="1"/>
      <c r="AW1920" s="1"/>
      <c r="AX1920" s="1"/>
      <c r="AY1920" s="1"/>
      <c r="AZ1920" s="1"/>
      <c r="BA1920" s="1"/>
      <c r="BB1920" s="1"/>
      <c r="BC1920" s="1"/>
      <c r="BD1920" s="1"/>
      <c r="BE1920" s="1"/>
      <c r="BF1920" s="1"/>
      <c r="BG1920" s="1"/>
      <c r="BH1920" s="1"/>
      <c r="BI1920" s="1"/>
      <c r="BJ1920" s="1"/>
      <c r="BK1920" s="1"/>
      <c r="BL1920" s="1"/>
      <c r="BM1920" s="1"/>
      <c r="BN1920" s="1"/>
      <c r="BO1920" s="1"/>
      <c r="BP1920" s="1" t="s">
        <v>9609</v>
      </c>
      <c r="BQ1920" s="3"/>
      <c r="BR1920" s="3"/>
    </row>
    <row r="1921" spans="1:70">
      <c r="A1921" s="1" t="s">
        <v>14387</v>
      </c>
      <c r="B1921" s="1" t="s">
        <v>13846</v>
      </c>
      <c r="C1921" s="1" t="s">
        <v>21104</v>
      </c>
      <c r="D1921" s="1"/>
      <c r="E1921" s="1"/>
      <c r="F1921" s="1"/>
      <c r="G1921" s="1"/>
      <c r="H1921" s="1" t="s">
        <v>21105</v>
      </c>
      <c r="I1921" s="1" t="s">
        <v>21105</v>
      </c>
      <c r="J1921" s="1"/>
      <c r="K1921" s="1"/>
      <c r="L1921" s="1"/>
      <c r="M1921" s="1"/>
      <c r="N1921" s="1"/>
      <c r="O1921" s="1"/>
      <c r="P1921" s="1"/>
      <c r="Q1921" s="1"/>
      <c r="R1921" s="1"/>
      <c r="S1921" s="1"/>
      <c r="T1921" s="1"/>
      <c r="U1921" s="1"/>
      <c r="V1921" s="1"/>
      <c r="W1921" s="1"/>
      <c r="X1921" s="1"/>
      <c r="Y1921" s="1"/>
      <c r="Z1921" s="1"/>
      <c r="AA1921" s="1"/>
      <c r="AB1921" s="1"/>
      <c r="AC1921" s="1"/>
      <c r="AD1921" s="1" t="s">
        <v>93</v>
      </c>
      <c r="AE1921" s="1" t="s">
        <v>93</v>
      </c>
      <c r="AF1921" s="1"/>
      <c r="AG1921" s="1"/>
      <c r="AH1921" s="1"/>
      <c r="AI1921" s="1"/>
      <c r="AJ1921" s="1"/>
      <c r="AK1921" s="1"/>
      <c r="AL1921" s="1"/>
      <c r="AM1921" s="1"/>
      <c r="AN1921" s="1"/>
      <c r="AO1921" s="1"/>
      <c r="AP1921" s="1"/>
      <c r="AQ1921" s="1"/>
      <c r="AR1921" s="1"/>
      <c r="AS1921" s="1"/>
      <c r="AT1921" s="1"/>
      <c r="AU1921" s="1"/>
      <c r="AV1921" s="1"/>
      <c r="AW1921" s="1"/>
      <c r="AX1921" s="1"/>
      <c r="AY1921" s="1"/>
      <c r="AZ1921" s="1"/>
      <c r="BA1921" s="1"/>
      <c r="BB1921" s="1"/>
      <c r="BC1921" s="1"/>
      <c r="BD1921" s="1"/>
      <c r="BE1921" s="1"/>
      <c r="BF1921" s="1"/>
      <c r="BG1921" s="1"/>
      <c r="BH1921" s="1"/>
      <c r="BI1921" s="1"/>
      <c r="BJ1921" s="1"/>
      <c r="BK1921" s="1"/>
      <c r="BL1921" s="1"/>
      <c r="BM1921" s="1"/>
      <c r="BN1921" s="1"/>
      <c r="BO1921" s="1"/>
      <c r="BP1921" s="1" t="s">
        <v>9609</v>
      </c>
      <c r="BQ1921" s="3"/>
      <c r="BR1921" s="3"/>
    </row>
    <row r="1922" spans="1:70">
      <c r="A1922" s="1" t="s">
        <v>14387</v>
      </c>
      <c r="B1922" s="1" t="s">
        <v>13846</v>
      </c>
      <c r="C1922" s="1" t="s">
        <v>21106</v>
      </c>
      <c r="D1922" s="1"/>
      <c r="E1922" s="1"/>
      <c r="F1922" s="1"/>
      <c r="G1922" s="1"/>
      <c r="H1922" s="1" t="s">
        <v>21107</v>
      </c>
      <c r="I1922" s="1" t="s">
        <v>21107</v>
      </c>
      <c r="J1922" s="1"/>
      <c r="K1922" s="1"/>
      <c r="L1922" s="1"/>
      <c r="M1922" s="1"/>
      <c r="N1922" s="1"/>
      <c r="O1922" s="1"/>
      <c r="P1922" s="1"/>
      <c r="Q1922" s="1"/>
      <c r="R1922" s="1"/>
      <c r="S1922" s="1"/>
      <c r="T1922" s="1"/>
      <c r="U1922" s="1"/>
      <c r="V1922" s="1"/>
      <c r="W1922" s="1"/>
      <c r="X1922" s="1"/>
      <c r="Y1922" s="1"/>
      <c r="Z1922" s="1"/>
      <c r="AA1922" s="1"/>
      <c r="AB1922" s="1"/>
      <c r="AC1922" s="1"/>
      <c r="AD1922" s="1" t="s">
        <v>93</v>
      </c>
      <c r="AE1922" s="1" t="s">
        <v>93</v>
      </c>
      <c r="AF1922" s="1"/>
      <c r="AG1922" s="1"/>
      <c r="AH1922" s="1"/>
      <c r="AI1922" s="1"/>
      <c r="AJ1922" s="1"/>
      <c r="AK1922" s="1"/>
      <c r="AL1922" s="1"/>
      <c r="AM1922" s="1"/>
      <c r="AN1922" s="1"/>
      <c r="AO1922" s="1"/>
      <c r="AP1922" s="1"/>
      <c r="AQ1922" s="1"/>
      <c r="AR1922" s="1"/>
      <c r="AS1922" s="1"/>
      <c r="AT1922" s="1"/>
      <c r="AU1922" s="1"/>
      <c r="AV1922" s="1"/>
      <c r="AW1922" s="1"/>
      <c r="AX1922" s="1"/>
      <c r="AY1922" s="1"/>
      <c r="AZ1922" s="1"/>
      <c r="BA1922" s="1"/>
      <c r="BB1922" s="1"/>
      <c r="BC1922" s="1"/>
      <c r="BD1922" s="1"/>
      <c r="BE1922" s="1"/>
      <c r="BF1922" s="1"/>
      <c r="BG1922" s="1"/>
      <c r="BH1922" s="1"/>
      <c r="BI1922" s="1"/>
      <c r="BJ1922" s="1"/>
      <c r="BK1922" s="1"/>
      <c r="BL1922" s="1"/>
      <c r="BM1922" s="1"/>
      <c r="BN1922" s="1"/>
      <c r="BO1922" s="1"/>
      <c r="BP1922" s="1" t="s">
        <v>9609</v>
      </c>
      <c r="BQ1922" s="3"/>
      <c r="BR1922" s="3"/>
    </row>
    <row r="1923" spans="1:70">
      <c r="A1923" s="1" t="s">
        <v>14387</v>
      </c>
      <c r="B1923" s="1" t="s">
        <v>13846</v>
      </c>
      <c r="C1923" s="1" t="s">
        <v>21108</v>
      </c>
      <c r="D1923" s="1"/>
      <c r="E1923" s="1"/>
      <c r="F1923" s="1"/>
      <c r="G1923" s="1"/>
      <c r="H1923" s="1" t="s">
        <v>21109</v>
      </c>
      <c r="I1923" s="1" t="s">
        <v>21109</v>
      </c>
      <c r="J1923" s="1"/>
      <c r="K1923" s="1"/>
      <c r="L1923" s="1"/>
      <c r="M1923" s="1"/>
      <c r="N1923" s="1"/>
      <c r="O1923" s="1"/>
      <c r="P1923" s="1"/>
      <c r="Q1923" s="1"/>
      <c r="R1923" s="1"/>
      <c r="S1923" s="1"/>
      <c r="T1923" s="1"/>
      <c r="U1923" s="1"/>
      <c r="V1923" s="1"/>
      <c r="W1923" s="1"/>
      <c r="X1923" s="1"/>
      <c r="Y1923" s="1"/>
      <c r="Z1923" s="1"/>
      <c r="AA1923" s="1"/>
      <c r="AB1923" s="1"/>
      <c r="AC1923" s="1"/>
      <c r="AD1923" s="1" t="s">
        <v>93</v>
      </c>
      <c r="AE1923" s="1" t="s">
        <v>93</v>
      </c>
      <c r="AF1923" s="1"/>
      <c r="AG1923" s="1"/>
      <c r="AH1923" s="1"/>
      <c r="AI1923" s="1"/>
      <c r="AJ1923" s="1"/>
      <c r="AK1923" s="1"/>
      <c r="AL1923" s="1"/>
      <c r="AM1923" s="1"/>
      <c r="AN1923" s="1"/>
      <c r="AO1923" s="1"/>
      <c r="AP1923" s="1"/>
      <c r="AQ1923" s="1"/>
      <c r="AR1923" s="1"/>
      <c r="AS1923" s="1"/>
      <c r="AT1923" s="1"/>
      <c r="AU1923" s="1"/>
      <c r="AV1923" s="1"/>
      <c r="AW1923" s="1"/>
      <c r="AX1923" s="1"/>
      <c r="AY1923" s="1"/>
      <c r="AZ1923" s="1"/>
      <c r="BA1923" s="1"/>
      <c r="BB1923" s="1"/>
      <c r="BC1923" s="1"/>
      <c r="BD1923" s="1"/>
      <c r="BE1923" s="1"/>
      <c r="BF1923" s="1"/>
      <c r="BG1923" s="1"/>
      <c r="BH1923" s="1"/>
      <c r="BI1923" s="1"/>
      <c r="BJ1923" s="1"/>
      <c r="BK1923" s="1"/>
      <c r="BL1923" s="1"/>
      <c r="BM1923" s="1"/>
      <c r="BN1923" s="1"/>
      <c r="BO1923" s="1"/>
      <c r="BP1923" s="1" t="s">
        <v>9609</v>
      </c>
      <c r="BQ1923" s="3"/>
      <c r="BR1923" s="3"/>
    </row>
    <row r="1924" spans="1:70">
      <c r="A1924" s="1" t="s">
        <v>14387</v>
      </c>
      <c r="B1924" s="1" t="s">
        <v>13846</v>
      </c>
      <c r="C1924" s="1" t="s">
        <v>21110</v>
      </c>
      <c r="D1924" s="1"/>
      <c r="E1924" s="1"/>
      <c r="F1924" s="1"/>
      <c r="G1924" s="1"/>
      <c r="H1924" s="1" t="s">
        <v>21111</v>
      </c>
      <c r="I1924" s="1" t="s">
        <v>21111</v>
      </c>
      <c r="J1924" s="1"/>
      <c r="K1924" s="1"/>
      <c r="L1924" s="1"/>
      <c r="M1924" s="1"/>
      <c r="N1924" s="1"/>
      <c r="O1924" s="1"/>
      <c r="P1924" s="1"/>
      <c r="Q1924" s="1"/>
      <c r="R1924" s="1"/>
      <c r="S1924" s="1"/>
      <c r="T1924" s="1"/>
      <c r="U1924" s="1"/>
      <c r="V1924" s="1"/>
      <c r="W1924" s="1"/>
      <c r="X1924" s="1"/>
      <c r="Y1924" s="1"/>
      <c r="Z1924" s="1"/>
      <c r="AA1924" s="1"/>
      <c r="AB1924" s="1"/>
      <c r="AC1924" s="1"/>
      <c r="AD1924" s="1" t="s">
        <v>93</v>
      </c>
      <c r="AE1924" s="1" t="s">
        <v>93</v>
      </c>
      <c r="AF1924" s="1"/>
      <c r="AG1924" s="1"/>
      <c r="AH1924" s="1"/>
      <c r="AI1924" s="1"/>
      <c r="AJ1924" s="1"/>
      <c r="AK1924" s="1"/>
      <c r="AL1924" s="1"/>
      <c r="AM1924" s="1"/>
      <c r="AN1924" s="1"/>
      <c r="AO1924" s="1"/>
      <c r="AP1924" s="1"/>
      <c r="AQ1924" s="1"/>
      <c r="AR1924" s="1"/>
      <c r="AS1924" s="1"/>
      <c r="AT1924" s="1"/>
      <c r="AU1924" s="1"/>
      <c r="AV1924" s="1"/>
      <c r="AW1924" s="1"/>
      <c r="AX1924" s="1"/>
      <c r="AY1924" s="1"/>
      <c r="AZ1924" s="1"/>
      <c r="BA1924" s="1"/>
      <c r="BB1924" s="1"/>
      <c r="BC1924" s="1"/>
      <c r="BD1924" s="1"/>
      <c r="BE1924" s="1"/>
      <c r="BF1924" s="1"/>
      <c r="BG1924" s="1"/>
      <c r="BH1924" s="1"/>
      <c r="BI1924" s="1"/>
      <c r="BJ1924" s="1"/>
      <c r="BK1924" s="1"/>
      <c r="BL1924" s="1"/>
      <c r="BM1924" s="1"/>
      <c r="BN1924" s="1"/>
      <c r="BO1924" s="1"/>
      <c r="BP1924" s="1" t="s">
        <v>9609</v>
      </c>
      <c r="BQ1924" s="3"/>
      <c r="BR1924" s="3"/>
    </row>
    <row r="1925" spans="1:70">
      <c r="A1925" s="1" t="s">
        <v>14387</v>
      </c>
      <c r="B1925" s="1" t="s">
        <v>13846</v>
      </c>
      <c r="C1925" s="1" t="s">
        <v>21112</v>
      </c>
      <c r="D1925" s="1"/>
      <c r="E1925" s="1"/>
      <c r="F1925" s="1"/>
      <c r="G1925" s="1"/>
      <c r="H1925" s="1" t="s">
        <v>21113</v>
      </c>
      <c r="I1925" s="1" t="s">
        <v>21113</v>
      </c>
      <c r="J1925" s="1"/>
      <c r="K1925" s="1"/>
      <c r="L1925" s="1"/>
      <c r="M1925" s="1"/>
      <c r="N1925" s="1"/>
      <c r="O1925" s="1"/>
      <c r="P1925" s="1"/>
      <c r="Q1925" s="1"/>
      <c r="R1925" s="1"/>
      <c r="S1925" s="1"/>
      <c r="T1925" s="1"/>
      <c r="U1925" s="1"/>
      <c r="V1925" s="1"/>
      <c r="W1925" s="1"/>
      <c r="X1925" s="1"/>
      <c r="Y1925" s="1"/>
      <c r="Z1925" s="1"/>
      <c r="AA1925" s="1"/>
      <c r="AB1925" s="1"/>
      <c r="AC1925" s="1"/>
      <c r="AD1925" s="1" t="s">
        <v>93</v>
      </c>
      <c r="AE1925" s="1" t="s">
        <v>93</v>
      </c>
      <c r="AF1925" s="1"/>
      <c r="AG1925" s="1"/>
      <c r="AH1925" s="1"/>
      <c r="AI1925" s="1"/>
      <c r="AJ1925" s="1"/>
      <c r="AK1925" s="1"/>
      <c r="AL1925" s="1"/>
      <c r="AM1925" s="1"/>
      <c r="AN1925" s="1"/>
      <c r="AO1925" s="1"/>
      <c r="AP1925" s="1"/>
      <c r="AQ1925" s="1"/>
      <c r="AR1925" s="1"/>
      <c r="AS1925" s="1"/>
      <c r="AT1925" s="1"/>
      <c r="AU1925" s="1"/>
      <c r="AV1925" s="1"/>
      <c r="AW1925" s="1"/>
      <c r="AX1925" s="1"/>
      <c r="AY1925" s="1"/>
      <c r="AZ1925" s="1"/>
      <c r="BA1925" s="1"/>
      <c r="BB1925" s="1"/>
      <c r="BC1925" s="1"/>
      <c r="BD1925" s="1"/>
      <c r="BE1925" s="1"/>
      <c r="BF1925" s="1"/>
      <c r="BG1925" s="1"/>
      <c r="BH1925" s="1"/>
      <c r="BI1925" s="1"/>
      <c r="BJ1925" s="1"/>
      <c r="BK1925" s="1"/>
      <c r="BL1925" s="1"/>
      <c r="BM1925" s="1"/>
      <c r="BN1925" s="1"/>
      <c r="BO1925" s="1"/>
      <c r="BP1925" s="1" t="s">
        <v>9609</v>
      </c>
      <c r="BQ1925" s="3"/>
      <c r="BR1925" s="3"/>
    </row>
    <row r="1926" spans="1:70">
      <c r="A1926" s="1" t="s">
        <v>14387</v>
      </c>
      <c r="B1926" s="1" t="s">
        <v>13846</v>
      </c>
      <c r="C1926" s="1" t="s">
        <v>21114</v>
      </c>
      <c r="D1926" s="1"/>
      <c r="E1926" s="1"/>
      <c r="F1926" s="1"/>
      <c r="G1926" s="1"/>
      <c r="H1926" s="1" t="s">
        <v>21115</v>
      </c>
      <c r="I1926" s="1" t="s">
        <v>21115</v>
      </c>
      <c r="J1926" s="1"/>
      <c r="K1926" s="1"/>
      <c r="L1926" s="1"/>
      <c r="M1926" s="1"/>
      <c r="N1926" s="1"/>
      <c r="O1926" s="1"/>
      <c r="P1926" s="1"/>
      <c r="Q1926" s="1"/>
      <c r="R1926" s="1"/>
      <c r="S1926" s="1"/>
      <c r="T1926" s="1"/>
      <c r="U1926" s="1"/>
      <c r="V1926" s="1"/>
      <c r="W1926" s="1"/>
      <c r="X1926" s="1"/>
      <c r="Y1926" s="1"/>
      <c r="Z1926" s="1"/>
      <c r="AA1926" s="1"/>
      <c r="AB1926" s="1"/>
      <c r="AC1926" s="1"/>
      <c r="AD1926" s="1" t="s">
        <v>93</v>
      </c>
      <c r="AE1926" s="1" t="s">
        <v>93</v>
      </c>
      <c r="AF1926" s="1"/>
      <c r="AG1926" s="1"/>
      <c r="AH1926" s="1"/>
      <c r="AI1926" s="1"/>
      <c r="AJ1926" s="1"/>
      <c r="AK1926" s="1"/>
      <c r="AL1926" s="1"/>
      <c r="AM1926" s="1"/>
      <c r="AN1926" s="1"/>
      <c r="AO1926" s="1"/>
      <c r="AP1926" s="1"/>
      <c r="AQ1926" s="1"/>
      <c r="AR1926" s="1"/>
      <c r="AS1926" s="1"/>
      <c r="AT1926" s="1"/>
      <c r="AU1926" s="1"/>
      <c r="AV1926" s="1"/>
      <c r="AW1926" s="1"/>
      <c r="AX1926" s="1"/>
      <c r="AY1926" s="1"/>
      <c r="AZ1926" s="1"/>
      <c r="BA1926" s="1"/>
      <c r="BB1926" s="1"/>
      <c r="BC1926" s="1"/>
      <c r="BD1926" s="1"/>
      <c r="BE1926" s="1"/>
      <c r="BF1926" s="1"/>
      <c r="BG1926" s="1"/>
      <c r="BH1926" s="1"/>
      <c r="BI1926" s="1"/>
      <c r="BJ1926" s="1"/>
      <c r="BK1926" s="1"/>
      <c r="BL1926" s="1"/>
      <c r="BM1926" s="1"/>
      <c r="BN1926" s="1"/>
      <c r="BO1926" s="1"/>
      <c r="BP1926" s="1" t="s">
        <v>9609</v>
      </c>
      <c r="BQ1926" s="3"/>
      <c r="BR1926" s="3"/>
    </row>
    <row r="1927" spans="1:70">
      <c r="A1927" s="1" t="s">
        <v>14387</v>
      </c>
      <c r="B1927" s="1" t="s">
        <v>13846</v>
      </c>
      <c r="C1927" s="1" t="s">
        <v>21116</v>
      </c>
      <c r="D1927" s="1"/>
      <c r="E1927" s="1"/>
      <c r="F1927" s="1"/>
      <c r="G1927" s="1"/>
      <c r="H1927" s="1" t="s">
        <v>21117</v>
      </c>
      <c r="I1927" s="1" t="s">
        <v>21117</v>
      </c>
      <c r="J1927" s="1"/>
      <c r="K1927" s="1"/>
      <c r="L1927" s="1"/>
      <c r="M1927" s="1"/>
      <c r="N1927" s="1"/>
      <c r="O1927" s="1"/>
      <c r="P1927" s="1"/>
      <c r="Q1927" s="1"/>
      <c r="R1927" s="1"/>
      <c r="S1927" s="1"/>
      <c r="T1927" s="1"/>
      <c r="U1927" s="1"/>
      <c r="V1927" s="1"/>
      <c r="W1927" s="1"/>
      <c r="X1927" s="1"/>
      <c r="Y1927" s="1"/>
      <c r="Z1927" s="1"/>
      <c r="AA1927" s="1"/>
      <c r="AB1927" s="1"/>
      <c r="AC1927" s="1"/>
      <c r="AD1927" s="1" t="s">
        <v>93</v>
      </c>
      <c r="AE1927" s="1" t="s">
        <v>93</v>
      </c>
      <c r="AF1927" s="1"/>
      <c r="AG1927" s="1"/>
      <c r="AH1927" s="1"/>
      <c r="AI1927" s="1"/>
      <c r="AJ1927" s="1"/>
      <c r="AK1927" s="1"/>
      <c r="AL1927" s="1"/>
      <c r="AM1927" s="1"/>
      <c r="AN1927" s="1"/>
      <c r="AO1927" s="1"/>
      <c r="AP1927" s="1"/>
      <c r="AQ1927" s="1"/>
      <c r="AR1927" s="1"/>
      <c r="AS1927" s="1"/>
      <c r="AT1927" s="1"/>
      <c r="AU1927" s="1"/>
      <c r="AV1927" s="1"/>
      <c r="AW1927" s="1"/>
      <c r="AX1927" s="1"/>
      <c r="AY1927" s="1"/>
      <c r="AZ1927" s="1"/>
      <c r="BA1927" s="1"/>
      <c r="BB1927" s="1"/>
      <c r="BC1927" s="1"/>
      <c r="BD1927" s="1"/>
      <c r="BE1927" s="1"/>
      <c r="BF1927" s="1"/>
      <c r="BG1927" s="1"/>
      <c r="BH1927" s="1"/>
      <c r="BI1927" s="1"/>
      <c r="BJ1927" s="1"/>
      <c r="BK1927" s="1"/>
      <c r="BL1927" s="1"/>
      <c r="BM1927" s="1"/>
      <c r="BN1927" s="1"/>
      <c r="BO1927" s="1"/>
      <c r="BP1927" s="1" t="s">
        <v>9609</v>
      </c>
      <c r="BQ1927" s="3"/>
      <c r="BR1927" s="3"/>
    </row>
    <row r="1928" spans="1:70">
      <c r="A1928" s="1" t="s">
        <v>14387</v>
      </c>
      <c r="B1928" s="1" t="s">
        <v>13846</v>
      </c>
      <c r="C1928" s="1" t="s">
        <v>21118</v>
      </c>
      <c r="D1928" s="1"/>
      <c r="E1928" s="1"/>
      <c r="F1928" s="1"/>
      <c r="G1928" s="1"/>
      <c r="H1928" s="1" t="s">
        <v>21119</v>
      </c>
      <c r="I1928" s="1" t="s">
        <v>21119</v>
      </c>
      <c r="J1928" s="1"/>
      <c r="K1928" s="1"/>
      <c r="L1928" s="1"/>
      <c r="M1928" s="1"/>
      <c r="N1928" s="1"/>
      <c r="O1928" s="1"/>
      <c r="P1928" s="1"/>
      <c r="Q1928" s="1"/>
      <c r="R1928" s="1"/>
      <c r="S1928" s="1"/>
      <c r="T1928" s="1"/>
      <c r="U1928" s="1"/>
      <c r="V1928" s="1"/>
      <c r="W1928" s="1"/>
      <c r="X1928" s="1"/>
      <c r="Y1928" s="1"/>
      <c r="Z1928" s="1"/>
      <c r="AA1928" s="1"/>
      <c r="AB1928" s="1"/>
      <c r="AC1928" s="1"/>
      <c r="AD1928" s="1" t="s">
        <v>93</v>
      </c>
      <c r="AE1928" s="1" t="s">
        <v>93</v>
      </c>
      <c r="AF1928" s="1"/>
      <c r="AG1928" s="1"/>
      <c r="AH1928" s="1"/>
      <c r="AI1928" s="1"/>
      <c r="AJ1928" s="1"/>
      <c r="AK1928" s="1"/>
      <c r="AL1928" s="1"/>
      <c r="AM1928" s="1"/>
      <c r="AN1928" s="1"/>
      <c r="AO1928" s="1"/>
      <c r="AP1928" s="1"/>
      <c r="AQ1928" s="1"/>
      <c r="AR1928" s="1"/>
      <c r="AS1928" s="1"/>
      <c r="AT1928" s="1"/>
      <c r="AU1928" s="1"/>
      <c r="AV1928" s="1"/>
      <c r="AW1928" s="1"/>
      <c r="AX1928" s="1"/>
      <c r="AY1928" s="1"/>
      <c r="AZ1928" s="1"/>
      <c r="BA1928" s="1"/>
      <c r="BB1928" s="1"/>
      <c r="BC1928" s="1"/>
      <c r="BD1928" s="1"/>
      <c r="BE1928" s="1"/>
      <c r="BF1928" s="1"/>
      <c r="BG1928" s="1"/>
      <c r="BH1928" s="1"/>
      <c r="BI1928" s="1"/>
      <c r="BJ1928" s="1"/>
      <c r="BK1928" s="1"/>
      <c r="BL1928" s="1"/>
      <c r="BM1928" s="1"/>
      <c r="BN1928" s="1"/>
      <c r="BO1928" s="1"/>
      <c r="BP1928" s="1" t="s">
        <v>9609</v>
      </c>
      <c r="BQ1928" s="3"/>
      <c r="BR1928" s="3"/>
    </row>
    <row r="1929" spans="1:70">
      <c r="A1929" s="1" t="s">
        <v>14387</v>
      </c>
      <c r="B1929" s="1" t="s">
        <v>13846</v>
      </c>
      <c r="C1929" s="1" t="s">
        <v>21120</v>
      </c>
      <c r="D1929" s="1"/>
      <c r="E1929" s="1"/>
      <c r="F1929" s="1"/>
      <c r="G1929" s="1"/>
      <c r="H1929" s="1" t="s">
        <v>21121</v>
      </c>
      <c r="I1929" s="1" t="s">
        <v>21121</v>
      </c>
      <c r="J1929" s="1"/>
      <c r="K1929" s="1"/>
      <c r="L1929" s="1"/>
      <c r="M1929" s="1"/>
      <c r="N1929" s="1"/>
      <c r="O1929" s="1"/>
      <c r="P1929" s="1"/>
      <c r="Q1929" s="1"/>
      <c r="R1929" s="1"/>
      <c r="S1929" s="1"/>
      <c r="T1929" s="1"/>
      <c r="U1929" s="1"/>
      <c r="V1929" s="1"/>
      <c r="W1929" s="1"/>
      <c r="X1929" s="1"/>
      <c r="Y1929" s="1"/>
      <c r="Z1929" s="1"/>
      <c r="AA1929" s="1"/>
      <c r="AB1929" s="1"/>
      <c r="AC1929" s="1"/>
      <c r="AD1929" s="1" t="s">
        <v>93</v>
      </c>
      <c r="AE1929" s="1" t="s">
        <v>93</v>
      </c>
      <c r="AF1929" s="1"/>
      <c r="AG1929" s="1"/>
      <c r="AH1929" s="1"/>
      <c r="AI1929" s="1"/>
      <c r="AJ1929" s="1"/>
      <c r="AK1929" s="1"/>
      <c r="AL1929" s="1"/>
      <c r="AM1929" s="1"/>
      <c r="AN1929" s="1"/>
      <c r="AO1929" s="1"/>
      <c r="AP1929" s="1"/>
      <c r="AQ1929" s="1"/>
      <c r="AR1929" s="1"/>
      <c r="AS1929" s="1"/>
      <c r="AT1929" s="1"/>
      <c r="AU1929" s="1"/>
      <c r="AV1929" s="1"/>
      <c r="AW1929" s="1"/>
      <c r="AX1929" s="1"/>
      <c r="AY1929" s="1"/>
      <c r="AZ1929" s="1"/>
      <c r="BA1929" s="1"/>
      <c r="BB1929" s="1"/>
      <c r="BC1929" s="1"/>
      <c r="BD1929" s="1"/>
      <c r="BE1929" s="1"/>
      <c r="BF1929" s="1"/>
      <c r="BG1929" s="1"/>
      <c r="BH1929" s="1"/>
      <c r="BI1929" s="1"/>
      <c r="BJ1929" s="1"/>
      <c r="BK1929" s="1"/>
      <c r="BL1929" s="1"/>
      <c r="BM1929" s="1"/>
      <c r="BN1929" s="1"/>
      <c r="BO1929" s="1"/>
      <c r="BP1929" s="1" t="s">
        <v>9609</v>
      </c>
      <c r="BQ1929" s="3"/>
      <c r="BR1929" s="3"/>
    </row>
    <row r="1930" spans="1:70">
      <c r="A1930" s="1" t="s">
        <v>14387</v>
      </c>
      <c r="B1930" s="1" t="s">
        <v>13846</v>
      </c>
      <c r="C1930" s="1" t="s">
        <v>21122</v>
      </c>
      <c r="D1930" s="1"/>
      <c r="E1930" s="1"/>
      <c r="F1930" s="1"/>
      <c r="G1930" s="1"/>
      <c r="H1930" s="1" t="s">
        <v>21123</v>
      </c>
      <c r="I1930" s="1" t="s">
        <v>21123</v>
      </c>
      <c r="J1930" s="1"/>
      <c r="K1930" s="1"/>
      <c r="L1930" s="1"/>
      <c r="M1930" s="1"/>
      <c r="N1930" s="1"/>
      <c r="O1930" s="1"/>
      <c r="P1930" s="1"/>
      <c r="Q1930" s="1"/>
      <c r="R1930" s="1"/>
      <c r="S1930" s="1"/>
      <c r="T1930" s="1"/>
      <c r="U1930" s="1"/>
      <c r="V1930" s="1"/>
      <c r="W1930" s="1"/>
      <c r="X1930" s="1"/>
      <c r="Y1930" s="1"/>
      <c r="Z1930" s="1"/>
      <c r="AA1930" s="1"/>
      <c r="AB1930" s="1"/>
      <c r="AC1930" s="1"/>
      <c r="AD1930" s="1" t="s">
        <v>93</v>
      </c>
      <c r="AE1930" s="1" t="s">
        <v>93</v>
      </c>
      <c r="AF1930" s="1"/>
      <c r="AG1930" s="1"/>
      <c r="AH1930" s="1"/>
      <c r="AI1930" s="1"/>
      <c r="AJ1930" s="1"/>
      <c r="AK1930" s="1"/>
      <c r="AL1930" s="1"/>
      <c r="AM1930" s="1"/>
      <c r="AN1930" s="1"/>
      <c r="AO1930" s="1"/>
      <c r="AP1930" s="1"/>
      <c r="AQ1930" s="1"/>
      <c r="AR1930" s="1"/>
      <c r="AS1930" s="1"/>
      <c r="AT1930" s="1"/>
      <c r="AU1930" s="1"/>
      <c r="AV1930" s="1"/>
      <c r="AW1930" s="1"/>
      <c r="AX1930" s="1"/>
      <c r="AY1930" s="1"/>
      <c r="AZ1930" s="1"/>
      <c r="BA1930" s="1"/>
      <c r="BB1930" s="1"/>
      <c r="BC1930" s="1"/>
      <c r="BD1930" s="1"/>
      <c r="BE1930" s="1"/>
      <c r="BF1930" s="1"/>
      <c r="BG1930" s="1"/>
      <c r="BH1930" s="1"/>
      <c r="BI1930" s="1"/>
      <c r="BJ1930" s="1"/>
      <c r="BK1930" s="1"/>
      <c r="BL1930" s="1"/>
      <c r="BM1930" s="1"/>
      <c r="BN1930" s="1"/>
      <c r="BO1930" s="1"/>
      <c r="BP1930" s="1" t="s">
        <v>9609</v>
      </c>
      <c r="BQ1930" s="3"/>
      <c r="BR1930" s="3"/>
    </row>
    <row r="1931" spans="1:70">
      <c r="A1931" s="1" t="s">
        <v>14387</v>
      </c>
      <c r="B1931" s="1" t="s">
        <v>13846</v>
      </c>
      <c r="C1931" s="1" t="s">
        <v>21124</v>
      </c>
      <c r="D1931" s="1"/>
      <c r="E1931" s="1"/>
      <c r="F1931" s="1"/>
      <c r="G1931" s="1"/>
      <c r="H1931" s="1" t="s">
        <v>21125</v>
      </c>
      <c r="I1931" s="1" t="s">
        <v>21125</v>
      </c>
      <c r="J1931" s="1"/>
      <c r="K1931" s="1"/>
      <c r="L1931" s="1"/>
      <c r="M1931" s="1"/>
      <c r="N1931" s="1"/>
      <c r="O1931" s="1"/>
      <c r="P1931" s="1"/>
      <c r="Q1931" s="1"/>
      <c r="R1931" s="1"/>
      <c r="S1931" s="1"/>
      <c r="T1931" s="1"/>
      <c r="U1931" s="1"/>
      <c r="V1931" s="1"/>
      <c r="W1931" s="1"/>
      <c r="X1931" s="1"/>
      <c r="Y1931" s="1"/>
      <c r="Z1931" s="1"/>
      <c r="AA1931" s="1"/>
      <c r="AB1931" s="1"/>
      <c r="AC1931" s="1"/>
      <c r="AD1931" s="1" t="s">
        <v>93</v>
      </c>
      <c r="AE1931" s="1" t="s">
        <v>93</v>
      </c>
      <c r="AF1931" s="1"/>
      <c r="AG1931" s="1"/>
      <c r="AH1931" s="1"/>
      <c r="AI1931" s="1"/>
      <c r="AJ1931" s="1"/>
      <c r="AK1931" s="1"/>
      <c r="AL1931" s="1"/>
      <c r="AM1931" s="1"/>
      <c r="AN1931" s="1"/>
      <c r="AO1931" s="1"/>
      <c r="AP1931" s="1"/>
      <c r="AQ1931" s="1"/>
      <c r="AR1931" s="1"/>
      <c r="AS1931" s="1"/>
      <c r="AT1931" s="1"/>
      <c r="AU1931" s="1"/>
      <c r="AV1931" s="1"/>
      <c r="AW1931" s="1"/>
      <c r="AX1931" s="1"/>
      <c r="AY1931" s="1"/>
      <c r="AZ1931" s="1"/>
      <c r="BA1931" s="1"/>
      <c r="BB1931" s="1"/>
      <c r="BC1931" s="1"/>
      <c r="BD1931" s="1"/>
      <c r="BE1931" s="1"/>
      <c r="BF1931" s="1"/>
      <c r="BG1931" s="1"/>
      <c r="BH1931" s="1"/>
      <c r="BI1931" s="1"/>
      <c r="BJ1931" s="1"/>
      <c r="BK1931" s="1"/>
      <c r="BL1931" s="1"/>
      <c r="BM1931" s="1"/>
      <c r="BN1931" s="1"/>
      <c r="BO1931" s="1"/>
      <c r="BP1931" s="1" t="s">
        <v>9609</v>
      </c>
      <c r="BQ1931" s="3"/>
      <c r="BR1931" s="3"/>
    </row>
    <row r="1932" spans="1:70">
      <c r="A1932" s="1" t="s">
        <v>14387</v>
      </c>
      <c r="B1932" s="1" t="s">
        <v>13846</v>
      </c>
      <c r="C1932" s="1" t="s">
        <v>21126</v>
      </c>
      <c r="D1932" s="1"/>
      <c r="E1932" s="1"/>
      <c r="F1932" s="1"/>
      <c r="G1932" s="1"/>
      <c r="H1932" s="1" t="s">
        <v>21127</v>
      </c>
      <c r="I1932" s="1" t="s">
        <v>21127</v>
      </c>
      <c r="J1932" s="1"/>
      <c r="K1932" s="1"/>
      <c r="L1932" s="1"/>
      <c r="M1932" s="1"/>
      <c r="N1932" s="1"/>
      <c r="O1932" s="1"/>
      <c r="P1932" s="1"/>
      <c r="Q1932" s="1"/>
      <c r="R1932" s="1"/>
      <c r="S1932" s="1"/>
      <c r="T1932" s="1"/>
      <c r="U1932" s="1"/>
      <c r="V1932" s="1"/>
      <c r="W1932" s="1"/>
      <c r="X1932" s="1"/>
      <c r="Y1932" s="1"/>
      <c r="Z1932" s="1"/>
      <c r="AA1932" s="1"/>
      <c r="AB1932" s="1"/>
      <c r="AC1932" s="1"/>
      <c r="AD1932" s="1" t="s">
        <v>93</v>
      </c>
      <c r="AE1932" s="1" t="s">
        <v>93</v>
      </c>
      <c r="AF1932" s="1"/>
      <c r="AG1932" s="1"/>
      <c r="AH1932" s="1"/>
      <c r="AI1932" s="1"/>
      <c r="AJ1932" s="1"/>
      <c r="AK1932" s="1"/>
      <c r="AL1932" s="1"/>
      <c r="AM1932" s="1"/>
      <c r="AN1932" s="1"/>
      <c r="AO1932" s="1"/>
      <c r="AP1932" s="1"/>
      <c r="AQ1932" s="1"/>
      <c r="AR1932" s="1"/>
      <c r="AS1932" s="1"/>
      <c r="AT1932" s="1"/>
      <c r="AU1932" s="1"/>
      <c r="AV1932" s="1"/>
      <c r="AW1932" s="1"/>
      <c r="AX1932" s="1"/>
      <c r="AY1932" s="1"/>
      <c r="AZ1932" s="1"/>
      <c r="BA1932" s="1"/>
      <c r="BB1932" s="1"/>
      <c r="BC1932" s="1"/>
      <c r="BD1932" s="1"/>
      <c r="BE1932" s="1"/>
      <c r="BF1932" s="1"/>
      <c r="BG1932" s="1"/>
      <c r="BH1932" s="1"/>
      <c r="BI1932" s="1"/>
      <c r="BJ1932" s="1"/>
      <c r="BK1932" s="1"/>
      <c r="BL1932" s="1"/>
      <c r="BM1932" s="1"/>
      <c r="BN1932" s="1"/>
      <c r="BO1932" s="1"/>
      <c r="BP1932" s="1" t="s">
        <v>9609</v>
      </c>
      <c r="BQ1932" s="3"/>
      <c r="BR1932" s="3"/>
    </row>
    <row r="1933" spans="1:70">
      <c r="A1933" s="1" t="s">
        <v>14387</v>
      </c>
      <c r="B1933" s="1" t="s">
        <v>13846</v>
      </c>
      <c r="C1933" s="1" t="s">
        <v>21128</v>
      </c>
      <c r="D1933" s="1"/>
      <c r="E1933" s="1"/>
      <c r="F1933" s="1"/>
      <c r="G1933" s="1"/>
      <c r="H1933" s="1" t="s">
        <v>21129</v>
      </c>
      <c r="I1933" s="1" t="s">
        <v>21129</v>
      </c>
      <c r="J1933" s="1"/>
      <c r="K1933" s="1"/>
      <c r="L1933" s="1"/>
      <c r="M1933" s="1"/>
      <c r="N1933" s="1"/>
      <c r="O1933" s="1"/>
      <c r="P1933" s="1"/>
      <c r="Q1933" s="1"/>
      <c r="R1933" s="1"/>
      <c r="S1933" s="1"/>
      <c r="T1933" s="1"/>
      <c r="U1933" s="1"/>
      <c r="V1933" s="1"/>
      <c r="W1933" s="1"/>
      <c r="X1933" s="1"/>
      <c r="Y1933" s="1"/>
      <c r="Z1933" s="1"/>
      <c r="AA1933" s="1"/>
      <c r="AB1933" s="1"/>
      <c r="AC1933" s="1"/>
      <c r="AD1933" s="1" t="s">
        <v>93</v>
      </c>
      <c r="AE1933" s="1" t="s">
        <v>93</v>
      </c>
      <c r="AF1933" s="1"/>
      <c r="AG1933" s="1"/>
      <c r="AH1933" s="1"/>
      <c r="AI1933" s="1"/>
      <c r="AJ1933" s="1"/>
      <c r="AK1933" s="1"/>
      <c r="AL1933" s="1"/>
      <c r="AM1933" s="1"/>
      <c r="AN1933" s="1"/>
      <c r="AO1933" s="1"/>
      <c r="AP1933" s="1"/>
      <c r="AQ1933" s="1"/>
      <c r="AR1933" s="1"/>
      <c r="AS1933" s="1"/>
      <c r="AT1933" s="1"/>
      <c r="AU1933" s="1"/>
      <c r="AV1933" s="1"/>
      <c r="AW1933" s="1"/>
      <c r="AX1933" s="1"/>
      <c r="AY1933" s="1"/>
      <c r="AZ1933" s="1"/>
      <c r="BA1933" s="1"/>
      <c r="BB1933" s="1"/>
      <c r="BC1933" s="1"/>
      <c r="BD1933" s="1"/>
      <c r="BE1933" s="1"/>
      <c r="BF1933" s="1"/>
      <c r="BG1933" s="1"/>
      <c r="BH1933" s="1"/>
      <c r="BI1933" s="1"/>
      <c r="BJ1933" s="1"/>
      <c r="BK1933" s="1"/>
      <c r="BL1933" s="1"/>
      <c r="BM1933" s="1"/>
      <c r="BN1933" s="1"/>
      <c r="BO1933" s="1"/>
      <c r="BP1933" s="1" t="s">
        <v>9609</v>
      </c>
      <c r="BQ1933" s="3"/>
      <c r="BR1933" s="3"/>
    </row>
    <row r="1934" spans="1:70">
      <c r="A1934" s="1" t="s">
        <v>14387</v>
      </c>
      <c r="B1934" s="1" t="s">
        <v>13846</v>
      </c>
      <c r="C1934" s="1" t="s">
        <v>21130</v>
      </c>
      <c r="D1934" s="1"/>
      <c r="E1934" s="1"/>
      <c r="F1934" s="1"/>
      <c r="G1934" s="1"/>
      <c r="H1934" s="1" t="s">
        <v>21131</v>
      </c>
      <c r="I1934" s="1" t="s">
        <v>21131</v>
      </c>
      <c r="J1934" s="1"/>
      <c r="K1934" s="1"/>
      <c r="L1934" s="1"/>
      <c r="M1934" s="1"/>
      <c r="N1934" s="1"/>
      <c r="O1934" s="1"/>
      <c r="P1934" s="1"/>
      <c r="Q1934" s="1"/>
      <c r="R1934" s="1"/>
      <c r="S1934" s="1"/>
      <c r="T1934" s="1"/>
      <c r="U1934" s="1"/>
      <c r="V1934" s="1"/>
      <c r="W1934" s="1"/>
      <c r="X1934" s="1"/>
      <c r="Y1934" s="1"/>
      <c r="Z1934" s="1"/>
      <c r="AA1934" s="1"/>
      <c r="AB1934" s="1"/>
      <c r="AC1934" s="1"/>
      <c r="AD1934" s="1" t="s">
        <v>93</v>
      </c>
      <c r="AE1934" s="1" t="s">
        <v>93</v>
      </c>
      <c r="AF1934" s="1"/>
      <c r="AG1934" s="1"/>
      <c r="AH1934" s="1"/>
      <c r="AI1934" s="1"/>
      <c r="AJ1934" s="1"/>
      <c r="AK1934" s="1"/>
      <c r="AL1934" s="1"/>
      <c r="AM1934" s="1"/>
      <c r="AN1934" s="1"/>
      <c r="AO1934" s="1"/>
      <c r="AP1934" s="1"/>
      <c r="AQ1934" s="1"/>
      <c r="AR1934" s="1"/>
      <c r="AS1934" s="1"/>
      <c r="AT1934" s="1"/>
      <c r="AU1934" s="1"/>
      <c r="AV1934" s="1"/>
      <c r="AW1934" s="1"/>
      <c r="AX1934" s="1"/>
      <c r="AY1934" s="1"/>
      <c r="AZ1934" s="1"/>
      <c r="BA1934" s="1"/>
      <c r="BB1934" s="1"/>
      <c r="BC1934" s="1"/>
      <c r="BD1934" s="1"/>
      <c r="BE1934" s="1"/>
      <c r="BF1934" s="1"/>
      <c r="BG1934" s="1"/>
      <c r="BH1934" s="1"/>
      <c r="BI1934" s="1"/>
      <c r="BJ1934" s="1"/>
      <c r="BK1934" s="1"/>
      <c r="BL1934" s="1"/>
      <c r="BM1934" s="1"/>
      <c r="BN1934" s="1"/>
      <c r="BO1934" s="1"/>
      <c r="BP1934" s="1" t="s">
        <v>9609</v>
      </c>
      <c r="BQ1934" s="3"/>
      <c r="BR1934" s="3"/>
    </row>
    <row r="1935" spans="1:70">
      <c r="A1935" s="1" t="s">
        <v>14387</v>
      </c>
      <c r="B1935" s="1" t="s">
        <v>13846</v>
      </c>
      <c r="C1935" s="1" t="s">
        <v>21132</v>
      </c>
      <c r="D1935" s="1"/>
      <c r="E1935" s="1"/>
      <c r="F1935" s="1"/>
      <c r="G1935" s="1"/>
      <c r="H1935" s="1" t="s">
        <v>21133</v>
      </c>
      <c r="I1935" s="1" t="s">
        <v>21133</v>
      </c>
      <c r="J1935" s="1"/>
      <c r="K1935" s="1"/>
      <c r="L1935" s="1"/>
      <c r="M1935" s="1"/>
      <c r="N1935" s="1"/>
      <c r="O1935" s="1"/>
      <c r="P1935" s="1"/>
      <c r="Q1935" s="1"/>
      <c r="R1935" s="1"/>
      <c r="S1935" s="1"/>
      <c r="T1935" s="1"/>
      <c r="U1935" s="1"/>
      <c r="V1935" s="1"/>
      <c r="W1935" s="1"/>
      <c r="X1935" s="1"/>
      <c r="Y1935" s="1"/>
      <c r="Z1935" s="1"/>
      <c r="AA1935" s="1"/>
      <c r="AB1935" s="1"/>
      <c r="AC1935" s="1"/>
      <c r="AD1935" s="1" t="s">
        <v>93</v>
      </c>
      <c r="AE1935" s="1" t="s">
        <v>93</v>
      </c>
      <c r="AF1935" s="1"/>
      <c r="AG1935" s="1"/>
      <c r="AH1935" s="1"/>
      <c r="AI1935" s="1"/>
      <c r="AJ1935" s="1"/>
      <c r="AK1935" s="1"/>
      <c r="AL1935" s="1"/>
      <c r="AM1935" s="1"/>
      <c r="AN1935" s="1"/>
      <c r="AO1935" s="1"/>
      <c r="AP1935" s="1"/>
      <c r="AQ1935" s="1"/>
      <c r="AR1935" s="1"/>
      <c r="AS1935" s="1"/>
      <c r="AT1935" s="1"/>
      <c r="AU1935" s="1"/>
      <c r="AV1935" s="1"/>
      <c r="AW1935" s="1"/>
      <c r="AX1935" s="1"/>
      <c r="AY1935" s="1"/>
      <c r="AZ1935" s="1"/>
      <c r="BA1935" s="1"/>
      <c r="BB1935" s="1"/>
      <c r="BC1935" s="1"/>
      <c r="BD1935" s="1"/>
      <c r="BE1935" s="1"/>
      <c r="BF1935" s="1"/>
      <c r="BG1935" s="1"/>
      <c r="BH1935" s="1"/>
      <c r="BI1935" s="1"/>
      <c r="BJ1935" s="1"/>
      <c r="BK1935" s="1"/>
      <c r="BL1935" s="1"/>
      <c r="BM1935" s="1"/>
      <c r="BN1935" s="1"/>
      <c r="BO1935" s="1"/>
      <c r="BP1935" s="1" t="s">
        <v>9609</v>
      </c>
      <c r="BQ1935" s="3"/>
      <c r="BR1935" s="3"/>
    </row>
    <row r="1936" spans="1:70">
      <c r="A1936" s="1" t="s">
        <v>14387</v>
      </c>
      <c r="B1936" s="1" t="s">
        <v>13846</v>
      </c>
      <c r="C1936" s="1" t="s">
        <v>21134</v>
      </c>
      <c r="D1936" s="1"/>
      <c r="E1936" s="1"/>
      <c r="F1936" s="1"/>
      <c r="G1936" s="1"/>
      <c r="H1936" s="1" t="s">
        <v>21135</v>
      </c>
      <c r="I1936" s="1" t="s">
        <v>21135</v>
      </c>
      <c r="J1936" s="1"/>
      <c r="K1936" s="1"/>
      <c r="L1936" s="1"/>
      <c r="M1936" s="1"/>
      <c r="N1936" s="1"/>
      <c r="O1936" s="1"/>
      <c r="P1936" s="1"/>
      <c r="Q1936" s="1"/>
      <c r="R1936" s="1"/>
      <c r="S1936" s="1"/>
      <c r="T1936" s="1"/>
      <c r="U1936" s="1"/>
      <c r="V1936" s="1"/>
      <c r="W1936" s="1"/>
      <c r="X1936" s="1"/>
      <c r="Y1936" s="1"/>
      <c r="Z1936" s="1"/>
      <c r="AA1936" s="1"/>
      <c r="AB1936" s="1"/>
      <c r="AC1936" s="1"/>
      <c r="AD1936" s="1" t="s">
        <v>93</v>
      </c>
      <c r="AE1936" s="1" t="s">
        <v>93</v>
      </c>
      <c r="AF1936" s="1"/>
      <c r="AG1936" s="1"/>
      <c r="AH1936" s="1"/>
      <c r="AI1936" s="1"/>
      <c r="AJ1936" s="1"/>
      <c r="AK1936" s="1"/>
      <c r="AL1936" s="1"/>
      <c r="AM1936" s="1"/>
      <c r="AN1936" s="1"/>
      <c r="AO1936" s="1"/>
      <c r="AP1936" s="1"/>
      <c r="AQ1936" s="1"/>
      <c r="AR1936" s="1"/>
      <c r="AS1936" s="1"/>
      <c r="AT1936" s="1"/>
      <c r="AU1936" s="1"/>
      <c r="AV1936" s="1"/>
      <c r="AW1936" s="1"/>
      <c r="AX1936" s="1"/>
      <c r="AY1936" s="1"/>
      <c r="AZ1936" s="1"/>
      <c r="BA1936" s="1"/>
      <c r="BB1936" s="1"/>
      <c r="BC1936" s="1"/>
      <c r="BD1936" s="1"/>
      <c r="BE1936" s="1"/>
      <c r="BF1936" s="1"/>
      <c r="BG1936" s="1"/>
      <c r="BH1936" s="1"/>
      <c r="BI1936" s="1"/>
      <c r="BJ1936" s="1"/>
      <c r="BK1936" s="1"/>
      <c r="BL1936" s="1"/>
      <c r="BM1936" s="1"/>
      <c r="BN1936" s="1"/>
      <c r="BO1936" s="1"/>
      <c r="BP1936" s="1" t="s">
        <v>9609</v>
      </c>
      <c r="BQ1936" s="3"/>
      <c r="BR1936" s="3"/>
    </row>
    <row r="1937" spans="1:70">
      <c r="A1937" s="1" t="s">
        <v>14387</v>
      </c>
      <c r="B1937" s="1" t="s">
        <v>13846</v>
      </c>
      <c r="C1937" s="1" t="s">
        <v>21136</v>
      </c>
      <c r="D1937" s="1"/>
      <c r="E1937" s="1"/>
      <c r="F1937" s="1"/>
      <c r="G1937" s="1"/>
      <c r="H1937" s="1" t="s">
        <v>21137</v>
      </c>
      <c r="I1937" s="1" t="s">
        <v>21137</v>
      </c>
      <c r="J1937" s="1"/>
      <c r="K1937" s="1"/>
      <c r="L1937" s="1"/>
      <c r="M1937" s="1"/>
      <c r="N1937" s="1"/>
      <c r="O1937" s="1"/>
      <c r="P1937" s="1"/>
      <c r="Q1937" s="1"/>
      <c r="R1937" s="1"/>
      <c r="S1937" s="1"/>
      <c r="T1937" s="1"/>
      <c r="U1937" s="1"/>
      <c r="V1937" s="1"/>
      <c r="W1937" s="1"/>
      <c r="X1937" s="1"/>
      <c r="Y1937" s="1"/>
      <c r="Z1937" s="1"/>
      <c r="AA1937" s="1"/>
      <c r="AB1937" s="1"/>
      <c r="AC1937" s="1"/>
      <c r="AD1937" s="1" t="s">
        <v>93</v>
      </c>
      <c r="AE1937" s="1" t="s">
        <v>93</v>
      </c>
      <c r="AF1937" s="1"/>
      <c r="AG1937" s="1"/>
      <c r="AH1937" s="1"/>
      <c r="AI1937" s="1"/>
      <c r="AJ1937" s="1"/>
      <c r="AK1937" s="1"/>
      <c r="AL1937" s="1"/>
      <c r="AM1937" s="1"/>
      <c r="AN1937" s="1"/>
      <c r="AO1937" s="1"/>
      <c r="AP1937" s="1"/>
      <c r="AQ1937" s="1"/>
      <c r="AR1937" s="1"/>
      <c r="AS1937" s="1"/>
      <c r="AT1937" s="1"/>
      <c r="AU1937" s="1"/>
      <c r="AV1937" s="1"/>
      <c r="AW1937" s="1"/>
      <c r="AX1937" s="1"/>
      <c r="AY1937" s="1"/>
      <c r="AZ1937" s="1"/>
      <c r="BA1937" s="1"/>
      <c r="BB1937" s="1"/>
      <c r="BC1937" s="1"/>
      <c r="BD1937" s="1"/>
      <c r="BE1937" s="1"/>
      <c r="BF1937" s="1"/>
      <c r="BG1937" s="1"/>
      <c r="BH1937" s="1"/>
      <c r="BI1937" s="1"/>
      <c r="BJ1937" s="1"/>
      <c r="BK1937" s="1"/>
      <c r="BL1937" s="1"/>
      <c r="BM1937" s="1"/>
      <c r="BN1937" s="1"/>
      <c r="BO1937" s="1"/>
      <c r="BP1937" s="1" t="s">
        <v>9609</v>
      </c>
      <c r="BQ1937" s="3"/>
      <c r="BR1937" s="3"/>
    </row>
    <row r="1938" spans="1:70">
      <c r="A1938" s="1" t="s">
        <v>14387</v>
      </c>
      <c r="B1938" s="1" t="s">
        <v>13846</v>
      </c>
      <c r="C1938" s="1" t="s">
        <v>21138</v>
      </c>
      <c r="D1938" s="1"/>
      <c r="E1938" s="1"/>
      <c r="F1938" s="1"/>
      <c r="G1938" s="1"/>
      <c r="H1938" s="1" t="s">
        <v>21139</v>
      </c>
      <c r="I1938" s="1" t="s">
        <v>21139</v>
      </c>
      <c r="J1938" s="1"/>
      <c r="K1938" s="1"/>
      <c r="L1938" s="1"/>
      <c r="M1938" s="1"/>
      <c r="N1938" s="1"/>
      <c r="O1938" s="1"/>
      <c r="P1938" s="1"/>
      <c r="Q1938" s="1"/>
      <c r="R1938" s="1"/>
      <c r="S1938" s="1"/>
      <c r="T1938" s="1"/>
      <c r="U1938" s="1"/>
      <c r="V1938" s="1"/>
      <c r="W1938" s="1"/>
      <c r="X1938" s="1"/>
      <c r="Y1938" s="1"/>
      <c r="Z1938" s="1"/>
      <c r="AA1938" s="1"/>
      <c r="AB1938" s="1"/>
      <c r="AC1938" s="1"/>
      <c r="AD1938" s="1" t="s">
        <v>93</v>
      </c>
      <c r="AE1938" s="1" t="s">
        <v>93</v>
      </c>
      <c r="AF1938" s="1"/>
      <c r="AG1938" s="1"/>
      <c r="AH1938" s="1"/>
      <c r="AI1938" s="1"/>
      <c r="AJ1938" s="1"/>
      <c r="AK1938" s="1"/>
      <c r="AL1938" s="1"/>
      <c r="AM1938" s="1"/>
      <c r="AN1938" s="1"/>
      <c r="AO1938" s="1"/>
      <c r="AP1938" s="1"/>
      <c r="AQ1938" s="1"/>
      <c r="AR1938" s="1"/>
      <c r="AS1938" s="1"/>
      <c r="AT1938" s="1"/>
      <c r="AU1938" s="1"/>
      <c r="AV1938" s="1"/>
      <c r="AW1938" s="1"/>
      <c r="AX1938" s="1"/>
      <c r="AY1938" s="1"/>
      <c r="AZ1938" s="1"/>
      <c r="BA1938" s="1"/>
      <c r="BB1938" s="1"/>
      <c r="BC1938" s="1"/>
      <c r="BD1938" s="1"/>
      <c r="BE1938" s="1"/>
      <c r="BF1938" s="1"/>
      <c r="BG1938" s="1"/>
      <c r="BH1938" s="1"/>
      <c r="BI1938" s="1"/>
      <c r="BJ1938" s="1"/>
      <c r="BK1938" s="1"/>
      <c r="BL1938" s="1"/>
      <c r="BM1938" s="1"/>
      <c r="BN1938" s="1"/>
      <c r="BO1938" s="1"/>
      <c r="BP1938" s="1" t="s">
        <v>9609</v>
      </c>
      <c r="BQ1938" s="3"/>
      <c r="BR1938" s="3"/>
    </row>
    <row r="1939" spans="1:70">
      <c r="A1939" s="1" t="s">
        <v>14387</v>
      </c>
      <c r="B1939" s="1" t="s">
        <v>13846</v>
      </c>
      <c r="C1939" s="1" t="s">
        <v>21140</v>
      </c>
      <c r="D1939" s="1"/>
      <c r="E1939" s="1"/>
      <c r="F1939" s="1"/>
      <c r="G1939" s="1"/>
      <c r="H1939" s="1" t="s">
        <v>21141</v>
      </c>
      <c r="I1939" s="1" t="s">
        <v>21141</v>
      </c>
      <c r="J1939" s="1"/>
      <c r="K1939" s="1"/>
      <c r="L1939" s="1"/>
      <c r="M1939" s="1"/>
      <c r="N1939" s="1"/>
      <c r="O1939" s="1"/>
      <c r="P1939" s="1"/>
      <c r="Q1939" s="1"/>
      <c r="R1939" s="1"/>
      <c r="S1939" s="1"/>
      <c r="T1939" s="1"/>
      <c r="U1939" s="1"/>
      <c r="V1939" s="1"/>
      <c r="W1939" s="1"/>
      <c r="X1939" s="1"/>
      <c r="Y1939" s="1"/>
      <c r="Z1939" s="1"/>
      <c r="AA1939" s="1"/>
      <c r="AB1939" s="1"/>
      <c r="AC1939" s="1"/>
      <c r="AD1939" s="1" t="s">
        <v>93</v>
      </c>
      <c r="AE1939" s="1" t="s">
        <v>93</v>
      </c>
      <c r="AF1939" s="1"/>
      <c r="AG1939" s="1"/>
      <c r="AH1939" s="1"/>
      <c r="AI1939" s="1"/>
      <c r="AJ1939" s="1"/>
      <c r="AK1939" s="1"/>
      <c r="AL1939" s="1"/>
      <c r="AM1939" s="1"/>
      <c r="AN1939" s="1"/>
      <c r="AO1939" s="1"/>
      <c r="AP1939" s="1"/>
      <c r="AQ1939" s="1"/>
      <c r="AR1939" s="1"/>
      <c r="AS1939" s="1"/>
      <c r="AT1939" s="1"/>
      <c r="AU1939" s="1"/>
      <c r="AV1939" s="1"/>
      <c r="AW1939" s="1"/>
      <c r="AX1939" s="1"/>
      <c r="AY1939" s="1"/>
      <c r="AZ1939" s="1"/>
      <c r="BA1939" s="1"/>
      <c r="BB1939" s="1"/>
      <c r="BC1939" s="1"/>
      <c r="BD1939" s="1"/>
      <c r="BE1939" s="1"/>
      <c r="BF1939" s="1"/>
      <c r="BG1939" s="1"/>
      <c r="BH1939" s="1"/>
      <c r="BI1939" s="1"/>
      <c r="BJ1939" s="1"/>
      <c r="BK1939" s="1"/>
      <c r="BL1939" s="1"/>
      <c r="BM1939" s="1"/>
      <c r="BN1939" s="1"/>
      <c r="BO1939" s="1"/>
      <c r="BP1939" s="1" t="s">
        <v>9609</v>
      </c>
      <c r="BQ1939" s="3"/>
      <c r="BR1939" s="3"/>
    </row>
    <row r="1940" spans="1:70">
      <c r="A1940" s="1" t="s">
        <v>14387</v>
      </c>
      <c r="B1940" s="1" t="s">
        <v>13846</v>
      </c>
      <c r="C1940" s="1" t="s">
        <v>21142</v>
      </c>
      <c r="D1940" s="1"/>
      <c r="E1940" s="1"/>
      <c r="F1940" s="1"/>
      <c r="G1940" s="1"/>
      <c r="H1940" s="1" t="s">
        <v>21143</v>
      </c>
      <c r="I1940" s="1" t="s">
        <v>21143</v>
      </c>
      <c r="J1940" s="1"/>
      <c r="K1940" s="1"/>
      <c r="L1940" s="1"/>
      <c r="M1940" s="1"/>
      <c r="N1940" s="1"/>
      <c r="O1940" s="1"/>
      <c r="P1940" s="1"/>
      <c r="Q1940" s="1"/>
      <c r="R1940" s="1"/>
      <c r="S1940" s="1"/>
      <c r="T1940" s="1"/>
      <c r="U1940" s="1"/>
      <c r="V1940" s="1"/>
      <c r="W1940" s="1"/>
      <c r="X1940" s="1"/>
      <c r="Y1940" s="1"/>
      <c r="Z1940" s="1"/>
      <c r="AA1940" s="1"/>
      <c r="AB1940" s="1"/>
      <c r="AC1940" s="1"/>
      <c r="AD1940" s="1" t="s">
        <v>93</v>
      </c>
      <c r="AE1940" s="1" t="s">
        <v>93</v>
      </c>
      <c r="AF1940" s="1"/>
      <c r="AG1940" s="1"/>
      <c r="AH1940" s="1"/>
      <c r="AI1940" s="1"/>
      <c r="AJ1940" s="1"/>
      <c r="AK1940" s="1"/>
      <c r="AL1940" s="1"/>
      <c r="AM1940" s="1"/>
      <c r="AN1940" s="1"/>
      <c r="AO1940" s="1"/>
      <c r="AP1940" s="1"/>
      <c r="AQ1940" s="1"/>
      <c r="AR1940" s="1"/>
      <c r="AS1940" s="1"/>
      <c r="AT1940" s="1"/>
      <c r="AU1940" s="1"/>
      <c r="AV1940" s="1"/>
      <c r="AW1940" s="1"/>
      <c r="AX1940" s="1"/>
      <c r="AY1940" s="1"/>
      <c r="AZ1940" s="1"/>
      <c r="BA1940" s="1"/>
      <c r="BB1940" s="1"/>
      <c r="BC1940" s="1"/>
      <c r="BD1940" s="1"/>
      <c r="BE1940" s="1"/>
      <c r="BF1940" s="1"/>
      <c r="BG1940" s="1"/>
      <c r="BH1940" s="1"/>
      <c r="BI1940" s="1"/>
      <c r="BJ1940" s="1"/>
      <c r="BK1940" s="1"/>
      <c r="BL1940" s="1"/>
      <c r="BM1940" s="1"/>
      <c r="BN1940" s="1"/>
      <c r="BO1940" s="1"/>
      <c r="BP1940" s="1" t="s">
        <v>9609</v>
      </c>
      <c r="BQ1940" s="3"/>
      <c r="BR1940" s="3"/>
    </row>
    <row r="1941" spans="1:70">
      <c r="A1941" s="1" t="s">
        <v>14387</v>
      </c>
      <c r="B1941" s="1" t="s">
        <v>13846</v>
      </c>
      <c r="C1941" s="1" t="s">
        <v>21144</v>
      </c>
      <c r="D1941" s="1"/>
      <c r="E1941" s="1"/>
      <c r="F1941" s="1"/>
      <c r="G1941" s="1"/>
      <c r="H1941" s="1" t="s">
        <v>21145</v>
      </c>
      <c r="I1941" s="1" t="s">
        <v>21145</v>
      </c>
      <c r="J1941" s="1"/>
      <c r="K1941" s="1"/>
      <c r="L1941" s="1"/>
      <c r="M1941" s="1"/>
      <c r="N1941" s="1"/>
      <c r="O1941" s="1"/>
      <c r="P1941" s="1"/>
      <c r="Q1941" s="1"/>
      <c r="R1941" s="1"/>
      <c r="S1941" s="1"/>
      <c r="T1941" s="1"/>
      <c r="U1941" s="1"/>
      <c r="V1941" s="1"/>
      <c r="W1941" s="1"/>
      <c r="X1941" s="1"/>
      <c r="Y1941" s="1"/>
      <c r="Z1941" s="1"/>
      <c r="AA1941" s="1"/>
      <c r="AB1941" s="1"/>
      <c r="AC1941" s="1"/>
      <c r="AD1941" s="1" t="s">
        <v>93</v>
      </c>
      <c r="AE1941" s="1" t="s">
        <v>93</v>
      </c>
      <c r="AF1941" s="1"/>
      <c r="AG1941" s="1"/>
      <c r="AH1941" s="1"/>
      <c r="AI1941" s="1"/>
      <c r="AJ1941" s="1"/>
      <c r="AK1941" s="1"/>
      <c r="AL1941" s="1"/>
      <c r="AM1941" s="1"/>
      <c r="AN1941" s="1"/>
      <c r="AO1941" s="1"/>
      <c r="AP1941" s="1"/>
      <c r="AQ1941" s="1"/>
      <c r="AR1941" s="1"/>
      <c r="AS1941" s="1"/>
      <c r="AT1941" s="1"/>
      <c r="AU1941" s="1"/>
      <c r="AV1941" s="1"/>
      <c r="AW1941" s="1"/>
      <c r="AX1941" s="1"/>
      <c r="AY1941" s="1"/>
      <c r="AZ1941" s="1"/>
      <c r="BA1941" s="1"/>
      <c r="BB1941" s="1"/>
      <c r="BC1941" s="1"/>
      <c r="BD1941" s="1"/>
      <c r="BE1941" s="1"/>
      <c r="BF1941" s="1"/>
      <c r="BG1941" s="1"/>
      <c r="BH1941" s="1"/>
      <c r="BI1941" s="1"/>
      <c r="BJ1941" s="1"/>
      <c r="BK1941" s="1"/>
      <c r="BL1941" s="1"/>
      <c r="BM1941" s="1"/>
      <c r="BN1941" s="1"/>
      <c r="BO1941" s="1"/>
      <c r="BP1941" s="1" t="s">
        <v>9609</v>
      </c>
      <c r="BQ1941" s="3"/>
      <c r="BR1941" s="3"/>
    </row>
    <row r="1942" spans="1:70">
      <c r="A1942" s="1" t="s">
        <v>14387</v>
      </c>
      <c r="B1942" s="1" t="s">
        <v>13846</v>
      </c>
      <c r="C1942" s="1" t="s">
        <v>21146</v>
      </c>
      <c r="D1942" s="1"/>
      <c r="E1942" s="1"/>
      <c r="F1942" s="1"/>
      <c r="G1942" s="1"/>
      <c r="H1942" s="1" t="s">
        <v>21147</v>
      </c>
      <c r="I1942" s="1" t="s">
        <v>21147</v>
      </c>
      <c r="J1942" s="1"/>
      <c r="K1942" s="1"/>
      <c r="L1942" s="1"/>
      <c r="M1942" s="1"/>
      <c r="N1942" s="1"/>
      <c r="O1942" s="1"/>
      <c r="P1942" s="1"/>
      <c r="Q1942" s="1"/>
      <c r="R1942" s="1"/>
      <c r="S1942" s="1"/>
      <c r="T1942" s="1"/>
      <c r="U1942" s="1"/>
      <c r="V1942" s="1"/>
      <c r="W1942" s="1"/>
      <c r="X1942" s="1"/>
      <c r="Y1942" s="1"/>
      <c r="Z1942" s="1"/>
      <c r="AA1942" s="1"/>
      <c r="AB1942" s="1"/>
      <c r="AC1942" s="1"/>
      <c r="AD1942" s="1" t="s">
        <v>93</v>
      </c>
      <c r="AE1942" s="1" t="s">
        <v>93</v>
      </c>
      <c r="AF1942" s="1"/>
      <c r="AG1942" s="1"/>
      <c r="AH1942" s="1"/>
      <c r="AI1942" s="1"/>
      <c r="AJ1942" s="1"/>
      <c r="AK1942" s="1"/>
      <c r="AL1942" s="1"/>
      <c r="AM1942" s="1"/>
      <c r="AN1942" s="1"/>
      <c r="AO1942" s="1"/>
      <c r="AP1942" s="1"/>
      <c r="AQ1942" s="1"/>
      <c r="AR1942" s="1"/>
      <c r="AS1942" s="1"/>
      <c r="AT1942" s="1"/>
      <c r="AU1942" s="1"/>
      <c r="AV1942" s="1"/>
      <c r="AW1942" s="1"/>
      <c r="AX1942" s="1"/>
      <c r="AY1942" s="1"/>
      <c r="AZ1942" s="1"/>
      <c r="BA1942" s="1"/>
      <c r="BB1942" s="1"/>
      <c r="BC1942" s="1"/>
      <c r="BD1942" s="1"/>
      <c r="BE1942" s="1"/>
      <c r="BF1942" s="1"/>
      <c r="BG1942" s="1"/>
      <c r="BH1942" s="1"/>
      <c r="BI1942" s="1"/>
      <c r="BJ1942" s="1"/>
      <c r="BK1942" s="1"/>
      <c r="BL1942" s="1"/>
      <c r="BM1942" s="1"/>
      <c r="BN1942" s="1"/>
      <c r="BO1942" s="1"/>
      <c r="BP1942" s="1" t="s">
        <v>9609</v>
      </c>
      <c r="BQ1942" s="3"/>
      <c r="BR1942" s="3"/>
    </row>
    <row r="1943" spans="1:70">
      <c r="A1943" s="1" t="s">
        <v>14387</v>
      </c>
      <c r="B1943" s="1" t="s">
        <v>13846</v>
      </c>
      <c r="C1943" s="1" t="s">
        <v>21148</v>
      </c>
      <c r="D1943" s="1"/>
      <c r="E1943" s="1"/>
      <c r="F1943" s="1"/>
      <c r="G1943" s="1"/>
      <c r="H1943" s="1" t="s">
        <v>21149</v>
      </c>
      <c r="I1943" s="1" t="s">
        <v>21149</v>
      </c>
      <c r="J1943" s="1"/>
      <c r="K1943" s="1"/>
      <c r="L1943" s="1"/>
      <c r="M1943" s="1"/>
      <c r="N1943" s="1"/>
      <c r="O1943" s="1"/>
      <c r="P1943" s="1"/>
      <c r="Q1943" s="1"/>
      <c r="R1943" s="1"/>
      <c r="S1943" s="1"/>
      <c r="T1943" s="1"/>
      <c r="U1943" s="1"/>
      <c r="V1943" s="1"/>
      <c r="W1943" s="1"/>
      <c r="X1943" s="1"/>
      <c r="Y1943" s="1"/>
      <c r="Z1943" s="1"/>
      <c r="AA1943" s="1"/>
      <c r="AB1943" s="1"/>
      <c r="AC1943" s="1"/>
      <c r="AD1943" s="1" t="s">
        <v>93</v>
      </c>
      <c r="AE1943" s="1" t="s">
        <v>93</v>
      </c>
      <c r="AF1943" s="1"/>
      <c r="AG1943" s="1"/>
      <c r="AH1943" s="1"/>
      <c r="AI1943" s="1"/>
      <c r="AJ1943" s="1"/>
      <c r="AK1943" s="1"/>
      <c r="AL1943" s="1"/>
      <c r="AM1943" s="1"/>
      <c r="AN1943" s="1"/>
      <c r="AO1943" s="1"/>
      <c r="AP1943" s="1"/>
      <c r="AQ1943" s="1"/>
      <c r="AR1943" s="1"/>
      <c r="AS1943" s="1"/>
      <c r="AT1943" s="1"/>
      <c r="AU1943" s="1"/>
      <c r="AV1943" s="1"/>
      <c r="AW1943" s="1"/>
      <c r="AX1943" s="1"/>
      <c r="AY1943" s="1"/>
      <c r="AZ1943" s="1"/>
      <c r="BA1943" s="1"/>
      <c r="BB1943" s="1"/>
      <c r="BC1943" s="1"/>
      <c r="BD1943" s="1"/>
      <c r="BE1943" s="1"/>
      <c r="BF1943" s="1"/>
      <c r="BG1943" s="1"/>
      <c r="BH1943" s="1"/>
      <c r="BI1943" s="1"/>
      <c r="BJ1943" s="1"/>
      <c r="BK1943" s="1"/>
      <c r="BL1943" s="1"/>
      <c r="BM1943" s="1"/>
      <c r="BN1943" s="1"/>
      <c r="BO1943" s="1"/>
      <c r="BP1943" s="1" t="s">
        <v>9609</v>
      </c>
      <c r="BQ1943" s="3"/>
      <c r="BR1943" s="3"/>
    </row>
    <row r="1944" spans="1:70">
      <c r="A1944" s="1" t="s">
        <v>14387</v>
      </c>
      <c r="B1944" s="1" t="s">
        <v>13846</v>
      </c>
      <c r="C1944" s="1" t="s">
        <v>21150</v>
      </c>
      <c r="D1944" s="1"/>
      <c r="E1944" s="1"/>
      <c r="F1944" s="1"/>
      <c r="G1944" s="1"/>
      <c r="H1944" s="1" t="s">
        <v>21151</v>
      </c>
      <c r="I1944" s="1" t="s">
        <v>21151</v>
      </c>
      <c r="J1944" s="1"/>
      <c r="K1944" s="1"/>
      <c r="L1944" s="1"/>
      <c r="M1944" s="1"/>
      <c r="N1944" s="1"/>
      <c r="O1944" s="1"/>
      <c r="P1944" s="1"/>
      <c r="Q1944" s="1"/>
      <c r="R1944" s="1"/>
      <c r="S1944" s="1"/>
      <c r="T1944" s="1"/>
      <c r="U1944" s="1"/>
      <c r="V1944" s="1"/>
      <c r="W1944" s="1"/>
      <c r="X1944" s="1"/>
      <c r="Y1944" s="1"/>
      <c r="Z1944" s="1"/>
      <c r="AA1944" s="1"/>
      <c r="AB1944" s="1"/>
      <c r="AC1944" s="1"/>
      <c r="AD1944" s="1" t="s">
        <v>93</v>
      </c>
      <c r="AE1944" s="1" t="s">
        <v>93</v>
      </c>
      <c r="AF1944" s="1"/>
      <c r="AG1944" s="1"/>
      <c r="AH1944" s="1"/>
      <c r="AI1944" s="1"/>
      <c r="AJ1944" s="1"/>
      <c r="AK1944" s="1"/>
      <c r="AL1944" s="1"/>
      <c r="AM1944" s="1"/>
      <c r="AN1944" s="1"/>
      <c r="AO1944" s="1"/>
      <c r="AP1944" s="1"/>
      <c r="AQ1944" s="1"/>
      <c r="AR1944" s="1"/>
      <c r="AS1944" s="1"/>
      <c r="AT1944" s="1"/>
      <c r="AU1944" s="1"/>
      <c r="AV1944" s="1"/>
      <c r="AW1944" s="1"/>
      <c r="AX1944" s="1"/>
      <c r="AY1944" s="1"/>
      <c r="AZ1944" s="1"/>
      <c r="BA1944" s="1"/>
      <c r="BB1944" s="1"/>
      <c r="BC1944" s="1"/>
      <c r="BD1944" s="1"/>
      <c r="BE1944" s="1"/>
      <c r="BF1944" s="1"/>
      <c r="BG1944" s="1"/>
      <c r="BH1944" s="1"/>
      <c r="BI1944" s="1"/>
      <c r="BJ1944" s="1"/>
      <c r="BK1944" s="1"/>
      <c r="BL1944" s="1"/>
      <c r="BM1944" s="1"/>
      <c r="BN1944" s="1"/>
      <c r="BO1944" s="1"/>
      <c r="BP1944" s="1" t="s">
        <v>9609</v>
      </c>
      <c r="BQ1944" s="3"/>
      <c r="BR1944" s="3"/>
    </row>
    <row r="1945" spans="1:70">
      <c r="A1945" s="1" t="s">
        <v>14387</v>
      </c>
      <c r="B1945" s="1" t="s">
        <v>13846</v>
      </c>
      <c r="C1945" s="1" t="s">
        <v>21152</v>
      </c>
      <c r="D1945" s="1"/>
      <c r="E1945" s="1"/>
      <c r="F1945" s="1"/>
      <c r="G1945" s="1"/>
      <c r="H1945" s="1" t="s">
        <v>21153</v>
      </c>
      <c r="I1945" s="1" t="s">
        <v>21153</v>
      </c>
      <c r="J1945" s="1"/>
      <c r="K1945" s="1"/>
      <c r="L1945" s="1"/>
      <c r="M1945" s="1"/>
      <c r="N1945" s="1"/>
      <c r="O1945" s="1"/>
      <c r="P1945" s="1"/>
      <c r="Q1945" s="1"/>
      <c r="R1945" s="1"/>
      <c r="S1945" s="1"/>
      <c r="T1945" s="1"/>
      <c r="U1945" s="1"/>
      <c r="V1945" s="1"/>
      <c r="W1945" s="1"/>
      <c r="X1945" s="1"/>
      <c r="Y1945" s="1"/>
      <c r="Z1945" s="1"/>
      <c r="AA1945" s="1"/>
      <c r="AB1945" s="1"/>
      <c r="AC1945" s="1"/>
      <c r="AD1945" s="1" t="s">
        <v>93</v>
      </c>
      <c r="AE1945" s="1" t="s">
        <v>93</v>
      </c>
      <c r="AF1945" s="1"/>
      <c r="AG1945" s="1"/>
      <c r="AH1945" s="1"/>
      <c r="AI1945" s="1"/>
      <c r="AJ1945" s="1"/>
      <c r="AK1945" s="1"/>
      <c r="AL1945" s="1"/>
      <c r="AM1945" s="1"/>
      <c r="AN1945" s="1"/>
      <c r="AO1945" s="1"/>
      <c r="AP1945" s="1"/>
      <c r="AQ1945" s="1"/>
      <c r="AR1945" s="1"/>
      <c r="AS1945" s="1"/>
      <c r="AT1945" s="1"/>
      <c r="AU1945" s="1"/>
      <c r="AV1945" s="1"/>
      <c r="AW1945" s="1"/>
      <c r="AX1945" s="1"/>
      <c r="AY1945" s="1"/>
      <c r="AZ1945" s="1"/>
      <c r="BA1945" s="1"/>
      <c r="BB1945" s="1"/>
      <c r="BC1945" s="1"/>
      <c r="BD1945" s="1"/>
      <c r="BE1945" s="1"/>
      <c r="BF1945" s="1"/>
      <c r="BG1945" s="1"/>
      <c r="BH1945" s="1"/>
      <c r="BI1945" s="1"/>
      <c r="BJ1945" s="1"/>
      <c r="BK1945" s="1"/>
      <c r="BL1945" s="1"/>
      <c r="BM1945" s="1"/>
      <c r="BN1945" s="1"/>
      <c r="BO1945" s="1"/>
      <c r="BP1945" s="1" t="s">
        <v>9609</v>
      </c>
      <c r="BQ1945" s="3"/>
      <c r="BR1945" s="3"/>
    </row>
    <row r="1946" spans="1:70">
      <c r="A1946" s="1" t="s">
        <v>14387</v>
      </c>
      <c r="B1946" s="1" t="s">
        <v>13846</v>
      </c>
      <c r="C1946" s="1" t="s">
        <v>21154</v>
      </c>
      <c r="D1946" s="1"/>
      <c r="E1946" s="1"/>
      <c r="F1946" s="1"/>
      <c r="G1946" s="1"/>
      <c r="H1946" s="1" t="s">
        <v>21155</v>
      </c>
      <c r="I1946" s="1" t="s">
        <v>21155</v>
      </c>
      <c r="J1946" s="1"/>
      <c r="K1946" s="1"/>
      <c r="L1946" s="1"/>
      <c r="M1946" s="1"/>
      <c r="N1946" s="1"/>
      <c r="O1946" s="1"/>
      <c r="P1946" s="1"/>
      <c r="Q1946" s="1"/>
      <c r="R1946" s="1"/>
      <c r="S1946" s="1"/>
      <c r="T1946" s="1"/>
      <c r="U1946" s="1"/>
      <c r="V1946" s="1"/>
      <c r="W1946" s="1"/>
      <c r="X1946" s="1"/>
      <c r="Y1946" s="1"/>
      <c r="Z1946" s="1"/>
      <c r="AA1946" s="1"/>
      <c r="AB1946" s="1"/>
      <c r="AC1946" s="1"/>
      <c r="AD1946" s="1" t="s">
        <v>93</v>
      </c>
      <c r="AE1946" s="1" t="s">
        <v>93</v>
      </c>
      <c r="AF1946" s="1"/>
      <c r="AG1946" s="1"/>
      <c r="AH1946" s="1"/>
      <c r="AI1946" s="1"/>
      <c r="AJ1946" s="1"/>
      <c r="AK1946" s="1"/>
      <c r="AL1946" s="1"/>
      <c r="AM1946" s="1"/>
      <c r="AN1946" s="1"/>
      <c r="AO1946" s="1"/>
      <c r="AP1946" s="1"/>
      <c r="AQ1946" s="1"/>
      <c r="AR1946" s="1"/>
      <c r="AS1946" s="1"/>
      <c r="AT1946" s="1"/>
      <c r="AU1946" s="1"/>
      <c r="AV1946" s="1"/>
      <c r="AW1946" s="1"/>
      <c r="AX1946" s="1"/>
      <c r="AY1946" s="1"/>
      <c r="AZ1946" s="1"/>
      <c r="BA1946" s="1"/>
      <c r="BB1946" s="1"/>
      <c r="BC1946" s="1"/>
      <c r="BD1946" s="1"/>
      <c r="BE1946" s="1"/>
      <c r="BF1946" s="1"/>
      <c r="BG1946" s="1"/>
      <c r="BH1946" s="1"/>
      <c r="BI1946" s="1"/>
      <c r="BJ1946" s="1"/>
      <c r="BK1946" s="1"/>
      <c r="BL1946" s="1"/>
      <c r="BM1946" s="1"/>
      <c r="BN1946" s="1"/>
      <c r="BO1946" s="1"/>
      <c r="BP1946" s="1" t="s">
        <v>9609</v>
      </c>
      <c r="BQ1946" s="3"/>
      <c r="BR1946" s="3"/>
    </row>
    <row r="1947" spans="1:70">
      <c r="A1947" s="1" t="s">
        <v>14387</v>
      </c>
      <c r="B1947" s="1" t="s">
        <v>13846</v>
      </c>
      <c r="C1947" s="1" t="s">
        <v>21156</v>
      </c>
      <c r="D1947" s="1"/>
      <c r="E1947" s="1"/>
      <c r="F1947" s="1"/>
      <c r="G1947" s="1"/>
      <c r="H1947" s="1" t="s">
        <v>21157</v>
      </c>
      <c r="I1947" s="1" t="s">
        <v>21157</v>
      </c>
      <c r="J1947" s="1"/>
      <c r="K1947" s="1"/>
      <c r="L1947" s="1"/>
      <c r="M1947" s="1"/>
      <c r="N1947" s="1"/>
      <c r="O1947" s="1"/>
      <c r="P1947" s="1"/>
      <c r="Q1947" s="1"/>
      <c r="R1947" s="1"/>
      <c r="S1947" s="1"/>
      <c r="T1947" s="1"/>
      <c r="U1947" s="1"/>
      <c r="V1947" s="1"/>
      <c r="W1947" s="1"/>
      <c r="X1947" s="1"/>
      <c r="Y1947" s="1"/>
      <c r="Z1947" s="1"/>
      <c r="AA1947" s="1"/>
      <c r="AB1947" s="1"/>
      <c r="AC1947" s="1"/>
      <c r="AD1947" s="1" t="s">
        <v>93</v>
      </c>
      <c r="AE1947" s="1" t="s">
        <v>93</v>
      </c>
      <c r="AF1947" s="1"/>
      <c r="AG1947" s="1"/>
      <c r="AH1947" s="1"/>
      <c r="AI1947" s="1"/>
      <c r="AJ1947" s="1"/>
      <c r="AK1947" s="1"/>
      <c r="AL1947" s="1"/>
      <c r="AM1947" s="1"/>
      <c r="AN1947" s="1"/>
      <c r="AO1947" s="1"/>
      <c r="AP1947" s="1"/>
      <c r="AQ1947" s="1"/>
      <c r="AR1947" s="1"/>
      <c r="AS1947" s="1"/>
      <c r="AT1947" s="1"/>
      <c r="AU1947" s="1"/>
      <c r="AV1947" s="1"/>
      <c r="AW1947" s="1"/>
      <c r="AX1947" s="1"/>
      <c r="AY1947" s="1"/>
      <c r="AZ1947" s="1"/>
      <c r="BA1947" s="1"/>
      <c r="BB1947" s="1"/>
      <c r="BC1947" s="1"/>
      <c r="BD1947" s="1"/>
      <c r="BE1947" s="1"/>
      <c r="BF1947" s="1"/>
      <c r="BG1947" s="1"/>
      <c r="BH1947" s="1"/>
      <c r="BI1947" s="1"/>
      <c r="BJ1947" s="1"/>
      <c r="BK1947" s="1"/>
      <c r="BL1947" s="1"/>
      <c r="BM1947" s="1"/>
      <c r="BN1947" s="1"/>
      <c r="BO1947" s="1"/>
      <c r="BP1947" s="1" t="s">
        <v>9609</v>
      </c>
      <c r="BQ1947" s="3"/>
      <c r="BR1947" s="3"/>
    </row>
    <row r="1948" spans="1:70">
      <c r="A1948" s="1" t="s">
        <v>14387</v>
      </c>
      <c r="B1948" s="1" t="s">
        <v>13846</v>
      </c>
      <c r="C1948" s="1" t="s">
        <v>21158</v>
      </c>
      <c r="D1948" s="1"/>
      <c r="E1948" s="1"/>
      <c r="F1948" s="1"/>
      <c r="G1948" s="1"/>
      <c r="H1948" s="1" t="s">
        <v>21159</v>
      </c>
      <c r="I1948" s="1" t="s">
        <v>21159</v>
      </c>
      <c r="J1948" s="1"/>
      <c r="K1948" s="1"/>
      <c r="L1948" s="1"/>
      <c r="M1948" s="1"/>
      <c r="N1948" s="1"/>
      <c r="O1948" s="1"/>
      <c r="P1948" s="1"/>
      <c r="Q1948" s="1"/>
      <c r="R1948" s="1"/>
      <c r="S1948" s="1"/>
      <c r="T1948" s="1"/>
      <c r="U1948" s="1"/>
      <c r="V1948" s="1"/>
      <c r="W1948" s="1"/>
      <c r="X1948" s="1"/>
      <c r="Y1948" s="1"/>
      <c r="Z1948" s="1"/>
      <c r="AA1948" s="1"/>
      <c r="AB1948" s="1"/>
      <c r="AC1948" s="1"/>
      <c r="AD1948" s="1" t="s">
        <v>93</v>
      </c>
      <c r="AE1948" s="1" t="s">
        <v>93</v>
      </c>
      <c r="AF1948" s="1"/>
      <c r="AG1948" s="1"/>
      <c r="AH1948" s="1"/>
      <c r="AI1948" s="1"/>
      <c r="AJ1948" s="1"/>
      <c r="AK1948" s="1"/>
      <c r="AL1948" s="1"/>
      <c r="AM1948" s="1"/>
      <c r="AN1948" s="1"/>
      <c r="AO1948" s="1"/>
      <c r="AP1948" s="1"/>
      <c r="AQ1948" s="1"/>
      <c r="AR1948" s="1"/>
      <c r="AS1948" s="1"/>
      <c r="AT1948" s="1"/>
      <c r="AU1948" s="1"/>
      <c r="AV1948" s="1"/>
      <c r="AW1948" s="1"/>
      <c r="AX1948" s="1"/>
      <c r="AY1948" s="1"/>
      <c r="AZ1948" s="1"/>
      <c r="BA1948" s="1"/>
      <c r="BB1948" s="1"/>
      <c r="BC1948" s="1"/>
      <c r="BD1948" s="1"/>
      <c r="BE1948" s="1"/>
      <c r="BF1948" s="1"/>
      <c r="BG1948" s="1"/>
      <c r="BH1948" s="1"/>
      <c r="BI1948" s="1"/>
      <c r="BJ1948" s="1"/>
      <c r="BK1948" s="1"/>
      <c r="BL1948" s="1"/>
      <c r="BM1948" s="1"/>
      <c r="BN1948" s="1"/>
      <c r="BO1948" s="1"/>
      <c r="BP1948" s="1" t="s">
        <v>9609</v>
      </c>
      <c r="BQ1948" s="3"/>
      <c r="BR1948" s="3"/>
    </row>
    <row r="1949" spans="1:70">
      <c r="A1949" s="1" t="s">
        <v>14387</v>
      </c>
      <c r="B1949" s="1" t="s">
        <v>13846</v>
      </c>
      <c r="C1949" s="1" t="s">
        <v>21160</v>
      </c>
      <c r="D1949" s="1"/>
      <c r="E1949" s="1"/>
      <c r="F1949" s="1"/>
      <c r="G1949" s="1"/>
      <c r="H1949" s="1" t="s">
        <v>21161</v>
      </c>
      <c r="I1949" s="1" t="s">
        <v>21161</v>
      </c>
      <c r="J1949" s="1"/>
      <c r="K1949" s="1"/>
      <c r="L1949" s="1"/>
      <c r="M1949" s="1"/>
      <c r="N1949" s="1"/>
      <c r="O1949" s="1"/>
      <c r="P1949" s="1"/>
      <c r="Q1949" s="1"/>
      <c r="R1949" s="1"/>
      <c r="S1949" s="1"/>
      <c r="T1949" s="1"/>
      <c r="U1949" s="1"/>
      <c r="V1949" s="1"/>
      <c r="W1949" s="1"/>
      <c r="X1949" s="1"/>
      <c r="Y1949" s="1"/>
      <c r="Z1949" s="1"/>
      <c r="AA1949" s="1"/>
      <c r="AB1949" s="1"/>
      <c r="AC1949" s="1"/>
      <c r="AD1949" s="1" t="s">
        <v>93</v>
      </c>
      <c r="AE1949" s="1" t="s">
        <v>93</v>
      </c>
      <c r="AF1949" s="1"/>
      <c r="AG1949" s="1"/>
      <c r="AH1949" s="1"/>
      <c r="AI1949" s="1"/>
      <c r="AJ1949" s="1"/>
      <c r="AK1949" s="1"/>
      <c r="AL1949" s="1"/>
      <c r="AM1949" s="1"/>
      <c r="AN1949" s="1"/>
      <c r="AO1949" s="1"/>
      <c r="AP1949" s="1"/>
      <c r="AQ1949" s="1"/>
      <c r="AR1949" s="1"/>
      <c r="AS1949" s="1"/>
      <c r="AT1949" s="1"/>
      <c r="AU1949" s="1"/>
      <c r="AV1949" s="1"/>
      <c r="AW1949" s="1"/>
      <c r="AX1949" s="1"/>
      <c r="AY1949" s="1"/>
      <c r="AZ1949" s="1"/>
      <c r="BA1949" s="1"/>
      <c r="BB1949" s="1"/>
      <c r="BC1949" s="1"/>
      <c r="BD1949" s="1"/>
      <c r="BE1949" s="1"/>
      <c r="BF1949" s="1"/>
      <c r="BG1949" s="1"/>
      <c r="BH1949" s="1"/>
      <c r="BI1949" s="1"/>
      <c r="BJ1949" s="1"/>
      <c r="BK1949" s="1"/>
      <c r="BL1949" s="1"/>
      <c r="BM1949" s="1"/>
      <c r="BN1949" s="1"/>
      <c r="BO1949" s="1"/>
      <c r="BP1949" s="1" t="s">
        <v>9609</v>
      </c>
      <c r="BQ1949" s="3"/>
      <c r="BR1949" s="3"/>
    </row>
    <row r="1950" spans="1:70">
      <c r="A1950" s="1" t="s">
        <v>14387</v>
      </c>
      <c r="B1950" s="1" t="s">
        <v>13846</v>
      </c>
      <c r="C1950" s="1" t="s">
        <v>21162</v>
      </c>
      <c r="D1950" s="1"/>
      <c r="E1950" s="1"/>
      <c r="F1950" s="1"/>
      <c r="G1950" s="1"/>
      <c r="H1950" s="1" t="s">
        <v>21163</v>
      </c>
      <c r="I1950" s="1" t="s">
        <v>21163</v>
      </c>
      <c r="J1950" s="1"/>
      <c r="K1950" s="1"/>
      <c r="L1950" s="1"/>
      <c r="M1950" s="1"/>
      <c r="N1950" s="1"/>
      <c r="O1950" s="1"/>
      <c r="P1950" s="1"/>
      <c r="Q1950" s="1"/>
      <c r="R1950" s="1"/>
      <c r="S1950" s="1"/>
      <c r="T1950" s="1"/>
      <c r="U1950" s="1"/>
      <c r="V1950" s="1"/>
      <c r="W1950" s="1"/>
      <c r="X1950" s="1"/>
      <c r="Y1950" s="1"/>
      <c r="Z1950" s="1"/>
      <c r="AA1950" s="1"/>
      <c r="AB1950" s="1"/>
      <c r="AC1950" s="1"/>
      <c r="AD1950" s="1" t="s">
        <v>93</v>
      </c>
      <c r="AE1950" s="1" t="s">
        <v>93</v>
      </c>
      <c r="AF1950" s="1"/>
      <c r="AG1950" s="1"/>
      <c r="AH1950" s="1"/>
      <c r="AI1950" s="1"/>
      <c r="AJ1950" s="1"/>
      <c r="AK1950" s="1"/>
      <c r="AL1950" s="1"/>
      <c r="AM1950" s="1"/>
      <c r="AN1950" s="1"/>
      <c r="AO1950" s="1"/>
      <c r="AP1950" s="1"/>
      <c r="AQ1950" s="1"/>
      <c r="AR1950" s="1"/>
      <c r="AS1950" s="1"/>
      <c r="AT1950" s="1"/>
      <c r="AU1950" s="1"/>
      <c r="AV1950" s="1"/>
      <c r="AW1950" s="1"/>
      <c r="AX1950" s="1"/>
      <c r="AY1950" s="1"/>
      <c r="AZ1950" s="1"/>
      <c r="BA1950" s="1"/>
      <c r="BB1950" s="1"/>
      <c r="BC1950" s="1"/>
      <c r="BD1950" s="1"/>
      <c r="BE1950" s="1"/>
      <c r="BF1950" s="1"/>
      <c r="BG1950" s="1"/>
      <c r="BH1950" s="1"/>
      <c r="BI1950" s="1"/>
      <c r="BJ1950" s="1"/>
      <c r="BK1950" s="1"/>
      <c r="BL1950" s="1"/>
      <c r="BM1950" s="1"/>
      <c r="BN1950" s="1"/>
      <c r="BO1950" s="1"/>
      <c r="BP1950" s="1" t="s">
        <v>9609</v>
      </c>
      <c r="BQ1950" s="3"/>
      <c r="BR1950" s="3"/>
    </row>
    <row r="1951" spans="1:70">
      <c r="A1951" s="1" t="s">
        <v>14387</v>
      </c>
      <c r="B1951" s="1" t="s">
        <v>13846</v>
      </c>
      <c r="C1951" s="1" t="s">
        <v>21164</v>
      </c>
      <c r="D1951" s="1"/>
      <c r="E1951" s="1"/>
      <c r="F1951" s="1"/>
      <c r="G1951" s="1"/>
      <c r="H1951" s="1" t="s">
        <v>21165</v>
      </c>
      <c r="I1951" s="1" t="s">
        <v>21165</v>
      </c>
      <c r="J1951" s="1"/>
      <c r="K1951" s="1"/>
      <c r="L1951" s="1"/>
      <c r="M1951" s="1"/>
      <c r="N1951" s="1"/>
      <c r="O1951" s="1"/>
      <c r="P1951" s="1"/>
      <c r="Q1951" s="1"/>
      <c r="R1951" s="1"/>
      <c r="S1951" s="1"/>
      <c r="T1951" s="1"/>
      <c r="U1951" s="1"/>
      <c r="V1951" s="1"/>
      <c r="W1951" s="1"/>
      <c r="X1951" s="1"/>
      <c r="Y1951" s="1"/>
      <c r="Z1951" s="1"/>
      <c r="AA1951" s="1"/>
      <c r="AB1951" s="1"/>
      <c r="AC1951" s="1"/>
      <c r="AD1951" s="1" t="s">
        <v>93</v>
      </c>
      <c r="AE1951" s="1" t="s">
        <v>93</v>
      </c>
      <c r="AF1951" s="1"/>
      <c r="AG1951" s="1"/>
      <c r="AH1951" s="1"/>
      <c r="AI1951" s="1"/>
      <c r="AJ1951" s="1"/>
      <c r="AK1951" s="1"/>
      <c r="AL1951" s="1"/>
      <c r="AM1951" s="1"/>
      <c r="AN1951" s="1"/>
      <c r="AO1951" s="1"/>
      <c r="AP1951" s="1"/>
      <c r="AQ1951" s="1"/>
      <c r="AR1951" s="1"/>
      <c r="AS1951" s="1"/>
      <c r="AT1951" s="1"/>
      <c r="AU1951" s="1"/>
      <c r="AV1951" s="1"/>
      <c r="AW1951" s="1"/>
      <c r="AX1951" s="1"/>
      <c r="AY1951" s="1"/>
      <c r="AZ1951" s="1"/>
      <c r="BA1951" s="1"/>
      <c r="BB1951" s="1"/>
      <c r="BC1951" s="1"/>
      <c r="BD1951" s="1"/>
      <c r="BE1951" s="1"/>
      <c r="BF1951" s="1"/>
      <c r="BG1951" s="1"/>
      <c r="BH1951" s="1"/>
      <c r="BI1951" s="1"/>
      <c r="BJ1951" s="1"/>
      <c r="BK1951" s="1"/>
      <c r="BL1951" s="1"/>
      <c r="BM1951" s="1"/>
      <c r="BN1951" s="1"/>
      <c r="BO1951" s="1"/>
      <c r="BP1951" s="1" t="s">
        <v>9609</v>
      </c>
      <c r="BQ1951" s="3"/>
      <c r="BR1951" s="3"/>
    </row>
    <row r="1952" spans="1:70">
      <c r="A1952" s="1" t="s">
        <v>14387</v>
      </c>
      <c r="B1952" s="1" t="s">
        <v>13846</v>
      </c>
      <c r="C1952" s="1" t="s">
        <v>21166</v>
      </c>
      <c r="D1952" s="1"/>
      <c r="E1952" s="1"/>
      <c r="F1952" s="1"/>
      <c r="G1952" s="1"/>
      <c r="H1952" s="1" t="s">
        <v>21167</v>
      </c>
      <c r="I1952" s="1" t="s">
        <v>21167</v>
      </c>
      <c r="J1952" s="1"/>
      <c r="K1952" s="1"/>
      <c r="L1952" s="1"/>
      <c r="M1952" s="1"/>
      <c r="N1952" s="1"/>
      <c r="O1952" s="1"/>
      <c r="P1952" s="1"/>
      <c r="Q1952" s="1"/>
      <c r="R1952" s="1"/>
      <c r="S1952" s="1"/>
      <c r="T1952" s="1"/>
      <c r="U1952" s="1"/>
      <c r="V1952" s="1"/>
      <c r="W1952" s="1"/>
      <c r="X1952" s="1"/>
      <c r="Y1952" s="1"/>
      <c r="Z1952" s="1"/>
      <c r="AA1952" s="1"/>
      <c r="AB1952" s="1"/>
      <c r="AC1952" s="1"/>
      <c r="AD1952" s="1" t="s">
        <v>93</v>
      </c>
      <c r="AE1952" s="1" t="s">
        <v>93</v>
      </c>
      <c r="AF1952" s="1"/>
      <c r="AG1952" s="1"/>
      <c r="AH1952" s="1"/>
      <c r="AI1952" s="1"/>
      <c r="AJ1952" s="1"/>
      <c r="AK1952" s="1"/>
      <c r="AL1952" s="1"/>
      <c r="AM1952" s="1"/>
      <c r="AN1952" s="1"/>
      <c r="AO1952" s="1"/>
      <c r="AP1952" s="1"/>
      <c r="AQ1952" s="1"/>
      <c r="AR1952" s="1"/>
      <c r="AS1952" s="1"/>
      <c r="AT1952" s="1"/>
      <c r="AU1952" s="1"/>
      <c r="AV1952" s="1"/>
      <c r="AW1952" s="1"/>
      <c r="AX1952" s="1"/>
      <c r="AY1952" s="1"/>
      <c r="AZ1952" s="1"/>
      <c r="BA1952" s="1"/>
      <c r="BB1952" s="1"/>
      <c r="BC1952" s="1"/>
      <c r="BD1952" s="1"/>
      <c r="BE1952" s="1"/>
      <c r="BF1952" s="1"/>
      <c r="BG1952" s="1"/>
      <c r="BH1952" s="1"/>
      <c r="BI1952" s="1"/>
      <c r="BJ1952" s="1"/>
      <c r="BK1952" s="1"/>
      <c r="BL1952" s="1"/>
      <c r="BM1952" s="1"/>
      <c r="BN1952" s="1"/>
      <c r="BO1952" s="1"/>
      <c r="BP1952" s="1" t="s">
        <v>9609</v>
      </c>
      <c r="BQ1952" s="3"/>
      <c r="BR1952" s="3"/>
    </row>
    <row r="1953" spans="1:70">
      <c r="A1953" s="1" t="s">
        <v>14387</v>
      </c>
      <c r="B1953" s="1" t="s">
        <v>13846</v>
      </c>
      <c r="C1953" s="1" t="s">
        <v>21168</v>
      </c>
      <c r="D1953" s="1"/>
      <c r="E1953" s="1"/>
      <c r="F1953" s="1"/>
      <c r="G1953" s="1"/>
      <c r="H1953" s="1" t="s">
        <v>21169</v>
      </c>
      <c r="I1953" s="1" t="s">
        <v>21169</v>
      </c>
      <c r="J1953" s="1"/>
      <c r="K1953" s="1"/>
      <c r="L1953" s="1"/>
      <c r="M1953" s="1"/>
      <c r="N1953" s="1"/>
      <c r="O1953" s="1"/>
      <c r="P1953" s="1"/>
      <c r="Q1953" s="1"/>
      <c r="R1953" s="1"/>
      <c r="S1953" s="1"/>
      <c r="T1953" s="1"/>
      <c r="U1953" s="1"/>
      <c r="V1953" s="1"/>
      <c r="W1953" s="1"/>
      <c r="X1953" s="1"/>
      <c r="Y1953" s="1"/>
      <c r="Z1953" s="1"/>
      <c r="AA1953" s="1"/>
      <c r="AB1953" s="1"/>
      <c r="AC1953" s="1"/>
      <c r="AD1953" s="1" t="s">
        <v>93</v>
      </c>
      <c r="AE1953" s="1" t="s">
        <v>93</v>
      </c>
      <c r="AF1953" s="1"/>
      <c r="AG1953" s="1"/>
      <c r="AH1953" s="1"/>
      <c r="AI1953" s="1"/>
      <c r="AJ1953" s="1"/>
      <c r="AK1953" s="1"/>
      <c r="AL1953" s="1"/>
      <c r="AM1953" s="1"/>
      <c r="AN1953" s="1"/>
      <c r="AO1953" s="1"/>
      <c r="AP1953" s="1"/>
      <c r="AQ1953" s="1"/>
      <c r="AR1953" s="1"/>
      <c r="AS1953" s="1"/>
      <c r="AT1953" s="1"/>
      <c r="AU1953" s="1"/>
      <c r="AV1953" s="1"/>
      <c r="AW1953" s="1"/>
      <c r="AX1953" s="1"/>
      <c r="AY1953" s="1"/>
      <c r="AZ1953" s="1"/>
      <c r="BA1953" s="1"/>
      <c r="BB1953" s="1"/>
      <c r="BC1953" s="1"/>
      <c r="BD1953" s="1"/>
      <c r="BE1953" s="1"/>
      <c r="BF1953" s="1"/>
      <c r="BG1953" s="1"/>
      <c r="BH1953" s="1"/>
      <c r="BI1953" s="1"/>
      <c r="BJ1953" s="1"/>
      <c r="BK1953" s="1"/>
      <c r="BL1953" s="1"/>
      <c r="BM1953" s="1"/>
      <c r="BN1953" s="1"/>
      <c r="BO1953" s="1"/>
      <c r="BP1953" s="1" t="s">
        <v>9609</v>
      </c>
      <c r="BQ1953" s="3"/>
      <c r="BR1953" s="3"/>
    </row>
    <row r="1954" spans="1:70">
      <c r="A1954" s="1" t="s">
        <v>14387</v>
      </c>
      <c r="B1954" s="1" t="s">
        <v>13846</v>
      </c>
      <c r="C1954" s="1" t="s">
        <v>21170</v>
      </c>
      <c r="D1954" s="1"/>
      <c r="E1954" s="1"/>
      <c r="F1954" s="1"/>
      <c r="G1954" s="1"/>
      <c r="H1954" s="1" t="s">
        <v>21171</v>
      </c>
      <c r="I1954" s="1" t="s">
        <v>21171</v>
      </c>
      <c r="J1954" s="1"/>
      <c r="K1954" s="1"/>
      <c r="L1954" s="1"/>
      <c r="M1954" s="1"/>
      <c r="N1954" s="1"/>
      <c r="O1954" s="1"/>
      <c r="P1954" s="1"/>
      <c r="Q1954" s="1"/>
      <c r="R1954" s="1"/>
      <c r="S1954" s="1"/>
      <c r="T1954" s="1"/>
      <c r="U1954" s="1"/>
      <c r="V1954" s="1"/>
      <c r="W1954" s="1"/>
      <c r="X1954" s="1"/>
      <c r="Y1954" s="1"/>
      <c r="Z1954" s="1"/>
      <c r="AA1954" s="1"/>
      <c r="AB1954" s="1"/>
      <c r="AC1954" s="1"/>
      <c r="AD1954" s="1" t="s">
        <v>93</v>
      </c>
      <c r="AE1954" s="1" t="s">
        <v>93</v>
      </c>
      <c r="AF1954" s="1"/>
      <c r="AG1954" s="1"/>
      <c r="AH1954" s="1"/>
      <c r="AI1954" s="1"/>
      <c r="AJ1954" s="1"/>
      <c r="AK1954" s="1"/>
      <c r="AL1954" s="1"/>
      <c r="AM1954" s="1"/>
      <c r="AN1954" s="1"/>
      <c r="AO1954" s="1"/>
      <c r="AP1954" s="1"/>
      <c r="AQ1954" s="1"/>
      <c r="AR1954" s="1"/>
      <c r="AS1954" s="1"/>
      <c r="AT1954" s="1"/>
      <c r="AU1954" s="1"/>
      <c r="AV1954" s="1"/>
      <c r="AW1954" s="1"/>
      <c r="AX1954" s="1"/>
      <c r="AY1954" s="1"/>
      <c r="AZ1954" s="1"/>
      <c r="BA1954" s="1"/>
      <c r="BB1954" s="1"/>
      <c r="BC1954" s="1"/>
      <c r="BD1954" s="1"/>
      <c r="BE1954" s="1"/>
      <c r="BF1954" s="1"/>
      <c r="BG1954" s="1"/>
      <c r="BH1954" s="1"/>
      <c r="BI1954" s="1"/>
      <c r="BJ1954" s="1"/>
      <c r="BK1954" s="1"/>
      <c r="BL1954" s="1"/>
      <c r="BM1954" s="1"/>
      <c r="BN1954" s="1"/>
      <c r="BO1954" s="1"/>
      <c r="BP1954" s="1" t="s">
        <v>9609</v>
      </c>
      <c r="BQ1954" s="3"/>
      <c r="BR1954" s="3"/>
    </row>
    <row r="1955" spans="1:70">
      <c r="A1955" s="1" t="s">
        <v>14387</v>
      </c>
      <c r="B1955" s="1" t="s">
        <v>13846</v>
      </c>
      <c r="C1955" s="1" t="s">
        <v>21172</v>
      </c>
      <c r="D1955" s="1"/>
      <c r="E1955" s="1"/>
      <c r="F1955" s="1"/>
      <c r="G1955" s="1"/>
      <c r="H1955" s="1" t="s">
        <v>21173</v>
      </c>
      <c r="I1955" s="1" t="s">
        <v>21173</v>
      </c>
      <c r="J1955" s="1"/>
      <c r="K1955" s="1"/>
      <c r="L1955" s="1"/>
      <c r="M1955" s="1"/>
      <c r="N1955" s="1"/>
      <c r="O1955" s="1"/>
      <c r="P1955" s="1"/>
      <c r="Q1955" s="1"/>
      <c r="R1955" s="1"/>
      <c r="S1955" s="1"/>
      <c r="T1955" s="1"/>
      <c r="U1955" s="1"/>
      <c r="V1955" s="1"/>
      <c r="W1955" s="1"/>
      <c r="X1955" s="1"/>
      <c r="Y1955" s="1"/>
      <c r="Z1955" s="1"/>
      <c r="AA1955" s="1"/>
      <c r="AB1955" s="1"/>
      <c r="AC1955" s="1"/>
      <c r="AD1955" s="1" t="s">
        <v>93</v>
      </c>
      <c r="AE1955" s="1" t="s">
        <v>93</v>
      </c>
      <c r="AF1955" s="1"/>
      <c r="AG1955" s="1"/>
      <c r="AH1955" s="1"/>
      <c r="AI1955" s="1"/>
      <c r="AJ1955" s="1"/>
      <c r="AK1955" s="1"/>
      <c r="AL1955" s="1"/>
      <c r="AM1955" s="1"/>
      <c r="AN1955" s="1"/>
      <c r="AO1955" s="1"/>
      <c r="AP1955" s="1"/>
      <c r="AQ1955" s="1"/>
      <c r="AR1955" s="1"/>
      <c r="AS1955" s="1"/>
      <c r="AT1955" s="1"/>
      <c r="AU1955" s="1"/>
      <c r="AV1955" s="1"/>
      <c r="AW1955" s="1"/>
      <c r="AX1955" s="1"/>
      <c r="AY1955" s="1"/>
      <c r="AZ1955" s="1"/>
      <c r="BA1955" s="1"/>
      <c r="BB1955" s="1"/>
      <c r="BC1955" s="1"/>
      <c r="BD1955" s="1"/>
      <c r="BE1955" s="1"/>
      <c r="BF1955" s="1"/>
      <c r="BG1955" s="1"/>
      <c r="BH1955" s="1"/>
      <c r="BI1955" s="1"/>
      <c r="BJ1955" s="1"/>
      <c r="BK1955" s="1"/>
      <c r="BL1955" s="1"/>
      <c r="BM1955" s="1"/>
      <c r="BN1955" s="1"/>
      <c r="BO1955" s="1"/>
      <c r="BP1955" s="1" t="s">
        <v>9609</v>
      </c>
      <c r="BQ1955" s="3"/>
      <c r="BR1955" s="3"/>
    </row>
    <row r="1956" spans="1:70">
      <c r="A1956" s="1" t="s">
        <v>14387</v>
      </c>
      <c r="B1956" s="1" t="s">
        <v>13846</v>
      </c>
      <c r="C1956" s="1" t="s">
        <v>21174</v>
      </c>
      <c r="D1956" s="1"/>
      <c r="E1956" s="1"/>
      <c r="F1956" s="1"/>
      <c r="G1956" s="1"/>
      <c r="H1956" s="1" t="s">
        <v>21175</v>
      </c>
      <c r="I1956" s="1" t="s">
        <v>21175</v>
      </c>
      <c r="J1956" s="1"/>
      <c r="K1956" s="1"/>
      <c r="L1956" s="1"/>
      <c r="M1956" s="1"/>
      <c r="N1956" s="1"/>
      <c r="O1956" s="1"/>
      <c r="P1956" s="1"/>
      <c r="Q1956" s="1"/>
      <c r="R1956" s="1"/>
      <c r="S1956" s="1"/>
      <c r="T1956" s="1"/>
      <c r="U1956" s="1"/>
      <c r="V1956" s="1"/>
      <c r="W1956" s="1"/>
      <c r="X1956" s="1"/>
      <c r="Y1956" s="1"/>
      <c r="Z1956" s="1"/>
      <c r="AA1956" s="1"/>
      <c r="AB1956" s="1"/>
      <c r="AC1956" s="1"/>
      <c r="AD1956" s="1" t="s">
        <v>93</v>
      </c>
      <c r="AE1956" s="1" t="s">
        <v>93</v>
      </c>
      <c r="AF1956" s="1"/>
      <c r="AG1956" s="1"/>
      <c r="AH1956" s="1"/>
      <c r="AI1956" s="1"/>
      <c r="AJ1956" s="1"/>
      <c r="AK1956" s="1"/>
      <c r="AL1956" s="1"/>
      <c r="AM1956" s="1"/>
      <c r="AN1956" s="1"/>
      <c r="AO1956" s="1"/>
      <c r="AP1956" s="1"/>
      <c r="AQ1956" s="1"/>
      <c r="AR1956" s="1"/>
      <c r="AS1956" s="1"/>
      <c r="AT1956" s="1"/>
      <c r="AU1956" s="1"/>
      <c r="AV1956" s="1"/>
      <c r="AW1956" s="1"/>
      <c r="AX1956" s="1"/>
      <c r="AY1956" s="1"/>
      <c r="AZ1956" s="1"/>
      <c r="BA1956" s="1"/>
      <c r="BB1956" s="1"/>
      <c r="BC1956" s="1"/>
      <c r="BD1956" s="1"/>
      <c r="BE1956" s="1"/>
      <c r="BF1956" s="1"/>
      <c r="BG1956" s="1"/>
      <c r="BH1956" s="1"/>
      <c r="BI1956" s="1"/>
      <c r="BJ1956" s="1"/>
      <c r="BK1956" s="1"/>
      <c r="BL1956" s="1"/>
      <c r="BM1956" s="1"/>
      <c r="BN1956" s="1"/>
      <c r="BO1956" s="1"/>
      <c r="BP1956" s="1" t="s">
        <v>9609</v>
      </c>
      <c r="BQ1956" s="3"/>
      <c r="BR1956" s="3"/>
    </row>
    <row r="1957" spans="1:70">
      <c r="A1957" s="1" t="s">
        <v>14387</v>
      </c>
      <c r="B1957" s="1" t="s">
        <v>13846</v>
      </c>
      <c r="C1957" s="1" t="s">
        <v>21176</v>
      </c>
      <c r="D1957" s="1"/>
      <c r="E1957" s="1"/>
      <c r="F1957" s="1"/>
      <c r="G1957" s="1"/>
      <c r="H1957" s="1" t="s">
        <v>21177</v>
      </c>
      <c r="I1957" s="1" t="s">
        <v>21177</v>
      </c>
      <c r="J1957" s="1"/>
      <c r="K1957" s="1"/>
      <c r="L1957" s="1"/>
      <c r="M1957" s="1"/>
      <c r="N1957" s="1"/>
      <c r="O1957" s="1"/>
      <c r="P1957" s="1"/>
      <c r="Q1957" s="1"/>
      <c r="R1957" s="1"/>
      <c r="S1957" s="1"/>
      <c r="T1957" s="1"/>
      <c r="U1957" s="1"/>
      <c r="V1957" s="1"/>
      <c r="W1957" s="1"/>
      <c r="X1957" s="1"/>
      <c r="Y1957" s="1"/>
      <c r="Z1957" s="1"/>
      <c r="AA1957" s="1"/>
      <c r="AB1957" s="1"/>
      <c r="AC1957" s="1"/>
      <c r="AD1957" s="1" t="s">
        <v>93</v>
      </c>
      <c r="AE1957" s="1" t="s">
        <v>93</v>
      </c>
      <c r="AF1957" s="1"/>
      <c r="AG1957" s="1"/>
      <c r="AH1957" s="1"/>
      <c r="AI1957" s="1"/>
      <c r="AJ1957" s="1"/>
      <c r="AK1957" s="1"/>
      <c r="AL1957" s="1"/>
      <c r="AM1957" s="1"/>
      <c r="AN1957" s="1"/>
      <c r="AO1957" s="1"/>
      <c r="AP1957" s="1"/>
      <c r="AQ1957" s="1"/>
      <c r="AR1957" s="1"/>
      <c r="AS1957" s="1"/>
      <c r="AT1957" s="1"/>
      <c r="AU1957" s="1"/>
      <c r="AV1957" s="1"/>
      <c r="AW1957" s="1"/>
      <c r="AX1957" s="1"/>
      <c r="AY1957" s="1"/>
      <c r="AZ1957" s="1"/>
      <c r="BA1957" s="1"/>
      <c r="BB1957" s="1"/>
      <c r="BC1957" s="1"/>
      <c r="BD1957" s="1"/>
      <c r="BE1957" s="1"/>
      <c r="BF1957" s="1"/>
      <c r="BG1957" s="1"/>
      <c r="BH1957" s="1"/>
      <c r="BI1957" s="1"/>
      <c r="BJ1957" s="1"/>
      <c r="BK1957" s="1"/>
      <c r="BL1957" s="1"/>
      <c r="BM1957" s="1"/>
      <c r="BN1957" s="1"/>
      <c r="BO1957" s="1"/>
      <c r="BP1957" s="1" t="s">
        <v>9609</v>
      </c>
      <c r="BQ1957" s="3"/>
      <c r="BR1957" s="3"/>
    </row>
    <row r="1958" spans="1:70">
      <c r="A1958" s="1" t="s">
        <v>14387</v>
      </c>
      <c r="B1958" s="1" t="s">
        <v>13846</v>
      </c>
      <c r="C1958" s="1" t="s">
        <v>21178</v>
      </c>
      <c r="D1958" s="1"/>
      <c r="E1958" s="1"/>
      <c r="F1958" s="1"/>
      <c r="G1958" s="1"/>
      <c r="H1958" s="1" t="s">
        <v>21179</v>
      </c>
      <c r="I1958" s="1" t="s">
        <v>21179</v>
      </c>
      <c r="J1958" s="1"/>
      <c r="K1958" s="1"/>
      <c r="L1958" s="1"/>
      <c r="M1958" s="1"/>
      <c r="N1958" s="1"/>
      <c r="O1958" s="1"/>
      <c r="P1958" s="1"/>
      <c r="Q1958" s="1"/>
      <c r="R1958" s="1"/>
      <c r="S1958" s="1"/>
      <c r="T1958" s="1"/>
      <c r="U1958" s="1"/>
      <c r="V1958" s="1"/>
      <c r="W1958" s="1"/>
      <c r="X1958" s="1"/>
      <c r="Y1958" s="1"/>
      <c r="Z1958" s="1"/>
      <c r="AA1958" s="1"/>
      <c r="AB1958" s="1"/>
      <c r="AC1958" s="1"/>
      <c r="AD1958" s="1" t="s">
        <v>93</v>
      </c>
      <c r="AE1958" s="1" t="s">
        <v>93</v>
      </c>
      <c r="AF1958" s="1"/>
      <c r="AG1958" s="1"/>
      <c r="AH1958" s="1"/>
      <c r="AI1958" s="1"/>
      <c r="AJ1958" s="1"/>
      <c r="AK1958" s="1"/>
      <c r="AL1958" s="1"/>
      <c r="AM1958" s="1"/>
      <c r="AN1958" s="1"/>
      <c r="AO1958" s="1"/>
      <c r="AP1958" s="1"/>
      <c r="AQ1958" s="1"/>
      <c r="AR1958" s="1"/>
      <c r="AS1958" s="1"/>
      <c r="AT1958" s="1"/>
      <c r="AU1958" s="1"/>
      <c r="AV1958" s="1"/>
      <c r="AW1958" s="1"/>
      <c r="AX1958" s="1"/>
      <c r="AY1958" s="1"/>
      <c r="AZ1958" s="1"/>
      <c r="BA1958" s="1"/>
      <c r="BB1958" s="1"/>
      <c r="BC1958" s="1"/>
      <c r="BD1958" s="1"/>
      <c r="BE1958" s="1"/>
      <c r="BF1958" s="1"/>
      <c r="BG1958" s="1"/>
      <c r="BH1958" s="1"/>
      <c r="BI1958" s="1"/>
      <c r="BJ1958" s="1"/>
      <c r="BK1958" s="1"/>
      <c r="BL1958" s="1"/>
      <c r="BM1958" s="1"/>
      <c r="BN1958" s="1"/>
      <c r="BO1958" s="1"/>
      <c r="BP1958" s="1" t="s">
        <v>9609</v>
      </c>
      <c r="BQ1958" s="3"/>
      <c r="BR1958" s="3"/>
    </row>
    <row r="1959" spans="1:70">
      <c r="A1959" s="1" t="s">
        <v>14387</v>
      </c>
      <c r="B1959" s="1" t="s">
        <v>13846</v>
      </c>
      <c r="C1959" s="1" t="s">
        <v>21180</v>
      </c>
      <c r="D1959" s="1"/>
      <c r="E1959" s="1"/>
      <c r="F1959" s="1"/>
      <c r="G1959" s="1"/>
      <c r="H1959" s="1" t="s">
        <v>21181</v>
      </c>
      <c r="I1959" s="1" t="s">
        <v>21181</v>
      </c>
      <c r="J1959" s="1"/>
      <c r="K1959" s="1"/>
      <c r="L1959" s="1"/>
      <c r="M1959" s="1"/>
      <c r="N1959" s="1"/>
      <c r="O1959" s="1"/>
      <c r="P1959" s="1"/>
      <c r="Q1959" s="1"/>
      <c r="R1959" s="1"/>
      <c r="S1959" s="1"/>
      <c r="T1959" s="1"/>
      <c r="U1959" s="1"/>
      <c r="V1959" s="1"/>
      <c r="W1959" s="1"/>
      <c r="X1959" s="1"/>
      <c r="Y1959" s="1"/>
      <c r="Z1959" s="1"/>
      <c r="AA1959" s="1"/>
      <c r="AB1959" s="1"/>
      <c r="AC1959" s="1"/>
      <c r="AD1959" s="1" t="s">
        <v>93</v>
      </c>
      <c r="AE1959" s="1" t="s">
        <v>93</v>
      </c>
      <c r="AF1959" s="1"/>
      <c r="AG1959" s="1"/>
      <c r="AH1959" s="1"/>
      <c r="AI1959" s="1"/>
      <c r="AJ1959" s="1"/>
      <c r="AK1959" s="1"/>
      <c r="AL1959" s="1"/>
      <c r="AM1959" s="1"/>
      <c r="AN1959" s="1"/>
      <c r="AO1959" s="1"/>
      <c r="AP1959" s="1"/>
      <c r="AQ1959" s="1"/>
      <c r="AR1959" s="1"/>
      <c r="AS1959" s="1"/>
      <c r="AT1959" s="1"/>
      <c r="AU1959" s="1"/>
      <c r="AV1959" s="1"/>
      <c r="AW1959" s="1"/>
      <c r="AX1959" s="1"/>
      <c r="AY1959" s="1"/>
      <c r="AZ1959" s="1"/>
      <c r="BA1959" s="1"/>
      <c r="BB1959" s="1"/>
      <c r="BC1959" s="1"/>
      <c r="BD1959" s="1"/>
      <c r="BE1959" s="1"/>
      <c r="BF1959" s="1"/>
      <c r="BG1959" s="1"/>
      <c r="BH1959" s="1"/>
      <c r="BI1959" s="1"/>
      <c r="BJ1959" s="1"/>
      <c r="BK1959" s="1"/>
      <c r="BL1959" s="1"/>
      <c r="BM1959" s="1"/>
      <c r="BN1959" s="1"/>
      <c r="BO1959" s="1"/>
      <c r="BP1959" s="1" t="s">
        <v>9609</v>
      </c>
      <c r="BQ1959" s="3"/>
      <c r="BR1959" s="3"/>
    </row>
    <row r="1960" spans="1:70">
      <c r="A1960" s="1" t="s">
        <v>14387</v>
      </c>
      <c r="B1960" s="1" t="s">
        <v>13846</v>
      </c>
      <c r="C1960" s="1" t="s">
        <v>21182</v>
      </c>
      <c r="D1960" s="1"/>
      <c r="E1960" s="1"/>
      <c r="F1960" s="1"/>
      <c r="G1960" s="1"/>
      <c r="H1960" s="1" t="s">
        <v>21183</v>
      </c>
      <c r="I1960" s="1" t="s">
        <v>21183</v>
      </c>
      <c r="J1960" s="1"/>
      <c r="K1960" s="1"/>
      <c r="L1960" s="1"/>
      <c r="M1960" s="1"/>
      <c r="N1960" s="1"/>
      <c r="O1960" s="1"/>
      <c r="P1960" s="1"/>
      <c r="Q1960" s="1"/>
      <c r="R1960" s="1"/>
      <c r="S1960" s="1"/>
      <c r="T1960" s="1"/>
      <c r="U1960" s="1"/>
      <c r="V1960" s="1"/>
      <c r="W1960" s="1"/>
      <c r="X1960" s="1"/>
      <c r="Y1960" s="1"/>
      <c r="Z1960" s="1"/>
      <c r="AA1960" s="1"/>
      <c r="AB1960" s="1"/>
      <c r="AC1960" s="1"/>
      <c r="AD1960" s="1" t="s">
        <v>93</v>
      </c>
      <c r="AE1960" s="1" t="s">
        <v>93</v>
      </c>
      <c r="AF1960" s="1"/>
      <c r="AG1960" s="1"/>
      <c r="AH1960" s="1"/>
      <c r="AI1960" s="1"/>
      <c r="AJ1960" s="1"/>
      <c r="AK1960" s="1"/>
      <c r="AL1960" s="1"/>
      <c r="AM1960" s="1"/>
      <c r="AN1960" s="1"/>
      <c r="AO1960" s="1"/>
      <c r="AP1960" s="1"/>
      <c r="AQ1960" s="1"/>
      <c r="AR1960" s="1"/>
      <c r="AS1960" s="1"/>
      <c r="AT1960" s="1"/>
      <c r="AU1960" s="1"/>
      <c r="AV1960" s="1"/>
      <c r="AW1960" s="1"/>
      <c r="AX1960" s="1"/>
      <c r="AY1960" s="1"/>
      <c r="AZ1960" s="1"/>
      <c r="BA1960" s="1"/>
      <c r="BB1960" s="1"/>
      <c r="BC1960" s="1"/>
      <c r="BD1960" s="1"/>
      <c r="BE1960" s="1"/>
      <c r="BF1960" s="1"/>
      <c r="BG1960" s="1"/>
      <c r="BH1960" s="1"/>
      <c r="BI1960" s="1"/>
      <c r="BJ1960" s="1"/>
      <c r="BK1960" s="1"/>
      <c r="BL1960" s="1"/>
      <c r="BM1960" s="1"/>
      <c r="BN1960" s="1"/>
      <c r="BO1960" s="1"/>
      <c r="BP1960" s="1" t="s">
        <v>9609</v>
      </c>
      <c r="BQ1960" s="3"/>
      <c r="BR1960" s="3"/>
    </row>
    <row r="1961" spans="1:70">
      <c r="A1961" s="1" t="s">
        <v>14387</v>
      </c>
      <c r="B1961" s="1" t="s">
        <v>13846</v>
      </c>
      <c r="C1961" s="1" t="s">
        <v>21184</v>
      </c>
      <c r="D1961" s="1"/>
      <c r="E1961" s="1"/>
      <c r="F1961" s="1"/>
      <c r="G1961" s="1"/>
      <c r="H1961" s="1" t="s">
        <v>21185</v>
      </c>
      <c r="I1961" s="1" t="s">
        <v>21185</v>
      </c>
      <c r="J1961" s="1"/>
      <c r="K1961" s="1"/>
      <c r="L1961" s="1"/>
      <c r="M1961" s="1"/>
      <c r="N1961" s="1"/>
      <c r="O1961" s="1"/>
      <c r="P1961" s="1"/>
      <c r="Q1961" s="1"/>
      <c r="R1961" s="1"/>
      <c r="S1961" s="1"/>
      <c r="T1961" s="1"/>
      <c r="U1961" s="1"/>
      <c r="V1961" s="1"/>
      <c r="W1961" s="1"/>
      <c r="X1961" s="1"/>
      <c r="Y1961" s="1"/>
      <c r="Z1961" s="1"/>
      <c r="AA1961" s="1"/>
      <c r="AB1961" s="1"/>
      <c r="AC1961" s="1"/>
      <c r="AD1961" s="1" t="s">
        <v>93</v>
      </c>
      <c r="AE1961" s="1" t="s">
        <v>93</v>
      </c>
      <c r="AF1961" s="1"/>
      <c r="AG1961" s="1"/>
      <c r="AH1961" s="1"/>
      <c r="AI1961" s="1"/>
      <c r="AJ1961" s="1"/>
      <c r="AK1961" s="1"/>
      <c r="AL1961" s="1"/>
      <c r="AM1961" s="1"/>
      <c r="AN1961" s="1"/>
      <c r="AO1961" s="1"/>
      <c r="AP1961" s="1"/>
      <c r="AQ1961" s="1"/>
      <c r="AR1961" s="1"/>
      <c r="AS1961" s="1"/>
      <c r="AT1961" s="1"/>
      <c r="AU1961" s="1"/>
      <c r="AV1961" s="1"/>
      <c r="AW1961" s="1"/>
      <c r="AX1961" s="1"/>
      <c r="AY1961" s="1"/>
      <c r="AZ1961" s="1"/>
      <c r="BA1961" s="1"/>
      <c r="BB1961" s="1"/>
      <c r="BC1961" s="1"/>
      <c r="BD1961" s="1"/>
      <c r="BE1961" s="1"/>
      <c r="BF1961" s="1"/>
      <c r="BG1961" s="1"/>
      <c r="BH1961" s="1"/>
      <c r="BI1961" s="1"/>
      <c r="BJ1961" s="1"/>
      <c r="BK1961" s="1"/>
      <c r="BL1961" s="1"/>
      <c r="BM1961" s="1"/>
      <c r="BN1961" s="1"/>
      <c r="BO1961" s="1"/>
      <c r="BP1961" s="1" t="s">
        <v>9609</v>
      </c>
      <c r="BQ1961" s="3"/>
      <c r="BR1961" s="3"/>
    </row>
    <row r="1962" spans="1:70">
      <c r="A1962" s="1" t="s">
        <v>14387</v>
      </c>
      <c r="B1962" s="1" t="s">
        <v>13846</v>
      </c>
      <c r="C1962" s="1" t="s">
        <v>21186</v>
      </c>
      <c r="D1962" s="1"/>
      <c r="E1962" s="1"/>
      <c r="F1962" s="1"/>
      <c r="G1962" s="1"/>
      <c r="H1962" s="1" t="s">
        <v>21187</v>
      </c>
      <c r="I1962" s="1" t="s">
        <v>21187</v>
      </c>
      <c r="J1962" s="1"/>
      <c r="K1962" s="1"/>
      <c r="L1962" s="1"/>
      <c r="M1962" s="1"/>
      <c r="N1962" s="1"/>
      <c r="O1962" s="1"/>
      <c r="P1962" s="1"/>
      <c r="Q1962" s="1"/>
      <c r="R1962" s="1"/>
      <c r="S1962" s="1"/>
      <c r="T1962" s="1"/>
      <c r="U1962" s="1"/>
      <c r="V1962" s="1"/>
      <c r="W1962" s="1"/>
      <c r="X1962" s="1"/>
      <c r="Y1962" s="1"/>
      <c r="Z1962" s="1"/>
      <c r="AA1962" s="1"/>
      <c r="AB1962" s="1"/>
      <c r="AC1962" s="1"/>
      <c r="AD1962" s="1" t="s">
        <v>93</v>
      </c>
      <c r="AE1962" s="1" t="s">
        <v>93</v>
      </c>
      <c r="AF1962" s="1"/>
      <c r="AG1962" s="1"/>
      <c r="AH1962" s="1"/>
      <c r="AI1962" s="1"/>
      <c r="AJ1962" s="1"/>
      <c r="AK1962" s="1"/>
      <c r="AL1962" s="1"/>
      <c r="AM1962" s="1"/>
      <c r="AN1962" s="1"/>
      <c r="AO1962" s="1"/>
      <c r="AP1962" s="1"/>
      <c r="AQ1962" s="1"/>
      <c r="AR1962" s="1"/>
      <c r="AS1962" s="1"/>
      <c r="AT1962" s="1"/>
      <c r="AU1962" s="1"/>
      <c r="AV1962" s="1"/>
      <c r="AW1962" s="1"/>
      <c r="AX1962" s="1"/>
      <c r="AY1962" s="1"/>
      <c r="AZ1962" s="1"/>
      <c r="BA1962" s="1"/>
      <c r="BB1962" s="1"/>
      <c r="BC1962" s="1"/>
      <c r="BD1962" s="1"/>
      <c r="BE1962" s="1"/>
      <c r="BF1962" s="1"/>
      <c r="BG1962" s="1"/>
      <c r="BH1962" s="1"/>
      <c r="BI1962" s="1"/>
      <c r="BJ1962" s="1"/>
      <c r="BK1962" s="1"/>
      <c r="BL1962" s="1"/>
      <c r="BM1962" s="1"/>
      <c r="BN1962" s="1"/>
      <c r="BO1962" s="1"/>
      <c r="BP1962" s="1" t="s">
        <v>9609</v>
      </c>
      <c r="BQ1962" s="3"/>
      <c r="BR1962" s="3"/>
    </row>
    <row r="1963" spans="1:70">
      <c r="A1963" s="1" t="s">
        <v>14387</v>
      </c>
      <c r="B1963" s="1" t="s">
        <v>13846</v>
      </c>
      <c r="C1963" s="1" t="s">
        <v>21188</v>
      </c>
      <c r="D1963" s="1"/>
      <c r="E1963" s="1"/>
      <c r="F1963" s="1"/>
      <c r="G1963" s="1"/>
      <c r="H1963" s="1" t="s">
        <v>21189</v>
      </c>
      <c r="I1963" s="1" t="s">
        <v>21189</v>
      </c>
      <c r="J1963" s="1"/>
      <c r="K1963" s="1"/>
      <c r="L1963" s="1"/>
      <c r="M1963" s="1"/>
      <c r="N1963" s="1"/>
      <c r="O1963" s="1"/>
      <c r="P1963" s="1"/>
      <c r="Q1963" s="1"/>
      <c r="R1963" s="1"/>
      <c r="S1963" s="1"/>
      <c r="T1963" s="1"/>
      <c r="U1963" s="1"/>
      <c r="V1963" s="1"/>
      <c r="W1963" s="1"/>
      <c r="X1963" s="1"/>
      <c r="Y1963" s="1"/>
      <c r="Z1963" s="1"/>
      <c r="AA1963" s="1"/>
      <c r="AB1963" s="1"/>
      <c r="AC1963" s="1"/>
      <c r="AD1963" s="1" t="s">
        <v>93</v>
      </c>
      <c r="AE1963" s="1" t="s">
        <v>93</v>
      </c>
      <c r="AF1963" s="1"/>
      <c r="AG1963" s="1"/>
      <c r="AH1963" s="1"/>
      <c r="AI1963" s="1"/>
      <c r="AJ1963" s="1"/>
      <c r="AK1963" s="1"/>
      <c r="AL1963" s="1"/>
      <c r="AM1963" s="1"/>
      <c r="AN1963" s="1"/>
      <c r="AO1963" s="1"/>
      <c r="AP1963" s="1"/>
      <c r="AQ1963" s="1"/>
      <c r="AR1963" s="1"/>
      <c r="AS1963" s="1"/>
      <c r="AT1963" s="1"/>
      <c r="AU1963" s="1"/>
      <c r="AV1963" s="1"/>
      <c r="AW1963" s="1"/>
      <c r="AX1963" s="1"/>
      <c r="AY1963" s="1"/>
      <c r="AZ1963" s="1"/>
      <c r="BA1963" s="1"/>
      <c r="BB1963" s="1"/>
      <c r="BC1963" s="1"/>
      <c r="BD1963" s="1"/>
      <c r="BE1963" s="1"/>
      <c r="BF1963" s="1"/>
      <c r="BG1963" s="1"/>
      <c r="BH1963" s="1"/>
      <c r="BI1963" s="1"/>
      <c r="BJ1963" s="1"/>
      <c r="BK1963" s="1"/>
      <c r="BL1963" s="1"/>
      <c r="BM1963" s="1"/>
      <c r="BN1963" s="1"/>
      <c r="BO1963" s="1"/>
      <c r="BP1963" s="1" t="s">
        <v>9609</v>
      </c>
      <c r="BQ1963" s="3"/>
      <c r="BR1963" s="3"/>
    </row>
    <row r="1964" spans="1:70">
      <c r="A1964" s="1" t="s">
        <v>14387</v>
      </c>
      <c r="B1964" s="1" t="s">
        <v>13846</v>
      </c>
      <c r="C1964" s="1" t="s">
        <v>21190</v>
      </c>
      <c r="D1964" s="1"/>
      <c r="E1964" s="1"/>
      <c r="F1964" s="1"/>
      <c r="G1964" s="1"/>
      <c r="H1964" s="1" t="s">
        <v>21191</v>
      </c>
      <c r="I1964" s="1" t="s">
        <v>21191</v>
      </c>
      <c r="J1964" s="1"/>
      <c r="K1964" s="1"/>
      <c r="L1964" s="1"/>
      <c r="M1964" s="1"/>
      <c r="N1964" s="1"/>
      <c r="O1964" s="1"/>
      <c r="P1964" s="1"/>
      <c r="Q1964" s="1"/>
      <c r="R1964" s="1"/>
      <c r="S1964" s="1"/>
      <c r="T1964" s="1"/>
      <c r="U1964" s="1"/>
      <c r="V1964" s="1"/>
      <c r="W1964" s="1"/>
      <c r="X1964" s="1"/>
      <c r="Y1964" s="1"/>
      <c r="Z1964" s="1"/>
      <c r="AA1964" s="1"/>
      <c r="AB1964" s="1"/>
      <c r="AC1964" s="1"/>
      <c r="AD1964" s="1" t="s">
        <v>93</v>
      </c>
      <c r="AE1964" s="1" t="s">
        <v>93</v>
      </c>
      <c r="AF1964" s="1"/>
      <c r="AG1964" s="1"/>
      <c r="AH1964" s="1"/>
      <c r="AI1964" s="1"/>
      <c r="AJ1964" s="1"/>
      <c r="AK1964" s="1"/>
      <c r="AL1964" s="1"/>
      <c r="AM1964" s="1"/>
      <c r="AN1964" s="1"/>
      <c r="AO1964" s="1"/>
      <c r="AP1964" s="1"/>
      <c r="AQ1964" s="1"/>
      <c r="AR1964" s="1"/>
      <c r="AS1964" s="1"/>
      <c r="AT1964" s="1"/>
      <c r="AU1964" s="1"/>
      <c r="AV1964" s="1"/>
      <c r="AW1964" s="1"/>
      <c r="AX1964" s="1"/>
      <c r="AY1964" s="1"/>
      <c r="AZ1964" s="1"/>
      <c r="BA1964" s="1"/>
      <c r="BB1964" s="1"/>
      <c r="BC1964" s="1"/>
      <c r="BD1964" s="1"/>
      <c r="BE1964" s="1"/>
      <c r="BF1964" s="1"/>
      <c r="BG1964" s="1"/>
      <c r="BH1964" s="1"/>
      <c r="BI1964" s="1"/>
      <c r="BJ1964" s="1"/>
      <c r="BK1964" s="1"/>
      <c r="BL1964" s="1"/>
      <c r="BM1964" s="1"/>
      <c r="BN1964" s="1"/>
      <c r="BO1964" s="1"/>
      <c r="BP1964" s="1" t="s">
        <v>9609</v>
      </c>
      <c r="BQ1964" s="3"/>
      <c r="BR1964" s="3"/>
    </row>
    <row r="1965" spans="1:70">
      <c r="A1965" s="1" t="s">
        <v>14387</v>
      </c>
      <c r="B1965" s="1" t="s">
        <v>13846</v>
      </c>
      <c r="C1965" s="1" t="s">
        <v>21192</v>
      </c>
      <c r="D1965" s="1"/>
      <c r="E1965" s="1"/>
      <c r="F1965" s="1"/>
      <c r="G1965" s="1"/>
      <c r="H1965" s="1" t="s">
        <v>21193</v>
      </c>
      <c r="I1965" s="1" t="s">
        <v>21193</v>
      </c>
      <c r="J1965" s="1"/>
      <c r="K1965" s="1"/>
      <c r="L1965" s="1"/>
      <c r="M1965" s="1"/>
      <c r="N1965" s="1"/>
      <c r="O1965" s="1"/>
      <c r="P1965" s="1"/>
      <c r="Q1965" s="1"/>
      <c r="R1965" s="1"/>
      <c r="S1965" s="1"/>
      <c r="T1965" s="1"/>
      <c r="U1965" s="1"/>
      <c r="V1965" s="1"/>
      <c r="W1965" s="1"/>
      <c r="X1965" s="1"/>
      <c r="Y1965" s="1"/>
      <c r="Z1965" s="1"/>
      <c r="AA1965" s="1"/>
      <c r="AB1965" s="1"/>
      <c r="AC1965" s="1"/>
      <c r="AD1965" s="1" t="s">
        <v>93</v>
      </c>
      <c r="AE1965" s="1" t="s">
        <v>93</v>
      </c>
      <c r="AF1965" s="1"/>
      <c r="AG1965" s="1"/>
      <c r="AH1965" s="1"/>
      <c r="AI1965" s="1"/>
      <c r="AJ1965" s="1"/>
      <c r="AK1965" s="1"/>
      <c r="AL1965" s="1"/>
      <c r="AM1965" s="1"/>
      <c r="AN1965" s="1"/>
      <c r="AO1965" s="1"/>
      <c r="AP1965" s="1"/>
      <c r="AQ1965" s="1"/>
      <c r="AR1965" s="1"/>
      <c r="AS1965" s="1"/>
      <c r="AT1965" s="1"/>
      <c r="AU1965" s="1"/>
      <c r="AV1965" s="1"/>
      <c r="AW1965" s="1"/>
      <c r="AX1965" s="1"/>
      <c r="AY1965" s="1"/>
      <c r="AZ1965" s="1"/>
      <c r="BA1965" s="1"/>
      <c r="BB1965" s="1"/>
      <c r="BC1965" s="1"/>
      <c r="BD1965" s="1"/>
      <c r="BE1965" s="1"/>
      <c r="BF1965" s="1"/>
      <c r="BG1965" s="1"/>
      <c r="BH1965" s="1"/>
      <c r="BI1965" s="1"/>
      <c r="BJ1965" s="1"/>
      <c r="BK1965" s="1"/>
      <c r="BL1965" s="1"/>
      <c r="BM1965" s="1"/>
      <c r="BN1965" s="1"/>
      <c r="BO1965" s="1"/>
      <c r="BP1965" s="1" t="s">
        <v>9609</v>
      </c>
      <c r="BQ1965" s="3"/>
      <c r="BR1965" s="3"/>
    </row>
    <row r="1966" spans="1:70">
      <c r="A1966" s="1" t="s">
        <v>14387</v>
      </c>
      <c r="B1966" s="1" t="s">
        <v>13846</v>
      </c>
      <c r="C1966" s="1" t="s">
        <v>21194</v>
      </c>
      <c r="D1966" s="1"/>
      <c r="E1966" s="1"/>
      <c r="F1966" s="1"/>
      <c r="G1966" s="1"/>
      <c r="H1966" s="1" t="s">
        <v>21195</v>
      </c>
      <c r="I1966" s="1" t="s">
        <v>21195</v>
      </c>
      <c r="J1966" s="1"/>
      <c r="K1966" s="1"/>
      <c r="L1966" s="1"/>
      <c r="M1966" s="1"/>
      <c r="N1966" s="1"/>
      <c r="O1966" s="1"/>
      <c r="P1966" s="1"/>
      <c r="Q1966" s="1"/>
      <c r="R1966" s="1"/>
      <c r="S1966" s="1"/>
      <c r="T1966" s="1"/>
      <c r="U1966" s="1"/>
      <c r="V1966" s="1"/>
      <c r="W1966" s="1"/>
      <c r="X1966" s="1"/>
      <c r="Y1966" s="1"/>
      <c r="Z1966" s="1"/>
      <c r="AA1966" s="1"/>
      <c r="AB1966" s="1"/>
      <c r="AC1966" s="1"/>
      <c r="AD1966" s="1" t="s">
        <v>93</v>
      </c>
      <c r="AE1966" s="1" t="s">
        <v>93</v>
      </c>
      <c r="AF1966" s="1"/>
      <c r="AG1966" s="1"/>
      <c r="AH1966" s="1"/>
      <c r="AI1966" s="1"/>
      <c r="AJ1966" s="1"/>
      <c r="AK1966" s="1"/>
      <c r="AL1966" s="1"/>
      <c r="AM1966" s="1"/>
      <c r="AN1966" s="1"/>
      <c r="AO1966" s="1"/>
      <c r="AP1966" s="1"/>
      <c r="AQ1966" s="1"/>
      <c r="AR1966" s="1"/>
      <c r="AS1966" s="1"/>
      <c r="AT1966" s="1"/>
      <c r="AU1966" s="1"/>
      <c r="AV1966" s="1"/>
      <c r="AW1966" s="1"/>
      <c r="AX1966" s="1"/>
      <c r="AY1966" s="1"/>
      <c r="AZ1966" s="1"/>
      <c r="BA1966" s="1"/>
      <c r="BB1966" s="1"/>
      <c r="BC1966" s="1"/>
      <c r="BD1966" s="1"/>
      <c r="BE1966" s="1"/>
      <c r="BF1966" s="1"/>
      <c r="BG1966" s="1"/>
      <c r="BH1966" s="1"/>
      <c r="BI1966" s="1"/>
      <c r="BJ1966" s="1"/>
      <c r="BK1966" s="1"/>
      <c r="BL1966" s="1"/>
      <c r="BM1966" s="1"/>
      <c r="BN1966" s="1"/>
      <c r="BO1966" s="1"/>
      <c r="BP1966" s="1" t="s">
        <v>9609</v>
      </c>
      <c r="BQ1966" s="3"/>
      <c r="BR1966" s="3"/>
    </row>
    <row r="1967" spans="1:70">
      <c r="A1967" s="1" t="s">
        <v>14387</v>
      </c>
      <c r="B1967" s="1" t="s">
        <v>13846</v>
      </c>
      <c r="C1967" s="1" t="s">
        <v>21196</v>
      </c>
      <c r="D1967" s="1"/>
      <c r="E1967" s="1"/>
      <c r="F1967" s="1"/>
      <c r="G1967" s="1"/>
      <c r="H1967" s="1" t="s">
        <v>21197</v>
      </c>
      <c r="I1967" s="1" t="s">
        <v>21197</v>
      </c>
      <c r="J1967" s="1"/>
      <c r="K1967" s="1"/>
      <c r="L1967" s="1"/>
      <c r="M1967" s="1"/>
      <c r="N1967" s="1"/>
      <c r="O1967" s="1"/>
      <c r="P1967" s="1"/>
      <c r="Q1967" s="1"/>
      <c r="R1967" s="1"/>
      <c r="S1967" s="1"/>
      <c r="T1967" s="1"/>
      <c r="U1967" s="1"/>
      <c r="V1967" s="1"/>
      <c r="W1967" s="1"/>
      <c r="X1967" s="1"/>
      <c r="Y1967" s="1"/>
      <c r="Z1967" s="1"/>
      <c r="AA1967" s="1"/>
      <c r="AB1967" s="1"/>
      <c r="AC1967" s="1"/>
      <c r="AD1967" s="1" t="s">
        <v>93</v>
      </c>
      <c r="AE1967" s="1" t="s">
        <v>93</v>
      </c>
      <c r="AF1967" s="1"/>
      <c r="AG1967" s="1"/>
      <c r="AH1967" s="1"/>
      <c r="AI1967" s="1"/>
      <c r="AJ1967" s="1"/>
      <c r="AK1967" s="1"/>
      <c r="AL1967" s="1"/>
      <c r="AM1967" s="1"/>
      <c r="AN1967" s="1"/>
      <c r="AO1967" s="1"/>
      <c r="AP1967" s="1"/>
      <c r="AQ1967" s="1"/>
      <c r="AR1967" s="1"/>
      <c r="AS1967" s="1"/>
      <c r="AT1967" s="1"/>
      <c r="AU1967" s="1"/>
      <c r="AV1967" s="1"/>
      <c r="AW1967" s="1"/>
      <c r="AX1967" s="1"/>
      <c r="AY1967" s="1"/>
      <c r="AZ1967" s="1"/>
      <c r="BA1967" s="1"/>
      <c r="BB1967" s="1"/>
      <c r="BC1967" s="1"/>
      <c r="BD1967" s="1"/>
      <c r="BE1967" s="1"/>
      <c r="BF1967" s="1"/>
      <c r="BG1967" s="1"/>
      <c r="BH1967" s="1"/>
      <c r="BI1967" s="1"/>
      <c r="BJ1967" s="1"/>
      <c r="BK1967" s="1"/>
      <c r="BL1967" s="1"/>
      <c r="BM1967" s="1"/>
      <c r="BN1967" s="1"/>
      <c r="BO1967" s="1"/>
      <c r="BP1967" s="1" t="s">
        <v>9609</v>
      </c>
      <c r="BQ1967" s="3"/>
      <c r="BR1967" s="3"/>
    </row>
    <row r="1968" spans="1:70">
      <c r="A1968" s="1" t="s">
        <v>14387</v>
      </c>
      <c r="B1968" s="1" t="s">
        <v>13846</v>
      </c>
      <c r="C1968" s="1" t="s">
        <v>21198</v>
      </c>
      <c r="D1968" s="1"/>
      <c r="E1968" s="1"/>
      <c r="F1968" s="1"/>
      <c r="G1968" s="1"/>
      <c r="H1968" s="1" t="s">
        <v>21199</v>
      </c>
      <c r="I1968" s="1" t="s">
        <v>21199</v>
      </c>
      <c r="J1968" s="1"/>
      <c r="K1968" s="1"/>
      <c r="L1968" s="1"/>
      <c r="M1968" s="1"/>
      <c r="N1968" s="1"/>
      <c r="O1968" s="1"/>
      <c r="P1968" s="1"/>
      <c r="Q1968" s="1"/>
      <c r="R1968" s="1"/>
      <c r="S1968" s="1"/>
      <c r="T1968" s="1"/>
      <c r="U1968" s="1"/>
      <c r="V1968" s="1"/>
      <c r="W1968" s="1"/>
      <c r="X1968" s="1"/>
      <c r="Y1968" s="1"/>
      <c r="Z1968" s="1"/>
      <c r="AA1968" s="1"/>
      <c r="AB1968" s="1"/>
      <c r="AC1968" s="1"/>
      <c r="AD1968" s="1" t="s">
        <v>93</v>
      </c>
      <c r="AE1968" s="1" t="s">
        <v>93</v>
      </c>
      <c r="AF1968" s="1"/>
      <c r="AG1968" s="1"/>
      <c r="AH1968" s="1"/>
      <c r="AI1968" s="1"/>
      <c r="AJ1968" s="1"/>
      <c r="AK1968" s="1"/>
      <c r="AL1968" s="1"/>
      <c r="AM1968" s="1"/>
      <c r="AN1968" s="1"/>
      <c r="AO1968" s="1"/>
      <c r="AP1968" s="1"/>
      <c r="AQ1968" s="1"/>
      <c r="AR1968" s="1"/>
      <c r="AS1968" s="1"/>
      <c r="AT1968" s="1"/>
      <c r="AU1968" s="1"/>
      <c r="AV1968" s="1"/>
      <c r="AW1968" s="1"/>
      <c r="AX1968" s="1"/>
      <c r="AY1968" s="1"/>
      <c r="AZ1968" s="1"/>
      <c r="BA1968" s="1"/>
      <c r="BB1968" s="1"/>
      <c r="BC1968" s="1"/>
      <c r="BD1968" s="1"/>
      <c r="BE1968" s="1"/>
      <c r="BF1968" s="1"/>
      <c r="BG1968" s="1"/>
      <c r="BH1968" s="1"/>
      <c r="BI1968" s="1"/>
      <c r="BJ1968" s="1"/>
      <c r="BK1968" s="1"/>
      <c r="BL1968" s="1"/>
      <c r="BM1968" s="1"/>
      <c r="BN1968" s="1"/>
      <c r="BO1968" s="1"/>
      <c r="BP1968" s="1" t="s">
        <v>9609</v>
      </c>
      <c r="BQ1968" s="3"/>
      <c r="BR1968" s="3"/>
    </row>
    <row r="1969" spans="1:70">
      <c r="A1969" s="1" t="s">
        <v>14387</v>
      </c>
      <c r="B1969" s="1" t="s">
        <v>13846</v>
      </c>
      <c r="C1969" s="1" t="s">
        <v>21200</v>
      </c>
      <c r="D1969" s="1"/>
      <c r="E1969" s="1"/>
      <c r="F1969" s="1"/>
      <c r="G1969" s="1"/>
      <c r="H1969" s="1" t="s">
        <v>21201</v>
      </c>
      <c r="I1969" s="1" t="s">
        <v>21201</v>
      </c>
      <c r="J1969" s="1"/>
      <c r="K1969" s="1"/>
      <c r="L1969" s="1"/>
      <c r="M1969" s="1"/>
      <c r="N1969" s="1"/>
      <c r="O1969" s="1"/>
      <c r="P1969" s="1"/>
      <c r="Q1969" s="1"/>
      <c r="R1969" s="1"/>
      <c r="S1969" s="1"/>
      <c r="T1969" s="1"/>
      <c r="U1969" s="1"/>
      <c r="V1969" s="1"/>
      <c r="W1969" s="1"/>
      <c r="X1969" s="1"/>
      <c r="Y1969" s="1"/>
      <c r="Z1969" s="1"/>
      <c r="AA1969" s="1"/>
      <c r="AB1969" s="1"/>
      <c r="AC1969" s="1"/>
      <c r="AD1969" s="1" t="s">
        <v>93</v>
      </c>
      <c r="AE1969" s="1" t="s">
        <v>93</v>
      </c>
      <c r="AF1969" s="1"/>
      <c r="AG1969" s="1"/>
      <c r="AH1969" s="1"/>
      <c r="AI1969" s="1"/>
      <c r="AJ1969" s="1"/>
      <c r="AK1969" s="1"/>
      <c r="AL1969" s="1"/>
      <c r="AM1969" s="1"/>
      <c r="AN1969" s="1"/>
      <c r="AO1969" s="1"/>
      <c r="AP1969" s="1"/>
      <c r="AQ1969" s="1"/>
      <c r="AR1969" s="1"/>
      <c r="AS1969" s="1"/>
      <c r="AT1969" s="1"/>
      <c r="AU1969" s="1"/>
      <c r="AV1969" s="1"/>
      <c r="AW1969" s="1"/>
      <c r="AX1969" s="1"/>
      <c r="AY1969" s="1"/>
      <c r="AZ1969" s="1"/>
      <c r="BA1969" s="1"/>
      <c r="BB1969" s="1"/>
      <c r="BC1969" s="1"/>
      <c r="BD1969" s="1"/>
      <c r="BE1969" s="1"/>
      <c r="BF1969" s="1"/>
      <c r="BG1969" s="1"/>
      <c r="BH1969" s="1"/>
      <c r="BI1969" s="1"/>
      <c r="BJ1969" s="1"/>
      <c r="BK1969" s="1"/>
      <c r="BL1969" s="1"/>
      <c r="BM1969" s="1"/>
      <c r="BN1969" s="1"/>
      <c r="BO1969" s="1"/>
      <c r="BP1969" s="1" t="s">
        <v>9609</v>
      </c>
      <c r="BQ1969" s="3"/>
      <c r="BR1969" s="3"/>
    </row>
    <row r="1970" spans="1:70">
      <c r="A1970" s="1" t="s">
        <v>14387</v>
      </c>
      <c r="B1970" s="1" t="s">
        <v>13846</v>
      </c>
      <c r="C1970" s="1" t="s">
        <v>21202</v>
      </c>
      <c r="D1970" s="1"/>
      <c r="E1970" s="1"/>
      <c r="F1970" s="1"/>
      <c r="G1970" s="1"/>
      <c r="H1970" s="1" t="s">
        <v>21203</v>
      </c>
      <c r="I1970" s="1" t="s">
        <v>21203</v>
      </c>
      <c r="J1970" s="1"/>
      <c r="K1970" s="1"/>
      <c r="L1970" s="1"/>
      <c r="M1970" s="1"/>
      <c r="N1970" s="1"/>
      <c r="O1970" s="1"/>
      <c r="P1970" s="1"/>
      <c r="Q1970" s="1"/>
      <c r="R1970" s="1"/>
      <c r="S1970" s="1"/>
      <c r="T1970" s="1"/>
      <c r="U1970" s="1"/>
      <c r="V1970" s="1"/>
      <c r="W1970" s="1"/>
      <c r="X1970" s="1"/>
      <c r="Y1970" s="1"/>
      <c r="Z1970" s="1"/>
      <c r="AA1970" s="1"/>
      <c r="AB1970" s="1"/>
      <c r="AC1970" s="1"/>
      <c r="AD1970" s="1" t="s">
        <v>93</v>
      </c>
      <c r="AE1970" s="1" t="s">
        <v>93</v>
      </c>
      <c r="AF1970" s="1"/>
      <c r="AG1970" s="1"/>
      <c r="AH1970" s="1"/>
      <c r="AI1970" s="1"/>
      <c r="AJ1970" s="1"/>
      <c r="AK1970" s="1"/>
      <c r="AL1970" s="1"/>
      <c r="AM1970" s="1"/>
      <c r="AN1970" s="1"/>
      <c r="AO1970" s="1"/>
      <c r="AP1970" s="1"/>
      <c r="AQ1970" s="1"/>
      <c r="AR1970" s="1"/>
      <c r="AS1970" s="1"/>
      <c r="AT1970" s="1"/>
      <c r="AU1970" s="1"/>
      <c r="AV1970" s="1"/>
      <c r="AW1970" s="1"/>
      <c r="AX1970" s="1"/>
      <c r="AY1970" s="1"/>
      <c r="AZ1970" s="1"/>
      <c r="BA1970" s="1"/>
      <c r="BB1970" s="1"/>
      <c r="BC1970" s="1"/>
      <c r="BD1970" s="1"/>
      <c r="BE1970" s="1"/>
      <c r="BF1970" s="1"/>
      <c r="BG1970" s="1"/>
      <c r="BH1970" s="1"/>
      <c r="BI1970" s="1"/>
      <c r="BJ1970" s="1"/>
      <c r="BK1970" s="1"/>
      <c r="BL1970" s="1"/>
      <c r="BM1970" s="1"/>
      <c r="BN1970" s="1"/>
      <c r="BO1970" s="1"/>
      <c r="BP1970" s="1" t="s">
        <v>9609</v>
      </c>
      <c r="BQ1970" s="3"/>
      <c r="BR1970" s="3"/>
    </row>
    <row r="1971" spans="1:70">
      <c r="A1971" s="1" t="s">
        <v>14387</v>
      </c>
      <c r="B1971" s="1" t="s">
        <v>13846</v>
      </c>
      <c r="C1971" s="1" t="s">
        <v>21204</v>
      </c>
      <c r="D1971" s="1"/>
      <c r="E1971" s="1"/>
      <c r="F1971" s="1"/>
      <c r="G1971" s="1"/>
      <c r="H1971" s="1" t="s">
        <v>21205</v>
      </c>
      <c r="I1971" s="1" t="s">
        <v>21205</v>
      </c>
      <c r="J1971" s="1"/>
      <c r="K1971" s="1"/>
      <c r="L1971" s="1"/>
      <c r="M1971" s="1"/>
      <c r="N1971" s="1"/>
      <c r="O1971" s="1"/>
      <c r="P1971" s="1"/>
      <c r="Q1971" s="1"/>
      <c r="R1971" s="1"/>
      <c r="S1971" s="1"/>
      <c r="T1971" s="1"/>
      <c r="U1971" s="1"/>
      <c r="V1971" s="1"/>
      <c r="W1971" s="1"/>
      <c r="X1971" s="1"/>
      <c r="Y1971" s="1"/>
      <c r="Z1971" s="1"/>
      <c r="AA1971" s="1"/>
      <c r="AB1971" s="1"/>
      <c r="AC1971" s="1"/>
      <c r="AD1971" s="1" t="s">
        <v>93</v>
      </c>
      <c r="AE1971" s="1" t="s">
        <v>93</v>
      </c>
      <c r="AF1971" s="1"/>
      <c r="AG1971" s="1"/>
      <c r="AH1971" s="1"/>
      <c r="AI1971" s="1"/>
      <c r="AJ1971" s="1"/>
      <c r="AK1971" s="1"/>
      <c r="AL1971" s="1"/>
      <c r="AM1971" s="1"/>
      <c r="AN1971" s="1"/>
      <c r="AO1971" s="1"/>
      <c r="AP1971" s="1"/>
      <c r="AQ1971" s="1"/>
      <c r="AR1971" s="1"/>
      <c r="AS1971" s="1"/>
      <c r="AT1971" s="1"/>
      <c r="AU1971" s="1"/>
      <c r="AV1971" s="1"/>
      <c r="AW1971" s="1"/>
      <c r="AX1971" s="1"/>
      <c r="AY1971" s="1"/>
      <c r="AZ1971" s="1"/>
      <c r="BA1971" s="1"/>
      <c r="BB1971" s="1"/>
      <c r="BC1971" s="1"/>
      <c r="BD1971" s="1"/>
      <c r="BE1971" s="1"/>
      <c r="BF1971" s="1"/>
      <c r="BG1971" s="1"/>
      <c r="BH1971" s="1"/>
      <c r="BI1971" s="1"/>
      <c r="BJ1971" s="1"/>
      <c r="BK1971" s="1"/>
      <c r="BL1971" s="1"/>
      <c r="BM1971" s="1"/>
      <c r="BN1971" s="1"/>
      <c r="BO1971" s="1"/>
      <c r="BP1971" s="1" t="s">
        <v>9609</v>
      </c>
      <c r="BQ1971" s="3"/>
      <c r="BR1971" s="3"/>
    </row>
    <row r="1972" spans="1:70">
      <c r="A1972" s="1" t="s">
        <v>14387</v>
      </c>
      <c r="B1972" s="1" t="s">
        <v>13846</v>
      </c>
      <c r="C1972" s="1" t="s">
        <v>21206</v>
      </c>
      <c r="D1972" s="1"/>
      <c r="E1972" s="1"/>
      <c r="F1972" s="1"/>
      <c r="G1972" s="1"/>
      <c r="H1972" s="1" t="s">
        <v>21207</v>
      </c>
      <c r="I1972" s="1" t="s">
        <v>21207</v>
      </c>
      <c r="J1972" s="1"/>
      <c r="K1972" s="1"/>
      <c r="L1972" s="1"/>
      <c r="M1972" s="1"/>
      <c r="N1972" s="1"/>
      <c r="O1972" s="1"/>
      <c r="P1972" s="1"/>
      <c r="Q1972" s="1"/>
      <c r="R1972" s="1"/>
      <c r="S1972" s="1"/>
      <c r="T1972" s="1"/>
      <c r="U1972" s="1"/>
      <c r="V1972" s="1"/>
      <c r="W1972" s="1"/>
      <c r="X1972" s="1"/>
      <c r="Y1972" s="1"/>
      <c r="Z1972" s="1"/>
      <c r="AA1972" s="1"/>
      <c r="AB1972" s="1"/>
      <c r="AC1972" s="1"/>
      <c r="AD1972" s="1" t="s">
        <v>93</v>
      </c>
      <c r="AE1972" s="1" t="s">
        <v>93</v>
      </c>
      <c r="AF1972" s="1"/>
      <c r="AG1972" s="1"/>
      <c r="AH1972" s="1"/>
      <c r="AI1972" s="1"/>
      <c r="AJ1972" s="1"/>
      <c r="AK1972" s="1"/>
      <c r="AL1972" s="1"/>
      <c r="AM1972" s="1"/>
      <c r="AN1972" s="1"/>
      <c r="AO1972" s="1"/>
      <c r="AP1972" s="1"/>
      <c r="AQ1972" s="1"/>
      <c r="AR1972" s="1"/>
      <c r="AS1972" s="1"/>
      <c r="AT1972" s="1"/>
      <c r="AU1972" s="1"/>
      <c r="AV1972" s="1"/>
      <c r="AW1972" s="1"/>
      <c r="AX1972" s="1"/>
      <c r="AY1972" s="1"/>
      <c r="AZ1972" s="1"/>
      <c r="BA1972" s="1"/>
      <c r="BB1972" s="1"/>
      <c r="BC1972" s="1"/>
      <c r="BD1972" s="1"/>
      <c r="BE1972" s="1"/>
      <c r="BF1972" s="1"/>
      <c r="BG1972" s="1"/>
      <c r="BH1972" s="1"/>
      <c r="BI1972" s="1"/>
      <c r="BJ1972" s="1"/>
      <c r="BK1972" s="1"/>
      <c r="BL1972" s="1"/>
      <c r="BM1972" s="1"/>
      <c r="BN1972" s="1"/>
      <c r="BO1972" s="1"/>
      <c r="BP1972" s="1" t="s">
        <v>9609</v>
      </c>
      <c r="BQ1972" s="3"/>
      <c r="BR1972" s="3"/>
    </row>
    <row r="1973" spans="1:70">
      <c r="A1973" s="1" t="s">
        <v>14387</v>
      </c>
      <c r="B1973" s="1" t="s">
        <v>13846</v>
      </c>
      <c r="C1973" s="1" t="s">
        <v>21208</v>
      </c>
      <c r="D1973" s="1"/>
      <c r="E1973" s="1"/>
      <c r="F1973" s="1"/>
      <c r="G1973" s="1"/>
      <c r="H1973" s="1" t="s">
        <v>21209</v>
      </c>
      <c r="I1973" s="1" t="s">
        <v>21209</v>
      </c>
      <c r="J1973" s="1"/>
      <c r="K1973" s="1"/>
      <c r="L1973" s="1"/>
      <c r="M1973" s="1"/>
      <c r="N1973" s="1"/>
      <c r="O1973" s="1"/>
      <c r="P1973" s="1"/>
      <c r="Q1973" s="1"/>
      <c r="R1973" s="1"/>
      <c r="S1973" s="1"/>
      <c r="T1973" s="1"/>
      <c r="U1973" s="1"/>
      <c r="V1973" s="1"/>
      <c r="W1973" s="1"/>
      <c r="X1973" s="1"/>
      <c r="Y1973" s="1"/>
      <c r="Z1973" s="1"/>
      <c r="AA1973" s="1"/>
      <c r="AB1973" s="1"/>
      <c r="AC1973" s="1"/>
      <c r="AD1973" s="1" t="s">
        <v>93</v>
      </c>
      <c r="AE1973" s="1" t="s">
        <v>93</v>
      </c>
      <c r="AF1973" s="1"/>
      <c r="AG1973" s="1"/>
      <c r="AH1973" s="1"/>
      <c r="AI1973" s="1"/>
      <c r="AJ1973" s="1"/>
      <c r="AK1973" s="1"/>
      <c r="AL1973" s="1"/>
      <c r="AM1973" s="1"/>
      <c r="AN1973" s="1"/>
      <c r="AO1973" s="1"/>
      <c r="AP1973" s="1"/>
      <c r="AQ1973" s="1"/>
      <c r="AR1973" s="1"/>
      <c r="AS1973" s="1"/>
      <c r="AT1973" s="1"/>
      <c r="AU1973" s="1"/>
      <c r="AV1973" s="1"/>
      <c r="AW1973" s="1"/>
      <c r="AX1973" s="1"/>
      <c r="AY1973" s="1"/>
      <c r="AZ1973" s="1"/>
      <c r="BA1973" s="1"/>
      <c r="BB1973" s="1"/>
      <c r="BC1973" s="1"/>
      <c r="BD1973" s="1"/>
      <c r="BE1973" s="1"/>
      <c r="BF1973" s="1"/>
      <c r="BG1973" s="1"/>
      <c r="BH1973" s="1"/>
      <c r="BI1973" s="1"/>
      <c r="BJ1973" s="1"/>
      <c r="BK1973" s="1"/>
      <c r="BL1973" s="1"/>
      <c r="BM1973" s="1"/>
      <c r="BN1973" s="1"/>
      <c r="BO1973" s="1"/>
      <c r="BP1973" s="1" t="s">
        <v>9609</v>
      </c>
      <c r="BQ1973" s="3"/>
      <c r="BR1973" s="3"/>
    </row>
    <row r="1974" spans="1:70">
      <c r="A1974" s="1" t="s">
        <v>14387</v>
      </c>
      <c r="B1974" s="1" t="s">
        <v>13846</v>
      </c>
      <c r="C1974" s="1" t="s">
        <v>21210</v>
      </c>
      <c r="D1974" s="1"/>
      <c r="E1974" s="1"/>
      <c r="F1974" s="1"/>
      <c r="G1974" s="1"/>
      <c r="H1974" s="1" t="s">
        <v>21211</v>
      </c>
      <c r="I1974" s="1" t="s">
        <v>21211</v>
      </c>
      <c r="J1974" s="1"/>
      <c r="K1974" s="1"/>
      <c r="L1974" s="1"/>
      <c r="M1974" s="1"/>
      <c r="N1974" s="1"/>
      <c r="O1974" s="1"/>
      <c r="P1974" s="1"/>
      <c r="Q1974" s="1"/>
      <c r="R1974" s="1"/>
      <c r="S1974" s="1"/>
      <c r="T1974" s="1"/>
      <c r="U1974" s="1"/>
      <c r="V1974" s="1"/>
      <c r="W1974" s="1"/>
      <c r="X1974" s="1"/>
      <c r="Y1974" s="1"/>
      <c r="Z1974" s="1"/>
      <c r="AA1974" s="1"/>
      <c r="AB1974" s="1"/>
      <c r="AC1974" s="1"/>
      <c r="AD1974" s="1" t="s">
        <v>93</v>
      </c>
      <c r="AE1974" s="1" t="s">
        <v>93</v>
      </c>
      <c r="AF1974" s="1"/>
      <c r="AG1974" s="1"/>
      <c r="AH1974" s="1"/>
      <c r="AI1974" s="1"/>
      <c r="AJ1974" s="1"/>
      <c r="AK1974" s="1"/>
      <c r="AL1974" s="1"/>
      <c r="AM1974" s="1"/>
      <c r="AN1974" s="1"/>
      <c r="AO1974" s="1"/>
      <c r="AP1974" s="1"/>
      <c r="AQ1974" s="1"/>
      <c r="AR1974" s="1"/>
      <c r="AS1974" s="1"/>
      <c r="AT1974" s="1"/>
      <c r="AU1974" s="1"/>
      <c r="AV1974" s="1"/>
      <c r="AW1974" s="1"/>
      <c r="AX1974" s="1"/>
      <c r="AY1974" s="1"/>
      <c r="AZ1974" s="1"/>
      <c r="BA1974" s="1"/>
      <c r="BB1974" s="1"/>
      <c r="BC1974" s="1"/>
      <c r="BD1974" s="1"/>
      <c r="BE1974" s="1"/>
      <c r="BF1974" s="1"/>
      <c r="BG1974" s="1"/>
      <c r="BH1974" s="1"/>
      <c r="BI1974" s="1"/>
      <c r="BJ1974" s="1"/>
      <c r="BK1974" s="1"/>
      <c r="BL1974" s="1"/>
      <c r="BM1974" s="1"/>
      <c r="BN1974" s="1"/>
      <c r="BO1974" s="1"/>
      <c r="BP1974" s="1" t="s">
        <v>9609</v>
      </c>
      <c r="BQ1974" s="3"/>
      <c r="BR1974" s="3"/>
    </row>
    <row r="1975" spans="1:70">
      <c r="A1975" s="1" t="s">
        <v>14387</v>
      </c>
      <c r="B1975" s="1" t="s">
        <v>13846</v>
      </c>
      <c r="C1975" s="1" t="s">
        <v>21212</v>
      </c>
      <c r="D1975" s="1"/>
      <c r="E1975" s="1"/>
      <c r="F1975" s="1"/>
      <c r="G1975" s="1"/>
      <c r="H1975" s="1" t="s">
        <v>21213</v>
      </c>
      <c r="I1975" s="1" t="s">
        <v>21213</v>
      </c>
      <c r="J1975" s="1"/>
      <c r="K1975" s="1"/>
      <c r="L1975" s="1"/>
      <c r="M1975" s="1"/>
      <c r="N1975" s="1"/>
      <c r="O1975" s="1"/>
      <c r="P1975" s="1"/>
      <c r="Q1975" s="1"/>
      <c r="R1975" s="1"/>
      <c r="S1975" s="1"/>
      <c r="T1975" s="1"/>
      <c r="U1975" s="1"/>
      <c r="V1975" s="1"/>
      <c r="W1975" s="1"/>
      <c r="X1975" s="1"/>
      <c r="Y1975" s="1"/>
      <c r="Z1975" s="1"/>
      <c r="AA1975" s="1"/>
      <c r="AB1975" s="1"/>
      <c r="AC1975" s="1"/>
      <c r="AD1975" s="1" t="s">
        <v>93</v>
      </c>
      <c r="AE1975" s="1" t="s">
        <v>93</v>
      </c>
      <c r="AF1975" s="1"/>
      <c r="AG1975" s="1"/>
      <c r="AH1975" s="1"/>
      <c r="AI1975" s="1"/>
      <c r="AJ1975" s="1"/>
      <c r="AK1975" s="1"/>
      <c r="AL1975" s="1"/>
      <c r="AM1975" s="1"/>
      <c r="AN1975" s="1"/>
      <c r="AO1975" s="1"/>
      <c r="AP1975" s="1"/>
      <c r="AQ1975" s="1"/>
      <c r="AR1975" s="1"/>
      <c r="AS1975" s="1"/>
      <c r="AT1975" s="1"/>
      <c r="AU1975" s="1"/>
      <c r="AV1975" s="1"/>
      <c r="AW1975" s="1"/>
      <c r="AX1975" s="1"/>
      <c r="AY1975" s="1"/>
      <c r="AZ1975" s="1"/>
      <c r="BA1975" s="1"/>
      <c r="BB1975" s="1"/>
      <c r="BC1975" s="1"/>
      <c r="BD1975" s="1"/>
      <c r="BE1975" s="1"/>
      <c r="BF1975" s="1"/>
      <c r="BG1975" s="1"/>
      <c r="BH1975" s="1"/>
      <c r="BI1975" s="1"/>
      <c r="BJ1975" s="1"/>
      <c r="BK1975" s="1"/>
      <c r="BL1975" s="1"/>
      <c r="BM1975" s="1"/>
      <c r="BN1975" s="1"/>
      <c r="BO1975" s="1"/>
      <c r="BP1975" s="1" t="s">
        <v>9609</v>
      </c>
      <c r="BQ1975" s="3"/>
      <c r="BR1975" s="3"/>
    </row>
    <row r="1976" spans="1:70">
      <c r="A1976" s="1" t="s">
        <v>14387</v>
      </c>
      <c r="B1976" s="1" t="s">
        <v>13846</v>
      </c>
      <c r="C1976" s="1" t="s">
        <v>21214</v>
      </c>
      <c r="D1976" s="1"/>
      <c r="E1976" s="1"/>
      <c r="F1976" s="1"/>
      <c r="G1976" s="1"/>
      <c r="H1976" s="1" t="s">
        <v>21215</v>
      </c>
      <c r="I1976" s="1" t="s">
        <v>21215</v>
      </c>
      <c r="J1976" s="1"/>
      <c r="K1976" s="1"/>
      <c r="L1976" s="1"/>
      <c r="M1976" s="1"/>
      <c r="N1976" s="1"/>
      <c r="O1976" s="1"/>
      <c r="P1976" s="1"/>
      <c r="Q1976" s="1"/>
      <c r="R1976" s="1"/>
      <c r="S1976" s="1"/>
      <c r="T1976" s="1"/>
      <c r="U1976" s="1"/>
      <c r="V1976" s="1"/>
      <c r="W1976" s="1"/>
      <c r="X1976" s="1"/>
      <c r="Y1976" s="1"/>
      <c r="Z1976" s="1"/>
      <c r="AA1976" s="1"/>
      <c r="AB1976" s="1"/>
      <c r="AC1976" s="1"/>
      <c r="AD1976" s="1" t="s">
        <v>93</v>
      </c>
      <c r="AE1976" s="1" t="s">
        <v>93</v>
      </c>
      <c r="AF1976" s="1"/>
      <c r="AG1976" s="1"/>
      <c r="AH1976" s="1"/>
      <c r="AI1976" s="1"/>
      <c r="AJ1976" s="1"/>
      <c r="AK1976" s="1"/>
      <c r="AL1976" s="1"/>
      <c r="AM1976" s="1"/>
      <c r="AN1976" s="1"/>
      <c r="AO1976" s="1"/>
      <c r="AP1976" s="1"/>
      <c r="AQ1976" s="1"/>
      <c r="AR1976" s="1"/>
      <c r="AS1976" s="1"/>
      <c r="AT1976" s="1"/>
      <c r="AU1976" s="1"/>
      <c r="AV1976" s="1"/>
      <c r="AW1976" s="1"/>
      <c r="AX1976" s="1"/>
      <c r="AY1976" s="1"/>
      <c r="AZ1976" s="1"/>
      <c r="BA1976" s="1"/>
      <c r="BB1976" s="1"/>
      <c r="BC1976" s="1"/>
      <c r="BD1976" s="1"/>
      <c r="BE1976" s="1"/>
      <c r="BF1976" s="1"/>
      <c r="BG1976" s="1"/>
      <c r="BH1976" s="1"/>
      <c r="BI1976" s="1"/>
      <c r="BJ1976" s="1"/>
      <c r="BK1976" s="1"/>
      <c r="BL1976" s="1"/>
      <c r="BM1976" s="1"/>
      <c r="BN1976" s="1"/>
      <c r="BO1976" s="1"/>
      <c r="BP1976" s="1" t="s">
        <v>9609</v>
      </c>
      <c r="BQ1976" s="3"/>
      <c r="BR1976" s="3"/>
    </row>
    <row r="1977" spans="1:70">
      <c r="A1977" s="1" t="s">
        <v>14387</v>
      </c>
      <c r="B1977" s="1" t="s">
        <v>13846</v>
      </c>
      <c r="C1977" s="1" t="s">
        <v>21216</v>
      </c>
      <c r="D1977" s="1"/>
      <c r="E1977" s="1"/>
      <c r="F1977" s="1"/>
      <c r="G1977" s="1"/>
      <c r="H1977" s="1" t="s">
        <v>21217</v>
      </c>
      <c r="I1977" s="1" t="s">
        <v>21217</v>
      </c>
      <c r="J1977" s="1"/>
      <c r="K1977" s="1"/>
      <c r="L1977" s="1"/>
      <c r="M1977" s="1"/>
      <c r="N1977" s="1"/>
      <c r="O1977" s="1"/>
      <c r="P1977" s="1"/>
      <c r="Q1977" s="1"/>
      <c r="R1977" s="1"/>
      <c r="S1977" s="1"/>
      <c r="T1977" s="1"/>
      <c r="U1977" s="1"/>
      <c r="V1977" s="1"/>
      <c r="W1977" s="1"/>
      <c r="X1977" s="1"/>
      <c r="Y1977" s="1"/>
      <c r="Z1977" s="1"/>
      <c r="AA1977" s="1"/>
      <c r="AB1977" s="1"/>
      <c r="AC1977" s="1"/>
      <c r="AD1977" s="1" t="s">
        <v>93</v>
      </c>
      <c r="AE1977" s="1" t="s">
        <v>93</v>
      </c>
      <c r="AF1977" s="1"/>
      <c r="AG1977" s="1"/>
      <c r="AH1977" s="1"/>
      <c r="AI1977" s="1"/>
      <c r="AJ1977" s="1"/>
      <c r="AK1977" s="1"/>
      <c r="AL1977" s="1"/>
      <c r="AM1977" s="1"/>
      <c r="AN1977" s="1"/>
      <c r="AO1977" s="1"/>
      <c r="AP1977" s="1"/>
      <c r="AQ1977" s="1"/>
      <c r="AR1977" s="1"/>
      <c r="AS1977" s="1"/>
      <c r="AT1977" s="1"/>
      <c r="AU1977" s="1"/>
      <c r="AV1977" s="1"/>
      <c r="AW1977" s="1"/>
      <c r="AX1977" s="1"/>
      <c r="AY1977" s="1"/>
      <c r="AZ1977" s="1"/>
      <c r="BA1977" s="1"/>
      <c r="BB1977" s="1"/>
      <c r="BC1977" s="1"/>
      <c r="BD1977" s="1"/>
      <c r="BE1977" s="1"/>
      <c r="BF1977" s="1"/>
      <c r="BG1977" s="1"/>
      <c r="BH1977" s="1"/>
      <c r="BI1977" s="1"/>
      <c r="BJ1977" s="1"/>
      <c r="BK1977" s="1"/>
      <c r="BL1977" s="1"/>
      <c r="BM1977" s="1"/>
      <c r="BN1977" s="1"/>
      <c r="BO1977" s="1"/>
      <c r="BP1977" s="1" t="s">
        <v>9609</v>
      </c>
      <c r="BQ1977" s="3"/>
      <c r="BR1977" s="3"/>
    </row>
    <row r="1978" spans="1:70">
      <c r="A1978" s="1" t="s">
        <v>14387</v>
      </c>
      <c r="B1978" s="1" t="s">
        <v>13846</v>
      </c>
      <c r="C1978" s="1" t="s">
        <v>21218</v>
      </c>
      <c r="D1978" s="1"/>
      <c r="E1978" s="1"/>
      <c r="F1978" s="1"/>
      <c r="G1978" s="1"/>
      <c r="H1978" s="1" t="s">
        <v>21219</v>
      </c>
      <c r="I1978" s="1" t="s">
        <v>21219</v>
      </c>
      <c r="J1978" s="1"/>
      <c r="K1978" s="1"/>
      <c r="L1978" s="1"/>
      <c r="M1978" s="1"/>
      <c r="N1978" s="1"/>
      <c r="O1978" s="1"/>
      <c r="P1978" s="1"/>
      <c r="Q1978" s="1"/>
      <c r="R1978" s="1"/>
      <c r="S1978" s="1"/>
      <c r="T1978" s="1"/>
      <c r="U1978" s="1"/>
      <c r="V1978" s="1"/>
      <c r="W1978" s="1"/>
      <c r="X1978" s="1"/>
      <c r="Y1978" s="1"/>
      <c r="Z1978" s="1"/>
      <c r="AA1978" s="1"/>
      <c r="AB1978" s="1"/>
      <c r="AC1978" s="1"/>
      <c r="AD1978" s="1" t="s">
        <v>93</v>
      </c>
      <c r="AE1978" s="1" t="s">
        <v>93</v>
      </c>
      <c r="AF1978" s="1"/>
      <c r="AG1978" s="1"/>
      <c r="AH1978" s="1"/>
      <c r="AI1978" s="1"/>
      <c r="AJ1978" s="1"/>
      <c r="AK1978" s="1"/>
      <c r="AL1978" s="1"/>
      <c r="AM1978" s="1"/>
      <c r="AN1978" s="1"/>
      <c r="AO1978" s="1"/>
      <c r="AP1978" s="1"/>
      <c r="AQ1978" s="1"/>
      <c r="AR1978" s="1"/>
      <c r="AS1978" s="1"/>
      <c r="AT1978" s="1"/>
      <c r="AU1978" s="1"/>
      <c r="AV1978" s="1"/>
      <c r="AW1978" s="1"/>
      <c r="AX1978" s="1"/>
      <c r="AY1978" s="1"/>
      <c r="AZ1978" s="1"/>
      <c r="BA1978" s="1"/>
      <c r="BB1978" s="1"/>
      <c r="BC1978" s="1"/>
      <c r="BD1978" s="1"/>
      <c r="BE1978" s="1"/>
      <c r="BF1978" s="1"/>
      <c r="BG1978" s="1"/>
      <c r="BH1978" s="1"/>
      <c r="BI1978" s="1"/>
      <c r="BJ1978" s="1"/>
      <c r="BK1978" s="1"/>
      <c r="BL1978" s="1"/>
      <c r="BM1978" s="1"/>
      <c r="BN1978" s="1"/>
      <c r="BO1978" s="1"/>
      <c r="BP1978" s="1" t="s">
        <v>9609</v>
      </c>
      <c r="BQ1978" s="3"/>
      <c r="BR1978" s="3"/>
    </row>
    <row r="1979" spans="1:70">
      <c r="A1979" s="1" t="s">
        <v>14387</v>
      </c>
      <c r="B1979" s="1" t="s">
        <v>13846</v>
      </c>
      <c r="C1979" s="1" t="s">
        <v>21220</v>
      </c>
      <c r="D1979" s="1"/>
      <c r="E1979" s="1"/>
      <c r="F1979" s="1"/>
      <c r="G1979" s="1"/>
      <c r="H1979" s="1" t="s">
        <v>21221</v>
      </c>
      <c r="I1979" s="1" t="s">
        <v>21221</v>
      </c>
      <c r="J1979" s="1"/>
      <c r="K1979" s="1"/>
      <c r="L1979" s="1"/>
      <c r="M1979" s="1"/>
      <c r="N1979" s="1"/>
      <c r="O1979" s="1"/>
      <c r="P1979" s="1"/>
      <c r="Q1979" s="1"/>
      <c r="R1979" s="1"/>
      <c r="S1979" s="1"/>
      <c r="T1979" s="1"/>
      <c r="U1979" s="1"/>
      <c r="V1979" s="1"/>
      <c r="W1979" s="1"/>
      <c r="X1979" s="1"/>
      <c r="Y1979" s="1"/>
      <c r="Z1979" s="1"/>
      <c r="AA1979" s="1"/>
      <c r="AB1979" s="1"/>
      <c r="AC1979" s="1"/>
      <c r="AD1979" s="1" t="s">
        <v>93</v>
      </c>
      <c r="AE1979" s="1" t="s">
        <v>93</v>
      </c>
      <c r="AF1979" s="1"/>
      <c r="AG1979" s="1"/>
      <c r="AH1979" s="1"/>
      <c r="AI1979" s="1"/>
      <c r="AJ1979" s="1"/>
      <c r="AK1979" s="1"/>
      <c r="AL1979" s="1"/>
      <c r="AM1979" s="1"/>
      <c r="AN1979" s="1"/>
      <c r="AO1979" s="1"/>
      <c r="AP1979" s="1"/>
      <c r="AQ1979" s="1"/>
      <c r="AR1979" s="1"/>
      <c r="AS1979" s="1"/>
      <c r="AT1979" s="1"/>
      <c r="AU1979" s="1"/>
      <c r="AV1979" s="1"/>
      <c r="AW1979" s="1"/>
      <c r="AX1979" s="1"/>
      <c r="AY1979" s="1"/>
      <c r="AZ1979" s="1"/>
      <c r="BA1979" s="1"/>
      <c r="BB1979" s="1"/>
      <c r="BC1979" s="1"/>
      <c r="BD1979" s="1"/>
      <c r="BE1979" s="1"/>
      <c r="BF1979" s="1"/>
      <c r="BG1979" s="1"/>
      <c r="BH1979" s="1"/>
      <c r="BI1979" s="1"/>
      <c r="BJ1979" s="1"/>
      <c r="BK1979" s="1"/>
      <c r="BL1979" s="1"/>
      <c r="BM1979" s="1"/>
      <c r="BN1979" s="1"/>
      <c r="BO1979" s="1"/>
      <c r="BP1979" s="1" t="s">
        <v>9609</v>
      </c>
      <c r="BQ1979" s="3"/>
      <c r="BR1979" s="3"/>
    </row>
    <row r="1980" spans="1:70">
      <c r="A1980" s="1" t="s">
        <v>14387</v>
      </c>
      <c r="B1980" s="1" t="s">
        <v>13846</v>
      </c>
      <c r="C1980" s="1" t="s">
        <v>21222</v>
      </c>
      <c r="D1980" s="1"/>
      <c r="E1980" s="1"/>
      <c r="F1980" s="1"/>
      <c r="G1980" s="1"/>
      <c r="H1980" s="1" t="s">
        <v>21223</v>
      </c>
      <c r="I1980" s="1" t="s">
        <v>21223</v>
      </c>
      <c r="J1980" s="1"/>
      <c r="K1980" s="1"/>
      <c r="L1980" s="1"/>
      <c r="M1980" s="1"/>
      <c r="N1980" s="1"/>
      <c r="O1980" s="1"/>
      <c r="P1980" s="1"/>
      <c r="Q1980" s="1"/>
      <c r="R1980" s="1"/>
      <c r="S1980" s="1"/>
      <c r="T1980" s="1"/>
      <c r="U1980" s="1"/>
      <c r="V1980" s="1"/>
      <c r="W1980" s="1"/>
      <c r="X1980" s="1"/>
      <c r="Y1980" s="1"/>
      <c r="Z1980" s="1"/>
      <c r="AA1980" s="1"/>
      <c r="AB1980" s="1"/>
      <c r="AC1980" s="1"/>
      <c r="AD1980" s="1" t="s">
        <v>93</v>
      </c>
      <c r="AE1980" s="1" t="s">
        <v>93</v>
      </c>
      <c r="AF1980" s="1"/>
      <c r="AG1980" s="1"/>
      <c r="AH1980" s="1"/>
      <c r="AI1980" s="1"/>
      <c r="AJ1980" s="1"/>
      <c r="AK1980" s="1"/>
      <c r="AL1980" s="1"/>
      <c r="AM1980" s="1"/>
      <c r="AN1980" s="1"/>
      <c r="AO1980" s="1"/>
      <c r="AP1980" s="1"/>
      <c r="AQ1980" s="1"/>
      <c r="AR1980" s="1"/>
      <c r="AS1980" s="1"/>
      <c r="AT1980" s="1"/>
      <c r="AU1980" s="1"/>
      <c r="AV1980" s="1"/>
      <c r="AW1980" s="1"/>
      <c r="AX1980" s="1"/>
      <c r="AY1980" s="1"/>
      <c r="AZ1980" s="1"/>
      <c r="BA1980" s="1"/>
      <c r="BB1980" s="1"/>
      <c r="BC1980" s="1"/>
      <c r="BD1980" s="1"/>
      <c r="BE1980" s="1"/>
      <c r="BF1980" s="1"/>
      <c r="BG1980" s="1"/>
      <c r="BH1980" s="1"/>
      <c r="BI1980" s="1"/>
      <c r="BJ1980" s="1"/>
      <c r="BK1980" s="1"/>
      <c r="BL1980" s="1"/>
      <c r="BM1980" s="1"/>
      <c r="BN1980" s="1"/>
      <c r="BO1980" s="1"/>
      <c r="BP1980" s="1" t="s">
        <v>9609</v>
      </c>
      <c r="BQ1980" s="3"/>
      <c r="BR1980" s="3"/>
    </row>
    <row r="1981" spans="1:70">
      <c r="A1981" s="1" t="s">
        <v>14387</v>
      </c>
      <c r="B1981" s="1" t="s">
        <v>13846</v>
      </c>
      <c r="C1981" s="1" t="s">
        <v>21224</v>
      </c>
      <c r="D1981" s="1"/>
      <c r="E1981" s="1"/>
      <c r="F1981" s="1"/>
      <c r="G1981" s="1"/>
      <c r="H1981" s="1" t="s">
        <v>21225</v>
      </c>
      <c r="I1981" s="1" t="s">
        <v>21225</v>
      </c>
      <c r="J1981" s="1"/>
      <c r="K1981" s="1"/>
      <c r="L1981" s="1"/>
      <c r="M1981" s="1"/>
      <c r="N1981" s="1"/>
      <c r="O1981" s="1"/>
      <c r="P1981" s="1"/>
      <c r="Q1981" s="1"/>
      <c r="R1981" s="1"/>
      <c r="S1981" s="1"/>
      <c r="T1981" s="1"/>
      <c r="U1981" s="1"/>
      <c r="V1981" s="1"/>
      <c r="W1981" s="1"/>
      <c r="X1981" s="1"/>
      <c r="Y1981" s="1"/>
      <c r="Z1981" s="1"/>
      <c r="AA1981" s="1"/>
      <c r="AB1981" s="1"/>
      <c r="AC1981" s="1"/>
      <c r="AD1981" s="1" t="s">
        <v>93</v>
      </c>
      <c r="AE1981" s="1" t="s">
        <v>93</v>
      </c>
      <c r="AF1981" s="1"/>
      <c r="AG1981" s="1"/>
      <c r="AH1981" s="1"/>
      <c r="AI1981" s="1"/>
      <c r="AJ1981" s="1"/>
      <c r="AK1981" s="1"/>
      <c r="AL1981" s="1"/>
      <c r="AM1981" s="1"/>
      <c r="AN1981" s="1"/>
      <c r="AO1981" s="1"/>
      <c r="AP1981" s="1"/>
      <c r="AQ1981" s="1"/>
      <c r="AR1981" s="1"/>
      <c r="AS1981" s="1"/>
      <c r="AT1981" s="1"/>
      <c r="AU1981" s="1"/>
      <c r="AV1981" s="1"/>
      <c r="AW1981" s="1"/>
      <c r="AX1981" s="1"/>
      <c r="AY1981" s="1"/>
      <c r="AZ1981" s="1"/>
      <c r="BA1981" s="1"/>
      <c r="BB1981" s="1"/>
      <c r="BC1981" s="1"/>
      <c r="BD1981" s="1"/>
      <c r="BE1981" s="1"/>
      <c r="BF1981" s="1"/>
      <c r="BG1981" s="1"/>
      <c r="BH1981" s="1"/>
      <c r="BI1981" s="1"/>
      <c r="BJ1981" s="1"/>
      <c r="BK1981" s="1"/>
      <c r="BL1981" s="1"/>
      <c r="BM1981" s="1"/>
      <c r="BN1981" s="1"/>
      <c r="BO1981" s="1"/>
      <c r="BP1981" s="1" t="s">
        <v>9609</v>
      </c>
      <c r="BQ1981" s="3"/>
      <c r="BR1981" s="3"/>
    </row>
    <row r="1982" spans="1:70">
      <c r="A1982" s="1" t="s">
        <v>14387</v>
      </c>
      <c r="B1982" s="1" t="s">
        <v>13846</v>
      </c>
      <c r="C1982" s="1" t="s">
        <v>21226</v>
      </c>
      <c r="D1982" s="1"/>
      <c r="E1982" s="1"/>
      <c r="F1982" s="1"/>
      <c r="G1982" s="1"/>
      <c r="H1982" s="1" t="s">
        <v>21227</v>
      </c>
      <c r="I1982" s="1" t="s">
        <v>21227</v>
      </c>
      <c r="J1982" s="1"/>
      <c r="K1982" s="1"/>
      <c r="L1982" s="1"/>
      <c r="M1982" s="1"/>
      <c r="N1982" s="1"/>
      <c r="O1982" s="1"/>
      <c r="P1982" s="1"/>
      <c r="Q1982" s="1"/>
      <c r="R1982" s="1"/>
      <c r="S1982" s="1"/>
      <c r="T1982" s="1"/>
      <c r="U1982" s="1"/>
      <c r="V1982" s="1"/>
      <c r="W1982" s="1"/>
      <c r="X1982" s="1"/>
      <c r="Y1982" s="1"/>
      <c r="Z1982" s="1"/>
      <c r="AA1982" s="1"/>
      <c r="AB1982" s="1"/>
      <c r="AC1982" s="1"/>
      <c r="AD1982" s="1" t="s">
        <v>93</v>
      </c>
      <c r="AE1982" s="1" t="s">
        <v>93</v>
      </c>
      <c r="AF1982" s="1"/>
      <c r="AG1982" s="1"/>
      <c r="AH1982" s="1"/>
      <c r="AI1982" s="1"/>
      <c r="AJ1982" s="1"/>
      <c r="AK1982" s="1"/>
      <c r="AL1982" s="1"/>
      <c r="AM1982" s="1"/>
      <c r="AN1982" s="1"/>
      <c r="AO1982" s="1"/>
      <c r="AP1982" s="1"/>
      <c r="AQ1982" s="1"/>
      <c r="AR1982" s="1"/>
      <c r="AS1982" s="1"/>
      <c r="AT1982" s="1"/>
      <c r="AU1982" s="1"/>
      <c r="AV1982" s="1"/>
      <c r="AW1982" s="1"/>
      <c r="AX1982" s="1"/>
      <c r="AY1982" s="1"/>
      <c r="AZ1982" s="1"/>
      <c r="BA1982" s="1"/>
      <c r="BB1982" s="1"/>
      <c r="BC1982" s="1"/>
      <c r="BD1982" s="1"/>
      <c r="BE1982" s="1"/>
      <c r="BF1982" s="1"/>
      <c r="BG1982" s="1"/>
      <c r="BH1982" s="1"/>
      <c r="BI1982" s="1"/>
      <c r="BJ1982" s="1"/>
      <c r="BK1982" s="1"/>
      <c r="BL1982" s="1"/>
      <c r="BM1982" s="1"/>
      <c r="BN1982" s="1"/>
      <c r="BO1982" s="1"/>
      <c r="BP1982" s="1" t="s">
        <v>9609</v>
      </c>
      <c r="BQ1982" s="3"/>
      <c r="BR1982" s="3"/>
    </row>
    <row r="1983" spans="1:70">
      <c r="A1983" s="1" t="s">
        <v>14387</v>
      </c>
      <c r="B1983" s="1" t="s">
        <v>13846</v>
      </c>
      <c r="C1983" s="1" t="s">
        <v>21228</v>
      </c>
      <c r="D1983" s="1"/>
      <c r="E1983" s="1"/>
      <c r="F1983" s="1"/>
      <c r="G1983" s="1"/>
      <c r="H1983" s="1" t="s">
        <v>21229</v>
      </c>
      <c r="I1983" s="1" t="s">
        <v>21229</v>
      </c>
      <c r="J1983" s="1"/>
      <c r="K1983" s="1"/>
      <c r="L1983" s="1"/>
      <c r="M1983" s="1"/>
      <c r="N1983" s="1"/>
      <c r="O1983" s="1"/>
      <c r="P1983" s="1"/>
      <c r="Q1983" s="1"/>
      <c r="R1983" s="1"/>
      <c r="S1983" s="1"/>
      <c r="T1983" s="1"/>
      <c r="U1983" s="1"/>
      <c r="V1983" s="1"/>
      <c r="W1983" s="1"/>
      <c r="X1983" s="1"/>
      <c r="Y1983" s="1"/>
      <c r="Z1983" s="1"/>
      <c r="AA1983" s="1"/>
      <c r="AB1983" s="1"/>
      <c r="AC1983" s="1"/>
      <c r="AD1983" s="1" t="s">
        <v>93</v>
      </c>
      <c r="AE1983" s="1" t="s">
        <v>93</v>
      </c>
      <c r="AF1983" s="1"/>
      <c r="AG1983" s="1"/>
      <c r="AH1983" s="1"/>
      <c r="AI1983" s="1"/>
      <c r="AJ1983" s="1"/>
      <c r="AK1983" s="1"/>
      <c r="AL1983" s="1"/>
      <c r="AM1983" s="1"/>
      <c r="AN1983" s="1"/>
      <c r="AO1983" s="1"/>
      <c r="AP1983" s="1"/>
      <c r="AQ1983" s="1"/>
      <c r="AR1983" s="1"/>
      <c r="AS1983" s="1"/>
      <c r="AT1983" s="1"/>
      <c r="AU1983" s="1"/>
      <c r="AV1983" s="1"/>
      <c r="AW1983" s="1"/>
      <c r="AX1983" s="1"/>
      <c r="AY1983" s="1"/>
      <c r="AZ1983" s="1"/>
      <c r="BA1983" s="1"/>
      <c r="BB1983" s="1"/>
      <c r="BC1983" s="1"/>
      <c r="BD1983" s="1"/>
      <c r="BE1983" s="1"/>
      <c r="BF1983" s="1"/>
      <c r="BG1983" s="1"/>
      <c r="BH1983" s="1"/>
      <c r="BI1983" s="1"/>
      <c r="BJ1983" s="1"/>
      <c r="BK1983" s="1"/>
      <c r="BL1983" s="1"/>
      <c r="BM1983" s="1"/>
      <c r="BN1983" s="1"/>
      <c r="BO1983" s="1"/>
      <c r="BP1983" s="1" t="s">
        <v>9609</v>
      </c>
      <c r="BQ1983" s="3"/>
      <c r="BR1983" s="3"/>
    </row>
    <row r="1984" spans="1:70">
      <c r="A1984" s="1" t="s">
        <v>14387</v>
      </c>
      <c r="B1984" s="1" t="s">
        <v>13846</v>
      </c>
      <c r="C1984" s="1" t="s">
        <v>21230</v>
      </c>
      <c r="D1984" s="1"/>
      <c r="E1984" s="1"/>
      <c r="F1984" s="1"/>
      <c r="G1984" s="1"/>
      <c r="H1984" s="1" t="s">
        <v>21231</v>
      </c>
      <c r="I1984" s="1" t="s">
        <v>21231</v>
      </c>
      <c r="J1984" s="1"/>
      <c r="K1984" s="1"/>
      <c r="L1984" s="1"/>
      <c r="M1984" s="1"/>
      <c r="N1984" s="1"/>
      <c r="O1984" s="1"/>
      <c r="P1984" s="1"/>
      <c r="Q1984" s="1"/>
      <c r="R1984" s="1"/>
      <c r="S1984" s="1"/>
      <c r="T1984" s="1"/>
      <c r="U1984" s="1"/>
      <c r="V1984" s="1"/>
      <c r="W1984" s="1"/>
      <c r="X1984" s="1"/>
      <c r="Y1984" s="1"/>
      <c r="Z1984" s="1"/>
      <c r="AA1984" s="1"/>
      <c r="AB1984" s="1"/>
      <c r="AC1984" s="1"/>
      <c r="AD1984" s="1" t="s">
        <v>93</v>
      </c>
      <c r="AE1984" s="1" t="s">
        <v>93</v>
      </c>
      <c r="AF1984" s="1"/>
      <c r="AG1984" s="1"/>
      <c r="AH1984" s="1"/>
      <c r="AI1984" s="1"/>
      <c r="AJ1984" s="1"/>
      <c r="AK1984" s="1"/>
      <c r="AL1984" s="1"/>
      <c r="AM1984" s="1"/>
      <c r="AN1984" s="1"/>
      <c r="AO1984" s="1"/>
      <c r="AP1984" s="1"/>
      <c r="AQ1984" s="1"/>
      <c r="AR1984" s="1"/>
      <c r="AS1984" s="1"/>
      <c r="AT1984" s="1"/>
      <c r="AU1984" s="1"/>
      <c r="AV1984" s="1"/>
      <c r="AW1984" s="1"/>
      <c r="AX1984" s="1"/>
      <c r="AY1984" s="1"/>
      <c r="AZ1984" s="1"/>
      <c r="BA1984" s="1"/>
      <c r="BB1984" s="1"/>
      <c r="BC1984" s="1"/>
      <c r="BD1984" s="1"/>
      <c r="BE1984" s="1"/>
      <c r="BF1984" s="1"/>
      <c r="BG1984" s="1"/>
      <c r="BH1984" s="1"/>
      <c r="BI1984" s="1"/>
      <c r="BJ1984" s="1"/>
      <c r="BK1984" s="1"/>
      <c r="BL1984" s="1"/>
      <c r="BM1984" s="1"/>
      <c r="BN1984" s="1"/>
      <c r="BO1984" s="1"/>
      <c r="BP1984" s="1" t="s">
        <v>9609</v>
      </c>
      <c r="BQ1984" s="3"/>
      <c r="BR1984" s="3"/>
    </row>
    <row r="1985" spans="1:70">
      <c r="A1985" s="1" t="s">
        <v>14387</v>
      </c>
      <c r="B1985" s="1" t="s">
        <v>13846</v>
      </c>
      <c r="C1985" s="1" t="s">
        <v>21232</v>
      </c>
      <c r="D1985" s="1"/>
      <c r="E1985" s="1"/>
      <c r="F1985" s="1"/>
      <c r="G1985" s="1"/>
      <c r="H1985" s="1" t="s">
        <v>21233</v>
      </c>
      <c r="I1985" s="1" t="s">
        <v>21233</v>
      </c>
      <c r="J1985" s="1"/>
      <c r="K1985" s="1"/>
      <c r="L1985" s="1"/>
      <c r="M1985" s="1"/>
      <c r="N1985" s="1"/>
      <c r="O1985" s="1"/>
      <c r="P1985" s="1"/>
      <c r="Q1985" s="1"/>
      <c r="R1985" s="1"/>
      <c r="S1985" s="1"/>
      <c r="T1985" s="1"/>
      <c r="U1985" s="1"/>
      <c r="V1985" s="1"/>
      <c r="W1985" s="1"/>
      <c r="X1985" s="1"/>
      <c r="Y1985" s="1"/>
      <c r="Z1985" s="1"/>
      <c r="AA1985" s="1"/>
      <c r="AB1985" s="1"/>
      <c r="AC1985" s="1"/>
      <c r="AD1985" s="1" t="s">
        <v>93</v>
      </c>
      <c r="AE1985" s="1" t="s">
        <v>93</v>
      </c>
      <c r="AF1985" s="1"/>
      <c r="AG1985" s="1"/>
      <c r="AH1985" s="1"/>
      <c r="AI1985" s="1"/>
      <c r="AJ1985" s="1"/>
      <c r="AK1985" s="1"/>
      <c r="AL1985" s="1"/>
      <c r="AM1985" s="1"/>
      <c r="AN1985" s="1"/>
      <c r="AO1985" s="1"/>
      <c r="AP1985" s="1"/>
      <c r="AQ1985" s="1"/>
      <c r="AR1985" s="1"/>
      <c r="AS1985" s="1"/>
      <c r="AT1985" s="1"/>
      <c r="AU1985" s="1"/>
      <c r="AV1985" s="1"/>
      <c r="AW1985" s="1"/>
      <c r="AX1985" s="1"/>
      <c r="AY1985" s="1"/>
      <c r="AZ1985" s="1"/>
      <c r="BA1985" s="1"/>
      <c r="BB1985" s="1"/>
      <c r="BC1985" s="1"/>
      <c r="BD1985" s="1"/>
      <c r="BE1985" s="1"/>
      <c r="BF1985" s="1"/>
      <c r="BG1985" s="1"/>
      <c r="BH1985" s="1"/>
      <c r="BI1985" s="1"/>
      <c r="BJ1985" s="1"/>
      <c r="BK1985" s="1"/>
      <c r="BL1985" s="1"/>
      <c r="BM1985" s="1"/>
      <c r="BN1985" s="1"/>
      <c r="BO1985" s="1"/>
      <c r="BP1985" s="1" t="s">
        <v>9609</v>
      </c>
      <c r="BQ1985" s="3"/>
      <c r="BR1985" s="3"/>
    </row>
    <row r="1986" spans="1:70">
      <c r="A1986" s="1" t="s">
        <v>14387</v>
      </c>
      <c r="B1986" s="1" t="s">
        <v>13846</v>
      </c>
      <c r="C1986" s="1" t="s">
        <v>21234</v>
      </c>
      <c r="D1986" s="1"/>
      <c r="E1986" s="1"/>
      <c r="F1986" s="1"/>
      <c r="G1986" s="1"/>
      <c r="H1986" s="1" t="s">
        <v>21235</v>
      </c>
      <c r="I1986" s="1" t="s">
        <v>21235</v>
      </c>
      <c r="J1986" s="1"/>
      <c r="K1986" s="1"/>
      <c r="L1986" s="1"/>
      <c r="M1986" s="1"/>
      <c r="N1986" s="1"/>
      <c r="O1986" s="1"/>
      <c r="P1986" s="1"/>
      <c r="Q1986" s="1"/>
      <c r="R1986" s="1"/>
      <c r="S1986" s="1"/>
      <c r="T1986" s="1"/>
      <c r="U1986" s="1"/>
      <c r="V1986" s="1"/>
      <c r="W1986" s="1"/>
      <c r="X1986" s="1"/>
      <c r="Y1986" s="1"/>
      <c r="Z1986" s="1"/>
      <c r="AA1986" s="1"/>
      <c r="AB1986" s="1"/>
      <c r="AC1986" s="1"/>
      <c r="AD1986" s="1" t="s">
        <v>93</v>
      </c>
      <c r="AE1986" s="1" t="s">
        <v>93</v>
      </c>
      <c r="AF1986" s="1"/>
      <c r="AG1986" s="1"/>
      <c r="AH1986" s="1"/>
      <c r="AI1986" s="1"/>
      <c r="AJ1986" s="1"/>
      <c r="AK1986" s="1"/>
      <c r="AL1986" s="1"/>
      <c r="AM1986" s="1"/>
      <c r="AN1986" s="1"/>
      <c r="AO1986" s="1"/>
      <c r="AP1986" s="1"/>
      <c r="AQ1986" s="1"/>
      <c r="AR1986" s="1"/>
      <c r="AS1986" s="1"/>
      <c r="AT1986" s="1"/>
      <c r="AU1986" s="1"/>
      <c r="AV1986" s="1"/>
      <c r="AW1986" s="1"/>
      <c r="AX1986" s="1"/>
      <c r="AY1986" s="1"/>
      <c r="AZ1986" s="1"/>
      <c r="BA1986" s="1"/>
      <c r="BB1986" s="1"/>
      <c r="BC1986" s="1"/>
      <c r="BD1986" s="1"/>
      <c r="BE1986" s="1"/>
      <c r="BF1986" s="1"/>
      <c r="BG1986" s="1"/>
      <c r="BH1986" s="1"/>
      <c r="BI1986" s="1"/>
      <c r="BJ1986" s="1"/>
      <c r="BK1986" s="1"/>
      <c r="BL1986" s="1"/>
      <c r="BM1986" s="1"/>
      <c r="BN1986" s="1"/>
      <c r="BO1986" s="1"/>
      <c r="BP1986" s="1" t="s">
        <v>9609</v>
      </c>
      <c r="BQ1986" s="3"/>
      <c r="BR1986" s="3"/>
    </row>
    <row r="1987" spans="1:70">
      <c r="A1987" s="1" t="s">
        <v>14387</v>
      </c>
      <c r="B1987" s="1" t="s">
        <v>13846</v>
      </c>
      <c r="C1987" s="1" t="s">
        <v>21236</v>
      </c>
      <c r="D1987" s="1"/>
      <c r="E1987" s="1"/>
      <c r="F1987" s="1"/>
      <c r="G1987" s="1"/>
      <c r="H1987" s="1" t="s">
        <v>21237</v>
      </c>
      <c r="I1987" s="1" t="s">
        <v>21237</v>
      </c>
      <c r="J1987" s="1"/>
      <c r="K1987" s="1"/>
      <c r="L1987" s="1"/>
      <c r="M1987" s="1"/>
      <c r="N1987" s="1"/>
      <c r="O1987" s="1"/>
      <c r="P1987" s="1"/>
      <c r="Q1987" s="1"/>
      <c r="R1987" s="1"/>
      <c r="S1987" s="1"/>
      <c r="T1987" s="1"/>
      <c r="U1987" s="1"/>
      <c r="V1987" s="1"/>
      <c r="W1987" s="1"/>
      <c r="X1987" s="1"/>
      <c r="Y1987" s="1"/>
      <c r="Z1987" s="1"/>
      <c r="AA1987" s="1"/>
      <c r="AB1987" s="1"/>
      <c r="AC1987" s="1"/>
      <c r="AD1987" s="1" t="s">
        <v>93</v>
      </c>
      <c r="AE1987" s="1" t="s">
        <v>93</v>
      </c>
      <c r="AF1987" s="1"/>
      <c r="AG1987" s="1"/>
      <c r="AH1987" s="1"/>
      <c r="AI1987" s="1"/>
      <c r="AJ1987" s="1"/>
      <c r="AK1987" s="1"/>
      <c r="AL1987" s="1"/>
      <c r="AM1987" s="1"/>
      <c r="AN1987" s="1"/>
      <c r="AO1987" s="1"/>
      <c r="AP1987" s="1"/>
      <c r="AQ1987" s="1"/>
      <c r="AR1987" s="1"/>
      <c r="AS1987" s="1"/>
      <c r="AT1987" s="1"/>
      <c r="AU1987" s="1"/>
      <c r="AV1987" s="1"/>
      <c r="AW1987" s="1"/>
      <c r="AX1987" s="1"/>
      <c r="AY1987" s="1"/>
      <c r="AZ1987" s="1"/>
      <c r="BA1987" s="1"/>
      <c r="BB1987" s="1"/>
      <c r="BC1987" s="1"/>
      <c r="BD1987" s="1"/>
      <c r="BE1987" s="1"/>
      <c r="BF1987" s="1"/>
      <c r="BG1987" s="1"/>
      <c r="BH1987" s="1"/>
      <c r="BI1987" s="1"/>
      <c r="BJ1987" s="1"/>
      <c r="BK1987" s="1"/>
      <c r="BL1987" s="1"/>
      <c r="BM1987" s="1"/>
      <c r="BN1987" s="1"/>
      <c r="BO1987" s="1"/>
      <c r="BP1987" s="1" t="s">
        <v>9609</v>
      </c>
      <c r="BQ1987" s="3"/>
      <c r="BR1987" s="3"/>
    </row>
    <row r="1988" spans="1:70">
      <c r="A1988" s="1" t="s">
        <v>14387</v>
      </c>
      <c r="B1988" s="1" t="s">
        <v>13846</v>
      </c>
      <c r="C1988" s="1" t="s">
        <v>21238</v>
      </c>
      <c r="D1988" s="1"/>
      <c r="E1988" s="1"/>
      <c r="F1988" s="1"/>
      <c r="G1988" s="1"/>
      <c r="H1988" s="1" t="s">
        <v>21239</v>
      </c>
      <c r="I1988" s="1" t="s">
        <v>21239</v>
      </c>
      <c r="J1988" s="1"/>
      <c r="K1988" s="1"/>
      <c r="L1988" s="1"/>
      <c r="M1988" s="1"/>
      <c r="N1988" s="1"/>
      <c r="O1988" s="1"/>
      <c r="P1988" s="1"/>
      <c r="Q1988" s="1"/>
      <c r="R1988" s="1"/>
      <c r="S1988" s="1"/>
      <c r="T1988" s="1"/>
      <c r="U1988" s="1"/>
      <c r="V1988" s="1"/>
      <c r="W1988" s="1"/>
      <c r="X1988" s="1"/>
      <c r="Y1988" s="1"/>
      <c r="Z1988" s="1"/>
      <c r="AA1988" s="1"/>
      <c r="AB1988" s="1"/>
      <c r="AC1988" s="1"/>
      <c r="AD1988" s="1" t="s">
        <v>93</v>
      </c>
      <c r="AE1988" s="1" t="s">
        <v>93</v>
      </c>
      <c r="AF1988" s="1"/>
      <c r="AG1988" s="1"/>
      <c r="AH1988" s="1"/>
      <c r="AI1988" s="1"/>
      <c r="AJ1988" s="1"/>
      <c r="AK1988" s="1"/>
      <c r="AL1988" s="1"/>
      <c r="AM1988" s="1"/>
      <c r="AN1988" s="1"/>
      <c r="AO1988" s="1"/>
      <c r="AP1988" s="1"/>
      <c r="AQ1988" s="1"/>
      <c r="AR1988" s="1"/>
      <c r="AS1988" s="1"/>
      <c r="AT1988" s="1"/>
      <c r="AU1988" s="1"/>
      <c r="AV1988" s="1"/>
      <c r="AW1988" s="1"/>
      <c r="AX1988" s="1"/>
      <c r="AY1988" s="1"/>
      <c r="AZ1988" s="1"/>
      <c r="BA1988" s="1"/>
      <c r="BB1988" s="1"/>
      <c r="BC1988" s="1"/>
      <c r="BD1988" s="1"/>
      <c r="BE1988" s="1"/>
      <c r="BF1988" s="1"/>
      <c r="BG1988" s="1"/>
      <c r="BH1988" s="1"/>
      <c r="BI1988" s="1"/>
      <c r="BJ1988" s="1"/>
      <c r="BK1988" s="1"/>
      <c r="BL1988" s="1"/>
      <c r="BM1988" s="1"/>
      <c r="BN1988" s="1"/>
      <c r="BO1988" s="1"/>
      <c r="BP1988" s="1" t="s">
        <v>9609</v>
      </c>
      <c r="BQ1988" s="3"/>
      <c r="BR1988" s="3"/>
    </row>
    <row r="1989" spans="1:70">
      <c r="A1989" s="1" t="s">
        <v>14387</v>
      </c>
      <c r="B1989" s="1" t="s">
        <v>13846</v>
      </c>
      <c r="C1989" s="1" t="s">
        <v>21240</v>
      </c>
      <c r="D1989" s="1"/>
      <c r="E1989" s="1"/>
      <c r="F1989" s="1"/>
      <c r="G1989" s="1"/>
      <c r="H1989" s="1" t="s">
        <v>21241</v>
      </c>
      <c r="I1989" s="1" t="s">
        <v>21241</v>
      </c>
      <c r="J1989" s="1"/>
      <c r="K1989" s="1"/>
      <c r="L1989" s="1"/>
      <c r="M1989" s="1"/>
      <c r="N1989" s="1"/>
      <c r="O1989" s="1"/>
      <c r="P1989" s="1"/>
      <c r="Q1989" s="1"/>
      <c r="R1989" s="1"/>
      <c r="S1989" s="1"/>
      <c r="T1989" s="1"/>
      <c r="U1989" s="1"/>
      <c r="V1989" s="1"/>
      <c r="W1989" s="1"/>
      <c r="X1989" s="1"/>
      <c r="Y1989" s="1"/>
      <c r="Z1989" s="1"/>
      <c r="AA1989" s="1"/>
      <c r="AB1989" s="1"/>
      <c r="AC1989" s="1"/>
      <c r="AD1989" s="1" t="s">
        <v>93</v>
      </c>
      <c r="AE1989" s="1" t="s">
        <v>93</v>
      </c>
      <c r="AF1989" s="1"/>
      <c r="AG1989" s="1"/>
      <c r="AH1989" s="1"/>
      <c r="AI1989" s="1"/>
      <c r="AJ1989" s="1"/>
      <c r="AK1989" s="1"/>
      <c r="AL1989" s="1"/>
      <c r="AM1989" s="1"/>
      <c r="AN1989" s="1"/>
      <c r="AO1989" s="1"/>
      <c r="AP1989" s="1"/>
      <c r="AQ1989" s="1"/>
      <c r="AR1989" s="1"/>
      <c r="AS1989" s="1"/>
      <c r="AT1989" s="1"/>
      <c r="AU1989" s="1"/>
      <c r="AV1989" s="1"/>
      <c r="AW1989" s="1"/>
      <c r="AX1989" s="1"/>
      <c r="AY1989" s="1"/>
      <c r="AZ1989" s="1"/>
      <c r="BA1989" s="1"/>
      <c r="BB1989" s="1"/>
      <c r="BC1989" s="1"/>
      <c r="BD1989" s="1"/>
      <c r="BE1989" s="1"/>
      <c r="BF1989" s="1"/>
      <c r="BG1989" s="1"/>
      <c r="BH1989" s="1"/>
      <c r="BI1989" s="1"/>
      <c r="BJ1989" s="1"/>
      <c r="BK1989" s="1"/>
      <c r="BL1989" s="1"/>
      <c r="BM1989" s="1"/>
      <c r="BN1989" s="1"/>
      <c r="BO1989" s="1"/>
      <c r="BP1989" s="1" t="s">
        <v>9609</v>
      </c>
      <c r="BQ1989" s="3"/>
      <c r="BR1989" s="3"/>
    </row>
    <row r="1990" spans="1:70">
      <c r="A1990" s="1" t="s">
        <v>14387</v>
      </c>
      <c r="B1990" s="1" t="s">
        <v>13846</v>
      </c>
      <c r="C1990" s="1" t="s">
        <v>21242</v>
      </c>
      <c r="D1990" s="1"/>
      <c r="E1990" s="1"/>
      <c r="F1990" s="1"/>
      <c r="G1990" s="1"/>
      <c r="H1990" s="1" t="s">
        <v>21243</v>
      </c>
      <c r="I1990" s="1" t="s">
        <v>21243</v>
      </c>
      <c r="J1990" s="1"/>
      <c r="K1990" s="1"/>
      <c r="L1990" s="1"/>
      <c r="M1990" s="1"/>
      <c r="N1990" s="1"/>
      <c r="O1990" s="1"/>
      <c r="P1990" s="1"/>
      <c r="Q1990" s="1"/>
      <c r="R1990" s="1"/>
      <c r="S1990" s="1"/>
      <c r="T1990" s="1"/>
      <c r="U1990" s="1"/>
      <c r="V1990" s="1"/>
      <c r="W1990" s="1"/>
      <c r="X1990" s="1"/>
      <c r="Y1990" s="1"/>
      <c r="Z1990" s="1"/>
      <c r="AA1990" s="1"/>
      <c r="AB1990" s="1"/>
      <c r="AC1990" s="1"/>
      <c r="AD1990" s="1" t="s">
        <v>93</v>
      </c>
      <c r="AE1990" s="1" t="s">
        <v>93</v>
      </c>
      <c r="AF1990" s="1"/>
      <c r="AG1990" s="1"/>
      <c r="AH1990" s="1"/>
      <c r="AI1990" s="1"/>
      <c r="AJ1990" s="1"/>
      <c r="AK1990" s="1"/>
      <c r="AL1990" s="1"/>
      <c r="AM1990" s="1"/>
      <c r="AN1990" s="1"/>
      <c r="AO1990" s="1"/>
      <c r="AP1990" s="1"/>
      <c r="AQ1990" s="1"/>
      <c r="AR1990" s="1"/>
      <c r="AS1990" s="1"/>
      <c r="AT1990" s="1"/>
      <c r="AU1990" s="1"/>
      <c r="AV1990" s="1"/>
      <c r="AW1990" s="1"/>
      <c r="AX1990" s="1"/>
      <c r="AY1990" s="1"/>
      <c r="AZ1990" s="1"/>
      <c r="BA1990" s="1"/>
      <c r="BB1990" s="1"/>
      <c r="BC1990" s="1"/>
      <c r="BD1990" s="1"/>
      <c r="BE1990" s="1"/>
      <c r="BF1990" s="1"/>
      <c r="BG1990" s="1"/>
      <c r="BH1990" s="1"/>
      <c r="BI1990" s="1"/>
      <c r="BJ1990" s="1"/>
      <c r="BK1990" s="1"/>
      <c r="BL1990" s="1"/>
      <c r="BM1990" s="1"/>
      <c r="BN1990" s="1"/>
      <c r="BO1990" s="1"/>
      <c r="BP1990" s="1" t="s">
        <v>9609</v>
      </c>
      <c r="BQ1990" s="3"/>
      <c r="BR1990" s="3"/>
    </row>
    <row r="1991" spans="1:70">
      <c r="A1991" s="1" t="s">
        <v>14387</v>
      </c>
      <c r="B1991" s="1" t="s">
        <v>13846</v>
      </c>
      <c r="C1991" s="1" t="s">
        <v>21244</v>
      </c>
      <c r="D1991" s="1"/>
      <c r="E1991" s="1"/>
      <c r="F1991" s="1"/>
      <c r="G1991" s="1"/>
      <c r="H1991" s="1" t="s">
        <v>21245</v>
      </c>
      <c r="I1991" s="1" t="s">
        <v>21245</v>
      </c>
      <c r="J1991" s="1"/>
      <c r="K1991" s="1"/>
      <c r="L1991" s="1"/>
      <c r="M1991" s="1"/>
      <c r="N1991" s="1"/>
      <c r="O1991" s="1"/>
      <c r="P1991" s="1"/>
      <c r="Q1991" s="1"/>
      <c r="R1991" s="1"/>
      <c r="S1991" s="1"/>
      <c r="T1991" s="1"/>
      <c r="U1991" s="1"/>
      <c r="V1991" s="1"/>
      <c r="W1991" s="1"/>
      <c r="X1991" s="1"/>
      <c r="Y1991" s="1"/>
      <c r="Z1991" s="1"/>
      <c r="AA1991" s="1"/>
      <c r="AB1991" s="1"/>
      <c r="AC1991" s="1"/>
      <c r="AD1991" s="1" t="s">
        <v>93</v>
      </c>
      <c r="AE1991" s="1" t="s">
        <v>93</v>
      </c>
      <c r="AF1991" s="1"/>
      <c r="AG1991" s="1"/>
      <c r="AH1991" s="1"/>
      <c r="AI1991" s="1"/>
      <c r="AJ1991" s="1"/>
      <c r="AK1991" s="1"/>
      <c r="AL1991" s="1"/>
      <c r="AM1991" s="1"/>
      <c r="AN1991" s="1"/>
      <c r="AO1991" s="1"/>
      <c r="AP1991" s="1"/>
      <c r="AQ1991" s="1"/>
      <c r="AR1991" s="1"/>
      <c r="AS1991" s="1"/>
      <c r="AT1991" s="1"/>
      <c r="AU1991" s="1"/>
      <c r="AV1991" s="1"/>
      <c r="AW1991" s="1"/>
      <c r="AX1991" s="1"/>
      <c r="AY1991" s="1"/>
      <c r="AZ1991" s="1"/>
      <c r="BA1991" s="1"/>
      <c r="BB1991" s="1"/>
      <c r="BC1991" s="1"/>
      <c r="BD1991" s="1"/>
      <c r="BE1991" s="1"/>
      <c r="BF1991" s="1"/>
      <c r="BG1991" s="1"/>
      <c r="BH1991" s="1"/>
      <c r="BI1991" s="1"/>
      <c r="BJ1991" s="1"/>
      <c r="BK1991" s="1"/>
      <c r="BL1991" s="1"/>
      <c r="BM1991" s="1"/>
      <c r="BN1991" s="1"/>
      <c r="BO1991" s="1"/>
      <c r="BP1991" s="1" t="s">
        <v>9609</v>
      </c>
      <c r="BQ1991" s="3"/>
      <c r="BR1991" s="3"/>
    </row>
    <row r="1992" spans="1:70">
      <c r="A1992" s="1" t="s">
        <v>14387</v>
      </c>
      <c r="B1992" s="1" t="s">
        <v>13846</v>
      </c>
      <c r="C1992" s="1" t="s">
        <v>21246</v>
      </c>
      <c r="D1992" s="1"/>
      <c r="E1992" s="1"/>
      <c r="F1992" s="1"/>
      <c r="G1992" s="1"/>
      <c r="H1992" s="1" t="s">
        <v>21247</v>
      </c>
      <c r="I1992" s="1" t="s">
        <v>21247</v>
      </c>
      <c r="J1992" s="1"/>
      <c r="K1992" s="1"/>
      <c r="L1992" s="1"/>
      <c r="M1992" s="1"/>
      <c r="N1992" s="1"/>
      <c r="O1992" s="1"/>
      <c r="P1992" s="1"/>
      <c r="Q1992" s="1"/>
      <c r="R1992" s="1"/>
      <c r="S1992" s="1"/>
      <c r="T1992" s="1"/>
      <c r="U1992" s="1"/>
      <c r="V1992" s="1"/>
      <c r="W1992" s="1"/>
      <c r="X1992" s="1"/>
      <c r="Y1992" s="1"/>
      <c r="Z1992" s="1"/>
      <c r="AA1992" s="1"/>
      <c r="AB1992" s="1"/>
      <c r="AC1992" s="1"/>
      <c r="AD1992" s="1" t="s">
        <v>93</v>
      </c>
      <c r="AE1992" s="1" t="s">
        <v>93</v>
      </c>
      <c r="AF1992" s="1"/>
      <c r="AG1992" s="1"/>
      <c r="AH1992" s="1"/>
      <c r="AI1992" s="1"/>
      <c r="AJ1992" s="1"/>
      <c r="AK1992" s="1"/>
      <c r="AL1992" s="1"/>
      <c r="AM1992" s="1"/>
      <c r="AN1992" s="1"/>
      <c r="AO1992" s="1"/>
      <c r="AP1992" s="1"/>
      <c r="AQ1992" s="1"/>
      <c r="AR1992" s="1"/>
      <c r="AS1992" s="1"/>
      <c r="AT1992" s="1"/>
      <c r="AU1992" s="1"/>
      <c r="AV1992" s="1"/>
      <c r="AW1992" s="1"/>
      <c r="AX1992" s="1"/>
      <c r="AY1992" s="1"/>
      <c r="AZ1992" s="1"/>
      <c r="BA1992" s="1"/>
      <c r="BB1992" s="1"/>
      <c r="BC1992" s="1"/>
      <c r="BD1992" s="1"/>
      <c r="BE1992" s="1"/>
      <c r="BF1992" s="1"/>
      <c r="BG1992" s="1"/>
      <c r="BH1992" s="1"/>
      <c r="BI1992" s="1"/>
      <c r="BJ1992" s="1"/>
      <c r="BK1992" s="1"/>
      <c r="BL1992" s="1"/>
      <c r="BM1992" s="1"/>
      <c r="BN1992" s="1"/>
      <c r="BO1992" s="1"/>
      <c r="BP1992" s="1" t="s">
        <v>9609</v>
      </c>
      <c r="BQ1992" s="3"/>
      <c r="BR1992" s="3"/>
    </row>
    <row r="1993" spans="1:70">
      <c r="A1993" s="1" t="s">
        <v>14387</v>
      </c>
      <c r="B1993" s="1" t="s">
        <v>13846</v>
      </c>
      <c r="C1993" s="1" t="s">
        <v>21248</v>
      </c>
      <c r="D1993" s="1"/>
      <c r="E1993" s="1"/>
      <c r="F1993" s="1"/>
      <c r="G1993" s="1"/>
      <c r="H1993" s="1" t="s">
        <v>21249</v>
      </c>
      <c r="I1993" s="1" t="s">
        <v>21249</v>
      </c>
      <c r="J1993" s="1"/>
      <c r="K1993" s="1"/>
      <c r="L1993" s="1"/>
      <c r="M1993" s="1"/>
      <c r="N1993" s="1"/>
      <c r="O1993" s="1"/>
      <c r="P1993" s="1"/>
      <c r="Q1993" s="1"/>
      <c r="R1993" s="1"/>
      <c r="S1993" s="1"/>
      <c r="T1993" s="1"/>
      <c r="U1993" s="1"/>
      <c r="V1993" s="1"/>
      <c r="W1993" s="1"/>
      <c r="X1993" s="1"/>
      <c r="Y1993" s="1"/>
      <c r="Z1993" s="1"/>
      <c r="AA1993" s="1"/>
      <c r="AB1993" s="1"/>
      <c r="AC1993" s="1"/>
      <c r="AD1993" s="1" t="s">
        <v>93</v>
      </c>
      <c r="AE1993" s="1" t="s">
        <v>93</v>
      </c>
      <c r="AF1993" s="1"/>
      <c r="AG1993" s="1"/>
      <c r="AH1993" s="1"/>
      <c r="AI1993" s="1"/>
      <c r="AJ1993" s="1"/>
      <c r="AK1993" s="1"/>
      <c r="AL1993" s="1"/>
      <c r="AM1993" s="1"/>
      <c r="AN1993" s="1"/>
      <c r="AO1993" s="1"/>
      <c r="AP1993" s="1"/>
      <c r="AQ1993" s="1"/>
      <c r="AR1993" s="1"/>
      <c r="AS1993" s="1"/>
      <c r="AT1993" s="1"/>
      <c r="AU1993" s="1"/>
      <c r="AV1993" s="1"/>
      <c r="AW1993" s="1"/>
      <c r="AX1993" s="1"/>
      <c r="AY1993" s="1"/>
      <c r="AZ1993" s="1"/>
      <c r="BA1993" s="1"/>
      <c r="BB1993" s="1"/>
      <c r="BC1993" s="1"/>
      <c r="BD1993" s="1"/>
      <c r="BE1993" s="1"/>
      <c r="BF1993" s="1"/>
      <c r="BG1993" s="1"/>
      <c r="BH1993" s="1"/>
      <c r="BI1993" s="1"/>
      <c r="BJ1993" s="1"/>
      <c r="BK1993" s="1"/>
      <c r="BL1993" s="1"/>
      <c r="BM1993" s="1"/>
      <c r="BN1993" s="1"/>
      <c r="BO1993" s="1"/>
      <c r="BP1993" s="1" t="s">
        <v>9609</v>
      </c>
      <c r="BQ1993" s="3"/>
      <c r="BR1993" s="3"/>
    </row>
    <row r="1994" spans="1:70">
      <c r="A1994" s="1" t="s">
        <v>14387</v>
      </c>
      <c r="B1994" s="1" t="s">
        <v>13846</v>
      </c>
      <c r="C1994" s="1" t="s">
        <v>21250</v>
      </c>
      <c r="D1994" s="1"/>
      <c r="E1994" s="1"/>
      <c r="F1994" s="1"/>
      <c r="G1994" s="1"/>
      <c r="H1994" s="1" t="s">
        <v>21251</v>
      </c>
      <c r="I1994" s="1" t="s">
        <v>21251</v>
      </c>
      <c r="J1994" s="1"/>
      <c r="K1994" s="1"/>
      <c r="L1994" s="1"/>
      <c r="M1994" s="1"/>
      <c r="N1994" s="1"/>
      <c r="O1994" s="1"/>
      <c r="P1994" s="1"/>
      <c r="Q1994" s="1"/>
      <c r="R1994" s="1"/>
      <c r="S1994" s="1"/>
      <c r="T1994" s="1"/>
      <c r="U1994" s="1"/>
      <c r="V1994" s="1"/>
      <c r="W1994" s="1"/>
      <c r="X1994" s="1"/>
      <c r="Y1994" s="1"/>
      <c r="Z1994" s="1"/>
      <c r="AA1994" s="1"/>
      <c r="AB1994" s="1"/>
      <c r="AC1994" s="1"/>
      <c r="AD1994" s="1" t="s">
        <v>93</v>
      </c>
      <c r="AE1994" s="1" t="s">
        <v>93</v>
      </c>
      <c r="AF1994" s="1"/>
      <c r="AG1994" s="1"/>
      <c r="AH1994" s="1"/>
      <c r="AI1994" s="1"/>
      <c r="AJ1994" s="1"/>
      <c r="AK1994" s="1"/>
      <c r="AL1994" s="1"/>
      <c r="AM1994" s="1"/>
      <c r="AN1994" s="1"/>
      <c r="AO1994" s="1"/>
      <c r="AP1994" s="1"/>
      <c r="AQ1994" s="1"/>
      <c r="AR1994" s="1"/>
      <c r="AS1994" s="1"/>
      <c r="AT1994" s="1"/>
      <c r="AU1994" s="1"/>
      <c r="AV1994" s="1"/>
      <c r="AW1994" s="1"/>
      <c r="AX1994" s="1"/>
      <c r="AY1994" s="1"/>
      <c r="AZ1994" s="1"/>
      <c r="BA1994" s="1"/>
      <c r="BB1994" s="1"/>
      <c r="BC1994" s="1"/>
      <c r="BD1994" s="1"/>
      <c r="BE1994" s="1"/>
      <c r="BF1994" s="1"/>
      <c r="BG1994" s="1"/>
      <c r="BH1994" s="1"/>
      <c r="BI1994" s="1"/>
      <c r="BJ1994" s="1"/>
      <c r="BK1994" s="1"/>
      <c r="BL1994" s="1"/>
      <c r="BM1994" s="1"/>
      <c r="BN1994" s="1"/>
      <c r="BO1994" s="1"/>
      <c r="BP1994" s="1" t="s">
        <v>9609</v>
      </c>
      <c r="BQ1994" s="3"/>
      <c r="BR1994" s="3"/>
    </row>
    <row r="1995" spans="1:70">
      <c r="A1995" s="1" t="s">
        <v>14387</v>
      </c>
      <c r="B1995" s="1" t="s">
        <v>13846</v>
      </c>
      <c r="C1995" s="1" t="s">
        <v>21252</v>
      </c>
      <c r="D1995" s="1"/>
      <c r="E1995" s="1"/>
      <c r="F1995" s="1"/>
      <c r="G1995" s="1"/>
      <c r="H1995" s="1" t="s">
        <v>21253</v>
      </c>
      <c r="I1995" s="1" t="s">
        <v>21253</v>
      </c>
      <c r="J1995" s="1"/>
      <c r="K1995" s="1"/>
      <c r="L1995" s="1"/>
      <c r="M1995" s="1"/>
      <c r="N1995" s="1"/>
      <c r="O1995" s="1"/>
      <c r="P1995" s="1"/>
      <c r="Q1995" s="1"/>
      <c r="R1995" s="1"/>
      <c r="S1995" s="1"/>
      <c r="T1995" s="1"/>
      <c r="U1995" s="1"/>
      <c r="V1995" s="1"/>
      <c r="W1995" s="1"/>
      <c r="X1995" s="1"/>
      <c r="Y1995" s="1"/>
      <c r="Z1995" s="1"/>
      <c r="AA1995" s="1"/>
      <c r="AB1995" s="1"/>
      <c r="AC1995" s="1"/>
      <c r="AD1995" s="1" t="s">
        <v>93</v>
      </c>
      <c r="AE1995" s="1" t="s">
        <v>93</v>
      </c>
      <c r="AF1995" s="1"/>
      <c r="AG1995" s="1"/>
      <c r="AH1995" s="1"/>
      <c r="AI1995" s="1"/>
      <c r="AJ1995" s="1"/>
      <c r="AK1995" s="1"/>
      <c r="AL1995" s="1"/>
      <c r="AM1995" s="1"/>
      <c r="AN1995" s="1"/>
      <c r="AO1995" s="1"/>
      <c r="AP1995" s="1"/>
      <c r="AQ1995" s="1"/>
      <c r="AR1995" s="1"/>
      <c r="AS1995" s="1"/>
      <c r="AT1995" s="1"/>
      <c r="AU1995" s="1"/>
      <c r="AV1995" s="1"/>
      <c r="AW1995" s="1"/>
      <c r="AX1995" s="1"/>
      <c r="AY1995" s="1"/>
      <c r="AZ1995" s="1"/>
      <c r="BA1995" s="1"/>
      <c r="BB1995" s="1"/>
      <c r="BC1995" s="1"/>
      <c r="BD1995" s="1"/>
      <c r="BE1995" s="1"/>
      <c r="BF1995" s="1"/>
      <c r="BG1995" s="1"/>
      <c r="BH1995" s="1"/>
      <c r="BI1995" s="1"/>
      <c r="BJ1995" s="1"/>
      <c r="BK1995" s="1"/>
      <c r="BL1995" s="1"/>
      <c r="BM1995" s="1"/>
      <c r="BN1995" s="1"/>
      <c r="BO1995" s="1"/>
      <c r="BP1995" s="1" t="s">
        <v>9609</v>
      </c>
      <c r="BQ1995" s="3"/>
      <c r="BR1995" s="3"/>
    </row>
    <row r="1996" spans="1:70">
      <c r="A1996" s="1" t="s">
        <v>14387</v>
      </c>
      <c r="B1996" s="1" t="s">
        <v>13846</v>
      </c>
      <c r="C1996" s="1" t="s">
        <v>21254</v>
      </c>
      <c r="D1996" s="1"/>
      <c r="E1996" s="1"/>
      <c r="F1996" s="1"/>
      <c r="G1996" s="1"/>
      <c r="H1996" s="1" t="s">
        <v>21255</v>
      </c>
      <c r="I1996" s="1" t="s">
        <v>21255</v>
      </c>
      <c r="J1996" s="1"/>
      <c r="K1996" s="1"/>
      <c r="L1996" s="1"/>
      <c r="M1996" s="1"/>
      <c r="N1996" s="1"/>
      <c r="O1996" s="1"/>
      <c r="P1996" s="1"/>
      <c r="Q1996" s="1"/>
      <c r="R1996" s="1"/>
      <c r="S1996" s="1"/>
      <c r="T1996" s="1"/>
      <c r="U1996" s="1"/>
      <c r="V1996" s="1"/>
      <c r="W1996" s="1"/>
      <c r="X1996" s="1"/>
      <c r="Y1996" s="1"/>
      <c r="Z1996" s="1"/>
      <c r="AA1996" s="1"/>
      <c r="AB1996" s="1"/>
      <c r="AC1996" s="1"/>
      <c r="AD1996" s="1" t="s">
        <v>93</v>
      </c>
      <c r="AE1996" s="1" t="s">
        <v>93</v>
      </c>
      <c r="AF1996" s="1"/>
      <c r="AG1996" s="1"/>
      <c r="AH1996" s="1"/>
      <c r="AI1996" s="1"/>
      <c r="AJ1996" s="1"/>
      <c r="AK1996" s="1"/>
      <c r="AL1996" s="1"/>
      <c r="AM1996" s="1"/>
      <c r="AN1996" s="1"/>
      <c r="AO1996" s="1"/>
      <c r="AP1996" s="1"/>
      <c r="AQ1996" s="1"/>
      <c r="AR1996" s="1"/>
      <c r="AS1996" s="1"/>
      <c r="AT1996" s="1"/>
      <c r="AU1996" s="1"/>
      <c r="AV1996" s="1"/>
      <c r="AW1996" s="1"/>
      <c r="AX1996" s="1"/>
      <c r="AY1996" s="1"/>
      <c r="AZ1996" s="1"/>
      <c r="BA1996" s="1"/>
      <c r="BB1996" s="1"/>
      <c r="BC1996" s="1"/>
      <c r="BD1996" s="1"/>
      <c r="BE1996" s="1"/>
      <c r="BF1996" s="1"/>
      <c r="BG1996" s="1"/>
      <c r="BH1996" s="1"/>
      <c r="BI1996" s="1"/>
      <c r="BJ1996" s="1"/>
      <c r="BK1996" s="1"/>
      <c r="BL1996" s="1"/>
      <c r="BM1996" s="1"/>
      <c r="BN1996" s="1"/>
      <c r="BO1996" s="1"/>
      <c r="BP1996" s="1" t="s">
        <v>9609</v>
      </c>
      <c r="BQ1996" s="3"/>
      <c r="BR1996" s="3"/>
    </row>
    <row r="1997" spans="1:70">
      <c r="A1997" s="1" t="s">
        <v>14387</v>
      </c>
      <c r="B1997" s="1" t="s">
        <v>13846</v>
      </c>
      <c r="C1997" s="1" t="s">
        <v>21256</v>
      </c>
      <c r="D1997" s="1"/>
      <c r="E1997" s="1"/>
      <c r="F1997" s="1"/>
      <c r="G1997" s="1"/>
      <c r="H1997" s="1" t="s">
        <v>21257</v>
      </c>
      <c r="I1997" s="1" t="s">
        <v>21257</v>
      </c>
      <c r="J1997" s="1"/>
      <c r="K1997" s="1"/>
      <c r="L1997" s="1"/>
      <c r="M1997" s="1"/>
      <c r="N1997" s="1"/>
      <c r="O1997" s="1"/>
      <c r="P1997" s="1"/>
      <c r="Q1997" s="1"/>
      <c r="R1997" s="1"/>
      <c r="S1997" s="1"/>
      <c r="T1997" s="1"/>
      <c r="U1997" s="1"/>
      <c r="V1997" s="1"/>
      <c r="W1997" s="1"/>
      <c r="X1997" s="1"/>
      <c r="Y1997" s="1"/>
      <c r="Z1997" s="1"/>
      <c r="AA1997" s="1"/>
      <c r="AB1997" s="1"/>
      <c r="AC1997" s="1"/>
      <c r="AD1997" s="1" t="s">
        <v>93</v>
      </c>
      <c r="AE1997" s="1" t="s">
        <v>93</v>
      </c>
      <c r="AF1997" s="1"/>
      <c r="AG1997" s="1"/>
      <c r="AH1997" s="1"/>
      <c r="AI1997" s="1"/>
      <c r="AJ1997" s="1"/>
      <c r="AK1997" s="1"/>
      <c r="AL1997" s="1"/>
      <c r="AM1997" s="1"/>
      <c r="AN1997" s="1"/>
      <c r="AO1997" s="1"/>
      <c r="AP1997" s="1"/>
      <c r="AQ1997" s="1"/>
      <c r="AR1997" s="1"/>
      <c r="AS1997" s="1"/>
      <c r="AT1997" s="1"/>
      <c r="AU1997" s="1"/>
      <c r="AV1997" s="1"/>
      <c r="AW1997" s="1"/>
      <c r="AX1997" s="1"/>
      <c r="AY1997" s="1"/>
      <c r="AZ1997" s="1"/>
      <c r="BA1997" s="1"/>
      <c r="BB1997" s="1"/>
      <c r="BC1997" s="1"/>
      <c r="BD1997" s="1"/>
      <c r="BE1997" s="1"/>
      <c r="BF1997" s="1"/>
      <c r="BG1997" s="1"/>
      <c r="BH1997" s="1"/>
      <c r="BI1997" s="1"/>
      <c r="BJ1997" s="1"/>
      <c r="BK1997" s="1"/>
      <c r="BL1997" s="1"/>
      <c r="BM1997" s="1"/>
      <c r="BN1997" s="1"/>
      <c r="BO1997" s="1"/>
      <c r="BP1997" s="1" t="s">
        <v>9609</v>
      </c>
      <c r="BQ1997" s="3"/>
      <c r="BR1997" s="3"/>
    </row>
    <row r="1998" spans="1:70">
      <c r="A1998" s="1" t="s">
        <v>14387</v>
      </c>
      <c r="B1998" s="1" t="s">
        <v>13846</v>
      </c>
      <c r="C1998" s="1" t="s">
        <v>21258</v>
      </c>
      <c r="D1998" s="1"/>
      <c r="E1998" s="1"/>
      <c r="F1998" s="1"/>
      <c r="G1998" s="1"/>
      <c r="H1998" s="1" t="s">
        <v>21259</v>
      </c>
      <c r="I1998" s="1" t="s">
        <v>21259</v>
      </c>
      <c r="J1998" s="1"/>
      <c r="K1998" s="1"/>
      <c r="L1998" s="1"/>
      <c r="M1998" s="1"/>
      <c r="N1998" s="1"/>
      <c r="O1998" s="1"/>
      <c r="P1998" s="1"/>
      <c r="Q1998" s="1"/>
      <c r="R1998" s="1"/>
      <c r="S1998" s="1"/>
      <c r="T1998" s="1"/>
      <c r="U1998" s="1"/>
      <c r="V1998" s="1"/>
      <c r="W1998" s="1"/>
      <c r="X1998" s="1"/>
      <c r="Y1998" s="1"/>
      <c r="Z1998" s="1"/>
      <c r="AA1998" s="1"/>
      <c r="AB1998" s="1"/>
      <c r="AC1998" s="1"/>
      <c r="AD1998" s="1" t="s">
        <v>93</v>
      </c>
      <c r="AE1998" s="1" t="s">
        <v>93</v>
      </c>
      <c r="AF1998" s="1"/>
      <c r="AG1998" s="1"/>
      <c r="AH1998" s="1"/>
      <c r="AI1998" s="1"/>
      <c r="AJ1998" s="1"/>
      <c r="AK1998" s="1"/>
      <c r="AL1998" s="1"/>
      <c r="AM1998" s="1"/>
      <c r="AN1998" s="1"/>
      <c r="AO1998" s="1"/>
      <c r="AP1998" s="1"/>
      <c r="AQ1998" s="1"/>
      <c r="AR1998" s="1"/>
      <c r="AS1998" s="1"/>
      <c r="AT1998" s="1"/>
      <c r="AU1998" s="1"/>
      <c r="AV1998" s="1"/>
      <c r="AW1998" s="1"/>
      <c r="AX1998" s="1"/>
      <c r="AY1998" s="1"/>
      <c r="AZ1998" s="1"/>
      <c r="BA1998" s="1"/>
      <c r="BB1998" s="1"/>
      <c r="BC1998" s="1"/>
      <c r="BD1998" s="1"/>
      <c r="BE1998" s="1"/>
      <c r="BF1998" s="1"/>
      <c r="BG1998" s="1"/>
      <c r="BH1998" s="1"/>
      <c r="BI1998" s="1"/>
      <c r="BJ1998" s="1"/>
      <c r="BK1998" s="1"/>
      <c r="BL1998" s="1"/>
      <c r="BM1998" s="1"/>
      <c r="BN1998" s="1"/>
      <c r="BO1998" s="1"/>
      <c r="BP1998" s="1" t="s">
        <v>9609</v>
      </c>
      <c r="BQ1998" s="3"/>
      <c r="BR1998" s="3"/>
    </row>
    <row r="1999" spans="1:70">
      <c r="A1999" s="1" t="s">
        <v>14387</v>
      </c>
      <c r="B1999" s="1" t="s">
        <v>13846</v>
      </c>
      <c r="C1999" s="1" t="s">
        <v>21260</v>
      </c>
      <c r="D1999" s="1"/>
      <c r="E1999" s="1"/>
      <c r="F1999" s="1"/>
      <c r="G1999" s="1"/>
      <c r="H1999" s="1" t="s">
        <v>21261</v>
      </c>
      <c r="I1999" s="1" t="s">
        <v>21261</v>
      </c>
      <c r="J1999" s="1"/>
      <c r="K1999" s="1"/>
      <c r="L1999" s="1"/>
      <c r="M1999" s="1"/>
      <c r="N1999" s="1"/>
      <c r="O1999" s="1"/>
      <c r="P1999" s="1"/>
      <c r="Q1999" s="1"/>
      <c r="R1999" s="1"/>
      <c r="S1999" s="1"/>
      <c r="T1999" s="1"/>
      <c r="U1999" s="1"/>
      <c r="V1999" s="1"/>
      <c r="W1999" s="1"/>
      <c r="X1999" s="1"/>
      <c r="Y1999" s="1"/>
      <c r="Z1999" s="1"/>
      <c r="AA1999" s="1"/>
      <c r="AB1999" s="1"/>
      <c r="AC1999" s="1"/>
      <c r="AD1999" s="1" t="s">
        <v>93</v>
      </c>
      <c r="AE1999" s="1" t="s">
        <v>93</v>
      </c>
      <c r="AF1999" s="1"/>
      <c r="AG1999" s="1"/>
      <c r="AH1999" s="1"/>
      <c r="AI1999" s="1"/>
      <c r="AJ1999" s="1"/>
      <c r="AK1999" s="1"/>
      <c r="AL1999" s="1"/>
      <c r="AM1999" s="1"/>
      <c r="AN1999" s="1"/>
      <c r="AO1999" s="1"/>
      <c r="AP1999" s="1"/>
      <c r="AQ1999" s="1"/>
      <c r="AR1999" s="1"/>
      <c r="AS1999" s="1"/>
      <c r="AT1999" s="1"/>
      <c r="AU1999" s="1"/>
      <c r="AV1999" s="1"/>
      <c r="AW1999" s="1"/>
      <c r="AX1999" s="1"/>
      <c r="AY1999" s="1"/>
      <c r="AZ1999" s="1"/>
      <c r="BA1999" s="1"/>
      <c r="BB1999" s="1"/>
      <c r="BC1999" s="1"/>
      <c r="BD1999" s="1"/>
      <c r="BE1999" s="1"/>
      <c r="BF1999" s="1"/>
      <c r="BG1999" s="1"/>
      <c r="BH1999" s="1"/>
      <c r="BI1999" s="1"/>
      <c r="BJ1999" s="1"/>
      <c r="BK1999" s="1"/>
      <c r="BL1999" s="1"/>
      <c r="BM1999" s="1"/>
      <c r="BN1999" s="1"/>
      <c r="BO1999" s="1"/>
      <c r="BP1999" s="1" t="s">
        <v>9609</v>
      </c>
      <c r="BQ1999" s="3"/>
      <c r="BR1999" s="3"/>
    </row>
    <row r="2000" spans="1:70">
      <c r="A2000" s="1" t="s">
        <v>14387</v>
      </c>
      <c r="B2000" s="1" t="s">
        <v>13846</v>
      </c>
      <c r="C2000" s="1" t="s">
        <v>21262</v>
      </c>
      <c r="D2000" s="1"/>
      <c r="E2000" s="1"/>
      <c r="F2000" s="1"/>
      <c r="G2000" s="1"/>
      <c r="H2000" s="1" t="s">
        <v>21263</v>
      </c>
      <c r="I2000" s="1" t="s">
        <v>21263</v>
      </c>
      <c r="J2000" s="1"/>
      <c r="K2000" s="1"/>
      <c r="L2000" s="1"/>
      <c r="M2000" s="1"/>
      <c r="N2000" s="1"/>
      <c r="O2000" s="1"/>
      <c r="P2000" s="1"/>
      <c r="Q2000" s="1"/>
      <c r="R2000" s="1"/>
      <c r="S2000" s="1"/>
      <c r="T2000" s="1"/>
      <c r="U2000" s="1"/>
      <c r="V2000" s="1"/>
      <c r="W2000" s="1"/>
      <c r="X2000" s="1"/>
      <c r="Y2000" s="1"/>
      <c r="Z2000" s="1"/>
      <c r="AA2000" s="1"/>
      <c r="AB2000" s="1"/>
      <c r="AC2000" s="1"/>
      <c r="AD2000" s="1" t="s">
        <v>93</v>
      </c>
      <c r="AE2000" s="1" t="s">
        <v>93</v>
      </c>
      <c r="AF2000" s="1"/>
      <c r="AG2000" s="1"/>
      <c r="AH2000" s="1"/>
      <c r="AI2000" s="1"/>
      <c r="AJ2000" s="1"/>
      <c r="AK2000" s="1"/>
      <c r="AL2000" s="1"/>
      <c r="AM2000" s="1"/>
      <c r="AN2000" s="1"/>
      <c r="AO2000" s="1"/>
      <c r="AP2000" s="1"/>
      <c r="AQ2000" s="1"/>
      <c r="AR2000" s="1"/>
      <c r="AS2000" s="1"/>
      <c r="AT2000" s="1"/>
      <c r="AU2000" s="1"/>
      <c r="AV2000" s="1"/>
      <c r="AW2000" s="1"/>
      <c r="AX2000" s="1"/>
      <c r="AY2000" s="1"/>
      <c r="AZ2000" s="1"/>
      <c r="BA2000" s="1"/>
      <c r="BB2000" s="1"/>
      <c r="BC2000" s="1"/>
      <c r="BD2000" s="1"/>
      <c r="BE2000" s="1"/>
      <c r="BF2000" s="1"/>
      <c r="BG2000" s="1"/>
      <c r="BH2000" s="1"/>
      <c r="BI2000" s="1"/>
      <c r="BJ2000" s="1"/>
      <c r="BK2000" s="1"/>
      <c r="BL2000" s="1"/>
      <c r="BM2000" s="1"/>
      <c r="BN2000" s="1"/>
      <c r="BO2000" s="1"/>
      <c r="BP2000" s="1" t="s">
        <v>9609</v>
      </c>
      <c r="BQ2000" s="3"/>
      <c r="BR2000" s="3"/>
    </row>
    <row r="2001" spans="1:70">
      <c r="A2001" s="1" t="s">
        <v>14387</v>
      </c>
      <c r="B2001" s="1" t="s">
        <v>13846</v>
      </c>
      <c r="C2001" s="1" t="s">
        <v>21264</v>
      </c>
      <c r="D2001" s="1"/>
      <c r="E2001" s="1"/>
      <c r="F2001" s="1"/>
      <c r="G2001" s="1"/>
      <c r="H2001" s="1" t="s">
        <v>21265</v>
      </c>
      <c r="I2001" s="1" t="s">
        <v>21265</v>
      </c>
      <c r="J2001" s="1"/>
      <c r="K2001" s="1"/>
      <c r="L2001" s="1"/>
      <c r="M2001" s="1"/>
      <c r="N2001" s="1"/>
      <c r="O2001" s="1"/>
      <c r="P2001" s="1"/>
      <c r="Q2001" s="1"/>
      <c r="R2001" s="1"/>
      <c r="S2001" s="1"/>
      <c r="T2001" s="1"/>
      <c r="U2001" s="1"/>
      <c r="V2001" s="1"/>
      <c r="W2001" s="1"/>
      <c r="X2001" s="1"/>
      <c r="Y2001" s="1"/>
      <c r="Z2001" s="1"/>
      <c r="AA2001" s="1"/>
      <c r="AB2001" s="1"/>
      <c r="AC2001" s="1"/>
      <c r="AD2001" s="1" t="s">
        <v>93</v>
      </c>
      <c r="AE2001" s="1" t="s">
        <v>93</v>
      </c>
      <c r="AF2001" s="1"/>
      <c r="AG2001" s="1"/>
      <c r="AH2001" s="1"/>
      <c r="AI2001" s="1"/>
      <c r="AJ2001" s="1"/>
      <c r="AK2001" s="1"/>
      <c r="AL2001" s="1"/>
      <c r="AM2001" s="1"/>
      <c r="AN2001" s="1"/>
      <c r="AO2001" s="1"/>
      <c r="AP2001" s="1"/>
      <c r="AQ2001" s="1"/>
      <c r="AR2001" s="1"/>
      <c r="AS2001" s="1"/>
      <c r="AT2001" s="1"/>
      <c r="AU2001" s="1"/>
      <c r="AV2001" s="1"/>
      <c r="AW2001" s="1"/>
      <c r="AX2001" s="1"/>
      <c r="AY2001" s="1"/>
      <c r="AZ2001" s="1"/>
      <c r="BA2001" s="1"/>
      <c r="BB2001" s="1"/>
      <c r="BC2001" s="1"/>
      <c r="BD2001" s="1"/>
      <c r="BE2001" s="1"/>
      <c r="BF2001" s="1"/>
      <c r="BG2001" s="1"/>
      <c r="BH2001" s="1"/>
      <c r="BI2001" s="1"/>
      <c r="BJ2001" s="1"/>
      <c r="BK2001" s="1"/>
      <c r="BL2001" s="1"/>
      <c r="BM2001" s="1"/>
      <c r="BN2001" s="1"/>
      <c r="BO2001" s="1"/>
      <c r="BP2001" s="1" t="s">
        <v>9609</v>
      </c>
      <c r="BQ2001" s="3"/>
      <c r="BR2001" s="3"/>
    </row>
    <row r="2002" spans="1:70">
      <c r="A2002" s="1" t="s">
        <v>21266</v>
      </c>
      <c r="B2002" s="1" t="s">
        <v>21267</v>
      </c>
      <c r="C2002" s="1" t="s">
        <v>21268</v>
      </c>
      <c r="D2002" s="1" t="s">
        <v>21269</v>
      </c>
      <c r="E2002" s="1"/>
      <c r="F2002" s="1" t="s">
        <v>940</v>
      </c>
      <c r="G2002" s="1" t="s">
        <v>21270</v>
      </c>
      <c r="H2002" s="1" t="s">
        <v>21271</v>
      </c>
      <c r="I2002" s="1" t="s">
        <v>21271</v>
      </c>
      <c r="J2002" s="1">
        <v>9755778896</v>
      </c>
      <c r="K2002" s="1" t="s">
        <v>79</v>
      </c>
      <c r="L2002" s="1" t="s">
        <v>21272</v>
      </c>
      <c r="M2002" s="1" t="s">
        <v>81</v>
      </c>
      <c r="N2002" s="1" t="s">
        <v>4657</v>
      </c>
      <c r="O2002" s="1" t="s">
        <v>152</v>
      </c>
      <c r="P2002" s="1" t="s">
        <v>84</v>
      </c>
      <c r="Q2002" s="1" t="s">
        <v>21273</v>
      </c>
      <c r="R2002" s="1" t="s">
        <v>21274</v>
      </c>
      <c r="S2002" s="1">
        <v>9827897453</v>
      </c>
      <c r="T2002" s="1" t="s">
        <v>21275</v>
      </c>
      <c r="U2002" s="1" t="s">
        <v>21276</v>
      </c>
      <c r="V2002" s="1">
        <v>9479041210</v>
      </c>
      <c r="W2002" s="1" t="s">
        <v>21277</v>
      </c>
      <c r="X2002" s="1" t="s">
        <v>21278</v>
      </c>
      <c r="Y2002" s="1" t="s">
        <v>21279</v>
      </c>
      <c r="Z2002" s="1" t="s">
        <v>2955</v>
      </c>
      <c r="AA2002" s="1" t="s">
        <v>21278</v>
      </c>
      <c r="AB2002" s="1" t="s">
        <v>21279</v>
      </c>
      <c r="AC2002" s="1" t="s">
        <v>2955</v>
      </c>
      <c r="AD2002" s="1" t="s">
        <v>93</v>
      </c>
      <c r="AE2002" s="1" t="s">
        <v>93</v>
      </c>
      <c r="AF2002" s="1" t="s">
        <v>21280</v>
      </c>
      <c r="AG2002" s="1" t="s">
        <v>21281</v>
      </c>
      <c r="AH2002" s="1" t="s">
        <v>4602</v>
      </c>
      <c r="AI2002" s="1" t="s">
        <v>332</v>
      </c>
      <c r="AJ2002" s="1">
        <v>83.67</v>
      </c>
      <c r="AK2002" s="1"/>
      <c r="AL2002" s="1" t="s">
        <v>21282</v>
      </c>
      <c r="AM2002" s="1" t="s">
        <v>21281</v>
      </c>
      <c r="AN2002" s="1" t="s">
        <v>128</v>
      </c>
      <c r="AO2002" s="1" t="s">
        <v>1435</v>
      </c>
      <c r="AP2002" s="1">
        <v>78.2</v>
      </c>
      <c r="AQ2002" s="1"/>
      <c r="AR2002" s="1"/>
      <c r="AS2002" s="1"/>
      <c r="AT2002" s="1"/>
      <c r="AU2002" s="1"/>
      <c r="AV2002" s="1"/>
      <c r="AW2002" s="1"/>
      <c r="AX2002" s="1" t="s">
        <v>5342</v>
      </c>
      <c r="AY2002" s="1" t="s">
        <v>21283</v>
      </c>
      <c r="AZ2002" s="1" t="s">
        <v>785</v>
      </c>
      <c r="BA2002" s="1" t="s">
        <v>562</v>
      </c>
      <c r="BB2002" s="1">
        <v>73.2</v>
      </c>
      <c r="BC2002" s="1"/>
      <c r="BD2002" s="1"/>
      <c r="BE2002" s="1"/>
      <c r="BF2002" s="1"/>
      <c r="BG2002" s="1"/>
      <c r="BH2002" s="1"/>
      <c r="BI2002" s="1"/>
      <c r="BJ2002" s="1" t="s">
        <v>21284</v>
      </c>
      <c r="BK2002" s="1"/>
      <c r="BL2002" s="1"/>
      <c r="BM2002" s="1"/>
      <c r="BN2002" s="1"/>
      <c r="BO2002" s="1"/>
      <c r="BP2002" s="1" t="str">
        <f>HYPERLINK("https://nconnect.nicmar.ac.in/storage/profile/6a263d01e588c.png","Download")</f>
        <v>0</v>
      </c>
      <c r="BQ2002" s="3"/>
      <c r="BR2002" s="3"/>
    </row>
    <row r="2003" spans="1:70">
      <c r="A2003" s="1" t="s">
        <v>21266</v>
      </c>
      <c r="B2003" s="1" t="s">
        <v>21267</v>
      </c>
      <c r="C2003" s="1" t="s">
        <v>21285</v>
      </c>
      <c r="D2003" s="1" t="s">
        <v>21286</v>
      </c>
      <c r="E2003" s="1" t="s">
        <v>3797</v>
      </c>
      <c r="F2003" s="1" t="s">
        <v>111</v>
      </c>
      <c r="G2003" s="1" t="s">
        <v>21287</v>
      </c>
      <c r="H2003" s="1" t="s">
        <v>21288</v>
      </c>
      <c r="I2003" s="1" t="s">
        <v>21288</v>
      </c>
      <c r="J2003" s="1">
        <v>7902980092</v>
      </c>
      <c r="K2003" s="1" t="s">
        <v>79</v>
      </c>
      <c r="L2003" s="1" t="s">
        <v>21289</v>
      </c>
      <c r="M2003" s="1" t="s">
        <v>81</v>
      </c>
      <c r="N2003" s="1" t="s">
        <v>21290</v>
      </c>
      <c r="O2003" s="1" t="s">
        <v>152</v>
      </c>
      <c r="P2003" s="1" t="s">
        <v>117</v>
      </c>
      <c r="Q2003" s="1" t="s">
        <v>21291</v>
      </c>
      <c r="R2003" s="1" t="s">
        <v>21292</v>
      </c>
      <c r="S2003" s="1">
        <v>8281104396</v>
      </c>
      <c r="T2003" s="1" t="s">
        <v>5031</v>
      </c>
      <c r="U2003" s="1" t="s">
        <v>21293</v>
      </c>
      <c r="V2003" s="1">
        <v>8281103396</v>
      </c>
      <c r="W2003" s="1" t="s">
        <v>21294</v>
      </c>
      <c r="X2003" s="1" t="s">
        <v>21295</v>
      </c>
      <c r="Y2003" s="1" t="s">
        <v>1261</v>
      </c>
      <c r="Z2003" s="1" t="s">
        <v>125</v>
      </c>
      <c r="AA2003" s="1" t="s">
        <v>21295</v>
      </c>
      <c r="AB2003" s="1" t="s">
        <v>1261</v>
      </c>
      <c r="AC2003" s="1" t="s">
        <v>125</v>
      </c>
      <c r="AD2003" s="1" t="s">
        <v>93</v>
      </c>
      <c r="AE2003" s="1" t="s">
        <v>93</v>
      </c>
      <c r="AF2003" s="1" t="s">
        <v>21296</v>
      </c>
      <c r="AG2003" s="1" t="s">
        <v>21297</v>
      </c>
      <c r="AH2003" s="1" t="s">
        <v>96</v>
      </c>
      <c r="AI2003" s="1" t="s">
        <v>1088</v>
      </c>
      <c r="AJ2003" s="1">
        <v>73.0</v>
      </c>
      <c r="AK2003" s="1"/>
      <c r="AL2003" s="1" t="s">
        <v>21298</v>
      </c>
      <c r="AM2003" s="1" t="s">
        <v>21299</v>
      </c>
      <c r="AN2003" s="1" t="s">
        <v>337</v>
      </c>
      <c r="AO2003" s="1" t="s">
        <v>562</v>
      </c>
      <c r="AP2003" s="1">
        <v>63.91</v>
      </c>
      <c r="AQ2003" s="1"/>
      <c r="AR2003" s="1"/>
      <c r="AS2003" s="1"/>
      <c r="AT2003" s="1"/>
      <c r="AU2003" s="1"/>
      <c r="AV2003" s="1"/>
      <c r="AW2003" s="1"/>
      <c r="AX2003" s="1" t="s">
        <v>21300</v>
      </c>
      <c r="AY2003" s="1" t="s">
        <v>21301</v>
      </c>
      <c r="AZ2003" s="1" t="s">
        <v>101</v>
      </c>
      <c r="BA2003" s="1" t="s">
        <v>566</v>
      </c>
      <c r="BB2003" s="1">
        <v>64.6</v>
      </c>
      <c r="BC2003" s="1"/>
      <c r="BD2003" s="1"/>
      <c r="BE2003" s="1"/>
      <c r="BF2003" s="1"/>
      <c r="BG2003" s="1"/>
      <c r="BH2003" s="1"/>
      <c r="BI2003" s="1"/>
      <c r="BJ2003" s="1" t="s">
        <v>21302</v>
      </c>
      <c r="BK2003" s="1"/>
      <c r="BL2003" s="1"/>
      <c r="BM2003" s="1" t="s">
        <v>21303</v>
      </c>
      <c r="BN2003" s="1">
        <v>2</v>
      </c>
      <c r="BO2003" s="1"/>
      <c r="BP2003" s="1" t="str">
        <f>HYPERLINK("https://nconnect.nicmar.ac.in/storage/profile/6a2643dfcb805.png","Download")</f>
        <v>0</v>
      </c>
      <c r="BQ2003" s="3"/>
      <c r="BR2003" s="3"/>
    </row>
    <row r="2004" spans="1:70">
      <c r="A2004" s="1" t="s">
        <v>21304</v>
      </c>
      <c r="B2004" s="1" t="s">
        <v>441</v>
      </c>
      <c r="C2004" s="1" t="s">
        <v>21305</v>
      </c>
      <c r="D2004" s="1" t="s">
        <v>21306</v>
      </c>
      <c r="E2004" s="1"/>
      <c r="F2004" s="1" t="s">
        <v>2071</v>
      </c>
      <c r="G2004" s="1" t="s">
        <v>21307</v>
      </c>
      <c r="H2004" s="1" t="s">
        <v>21308</v>
      </c>
      <c r="I2004" s="1" t="s">
        <v>21309</v>
      </c>
      <c r="J2004" s="1">
        <v>9346714289</v>
      </c>
      <c r="K2004" s="1" t="s">
        <v>79</v>
      </c>
      <c r="L2004" s="1" t="s">
        <v>21310</v>
      </c>
      <c r="M2004" s="1" t="s">
        <v>81</v>
      </c>
      <c r="N2004" s="1" t="s">
        <v>13263</v>
      </c>
      <c r="O2004" s="1" t="s">
        <v>21311</v>
      </c>
      <c r="P2004" s="1" t="s">
        <v>450</v>
      </c>
      <c r="Q2004" s="1" t="s">
        <v>21312</v>
      </c>
      <c r="R2004" s="1" t="s">
        <v>21313</v>
      </c>
      <c r="S2004" s="1">
        <v>9908019108</v>
      </c>
      <c r="T2004" s="1" t="s">
        <v>21314</v>
      </c>
      <c r="U2004" s="1" t="s">
        <v>21315</v>
      </c>
      <c r="V2004" s="1">
        <v>7358756268</v>
      </c>
      <c r="W2004" s="1" t="s">
        <v>89</v>
      </c>
      <c r="X2004" s="1" t="s">
        <v>21316</v>
      </c>
      <c r="Y2004" s="1" t="s">
        <v>12800</v>
      </c>
      <c r="Z2004" s="1" t="s">
        <v>276</v>
      </c>
      <c r="AA2004" s="1" t="s">
        <v>21316</v>
      </c>
      <c r="AB2004" s="1" t="s">
        <v>12800</v>
      </c>
      <c r="AC2004" s="1" t="s">
        <v>276</v>
      </c>
      <c r="AD2004" s="1">
        <v>7.37</v>
      </c>
      <c r="AE2004" s="1" t="s">
        <v>93</v>
      </c>
      <c r="AF2004" s="1" t="s">
        <v>21317</v>
      </c>
      <c r="AG2004" s="1" t="s">
        <v>21318</v>
      </c>
      <c r="AH2004" s="1" t="s">
        <v>165</v>
      </c>
      <c r="AI2004" s="1" t="s">
        <v>308</v>
      </c>
      <c r="AJ2004" s="1">
        <v>74.67</v>
      </c>
      <c r="AK2004" s="1">
        <v>0</v>
      </c>
      <c r="AL2004" s="1" t="s">
        <v>21319</v>
      </c>
      <c r="AM2004" s="1" t="s">
        <v>21320</v>
      </c>
      <c r="AN2004" s="1" t="s">
        <v>433</v>
      </c>
      <c r="AO2004" s="1" t="s">
        <v>828</v>
      </c>
      <c r="AP2004" s="1">
        <v>70.83</v>
      </c>
      <c r="AQ2004" s="1">
        <v>0</v>
      </c>
      <c r="AR2004" s="1"/>
      <c r="AS2004" s="1"/>
      <c r="AT2004" s="1"/>
      <c r="AU2004" s="1"/>
      <c r="AV2004" s="1"/>
      <c r="AW2004" s="1"/>
      <c r="AX2004" s="1" t="s">
        <v>540</v>
      </c>
      <c r="AY2004" s="1" t="s">
        <v>8320</v>
      </c>
      <c r="AZ2004" s="1" t="s">
        <v>436</v>
      </c>
      <c r="BA2004" s="1" t="s">
        <v>1379</v>
      </c>
      <c r="BB2004" s="1">
        <v>80</v>
      </c>
      <c r="BC2004" s="1">
        <v>8</v>
      </c>
      <c r="BD2004" s="1"/>
      <c r="BE2004" s="1"/>
      <c r="BF2004" s="1"/>
      <c r="BG2004" s="1"/>
      <c r="BH2004" s="1"/>
      <c r="BI2004" s="1"/>
      <c r="BJ2004" s="1" t="s">
        <v>21321</v>
      </c>
      <c r="BK2004" s="1"/>
      <c r="BL2004" s="1"/>
      <c r="BM2004" s="1" t="s">
        <v>21322</v>
      </c>
      <c r="BN2004" s="1">
        <v>13</v>
      </c>
      <c r="BO2004" s="1" t="s">
        <v>21323</v>
      </c>
      <c r="BP2004" s="1" t="str">
        <f>HYPERLINK("https://nconnect.nicmar.ac.in/storage/profile/6a6b564870642.png","Download")</f>
        <v>0</v>
      </c>
      <c r="BQ2004" s="3"/>
      <c r="BR2004" s="3"/>
    </row>
    <row r="2005" spans="1:70">
      <c r="A2005" s="1" t="s">
        <v>21304</v>
      </c>
      <c r="B2005" s="1" t="s">
        <v>441</v>
      </c>
      <c r="C2005" s="1" t="s">
        <v>21324</v>
      </c>
      <c r="D2005" s="1" t="s">
        <v>21325</v>
      </c>
      <c r="E2005" s="1" t="s">
        <v>21326</v>
      </c>
      <c r="F2005" s="1" t="s">
        <v>21327</v>
      </c>
      <c r="G2005" s="1" t="s">
        <v>21328</v>
      </c>
      <c r="H2005" s="1" t="s">
        <v>21329</v>
      </c>
      <c r="I2005" s="1" t="s">
        <v>21330</v>
      </c>
      <c r="J2005" s="1">
        <v>7829294049</v>
      </c>
      <c r="K2005" s="1" t="s">
        <v>79</v>
      </c>
      <c r="L2005" s="1" t="s">
        <v>21331</v>
      </c>
      <c r="M2005" s="1" t="s">
        <v>81</v>
      </c>
      <c r="N2005" s="1" t="s">
        <v>21332</v>
      </c>
      <c r="O2005" s="1" t="s">
        <v>21333</v>
      </c>
      <c r="P2005" s="1" t="s">
        <v>472</v>
      </c>
      <c r="Q2005" s="1" t="s">
        <v>21334</v>
      </c>
      <c r="R2005" s="1" t="s">
        <v>21335</v>
      </c>
      <c r="S2005" s="1">
        <v>9845062530</v>
      </c>
      <c r="T2005" s="1" t="s">
        <v>271</v>
      </c>
      <c r="U2005" s="1" t="s">
        <v>21336</v>
      </c>
      <c r="V2005" s="1">
        <v>9141107491</v>
      </c>
      <c r="W2005" s="1" t="s">
        <v>89</v>
      </c>
      <c r="X2005" s="1" t="s">
        <v>21337</v>
      </c>
      <c r="Y2005" s="1" t="s">
        <v>3151</v>
      </c>
      <c r="Z2005" s="1" t="s">
        <v>1187</v>
      </c>
      <c r="AA2005" s="1" t="s">
        <v>21337</v>
      </c>
      <c r="AB2005" s="1" t="s">
        <v>3151</v>
      </c>
      <c r="AC2005" s="1" t="s">
        <v>1187</v>
      </c>
      <c r="AD2005" s="1">
        <v>8.52</v>
      </c>
      <c r="AE2005" s="1" t="s">
        <v>93</v>
      </c>
      <c r="AF2005" s="1" t="s">
        <v>21338</v>
      </c>
      <c r="AG2005" s="1" t="s">
        <v>21339</v>
      </c>
      <c r="AH2005" s="1" t="s">
        <v>165</v>
      </c>
      <c r="AI2005" s="1" t="s">
        <v>166</v>
      </c>
      <c r="AJ2005" s="1">
        <v>89.83</v>
      </c>
      <c r="AK2005" s="1"/>
      <c r="AL2005" s="1" t="s">
        <v>21340</v>
      </c>
      <c r="AM2005" s="1" t="s">
        <v>21341</v>
      </c>
      <c r="AN2005" s="1" t="s">
        <v>433</v>
      </c>
      <c r="AO2005" s="1" t="s">
        <v>173</v>
      </c>
      <c r="AP2005" s="1">
        <v>80.16</v>
      </c>
      <c r="AQ2005" s="1"/>
      <c r="AR2005" s="1"/>
      <c r="AS2005" s="1"/>
      <c r="AT2005" s="1"/>
      <c r="AU2005" s="1"/>
      <c r="AV2005" s="1"/>
      <c r="AW2005" s="1"/>
      <c r="AX2005" s="1" t="s">
        <v>12446</v>
      </c>
      <c r="AY2005" s="1" t="s">
        <v>21342</v>
      </c>
      <c r="AZ2005" s="1" t="s">
        <v>460</v>
      </c>
      <c r="BA2005" s="1" t="s">
        <v>202</v>
      </c>
      <c r="BB2005" s="1">
        <v>74.6</v>
      </c>
      <c r="BC2005" s="1">
        <v>7.46</v>
      </c>
      <c r="BD2005" s="1"/>
      <c r="BE2005" s="1"/>
      <c r="BF2005" s="1"/>
      <c r="BG2005" s="1"/>
      <c r="BH2005" s="1"/>
      <c r="BI2005" s="1"/>
      <c r="BJ2005" s="1" t="s">
        <v>21343</v>
      </c>
      <c r="BK2005" s="1" t="s">
        <v>21344</v>
      </c>
      <c r="BL2005" s="1" t="s">
        <v>2215</v>
      </c>
      <c r="BM2005" s="1" t="s">
        <v>21345</v>
      </c>
      <c r="BN2005" s="1">
        <v>333</v>
      </c>
      <c r="BO2005" s="1" t="s">
        <v>21346</v>
      </c>
      <c r="BP2005" s="1" t="str">
        <f>HYPERLINK("https://nconnect.nicmar.ac.in/storage/profile/6a6b57a3643cb.png","Download")</f>
        <v>0</v>
      </c>
      <c r="BQ2005" s="3"/>
      <c r="BR2005" s="3"/>
    </row>
    <row r="2006" spans="1:70">
      <c r="A2006" s="1" t="s">
        <v>21304</v>
      </c>
      <c r="B2006" s="1" t="s">
        <v>441</v>
      </c>
      <c r="C2006" s="1" t="s">
        <v>21347</v>
      </c>
      <c r="D2006" s="1" t="s">
        <v>17046</v>
      </c>
      <c r="E2006" s="1" t="s">
        <v>2592</v>
      </c>
      <c r="F2006" s="1" t="s">
        <v>21348</v>
      </c>
      <c r="G2006" s="1" t="s">
        <v>21349</v>
      </c>
      <c r="H2006" s="1" t="s">
        <v>21350</v>
      </c>
      <c r="I2006" s="1" t="s">
        <v>21351</v>
      </c>
      <c r="J2006" s="1">
        <v>9867833346</v>
      </c>
      <c r="K2006" s="1" t="s">
        <v>148</v>
      </c>
      <c r="L2006" s="1" t="s">
        <v>12047</v>
      </c>
      <c r="M2006" s="1" t="s">
        <v>81</v>
      </c>
      <c r="N2006" s="1" t="s">
        <v>3587</v>
      </c>
      <c r="O2006" s="1" t="s">
        <v>21352</v>
      </c>
      <c r="P2006" s="1" t="s">
        <v>472</v>
      </c>
      <c r="Q2006" s="1" t="s">
        <v>21353</v>
      </c>
      <c r="R2006" s="1" t="s">
        <v>2592</v>
      </c>
      <c r="S2006" s="1">
        <v>9892324307</v>
      </c>
      <c r="T2006" s="1" t="s">
        <v>120</v>
      </c>
      <c r="U2006" s="1" t="s">
        <v>15044</v>
      </c>
      <c r="V2006" s="1">
        <v>9867112680</v>
      </c>
      <c r="W2006" s="1" t="s">
        <v>216</v>
      </c>
      <c r="X2006" s="1" t="s">
        <v>21354</v>
      </c>
      <c r="Y2006" s="1" t="s">
        <v>2229</v>
      </c>
      <c r="Z2006" s="1" t="s">
        <v>92</v>
      </c>
      <c r="AA2006" s="1" t="s">
        <v>21354</v>
      </c>
      <c r="AB2006" s="1" t="s">
        <v>2229</v>
      </c>
      <c r="AC2006" s="1" t="s">
        <v>92</v>
      </c>
      <c r="AD2006" s="1">
        <v>8.5</v>
      </c>
      <c r="AE2006" s="1" t="s">
        <v>93</v>
      </c>
      <c r="AF2006" s="1" t="s">
        <v>21355</v>
      </c>
      <c r="AG2006" s="1" t="s">
        <v>160</v>
      </c>
      <c r="AH2006" s="1" t="s">
        <v>161</v>
      </c>
      <c r="AI2006" s="1" t="s">
        <v>1089</v>
      </c>
      <c r="AJ2006" s="1">
        <v>91</v>
      </c>
      <c r="AK2006" s="1">
        <v>0</v>
      </c>
      <c r="AL2006" s="1" t="s">
        <v>21356</v>
      </c>
      <c r="AM2006" s="1" t="s">
        <v>160</v>
      </c>
      <c r="AN2006" s="1" t="s">
        <v>165</v>
      </c>
      <c r="AO2006" s="1" t="s">
        <v>1455</v>
      </c>
      <c r="AP2006" s="1">
        <v>77.23</v>
      </c>
      <c r="AQ2006" s="1">
        <v>0</v>
      </c>
      <c r="AR2006" s="1"/>
      <c r="AS2006" s="1"/>
      <c r="AT2006" s="1"/>
      <c r="AU2006" s="1"/>
      <c r="AV2006" s="1"/>
      <c r="AW2006" s="1"/>
      <c r="AX2006" s="1" t="s">
        <v>666</v>
      </c>
      <c r="AY2006" s="1" t="s">
        <v>21357</v>
      </c>
      <c r="AZ2006" s="1" t="s">
        <v>101</v>
      </c>
      <c r="BA2006" s="1" t="s">
        <v>229</v>
      </c>
      <c r="BB2006" s="1">
        <v>75.86</v>
      </c>
      <c r="BC2006" s="1">
        <v>8.63</v>
      </c>
      <c r="BD2006" s="1"/>
      <c r="BE2006" s="1"/>
      <c r="BF2006" s="1"/>
      <c r="BG2006" s="1"/>
      <c r="BH2006" s="1"/>
      <c r="BI2006" s="1"/>
      <c r="BJ2006" s="1" t="s">
        <v>21358</v>
      </c>
      <c r="BK2006" s="1" t="s">
        <v>21359</v>
      </c>
      <c r="BL2006" s="1" t="s">
        <v>1129</v>
      </c>
      <c r="BM2006" s="1" t="s">
        <v>21360</v>
      </c>
      <c r="BN2006" s="1">
        <v>21</v>
      </c>
      <c r="BO2006" s="1"/>
      <c r="BP2006" s="1" t="str">
        <f>HYPERLINK("https://nconnect.nicmar.ac.in/storage/profile/ProfilePhoto_P25701096_463592.jpg","Download")</f>
        <v>0</v>
      </c>
      <c r="BQ2006" s="3"/>
      <c r="BR2006" s="3"/>
    </row>
    <row r="2007" spans="1:70">
      <c r="A2007" s="1" t="s">
        <v>21304</v>
      </c>
      <c r="B2007" s="1" t="s">
        <v>441</v>
      </c>
      <c r="C2007" s="1" t="s">
        <v>21361</v>
      </c>
      <c r="D2007" s="1" t="s">
        <v>17423</v>
      </c>
      <c r="E2007" s="1"/>
      <c r="F2007" s="1" t="s">
        <v>21362</v>
      </c>
      <c r="G2007" s="1" t="s">
        <v>21363</v>
      </c>
      <c r="H2007" s="1" t="s">
        <v>21364</v>
      </c>
      <c r="I2007" s="1" t="s">
        <v>21365</v>
      </c>
      <c r="J2007" s="1">
        <v>9421513085</v>
      </c>
      <c r="K2007" s="1" t="s">
        <v>79</v>
      </c>
      <c r="L2007" s="1" t="s">
        <v>21366</v>
      </c>
      <c r="M2007" s="1" t="s">
        <v>81</v>
      </c>
      <c r="N2007" s="1" t="s">
        <v>6739</v>
      </c>
      <c r="O2007" s="1"/>
      <c r="P2007" s="1" t="s">
        <v>450</v>
      </c>
      <c r="Q2007" s="1" t="s">
        <v>21367</v>
      </c>
      <c r="R2007" s="1" t="s">
        <v>5175</v>
      </c>
      <c r="S2007" s="1">
        <v>9405403857</v>
      </c>
      <c r="T2007" s="1" t="s">
        <v>120</v>
      </c>
      <c r="U2007" s="1" t="s">
        <v>21368</v>
      </c>
      <c r="V2007" s="1">
        <v>9405403617</v>
      </c>
      <c r="W2007" s="1" t="s">
        <v>156</v>
      </c>
      <c r="X2007" s="1" t="s">
        <v>21369</v>
      </c>
      <c r="Y2007" s="1" t="s">
        <v>191</v>
      </c>
      <c r="Z2007" s="1" t="s">
        <v>92</v>
      </c>
      <c r="AA2007" s="1" t="s">
        <v>21370</v>
      </c>
      <c r="AB2007" s="1" t="s">
        <v>304</v>
      </c>
      <c r="AC2007" s="1" t="s">
        <v>92</v>
      </c>
      <c r="AD2007" s="1">
        <v>7.41</v>
      </c>
      <c r="AE2007" s="1" t="s">
        <v>93</v>
      </c>
      <c r="AF2007" s="1" t="s">
        <v>21371</v>
      </c>
      <c r="AG2007" s="1" t="s">
        <v>160</v>
      </c>
      <c r="AH2007" s="1" t="s">
        <v>161</v>
      </c>
      <c r="AI2007" s="1" t="s">
        <v>162</v>
      </c>
      <c r="AJ2007" s="1">
        <v>79.2</v>
      </c>
      <c r="AK2007" s="1"/>
      <c r="AL2007" s="1" t="s">
        <v>21371</v>
      </c>
      <c r="AM2007" s="1" t="s">
        <v>160</v>
      </c>
      <c r="AN2007" s="1" t="s">
        <v>165</v>
      </c>
      <c r="AO2007" s="1" t="s">
        <v>166</v>
      </c>
      <c r="AP2007" s="1">
        <v>66.92</v>
      </c>
      <c r="AQ2007" s="1"/>
      <c r="AR2007" s="1"/>
      <c r="AS2007" s="1"/>
      <c r="AT2007" s="1"/>
      <c r="AU2007" s="1"/>
      <c r="AV2007" s="1"/>
      <c r="AW2007" s="1"/>
      <c r="AX2007" s="1" t="s">
        <v>4395</v>
      </c>
      <c r="AY2007" s="1" t="s">
        <v>21372</v>
      </c>
      <c r="AZ2007" s="1" t="s">
        <v>1043</v>
      </c>
      <c r="BA2007" s="1" t="s">
        <v>1378</v>
      </c>
      <c r="BB2007" s="1">
        <v>70.5</v>
      </c>
      <c r="BC2007" s="1">
        <v>7.8</v>
      </c>
      <c r="BD2007" s="1"/>
      <c r="BE2007" s="1" t="s">
        <v>1244</v>
      </c>
      <c r="BF2007" s="1" t="s">
        <v>9945</v>
      </c>
      <c r="BG2007" s="1" t="s">
        <v>915</v>
      </c>
      <c r="BH2007" s="1">
        <v>63.38</v>
      </c>
      <c r="BI2007" s="1"/>
      <c r="BJ2007" s="1" t="s">
        <v>21373</v>
      </c>
      <c r="BK2007" s="1" t="s">
        <v>21374</v>
      </c>
      <c r="BL2007" s="1" t="s">
        <v>463</v>
      </c>
      <c r="BM2007" s="1" t="s">
        <v>21375</v>
      </c>
      <c r="BN2007" s="1">
        <v>47</v>
      </c>
      <c r="BO2007" s="1" t="s">
        <v>21376</v>
      </c>
      <c r="BP2007" s="1" t="str">
        <f>HYPERLINK("https://nconnect.nicmar.ac.in/storage/profile/6a6b584cd0173.png","Download")</f>
        <v>0</v>
      </c>
      <c r="BQ2007" s="3"/>
      <c r="BR2007" s="3"/>
    </row>
    <row r="2008" spans="1:70">
      <c r="A2008" s="1" t="s">
        <v>19644</v>
      </c>
      <c r="B2008" s="1" t="s">
        <v>441</v>
      </c>
      <c r="C2008" s="1" t="s">
        <v>21377</v>
      </c>
      <c r="D2008" s="1" t="s">
        <v>21378</v>
      </c>
      <c r="E2008" s="1"/>
      <c r="F2008" s="1" t="s">
        <v>21379</v>
      </c>
      <c r="G2008" s="1" t="s">
        <v>21380</v>
      </c>
      <c r="H2008" s="1" t="s">
        <v>21381</v>
      </c>
      <c r="I2008" s="1" t="s">
        <v>21382</v>
      </c>
      <c r="J2008" s="1">
        <v>8056007744</v>
      </c>
      <c r="K2008" s="1" t="s">
        <v>148</v>
      </c>
      <c r="L2008" s="1" t="s">
        <v>21383</v>
      </c>
      <c r="M2008" s="1" t="s">
        <v>81</v>
      </c>
      <c r="N2008" s="1" t="s">
        <v>21384</v>
      </c>
      <c r="O2008" s="1"/>
      <c r="P2008" s="1" t="s">
        <v>472</v>
      </c>
      <c r="Q2008" s="1" t="s">
        <v>21385</v>
      </c>
      <c r="R2008" s="1" t="s">
        <v>21386</v>
      </c>
      <c r="S2008" s="1">
        <v>9611211744</v>
      </c>
      <c r="T2008" s="1" t="s">
        <v>21387</v>
      </c>
      <c r="U2008" s="1" t="s">
        <v>21388</v>
      </c>
      <c r="V2008" s="1">
        <v>8056011186</v>
      </c>
      <c r="W2008" s="1" t="s">
        <v>89</v>
      </c>
      <c r="X2008" s="1" t="s">
        <v>21389</v>
      </c>
      <c r="Y2008" s="1" t="s">
        <v>1475</v>
      </c>
      <c r="Z2008" s="1" t="s">
        <v>559</v>
      </c>
      <c r="AA2008" s="1" t="s">
        <v>21389</v>
      </c>
      <c r="AB2008" s="1" t="s">
        <v>1475</v>
      </c>
      <c r="AC2008" s="1" t="s">
        <v>559</v>
      </c>
      <c r="AD2008" s="1">
        <v>9.98</v>
      </c>
      <c r="AE2008" s="1" t="s">
        <v>93</v>
      </c>
      <c r="AF2008" s="1" t="s">
        <v>21390</v>
      </c>
      <c r="AG2008" s="1" t="s">
        <v>21391</v>
      </c>
      <c r="AH2008" s="1" t="s">
        <v>279</v>
      </c>
      <c r="AI2008" s="1" t="s">
        <v>101</v>
      </c>
      <c r="AJ2008" s="1">
        <v>90.6</v>
      </c>
      <c r="AK2008" s="1"/>
      <c r="AL2008" s="1" t="s">
        <v>21390</v>
      </c>
      <c r="AM2008" s="1" t="s">
        <v>21391</v>
      </c>
      <c r="AN2008" s="1" t="s">
        <v>101</v>
      </c>
      <c r="AO2008" s="1" t="s">
        <v>1019</v>
      </c>
      <c r="AP2008" s="1">
        <v>93.2</v>
      </c>
      <c r="AQ2008" s="1"/>
      <c r="AR2008" s="1"/>
      <c r="AS2008" s="1"/>
      <c r="AT2008" s="1"/>
      <c r="AU2008" s="1"/>
      <c r="AV2008" s="1"/>
      <c r="AW2008" s="1"/>
      <c r="AX2008" s="1" t="s">
        <v>21392</v>
      </c>
      <c r="AY2008" s="1" t="s">
        <v>21393</v>
      </c>
      <c r="AZ2008" s="1" t="s">
        <v>871</v>
      </c>
      <c r="BA2008" s="1" t="s">
        <v>566</v>
      </c>
      <c r="BB2008" s="1">
        <v>82.25</v>
      </c>
      <c r="BC2008" s="1">
        <v>8.22</v>
      </c>
      <c r="BD2008" s="1"/>
      <c r="BE2008" s="1"/>
      <c r="BF2008" s="1"/>
      <c r="BG2008" s="1"/>
      <c r="BH2008" s="1"/>
      <c r="BI2008" s="1"/>
      <c r="BJ2008" s="1" t="s">
        <v>21394</v>
      </c>
      <c r="BK2008" s="1" t="s">
        <v>21395</v>
      </c>
      <c r="BL2008" s="1" t="s">
        <v>873</v>
      </c>
      <c r="BM2008" s="1" t="s">
        <v>21396</v>
      </c>
      <c r="BN2008" s="1">
        <v>8</v>
      </c>
      <c r="BO2008" s="1" t="s">
        <v>21397</v>
      </c>
      <c r="BP2008" s="1" t="str">
        <f>HYPERLINK("https://nconnect.nicmar.ac.in/storage/profile/ProfilePhoto_P25707011_829531.jpg","Download")</f>
        <v>0</v>
      </c>
      <c r="BQ2008" s="3"/>
      <c r="BR2008" s="3"/>
    </row>
    <row r="2009" spans="1:70">
      <c r="A2009" s="1" t="s">
        <v>19644</v>
      </c>
      <c r="B2009" s="1" t="s">
        <v>441</v>
      </c>
      <c r="C2009" s="1" t="s">
        <v>21398</v>
      </c>
      <c r="D2009" s="1" t="s">
        <v>21399</v>
      </c>
      <c r="E2009" s="1" t="s">
        <v>3077</v>
      </c>
      <c r="F2009" s="1" t="s">
        <v>21400</v>
      </c>
      <c r="G2009" s="1" t="s">
        <v>21401</v>
      </c>
      <c r="H2009" s="1" t="s">
        <v>21402</v>
      </c>
      <c r="I2009" s="1" t="s">
        <v>21403</v>
      </c>
      <c r="J2009" s="1">
        <v>8830287545</v>
      </c>
      <c r="K2009" s="1" t="s">
        <v>148</v>
      </c>
      <c r="L2009" s="1" t="s">
        <v>21404</v>
      </c>
      <c r="M2009" s="1" t="s">
        <v>81</v>
      </c>
      <c r="N2009" s="1" t="s">
        <v>3587</v>
      </c>
      <c r="O2009" s="1"/>
      <c r="P2009" s="1" t="s">
        <v>450</v>
      </c>
      <c r="Q2009" s="1" t="s">
        <v>21405</v>
      </c>
      <c r="R2009" s="1" t="s">
        <v>21406</v>
      </c>
      <c r="S2009" s="1">
        <v>9561742713</v>
      </c>
      <c r="T2009" s="1" t="s">
        <v>3807</v>
      </c>
      <c r="U2009" s="1" t="s">
        <v>21407</v>
      </c>
      <c r="V2009" s="1">
        <v>7744983743</v>
      </c>
      <c r="W2009" s="1" t="s">
        <v>156</v>
      </c>
      <c r="X2009" s="1" t="s">
        <v>21408</v>
      </c>
      <c r="Y2009" s="1" t="s">
        <v>191</v>
      </c>
      <c r="Z2009" s="1" t="s">
        <v>92</v>
      </c>
      <c r="AA2009" s="1" t="s">
        <v>21408</v>
      </c>
      <c r="AB2009" s="1" t="s">
        <v>191</v>
      </c>
      <c r="AC2009" s="1" t="s">
        <v>92</v>
      </c>
      <c r="AD2009" s="1">
        <v>8.48</v>
      </c>
      <c r="AE2009" s="1" t="s">
        <v>93</v>
      </c>
      <c r="AF2009" s="1" t="s">
        <v>13838</v>
      </c>
      <c r="AG2009" s="1" t="s">
        <v>2755</v>
      </c>
      <c r="AH2009" s="1" t="s">
        <v>101</v>
      </c>
      <c r="AI2009" s="1" t="s">
        <v>409</v>
      </c>
      <c r="AJ2009" s="1">
        <v>67.2</v>
      </c>
      <c r="AK2009" s="1"/>
      <c r="AL2009" s="1"/>
      <c r="AM2009" s="1"/>
      <c r="AN2009" s="1"/>
      <c r="AO2009" s="1"/>
      <c r="AP2009" s="1"/>
      <c r="AQ2009" s="1"/>
      <c r="AR2009" s="1" t="s">
        <v>7251</v>
      </c>
      <c r="AS2009" s="1" t="s">
        <v>21409</v>
      </c>
      <c r="AT2009" s="1" t="s">
        <v>201</v>
      </c>
      <c r="AU2009" s="1" t="s">
        <v>1378</v>
      </c>
      <c r="AV2009" s="1">
        <v>81.95</v>
      </c>
      <c r="AW2009" s="1"/>
      <c r="AX2009" s="1" t="s">
        <v>361</v>
      </c>
      <c r="AY2009" s="1" t="s">
        <v>21410</v>
      </c>
      <c r="AZ2009" s="1" t="s">
        <v>1864</v>
      </c>
      <c r="BA2009" s="1" t="s">
        <v>829</v>
      </c>
      <c r="BB2009" s="1">
        <v>58.91</v>
      </c>
      <c r="BC2009" s="1">
        <v>6.62</v>
      </c>
      <c r="BD2009" s="1"/>
      <c r="BE2009" s="1"/>
      <c r="BF2009" s="1"/>
      <c r="BG2009" s="1"/>
      <c r="BH2009" s="1"/>
      <c r="BI2009" s="1"/>
      <c r="BJ2009" s="1" t="s">
        <v>364</v>
      </c>
      <c r="BK2009" s="1"/>
      <c r="BL2009" s="1"/>
      <c r="BM2009" s="1" t="s">
        <v>21411</v>
      </c>
      <c r="BN2009" s="1">
        <v>38</v>
      </c>
      <c r="BO2009" s="1" t="s">
        <v>21412</v>
      </c>
      <c r="BP2009" s="1" t="str">
        <f>HYPERLINK("https://nconnect.nicmar.ac.in/storage/profile/ProfilePhoto_P25707012_126357.jpg","Download")</f>
        <v>0</v>
      </c>
      <c r="BQ2009" s="3"/>
      <c r="BR2009" s="3"/>
    </row>
    <row r="2010" spans="1:70">
      <c r="A2010" s="1" t="s">
        <v>19644</v>
      </c>
      <c r="B2010" s="1" t="s">
        <v>441</v>
      </c>
      <c r="C2010" s="1" t="s">
        <v>21413</v>
      </c>
      <c r="D2010" s="1" t="s">
        <v>15564</v>
      </c>
      <c r="E2010" s="1"/>
      <c r="F2010" s="1" t="s">
        <v>21414</v>
      </c>
      <c r="G2010" s="1" t="s">
        <v>21415</v>
      </c>
      <c r="H2010" s="1" t="s">
        <v>21416</v>
      </c>
      <c r="I2010" s="1" t="s">
        <v>21417</v>
      </c>
      <c r="J2010" s="1">
        <v>7982326477</v>
      </c>
      <c r="K2010" s="1" t="s">
        <v>148</v>
      </c>
      <c r="L2010" s="1" t="s">
        <v>21418</v>
      </c>
      <c r="M2010" s="1" t="s">
        <v>81</v>
      </c>
      <c r="N2010" s="1" t="s">
        <v>4289</v>
      </c>
      <c r="O2010" s="1"/>
      <c r="P2010" s="1" t="s">
        <v>497</v>
      </c>
      <c r="Q2010" s="1" t="s">
        <v>21419</v>
      </c>
      <c r="R2010" s="1" t="s">
        <v>21420</v>
      </c>
      <c r="S2010" s="1">
        <v>9910628505</v>
      </c>
      <c r="T2010" s="1" t="s">
        <v>21421</v>
      </c>
      <c r="U2010" s="1" t="s">
        <v>21422</v>
      </c>
      <c r="V2010" s="1">
        <v>9971408505</v>
      </c>
      <c r="W2010" s="1" t="s">
        <v>156</v>
      </c>
      <c r="X2010" s="1" t="s">
        <v>21423</v>
      </c>
      <c r="Y2010" s="1" t="s">
        <v>6845</v>
      </c>
      <c r="Z2010" s="1" t="s">
        <v>1714</v>
      </c>
      <c r="AA2010" s="1" t="s">
        <v>21424</v>
      </c>
      <c r="AB2010" s="1" t="s">
        <v>6484</v>
      </c>
      <c r="AC2010" s="1" t="s">
        <v>1714</v>
      </c>
      <c r="AD2010" s="1">
        <v>8.92</v>
      </c>
      <c r="AE2010" s="1" t="s">
        <v>93</v>
      </c>
      <c r="AF2010" s="1" t="s">
        <v>21425</v>
      </c>
      <c r="AG2010" s="1" t="s">
        <v>307</v>
      </c>
      <c r="AH2010" s="1" t="s">
        <v>1088</v>
      </c>
      <c r="AI2010" s="1" t="s">
        <v>614</v>
      </c>
      <c r="AJ2010" s="1">
        <v>66.5</v>
      </c>
      <c r="AK2010" s="1">
        <v>7</v>
      </c>
      <c r="AL2010" s="1" t="s">
        <v>21426</v>
      </c>
      <c r="AM2010" s="1" t="s">
        <v>307</v>
      </c>
      <c r="AN2010" s="1" t="s">
        <v>689</v>
      </c>
      <c r="AO2010" s="1" t="s">
        <v>166</v>
      </c>
      <c r="AP2010" s="1">
        <v>67.2</v>
      </c>
      <c r="AQ2010" s="1">
        <v>7.07</v>
      </c>
      <c r="AR2010" s="1"/>
      <c r="AS2010" s="1"/>
      <c r="AT2010" s="1"/>
      <c r="AU2010" s="1"/>
      <c r="AV2010" s="1"/>
      <c r="AW2010" s="1"/>
      <c r="AX2010" s="1" t="s">
        <v>2545</v>
      </c>
      <c r="AY2010" s="1" t="s">
        <v>21427</v>
      </c>
      <c r="AZ2010" s="1" t="s">
        <v>169</v>
      </c>
      <c r="BA2010" s="1" t="s">
        <v>1864</v>
      </c>
      <c r="BB2010" s="1">
        <v>82.2</v>
      </c>
      <c r="BC2010" s="1">
        <v>8.22</v>
      </c>
      <c r="BD2010" s="1"/>
      <c r="BE2010" s="1"/>
      <c r="BF2010" s="1"/>
      <c r="BG2010" s="1"/>
      <c r="BH2010" s="1"/>
      <c r="BI2010" s="1"/>
      <c r="BJ2010" s="1" t="s">
        <v>21428</v>
      </c>
      <c r="BK2010" s="1"/>
      <c r="BL2010" s="1"/>
      <c r="BM2010" s="1" t="s">
        <v>21429</v>
      </c>
      <c r="BN2010" s="1">
        <v>57</v>
      </c>
      <c r="BO2010" s="1"/>
      <c r="BP2010" s="1" t="str">
        <f>HYPERLINK("https://nconnect.nicmar.ac.in/storage/profile/ProfilePhoto_P25707013_359281.jpg","Download")</f>
        <v>0</v>
      </c>
      <c r="BQ2010" s="3"/>
      <c r="BR2010" s="3"/>
    </row>
    <row r="2011" spans="1:70">
      <c r="A2011" s="1" t="s">
        <v>19644</v>
      </c>
      <c r="B2011" s="1" t="s">
        <v>441</v>
      </c>
      <c r="C2011" s="1" t="s">
        <v>21430</v>
      </c>
      <c r="D2011" s="1" t="s">
        <v>21431</v>
      </c>
      <c r="E2011" s="1" t="s">
        <v>21432</v>
      </c>
      <c r="F2011" s="1" t="s">
        <v>7168</v>
      </c>
      <c r="G2011" s="1" t="s">
        <v>21433</v>
      </c>
      <c r="H2011" s="1" t="s">
        <v>21434</v>
      </c>
      <c r="I2011" s="1" t="s">
        <v>21435</v>
      </c>
      <c r="J2011" s="1">
        <v>9823220351</v>
      </c>
      <c r="K2011" s="1" t="s">
        <v>79</v>
      </c>
      <c r="L2011" s="1" t="s">
        <v>20071</v>
      </c>
      <c r="M2011" s="1" t="s">
        <v>81</v>
      </c>
      <c r="N2011" s="1" t="s">
        <v>21436</v>
      </c>
      <c r="O2011" s="1"/>
      <c r="P2011" s="1" t="s">
        <v>472</v>
      </c>
      <c r="Q2011" s="1" t="s">
        <v>21437</v>
      </c>
      <c r="R2011" s="1" t="s">
        <v>21438</v>
      </c>
      <c r="S2011" s="1">
        <v>9420977474</v>
      </c>
      <c r="T2011" s="1" t="s">
        <v>154</v>
      </c>
      <c r="U2011" s="1" t="s">
        <v>21439</v>
      </c>
      <c r="V2011" s="1">
        <v>9822101690</v>
      </c>
      <c r="W2011" s="1" t="s">
        <v>156</v>
      </c>
      <c r="X2011" s="1" t="s">
        <v>21440</v>
      </c>
      <c r="Y2011" s="1" t="s">
        <v>11204</v>
      </c>
      <c r="Z2011" s="1" t="s">
        <v>6544</v>
      </c>
      <c r="AA2011" s="1" t="s">
        <v>21440</v>
      </c>
      <c r="AB2011" s="1" t="s">
        <v>11204</v>
      </c>
      <c r="AC2011" s="1" t="s">
        <v>6544</v>
      </c>
      <c r="AD2011" s="1">
        <v>9.79</v>
      </c>
      <c r="AE2011" s="1" t="s">
        <v>93</v>
      </c>
      <c r="AF2011" s="1" t="s">
        <v>21441</v>
      </c>
      <c r="AG2011" s="1" t="s">
        <v>14547</v>
      </c>
      <c r="AH2011" s="1" t="s">
        <v>101</v>
      </c>
      <c r="AI2011" s="1" t="s">
        <v>308</v>
      </c>
      <c r="AJ2011" s="1">
        <v>93.5</v>
      </c>
      <c r="AK2011" s="1"/>
      <c r="AL2011" s="1" t="s">
        <v>21442</v>
      </c>
      <c r="AM2011" s="1" t="s">
        <v>14547</v>
      </c>
      <c r="AN2011" s="1" t="s">
        <v>460</v>
      </c>
      <c r="AO2011" s="1" t="s">
        <v>826</v>
      </c>
      <c r="AP2011" s="1">
        <v>83.67</v>
      </c>
      <c r="AQ2011" s="1"/>
      <c r="AR2011" s="1"/>
      <c r="AS2011" s="1"/>
      <c r="AT2011" s="1"/>
      <c r="AU2011" s="1"/>
      <c r="AV2011" s="1"/>
      <c r="AW2011" s="1"/>
      <c r="AX2011" s="1" t="s">
        <v>21443</v>
      </c>
      <c r="AY2011" s="1" t="s">
        <v>21443</v>
      </c>
      <c r="AZ2011" s="1" t="s">
        <v>593</v>
      </c>
      <c r="BA2011" s="1" t="s">
        <v>543</v>
      </c>
      <c r="BB2011" s="1">
        <v>78.4</v>
      </c>
      <c r="BC2011" s="1">
        <v>8.34</v>
      </c>
      <c r="BD2011" s="1"/>
      <c r="BE2011" s="1"/>
      <c r="BF2011" s="1"/>
      <c r="BG2011" s="1"/>
      <c r="BH2011" s="1"/>
      <c r="BI2011" s="1"/>
      <c r="BJ2011" s="1" t="s">
        <v>21444</v>
      </c>
      <c r="BK2011" s="1"/>
      <c r="BL2011" s="1"/>
      <c r="BM2011" s="1" t="s">
        <v>21445</v>
      </c>
      <c r="BN2011" s="1">
        <v>15</v>
      </c>
      <c r="BO2011" s="1" t="s">
        <v>21446</v>
      </c>
      <c r="BP2011" s="1" t="str">
        <f>HYPERLINK("https://nconnect.nicmar.ac.in/storage/profile/ProfilePhoto_P25707014_759148.jpg","Download")</f>
        <v>0</v>
      </c>
      <c r="BQ2011" s="3"/>
      <c r="BR2011" s="3"/>
    </row>
    <row r="2012" spans="1:70">
      <c r="A2012" s="1" t="s">
        <v>19644</v>
      </c>
      <c r="B2012" s="1" t="s">
        <v>441</v>
      </c>
      <c r="C2012" s="1" t="s">
        <v>21447</v>
      </c>
      <c r="D2012" s="1" t="s">
        <v>16945</v>
      </c>
      <c r="E2012" s="1"/>
      <c r="F2012" s="1" t="s">
        <v>19347</v>
      </c>
      <c r="G2012" s="1" t="s">
        <v>21448</v>
      </c>
      <c r="H2012" s="1" t="s">
        <v>21449</v>
      </c>
      <c r="I2012" s="1" t="s">
        <v>21450</v>
      </c>
      <c r="J2012" s="1">
        <v>9711938139</v>
      </c>
      <c r="K2012" s="1" t="s">
        <v>79</v>
      </c>
      <c r="L2012" s="1" t="s">
        <v>21451</v>
      </c>
      <c r="M2012" s="1" t="s">
        <v>81</v>
      </c>
      <c r="N2012" s="1" t="s">
        <v>2054</v>
      </c>
      <c r="O2012" s="1"/>
      <c r="P2012" s="1" t="s">
        <v>450</v>
      </c>
      <c r="Q2012" s="1" t="s">
        <v>21452</v>
      </c>
      <c r="R2012" s="1" t="s">
        <v>21453</v>
      </c>
      <c r="S2012" s="1">
        <v>9412833527</v>
      </c>
      <c r="T2012" s="1" t="s">
        <v>21454</v>
      </c>
      <c r="U2012" s="1" t="s">
        <v>21455</v>
      </c>
      <c r="V2012" s="1">
        <v>8299285539</v>
      </c>
      <c r="W2012" s="1" t="s">
        <v>156</v>
      </c>
      <c r="X2012" s="1" t="s">
        <v>21456</v>
      </c>
      <c r="Y2012" s="1" t="s">
        <v>21457</v>
      </c>
      <c r="Z2012" s="1" t="s">
        <v>534</v>
      </c>
      <c r="AA2012" s="1" t="s">
        <v>21456</v>
      </c>
      <c r="AB2012" s="1" t="s">
        <v>21457</v>
      </c>
      <c r="AC2012" s="1" t="s">
        <v>534</v>
      </c>
      <c r="AD2012" s="1" t="s">
        <v>93</v>
      </c>
      <c r="AE2012" s="1" t="s">
        <v>93</v>
      </c>
      <c r="AF2012" s="1" t="s">
        <v>21458</v>
      </c>
      <c r="AG2012" s="1" t="s">
        <v>21459</v>
      </c>
      <c r="AH2012" s="1" t="s">
        <v>782</v>
      </c>
      <c r="AI2012" s="1" t="s">
        <v>2736</v>
      </c>
      <c r="AJ2012" s="1">
        <v>87.4</v>
      </c>
      <c r="AK2012" s="1">
        <v>9.2</v>
      </c>
      <c r="AL2012" s="1" t="s">
        <v>18380</v>
      </c>
      <c r="AM2012" s="1" t="s">
        <v>21460</v>
      </c>
      <c r="AN2012" s="1" t="s">
        <v>129</v>
      </c>
      <c r="AO2012" s="1" t="s">
        <v>1239</v>
      </c>
      <c r="AP2012" s="1">
        <v>91.6</v>
      </c>
      <c r="AQ2012" s="1"/>
      <c r="AR2012" s="1"/>
      <c r="AS2012" s="1"/>
      <c r="AT2012" s="1"/>
      <c r="AU2012" s="1"/>
      <c r="AV2012" s="1"/>
      <c r="AW2012" s="1"/>
      <c r="AX2012" s="1" t="s">
        <v>21461</v>
      </c>
      <c r="AY2012" s="1" t="s">
        <v>21462</v>
      </c>
      <c r="AZ2012" s="1" t="s">
        <v>131</v>
      </c>
      <c r="BA2012" s="1" t="s">
        <v>308</v>
      </c>
      <c r="BB2012" s="1">
        <v>61.4</v>
      </c>
      <c r="BC2012" s="1">
        <v>6.14</v>
      </c>
      <c r="BD2012" s="1"/>
      <c r="BE2012" s="1"/>
      <c r="BF2012" s="1"/>
      <c r="BG2012" s="1"/>
      <c r="BH2012" s="1"/>
      <c r="BI2012" s="1"/>
      <c r="BJ2012" s="1" t="s">
        <v>21463</v>
      </c>
      <c r="BK2012" s="1" t="s">
        <v>21464</v>
      </c>
      <c r="BL2012" s="1" t="s">
        <v>1824</v>
      </c>
      <c r="BM2012" s="1" t="s">
        <v>21465</v>
      </c>
      <c r="BN2012" s="1">
        <v>36</v>
      </c>
      <c r="BO2012" s="1"/>
      <c r="BP2012" s="1" t="str">
        <f>HYPERLINK("https://nconnect.nicmar.ac.in/storage/profile/ProfilePhoto_P25707015_275148.jpg","Download")</f>
        <v>0</v>
      </c>
      <c r="BQ2012" s="3"/>
      <c r="BR2012" s="3"/>
    </row>
    <row r="2013" spans="1:70">
      <c r="A2013" s="1" t="s">
        <v>19644</v>
      </c>
      <c r="B2013" s="1" t="s">
        <v>441</v>
      </c>
      <c r="C2013" s="1" t="s">
        <v>21466</v>
      </c>
      <c r="D2013" s="1" t="s">
        <v>21467</v>
      </c>
      <c r="E2013" s="1"/>
      <c r="F2013" s="1" t="s">
        <v>21468</v>
      </c>
      <c r="G2013" s="1" t="s">
        <v>21469</v>
      </c>
      <c r="H2013" s="1" t="s">
        <v>21470</v>
      </c>
      <c r="I2013" s="1" t="s">
        <v>21471</v>
      </c>
      <c r="J2013" s="1">
        <v>6374435346</v>
      </c>
      <c r="K2013" s="1" t="s">
        <v>148</v>
      </c>
      <c r="L2013" s="1" t="s">
        <v>10361</v>
      </c>
      <c r="M2013" s="1" t="s">
        <v>81</v>
      </c>
      <c r="N2013" s="1" t="s">
        <v>21472</v>
      </c>
      <c r="O2013" s="1"/>
      <c r="P2013" s="1" t="s">
        <v>450</v>
      </c>
      <c r="Q2013" s="1" t="s">
        <v>21473</v>
      </c>
      <c r="R2013" s="1" t="s">
        <v>21474</v>
      </c>
      <c r="S2013" s="1">
        <v>9283166157</v>
      </c>
      <c r="T2013" s="1" t="s">
        <v>21475</v>
      </c>
      <c r="U2013" s="1" t="s">
        <v>21476</v>
      </c>
      <c r="V2013" s="1">
        <v>9283798111</v>
      </c>
      <c r="W2013" s="1" t="s">
        <v>89</v>
      </c>
      <c r="X2013" s="1" t="s">
        <v>21477</v>
      </c>
      <c r="Y2013" s="1" t="s">
        <v>1475</v>
      </c>
      <c r="Z2013" s="1" t="s">
        <v>559</v>
      </c>
      <c r="AA2013" s="1" t="s">
        <v>21477</v>
      </c>
      <c r="AB2013" s="1" t="s">
        <v>1475</v>
      </c>
      <c r="AC2013" s="1" t="s">
        <v>559</v>
      </c>
      <c r="AD2013" s="1">
        <v>9.49</v>
      </c>
      <c r="AE2013" s="1" t="s">
        <v>93</v>
      </c>
      <c r="AF2013" s="1" t="s">
        <v>21478</v>
      </c>
      <c r="AG2013" s="1" t="s">
        <v>21479</v>
      </c>
      <c r="AH2013" s="1" t="s">
        <v>689</v>
      </c>
      <c r="AI2013" s="1" t="s">
        <v>166</v>
      </c>
      <c r="AJ2013" s="1">
        <v>85</v>
      </c>
      <c r="AK2013" s="1">
        <v>0</v>
      </c>
      <c r="AL2013" s="1" t="s">
        <v>21480</v>
      </c>
      <c r="AM2013" s="1" t="s">
        <v>21479</v>
      </c>
      <c r="AN2013" s="1" t="s">
        <v>433</v>
      </c>
      <c r="AO2013" s="1" t="s">
        <v>412</v>
      </c>
      <c r="AP2013" s="1">
        <v>75</v>
      </c>
      <c r="AQ2013" s="1">
        <v>0</v>
      </c>
      <c r="AR2013" s="1"/>
      <c r="AS2013" s="1"/>
      <c r="AT2013" s="1"/>
      <c r="AU2013" s="1"/>
      <c r="AV2013" s="1"/>
      <c r="AW2013" s="1"/>
      <c r="AX2013" s="1" t="s">
        <v>564</v>
      </c>
      <c r="AY2013" s="1" t="s">
        <v>21481</v>
      </c>
      <c r="AZ2013" s="1" t="s">
        <v>871</v>
      </c>
      <c r="BA2013" s="1" t="s">
        <v>413</v>
      </c>
      <c r="BB2013" s="1">
        <v>87.3</v>
      </c>
      <c r="BC2013" s="1">
        <v>8.73</v>
      </c>
      <c r="BD2013" s="1"/>
      <c r="BE2013" s="1"/>
      <c r="BF2013" s="1"/>
      <c r="BG2013" s="1"/>
      <c r="BH2013" s="1"/>
      <c r="BI2013" s="1"/>
      <c r="BJ2013" s="1" t="s">
        <v>21482</v>
      </c>
      <c r="BK2013" s="1" t="s">
        <v>21483</v>
      </c>
      <c r="BL2013" s="1" t="s">
        <v>2215</v>
      </c>
      <c r="BM2013" s="1" t="s">
        <v>21484</v>
      </c>
      <c r="BN2013" s="1">
        <v>26</v>
      </c>
      <c r="BO2013" s="1" t="s">
        <v>21485</v>
      </c>
      <c r="BP2013" s="1" t="str">
        <f>HYPERLINK("https://nconnect.nicmar.ac.in/storage/profile/ProfilePhoto_P25707016_126584.jpg","Download")</f>
        <v>0</v>
      </c>
      <c r="BQ2013" s="3"/>
      <c r="BR2013" s="3"/>
    </row>
    <row r="2014" spans="1:70">
      <c r="A2014" s="1" t="s">
        <v>19644</v>
      </c>
      <c r="B2014" s="1" t="s">
        <v>441</v>
      </c>
      <c r="C2014" s="1" t="s">
        <v>21486</v>
      </c>
      <c r="D2014" s="1" t="s">
        <v>2631</v>
      </c>
      <c r="E2014" s="1"/>
      <c r="F2014" s="1" t="s">
        <v>21487</v>
      </c>
      <c r="G2014" s="1" t="s">
        <v>21488</v>
      </c>
      <c r="H2014" s="1" t="s">
        <v>21489</v>
      </c>
      <c r="I2014" s="1" t="s">
        <v>21490</v>
      </c>
      <c r="J2014" s="1">
        <v>7829595800</v>
      </c>
      <c r="K2014" s="1" t="s">
        <v>79</v>
      </c>
      <c r="L2014" s="1" t="s">
        <v>21491</v>
      </c>
      <c r="M2014" s="1" t="s">
        <v>81</v>
      </c>
      <c r="N2014" s="1" t="s">
        <v>13716</v>
      </c>
      <c r="O2014" s="1"/>
      <c r="P2014" s="1" t="s">
        <v>497</v>
      </c>
      <c r="Q2014" s="1" t="s">
        <v>21492</v>
      </c>
      <c r="R2014" s="1" t="s">
        <v>21493</v>
      </c>
      <c r="S2014" s="1">
        <v>7829595800</v>
      </c>
      <c r="T2014" s="1" t="s">
        <v>583</v>
      </c>
      <c r="U2014" s="1" t="s">
        <v>21494</v>
      </c>
      <c r="V2014" s="1">
        <v>9845336240</v>
      </c>
      <c r="W2014" s="1" t="s">
        <v>531</v>
      </c>
      <c r="X2014" s="1" t="s">
        <v>21495</v>
      </c>
      <c r="Y2014" s="1" t="s">
        <v>1918</v>
      </c>
      <c r="Z2014" s="1" t="s">
        <v>1187</v>
      </c>
      <c r="AA2014" s="1" t="s">
        <v>21495</v>
      </c>
      <c r="AB2014" s="1" t="s">
        <v>1918</v>
      </c>
      <c r="AC2014" s="1" t="s">
        <v>1187</v>
      </c>
      <c r="AD2014" s="1">
        <v>9.33</v>
      </c>
      <c r="AE2014" s="1" t="s">
        <v>93</v>
      </c>
      <c r="AF2014" s="1" t="s">
        <v>21496</v>
      </c>
      <c r="AG2014" s="1" t="s">
        <v>713</v>
      </c>
      <c r="AH2014" s="1" t="s">
        <v>1239</v>
      </c>
      <c r="AI2014" s="1" t="s">
        <v>1088</v>
      </c>
      <c r="AJ2014" s="1">
        <v>94.56</v>
      </c>
      <c r="AK2014" s="1"/>
      <c r="AL2014" s="1" t="s">
        <v>21497</v>
      </c>
      <c r="AM2014" s="1" t="s">
        <v>21498</v>
      </c>
      <c r="AN2014" s="1" t="s">
        <v>279</v>
      </c>
      <c r="AO2014" s="1" t="s">
        <v>195</v>
      </c>
      <c r="AP2014" s="1">
        <v>90.33</v>
      </c>
      <c r="AQ2014" s="1"/>
      <c r="AR2014" s="1"/>
      <c r="AS2014" s="1"/>
      <c r="AT2014" s="1"/>
      <c r="AU2014" s="1"/>
      <c r="AV2014" s="1"/>
      <c r="AW2014" s="1"/>
      <c r="AX2014" s="1" t="s">
        <v>1194</v>
      </c>
      <c r="AY2014" s="1" t="s">
        <v>21499</v>
      </c>
      <c r="AZ2014" s="1" t="s">
        <v>383</v>
      </c>
      <c r="BA2014" s="1" t="s">
        <v>436</v>
      </c>
      <c r="BB2014" s="1">
        <v>73.9</v>
      </c>
      <c r="BC2014" s="1">
        <v>8.14</v>
      </c>
      <c r="BD2014" s="1"/>
      <c r="BE2014" s="1"/>
      <c r="BF2014" s="1"/>
      <c r="BG2014" s="1"/>
      <c r="BH2014" s="1"/>
      <c r="BI2014" s="1"/>
      <c r="BJ2014" s="1" t="s">
        <v>21500</v>
      </c>
      <c r="BK2014" s="1"/>
      <c r="BL2014" s="1"/>
      <c r="BM2014" s="1" t="s">
        <v>21501</v>
      </c>
      <c r="BN2014" s="1">
        <v>67</v>
      </c>
      <c r="BO2014" s="1" t="s">
        <v>21502</v>
      </c>
      <c r="BP2014" s="1" t="str">
        <f>HYPERLINK("https://nconnect.nicmar.ac.in/storage/profile/ProfilePhoto_P25707017_492153.jpg","Download")</f>
        <v>0</v>
      </c>
      <c r="BQ2014" s="3"/>
      <c r="BR2014" s="3"/>
    </row>
    <row r="2015" spans="1:70">
      <c r="A2015" s="1" t="s">
        <v>19644</v>
      </c>
      <c r="B2015" s="1" t="s">
        <v>441</v>
      </c>
      <c r="C2015" s="1" t="s">
        <v>21503</v>
      </c>
      <c r="D2015" s="1" t="s">
        <v>21504</v>
      </c>
      <c r="E2015" s="1" t="s">
        <v>5234</v>
      </c>
      <c r="F2015" s="1" t="s">
        <v>21505</v>
      </c>
      <c r="G2015" s="1" t="s">
        <v>21506</v>
      </c>
      <c r="H2015" s="1" t="s">
        <v>21507</v>
      </c>
      <c r="I2015" s="1" t="s">
        <v>21508</v>
      </c>
      <c r="J2015" s="1">
        <v>8104914549</v>
      </c>
      <c r="K2015" s="1" t="s">
        <v>148</v>
      </c>
      <c r="L2015" s="1" t="s">
        <v>12390</v>
      </c>
      <c r="M2015" s="1" t="s">
        <v>81</v>
      </c>
      <c r="N2015" s="1" t="s">
        <v>605</v>
      </c>
      <c r="O2015" s="1" t="s">
        <v>21509</v>
      </c>
      <c r="P2015" s="1" t="s">
        <v>472</v>
      </c>
      <c r="Q2015" s="1" t="s">
        <v>21510</v>
      </c>
      <c r="R2015" s="1" t="s">
        <v>5234</v>
      </c>
      <c r="S2015" s="1">
        <v>9004879500</v>
      </c>
      <c r="T2015" s="1" t="s">
        <v>632</v>
      </c>
      <c r="U2015" s="1" t="s">
        <v>1771</v>
      </c>
      <c r="V2015" s="1">
        <v>9222992520</v>
      </c>
      <c r="W2015" s="1" t="s">
        <v>531</v>
      </c>
      <c r="X2015" s="1" t="s">
        <v>21511</v>
      </c>
      <c r="Y2015" s="1" t="s">
        <v>2229</v>
      </c>
      <c r="Z2015" s="1" t="s">
        <v>92</v>
      </c>
      <c r="AA2015" s="1" t="s">
        <v>21511</v>
      </c>
      <c r="AB2015" s="1" t="s">
        <v>2229</v>
      </c>
      <c r="AC2015" s="1" t="s">
        <v>92</v>
      </c>
      <c r="AD2015" s="1">
        <v>9.68</v>
      </c>
      <c r="AE2015" s="1" t="s">
        <v>93</v>
      </c>
      <c r="AF2015" s="1" t="s">
        <v>21512</v>
      </c>
      <c r="AG2015" s="1" t="s">
        <v>21513</v>
      </c>
      <c r="AH2015" s="1" t="s">
        <v>101</v>
      </c>
      <c r="AI2015" s="1" t="s">
        <v>409</v>
      </c>
      <c r="AJ2015" s="1">
        <v>83.8</v>
      </c>
      <c r="AK2015" s="1"/>
      <c r="AL2015" s="1" t="s">
        <v>21514</v>
      </c>
      <c r="AM2015" s="1" t="s">
        <v>21513</v>
      </c>
      <c r="AN2015" s="1" t="s">
        <v>460</v>
      </c>
      <c r="AO2015" s="1" t="s">
        <v>539</v>
      </c>
      <c r="AP2015" s="1">
        <v>91.17</v>
      </c>
      <c r="AQ2015" s="1"/>
      <c r="AR2015" s="1"/>
      <c r="AS2015" s="1"/>
      <c r="AT2015" s="1"/>
      <c r="AU2015" s="1"/>
      <c r="AV2015" s="1"/>
      <c r="AW2015" s="1"/>
      <c r="AX2015" s="1" t="s">
        <v>666</v>
      </c>
      <c r="AY2015" s="1" t="s">
        <v>21515</v>
      </c>
      <c r="AZ2015" s="1" t="s">
        <v>852</v>
      </c>
      <c r="BA2015" s="1" t="s">
        <v>829</v>
      </c>
      <c r="BB2015" s="1">
        <v>70.5</v>
      </c>
      <c r="BC2015" s="1">
        <v>7.8</v>
      </c>
      <c r="BD2015" s="1"/>
      <c r="BE2015" s="1"/>
      <c r="BF2015" s="1"/>
      <c r="BG2015" s="1"/>
      <c r="BH2015" s="1"/>
      <c r="BI2015" s="1"/>
      <c r="BJ2015" s="1" t="s">
        <v>21516</v>
      </c>
      <c r="BK2015" s="1"/>
      <c r="BL2015" s="1"/>
      <c r="BM2015" s="1" t="s">
        <v>21517</v>
      </c>
      <c r="BN2015" s="1">
        <v>8</v>
      </c>
      <c r="BO2015" s="1"/>
      <c r="BP2015" s="1" t="str">
        <f>HYPERLINK("https://nconnect.nicmar.ac.in/storage/profile/ProfilePhoto_P25707018_314526.jpg","Download")</f>
        <v>0</v>
      </c>
      <c r="BQ2015" s="3"/>
      <c r="BR2015" s="3"/>
    </row>
    <row r="2016" spans="1:70">
      <c r="A2016" s="1" t="s">
        <v>19644</v>
      </c>
      <c r="B2016" s="1" t="s">
        <v>441</v>
      </c>
      <c r="C2016" s="1" t="s">
        <v>21518</v>
      </c>
      <c r="D2016" s="1" t="s">
        <v>16766</v>
      </c>
      <c r="E2016" s="1" t="s">
        <v>3548</v>
      </c>
      <c r="F2016" s="1" t="s">
        <v>21519</v>
      </c>
      <c r="G2016" s="1" t="s">
        <v>21520</v>
      </c>
      <c r="H2016" s="1" t="s">
        <v>21521</v>
      </c>
      <c r="I2016" s="1" t="s">
        <v>21522</v>
      </c>
      <c r="J2016" s="1">
        <v>7559492476</v>
      </c>
      <c r="K2016" s="1" t="s">
        <v>79</v>
      </c>
      <c r="L2016" s="1" t="s">
        <v>21523</v>
      </c>
      <c r="M2016" s="1" t="s">
        <v>81</v>
      </c>
      <c r="N2016" s="1" t="s">
        <v>6087</v>
      </c>
      <c r="O2016" s="1"/>
      <c r="P2016" s="1" t="s">
        <v>472</v>
      </c>
      <c r="Q2016" s="1" t="s">
        <v>21524</v>
      </c>
      <c r="R2016" s="1" t="s">
        <v>21525</v>
      </c>
      <c r="S2016" s="1">
        <v>9403107425</v>
      </c>
      <c r="T2016" s="1" t="s">
        <v>6725</v>
      </c>
      <c r="U2016" s="1" t="s">
        <v>21526</v>
      </c>
      <c r="V2016" s="1">
        <v>8975988838</v>
      </c>
      <c r="W2016" s="1" t="s">
        <v>156</v>
      </c>
      <c r="X2016" s="1" t="s">
        <v>21527</v>
      </c>
      <c r="Y2016" s="1" t="s">
        <v>1963</v>
      </c>
      <c r="Z2016" s="1" t="s">
        <v>92</v>
      </c>
      <c r="AA2016" s="1" t="s">
        <v>21527</v>
      </c>
      <c r="AB2016" s="1" t="s">
        <v>1963</v>
      </c>
      <c r="AC2016" s="1" t="s">
        <v>92</v>
      </c>
      <c r="AD2016" s="1">
        <v>8.64</v>
      </c>
      <c r="AE2016" s="1" t="s">
        <v>93</v>
      </c>
      <c r="AF2016" s="1" t="s">
        <v>21528</v>
      </c>
      <c r="AG2016" s="1" t="s">
        <v>21529</v>
      </c>
      <c r="AH2016" s="1" t="s">
        <v>165</v>
      </c>
      <c r="AI2016" s="1" t="s">
        <v>281</v>
      </c>
      <c r="AJ2016" s="1">
        <v>85</v>
      </c>
      <c r="AK2016" s="1"/>
      <c r="AL2016" s="1" t="s">
        <v>21530</v>
      </c>
      <c r="AM2016" s="1" t="s">
        <v>21531</v>
      </c>
      <c r="AN2016" s="1" t="s">
        <v>433</v>
      </c>
      <c r="AO2016" s="1" t="s">
        <v>360</v>
      </c>
      <c r="AP2016" s="1">
        <v>66.77</v>
      </c>
      <c r="AQ2016" s="1"/>
      <c r="AR2016" s="1"/>
      <c r="AS2016" s="1"/>
      <c r="AT2016" s="1"/>
      <c r="AU2016" s="1"/>
      <c r="AV2016" s="1"/>
      <c r="AW2016" s="1"/>
      <c r="AX2016" s="1" t="s">
        <v>3731</v>
      </c>
      <c r="AY2016" s="1" t="s">
        <v>21532</v>
      </c>
      <c r="AZ2016" s="1" t="s">
        <v>1019</v>
      </c>
      <c r="BA2016" s="1" t="s">
        <v>829</v>
      </c>
      <c r="BB2016" s="1">
        <v>70.5</v>
      </c>
      <c r="BC2016" s="1">
        <v>7.55</v>
      </c>
      <c r="BD2016" s="1"/>
      <c r="BE2016" s="1"/>
      <c r="BF2016" s="1"/>
      <c r="BG2016" s="1"/>
      <c r="BH2016" s="1"/>
      <c r="BI2016" s="1"/>
      <c r="BJ2016" s="1" t="s">
        <v>21533</v>
      </c>
      <c r="BK2016" s="1"/>
      <c r="BL2016" s="1"/>
      <c r="BM2016" s="1" t="s">
        <v>21534</v>
      </c>
      <c r="BN2016" s="1">
        <v>16</v>
      </c>
      <c r="BO2016" s="1"/>
      <c r="BP2016" s="1" t="str">
        <f>HYPERLINK("https://nconnect.nicmar.ac.in/storage/profile/ProfilePhoto_P25707021_512496.jpg","Download")</f>
        <v>0</v>
      </c>
      <c r="BQ2016" s="3"/>
      <c r="BR2016" s="3"/>
    </row>
    <row r="2017" spans="1:70">
      <c r="A2017" s="1" t="s">
        <v>19644</v>
      </c>
      <c r="B2017" s="1" t="s">
        <v>441</v>
      </c>
      <c r="C2017" s="1" t="s">
        <v>21535</v>
      </c>
      <c r="D2017" s="1" t="s">
        <v>21536</v>
      </c>
      <c r="E2017" s="1"/>
      <c r="F2017" s="1" t="s">
        <v>1273</v>
      </c>
      <c r="G2017" s="1" t="s">
        <v>21537</v>
      </c>
      <c r="H2017" s="1" t="s">
        <v>21538</v>
      </c>
      <c r="I2017" s="1" t="s">
        <v>21539</v>
      </c>
      <c r="J2017" s="1">
        <v>8606379551</v>
      </c>
      <c r="K2017" s="1" t="s">
        <v>148</v>
      </c>
      <c r="L2017" s="1" t="s">
        <v>21540</v>
      </c>
      <c r="M2017" s="1" t="s">
        <v>81</v>
      </c>
      <c r="N2017" s="1" t="s">
        <v>9462</v>
      </c>
      <c r="O2017" s="1"/>
      <c r="P2017" s="1" t="s">
        <v>2694</v>
      </c>
      <c r="Q2017" s="1" t="s">
        <v>21541</v>
      </c>
      <c r="R2017" s="1" t="s">
        <v>21542</v>
      </c>
      <c r="S2017" s="1">
        <v>9847301887</v>
      </c>
      <c r="T2017" s="1" t="s">
        <v>21543</v>
      </c>
      <c r="U2017" s="1" t="s">
        <v>21544</v>
      </c>
      <c r="V2017" s="1">
        <v>9947824751</v>
      </c>
      <c r="W2017" s="1" t="s">
        <v>122</v>
      </c>
      <c r="X2017" s="1" t="s">
        <v>21545</v>
      </c>
      <c r="Y2017" s="1" t="s">
        <v>4921</v>
      </c>
      <c r="Z2017" s="1" t="s">
        <v>125</v>
      </c>
      <c r="AA2017" s="1" t="s">
        <v>21545</v>
      </c>
      <c r="AB2017" s="1" t="s">
        <v>4921</v>
      </c>
      <c r="AC2017" s="1" t="s">
        <v>125</v>
      </c>
      <c r="AD2017" s="1">
        <v>9.53</v>
      </c>
      <c r="AE2017" s="1" t="s">
        <v>93</v>
      </c>
      <c r="AF2017" s="1" t="s">
        <v>1599</v>
      </c>
      <c r="AG2017" s="1" t="s">
        <v>777</v>
      </c>
      <c r="AH2017" s="1" t="s">
        <v>481</v>
      </c>
      <c r="AI2017" s="1" t="s">
        <v>308</v>
      </c>
      <c r="AJ2017" s="1">
        <v>95.2</v>
      </c>
      <c r="AK2017" s="1"/>
      <c r="AL2017" s="1" t="s">
        <v>1599</v>
      </c>
      <c r="AM2017" s="1" t="s">
        <v>777</v>
      </c>
      <c r="AN2017" s="1" t="s">
        <v>956</v>
      </c>
      <c r="AO2017" s="1" t="s">
        <v>539</v>
      </c>
      <c r="AP2017" s="1">
        <v>94.2</v>
      </c>
      <c r="AQ2017" s="1"/>
      <c r="AR2017" s="1"/>
      <c r="AS2017" s="1"/>
      <c r="AT2017" s="1"/>
      <c r="AU2017" s="1"/>
      <c r="AV2017" s="1"/>
      <c r="AW2017" s="1"/>
      <c r="AX2017" s="1" t="s">
        <v>132</v>
      </c>
      <c r="AY2017" s="1" t="s">
        <v>21546</v>
      </c>
      <c r="AZ2017" s="1" t="s">
        <v>135</v>
      </c>
      <c r="BA2017" s="1" t="s">
        <v>543</v>
      </c>
      <c r="BB2017" s="1">
        <v>80.3</v>
      </c>
      <c r="BC2017" s="1">
        <v>8.03</v>
      </c>
      <c r="BD2017" s="1"/>
      <c r="BE2017" s="1"/>
      <c r="BF2017" s="1"/>
      <c r="BG2017" s="1"/>
      <c r="BH2017" s="1"/>
      <c r="BI2017" s="1"/>
      <c r="BJ2017" s="1" t="s">
        <v>21547</v>
      </c>
      <c r="BK2017" s="1"/>
      <c r="BL2017" s="1"/>
      <c r="BM2017" s="1" t="s">
        <v>21548</v>
      </c>
      <c r="BN2017" s="1">
        <v>19</v>
      </c>
      <c r="BO2017" s="1" t="s">
        <v>21549</v>
      </c>
      <c r="BP2017" s="1" t="str">
        <f>HYPERLINK("https://nconnect.nicmar.ac.in/storage/profile/ProfilePhoto_P25707022_251376.jpg","Download")</f>
        <v>0</v>
      </c>
      <c r="BQ2017" s="3"/>
      <c r="BR2017" s="3"/>
    </row>
    <row r="2018" spans="1:70">
      <c r="A2018" s="1" t="s">
        <v>19644</v>
      </c>
      <c r="B2018" s="1" t="s">
        <v>441</v>
      </c>
      <c r="C2018" s="1" t="s">
        <v>21550</v>
      </c>
      <c r="D2018" s="1" t="s">
        <v>1762</v>
      </c>
      <c r="E2018" s="1" t="s">
        <v>2492</v>
      </c>
      <c r="F2018" s="1" t="s">
        <v>3059</v>
      </c>
      <c r="G2018" s="1" t="s">
        <v>21551</v>
      </c>
      <c r="H2018" s="1" t="s">
        <v>21552</v>
      </c>
      <c r="I2018" s="1" t="s">
        <v>21553</v>
      </c>
      <c r="J2018" s="1">
        <v>9145787174</v>
      </c>
      <c r="K2018" s="1" t="s">
        <v>79</v>
      </c>
      <c r="L2018" s="1" t="s">
        <v>20286</v>
      </c>
      <c r="M2018" s="1" t="s">
        <v>81</v>
      </c>
      <c r="N2018" s="1" t="s">
        <v>605</v>
      </c>
      <c r="O2018" s="1"/>
      <c r="P2018" s="1" t="s">
        <v>450</v>
      </c>
      <c r="Q2018" s="1" t="s">
        <v>21554</v>
      </c>
      <c r="R2018" s="1" t="s">
        <v>21555</v>
      </c>
      <c r="S2018" s="1">
        <v>7770064712</v>
      </c>
      <c r="T2018" s="1" t="s">
        <v>2344</v>
      </c>
      <c r="U2018" s="1" t="s">
        <v>21556</v>
      </c>
      <c r="V2018" s="1">
        <v>9923809791</v>
      </c>
      <c r="W2018" s="1" t="s">
        <v>156</v>
      </c>
      <c r="X2018" s="1" t="s">
        <v>21557</v>
      </c>
      <c r="Y2018" s="1" t="s">
        <v>191</v>
      </c>
      <c r="Z2018" s="1" t="s">
        <v>92</v>
      </c>
      <c r="AA2018" s="1" t="s">
        <v>21558</v>
      </c>
      <c r="AB2018" s="1" t="s">
        <v>5663</v>
      </c>
      <c r="AC2018" s="1" t="s">
        <v>92</v>
      </c>
      <c r="AD2018" s="1">
        <v>8.77</v>
      </c>
      <c r="AE2018" s="1" t="s">
        <v>93</v>
      </c>
      <c r="AF2018" s="1" t="s">
        <v>21559</v>
      </c>
      <c r="AG2018" s="1" t="s">
        <v>975</v>
      </c>
      <c r="AH2018" s="1" t="s">
        <v>162</v>
      </c>
      <c r="AI2018" s="1" t="s">
        <v>195</v>
      </c>
      <c r="AJ2018" s="1">
        <v>81.2</v>
      </c>
      <c r="AK2018" s="1"/>
      <c r="AL2018" s="1"/>
      <c r="AM2018" s="1"/>
      <c r="AN2018" s="1"/>
      <c r="AO2018" s="1"/>
      <c r="AP2018" s="1"/>
      <c r="AQ2018" s="1"/>
      <c r="AR2018" s="1" t="s">
        <v>4644</v>
      </c>
      <c r="AS2018" s="1" t="s">
        <v>21560</v>
      </c>
      <c r="AT2018" s="1" t="s">
        <v>165</v>
      </c>
      <c r="AU2018" s="1" t="s">
        <v>170</v>
      </c>
      <c r="AV2018" s="1">
        <v>88.62</v>
      </c>
      <c r="AW2018" s="1"/>
      <c r="AX2018" s="1" t="s">
        <v>361</v>
      </c>
      <c r="AY2018" s="1" t="s">
        <v>21561</v>
      </c>
      <c r="AZ2018" s="1" t="s">
        <v>363</v>
      </c>
      <c r="BA2018" s="1" t="s">
        <v>935</v>
      </c>
      <c r="BB2018" s="1">
        <v>74.04</v>
      </c>
      <c r="BC2018" s="1">
        <v>8.32</v>
      </c>
      <c r="BD2018" s="1"/>
      <c r="BE2018" s="1"/>
      <c r="BF2018" s="1"/>
      <c r="BG2018" s="1"/>
      <c r="BH2018" s="1"/>
      <c r="BI2018" s="1"/>
      <c r="BJ2018" s="1" t="s">
        <v>21562</v>
      </c>
      <c r="BK2018" s="1" t="s">
        <v>21563</v>
      </c>
      <c r="BL2018" s="1" t="s">
        <v>4165</v>
      </c>
      <c r="BM2018" s="1" t="s">
        <v>21564</v>
      </c>
      <c r="BN2018" s="1">
        <v>21</v>
      </c>
      <c r="BO2018" s="1" t="s">
        <v>21565</v>
      </c>
      <c r="BP2018" s="1" t="str">
        <f>HYPERLINK("https://nconnect.nicmar.ac.in/storage/profile/ProfilePhoto_P25707023_842739.jpg","Download")</f>
        <v>0</v>
      </c>
      <c r="BQ2018" s="3"/>
      <c r="BR2018" s="3"/>
    </row>
    <row r="2019" spans="1:70">
      <c r="A2019" s="1" t="s">
        <v>19644</v>
      </c>
      <c r="B2019" s="1" t="s">
        <v>441</v>
      </c>
      <c r="C2019" s="1" t="s">
        <v>21566</v>
      </c>
      <c r="D2019" s="1" t="s">
        <v>6734</v>
      </c>
      <c r="E2019" s="1" t="s">
        <v>12740</v>
      </c>
      <c r="F2019" s="1" t="s">
        <v>21567</v>
      </c>
      <c r="G2019" s="1" t="s">
        <v>21568</v>
      </c>
      <c r="H2019" s="1" t="s">
        <v>21569</v>
      </c>
      <c r="I2019" s="1" t="s">
        <v>21570</v>
      </c>
      <c r="J2019" s="1">
        <v>9579173930</v>
      </c>
      <c r="K2019" s="1" t="s">
        <v>79</v>
      </c>
      <c r="L2019" s="1" t="s">
        <v>21571</v>
      </c>
      <c r="M2019" s="1" t="s">
        <v>81</v>
      </c>
      <c r="N2019" s="1" t="s">
        <v>605</v>
      </c>
      <c r="O2019" s="1"/>
      <c r="P2019" s="1"/>
      <c r="Q2019" s="1" t="s">
        <v>21572</v>
      </c>
      <c r="R2019" s="1" t="s">
        <v>21573</v>
      </c>
      <c r="S2019" s="1">
        <v>9545236769</v>
      </c>
      <c r="T2019" s="1" t="s">
        <v>2344</v>
      </c>
      <c r="U2019" s="1" t="s">
        <v>21574</v>
      </c>
      <c r="V2019" s="1">
        <v>9209683926</v>
      </c>
      <c r="W2019" s="1" t="s">
        <v>156</v>
      </c>
      <c r="X2019" s="1" t="s">
        <v>21575</v>
      </c>
      <c r="Y2019" s="1" t="s">
        <v>191</v>
      </c>
      <c r="Z2019" s="1" t="s">
        <v>92</v>
      </c>
      <c r="AA2019" s="1" t="s">
        <v>21576</v>
      </c>
      <c r="AB2019" s="1" t="s">
        <v>4313</v>
      </c>
      <c r="AC2019" s="1" t="s">
        <v>92</v>
      </c>
      <c r="AD2019" s="1">
        <v>9.56</v>
      </c>
      <c r="AE2019" s="1" t="s">
        <v>93</v>
      </c>
      <c r="AF2019" s="1" t="s">
        <v>20340</v>
      </c>
      <c r="AG2019" s="1" t="s">
        <v>21577</v>
      </c>
      <c r="AH2019" s="1" t="s">
        <v>101</v>
      </c>
      <c r="AI2019" s="1" t="s">
        <v>433</v>
      </c>
      <c r="AJ2019" s="1">
        <v>77.4</v>
      </c>
      <c r="AK2019" s="1"/>
      <c r="AL2019" s="1"/>
      <c r="AM2019" s="1"/>
      <c r="AN2019" s="1"/>
      <c r="AO2019" s="1"/>
      <c r="AP2019" s="1"/>
      <c r="AQ2019" s="1"/>
      <c r="AR2019" s="1" t="s">
        <v>98</v>
      </c>
      <c r="AS2019" s="1" t="s">
        <v>21578</v>
      </c>
      <c r="AT2019" s="1" t="s">
        <v>201</v>
      </c>
      <c r="AU2019" s="1" t="s">
        <v>1378</v>
      </c>
      <c r="AV2019" s="1">
        <v>84.32</v>
      </c>
      <c r="AW2019" s="1"/>
      <c r="AX2019" s="1" t="s">
        <v>253</v>
      </c>
      <c r="AY2019" s="1" t="s">
        <v>17291</v>
      </c>
      <c r="AZ2019" s="1" t="s">
        <v>105</v>
      </c>
      <c r="BA2019" s="1" t="s">
        <v>829</v>
      </c>
      <c r="BB2019" s="1">
        <v>75.09</v>
      </c>
      <c r="BC2019" s="1">
        <v>8.51</v>
      </c>
      <c r="BD2019" s="1"/>
      <c r="BE2019" s="1"/>
      <c r="BF2019" s="1"/>
      <c r="BG2019" s="1"/>
      <c r="BH2019" s="1"/>
      <c r="BI2019" s="1"/>
      <c r="BJ2019" s="1" t="s">
        <v>21579</v>
      </c>
      <c r="BK2019" s="1"/>
      <c r="BL2019" s="1"/>
      <c r="BM2019" s="1" t="s">
        <v>21580</v>
      </c>
      <c r="BN2019" s="1">
        <v>8</v>
      </c>
      <c r="BO2019" s="1"/>
      <c r="BP2019" s="1" t="str">
        <f>HYPERLINK("https://nconnect.nicmar.ac.in/storage/profile/ProfilePhoto_P25707024_269347.jpg","Download")</f>
        <v>0</v>
      </c>
      <c r="BQ2019" s="3"/>
      <c r="BR2019" s="3"/>
    </row>
    <row r="2020" spans="1:70">
      <c r="A2020" s="1" t="s">
        <v>19644</v>
      </c>
      <c r="B2020" s="1" t="s">
        <v>441</v>
      </c>
      <c r="C2020" s="1" t="s">
        <v>21581</v>
      </c>
      <c r="D2020" s="1" t="s">
        <v>8326</v>
      </c>
      <c r="E2020" s="1"/>
      <c r="F2020" s="1" t="s">
        <v>21582</v>
      </c>
      <c r="G2020" s="1" t="s">
        <v>21583</v>
      </c>
      <c r="H2020" s="1" t="s">
        <v>21584</v>
      </c>
      <c r="I2020" s="1" t="s">
        <v>21585</v>
      </c>
      <c r="J2020" s="1">
        <v>7287024258</v>
      </c>
      <c r="K2020" s="1" t="s">
        <v>79</v>
      </c>
      <c r="L2020" s="1" t="s">
        <v>21586</v>
      </c>
      <c r="M2020" s="1" t="s">
        <v>81</v>
      </c>
      <c r="N2020" s="1" t="s">
        <v>19745</v>
      </c>
      <c r="O2020" s="1"/>
      <c r="P2020" s="1" t="s">
        <v>2035</v>
      </c>
      <c r="Q2020" s="1" t="s">
        <v>21587</v>
      </c>
      <c r="R2020" s="1" t="s">
        <v>21588</v>
      </c>
      <c r="S2020" s="1">
        <v>9848860100</v>
      </c>
      <c r="T2020" s="1" t="s">
        <v>21589</v>
      </c>
      <c r="U2020" s="1" t="s">
        <v>21590</v>
      </c>
      <c r="V2020" s="1">
        <v>7386167276</v>
      </c>
      <c r="W2020" s="1" t="s">
        <v>273</v>
      </c>
      <c r="X2020" s="1" t="s">
        <v>21591</v>
      </c>
      <c r="Y2020" s="1" t="s">
        <v>1432</v>
      </c>
      <c r="Z2020" s="1" t="s">
        <v>276</v>
      </c>
      <c r="AA2020" s="1" t="s">
        <v>21591</v>
      </c>
      <c r="AB2020" s="1" t="s">
        <v>1432</v>
      </c>
      <c r="AC2020" s="1" t="s">
        <v>276</v>
      </c>
      <c r="AD2020" s="1">
        <v>8.53</v>
      </c>
      <c r="AE2020" s="1" t="s">
        <v>93</v>
      </c>
      <c r="AF2020" s="1" t="s">
        <v>21592</v>
      </c>
      <c r="AG2020" s="1" t="s">
        <v>1396</v>
      </c>
      <c r="AH2020" s="1" t="s">
        <v>165</v>
      </c>
      <c r="AI2020" s="1" t="s">
        <v>281</v>
      </c>
      <c r="AJ2020" s="1">
        <v>92</v>
      </c>
      <c r="AK2020" s="1">
        <v>9.2</v>
      </c>
      <c r="AL2020" s="1"/>
      <c r="AM2020" s="1"/>
      <c r="AN2020" s="1"/>
      <c r="AO2020" s="1"/>
      <c r="AP2020" s="1"/>
      <c r="AQ2020" s="1"/>
      <c r="AR2020" s="1" t="s">
        <v>434</v>
      </c>
      <c r="AS2020" s="1" t="s">
        <v>21593</v>
      </c>
      <c r="AT2020" s="1" t="s">
        <v>101</v>
      </c>
      <c r="AU2020" s="1" t="s">
        <v>2273</v>
      </c>
      <c r="AV2020" s="1">
        <v>78.68</v>
      </c>
      <c r="AW2020" s="1"/>
      <c r="AX2020" s="1" t="s">
        <v>21594</v>
      </c>
      <c r="AY2020" s="1" t="s">
        <v>21595</v>
      </c>
      <c r="AZ2020" s="1" t="s">
        <v>135</v>
      </c>
      <c r="BA2020" s="1" t="s">
        <v>1292</v>
      </c>
      <c r="BB2020" s="1">
        <v>78</v>
      </c>
      <c r="BC2020" s="1">
        <v>8.55</v>
      </c>
      <c r="BD2020" s="1"/>
      <c r="BE2020" s="1"/>
      <c r="BF2020" s="1"/>
      <c r="BG2020" s="1"/>
      <c r="BH2020" s="1"/>
      <c r="BI2020" s="1"/>
      <c r="BJ2020" s="1" t="s">
        <v>21596</v>
      </c>
      <c r="BK2020" s="1"/>
      <c r="BL2020" s="1"/>
      <c r="BM2020" s="1" t="s">
        <v>21597</v>
      </c>
      <c r="BN2020" s="1">
        <v>15</v>
      </c>
      <c r="BO2020" s="1" t="s">
        <v>21598</v>
      </c>
      <c r="BP2020" s="1" t="str">
        <f>HYPERLINK("https://nconnect.nicmar.ac.in/storage/profile/ProfilePhoto_P25707025_542186.jpg","Download")</f>
        <v>0</v>
      </c>
      <c r="BQ2020" s="3"/>
      <c r="BR2020" s="3"/>
    </row>
    <row r="2021" spans="1:70">
      <c r="A2021" s="1" t="s">
        <v>19644</v>
      </c>
      <c r="B2021" s="1" t="s">
        <v>441</v>
      </c>
      <c r="C2021" s="1" t="s">
        <v>21599</v>
      </c>
      <c r="D2021" s="1" t="s">
        <v>20614</v>
      </c>
      <c r="E2021" s="1"/>
      <c r="F2021" s="1" t="s">
        <v>3331</v>
      </c>
      <c r="G2021" s="1" t="s">
        <v>21600</v>
      </c>
      <c r="H2021" s="1" t="s">
        <v>21601</v>
      </c>
      <c r="I2021" s="1" t="s">
        <v>21602</v>
      </c>
      <c r="J2021" s="1">
        <v>8989534337</v>
      </c>
      <c r="K2021" s="1" t="s">
        <v>148</v>
      </c>
      <c r="L2021" s="1" t="s">
        <v>11782</v>
      </c>
      <c r="M2021" s="1" t="s">
        <v>81</v>
      </c>
      <c r="N2021" s="1" t="s">
        <v>11324</v>
      </c>
      <c r="O2021" s="1" t="s">
        <v>21603</v>
      </c>
      <c r="P2021" s="1" t="s">
        <v>214</v>
      </c>
      <c r="Q2021" s="1" t="s">
        <v>21604</v>
      </c>
      <c r="R2021" s="1" t="s">
        <v>21605</v>
      </c>
      <c r="S2021" s="1">
        <v>9424314510</v>
      </c>
      <c r="T2021" s="1" t="s">
        <v>632</v>
      </c>
      <c r="U2021" s="1" t="s">
        <v>21606</v>
      </c>
      <c r="V2021" s="1">
        <v>9343156882</v>
      </c>
      <c r="W2021" s="1" t="s">
        <v>7156</v>
      </c>
      <c r="X2021" s="1" t="s">
        <v>21607</v>
      </c>
      <c r="Y2021" s="1" t="s">
        <v>5645</v>
      </c>
      <c r="Z2021" s="1" t="s">
        <v>3437</v>
      </c>
      <c r="AA2021" s="1" t="s">
        <v>21607</v>
      </c>
      <c r="AB2021" s="1" t="s">
        <v>5645</v>
      </c>
      <c r="AC2021" s="1" t="s">
        <v>3437</v>
      </c>
      <c r="AD2021" s="1">
        <v>9.0</v>
      </c>
      <c r="AE2021" s="1" t="s">
        <v>93</v>
      </c>
      <c r="AF2021" s="1" t="s">
        <v>21608</v>
      </c>
      <c r="AG2021" s="1" t="s">
        <v>21609</v>
      </c>
      <c r="AH2021" s="1" t="s">
        <v>537</v>
      </c>
      <c r="AI2021" s="1" t="s">
        <v>173</v>
      </c>
      <c r="AJ2021" s="1">
        <v>75.4</v>
      </c>
      <c r="AK2021" s="1"/>
      <c r="AL2021" s="1" t="s">
        <v>21608</v>
      </c>
      <c r="AM2021" s="1" t="s">
        <v>21610</v>
      </c>
      <c r="AN2021" s="1" t="s">
        <v>2273</v>
      </c>
      <c r="AO2021" s="1" t="s">
        <v>511</v>
      </c>
      <c r="AP2021" s="1">
        <v>83.8</v>
      </c>
      <c r="AQ2021" s="1"/>
      <c r="AR2021" s="1"/>
      <c r="AS2021" s="1"/>
      <c r="AT2021" s="1"/>
      <c r="AU2021" s="1"/>
      <c r="AV2021" s="1"/>
      <c r="AW2021" s="1"/>
      <c r="AX2021" s="1" t="s">
        <v>21611</v>
      </c>
      <c r="AY2021" s="1" t="s">
        <v>21612</v>
      </c>
      <c r="AZ2021" s="1" t="s">
        <v>105</v>
      </c>
      <c r="BA2021" s="1" t="s">
        <v>543</v>
      </c>
      <c r="BB2021" s="1">
        <v>71.3</v>
      </c>
      <c r="BC2021" s="1"/>
      <c r="BD2021" s="1"/>
      <c r="BE2021" s="1"/>
      <c r="BF2021" s="1"/>
      <c r="BG2021" s="1"/>
      <c r="BH2021" s="1"/>
      <c r="BI2021" s="1"/>
      <c r="BJ2021" s="1" t="s">
        <v>21613</v>
      </c>
      <c r="BK2021" s="1"/>
      <c r="BL2021" s="1"/>
      <c r="BM2021" s="1" t="s">
        <v>21614</v>
      </c>
      <c r="BN2021" s="1">
        <v>25</v>
      </c>
      <c r="BO2021" s="1" t="s">
        <v>21615</v>
      </c>
      <c r="BP2021" s="1" t="str">
        <f>HYPERLINK("https://nconnect.nicmar.ac.in/storage/profile/ProfilePhoto_P25707026_581379.jpg","Download")</f>
        <v>0</v>
      </c>
      <c r="BQ2021" s="3"/>
      <c r="BR2021" s="3"/>
    </row>
    <row r="2022" spans="1:70">
      <c r="A2022" s="1" t="s">
        <v>19644</v>
      </c>
      <c r="B2022" s="1" t="s">
        <v>441</v>
      </c>
      <c r="C2022" s="1" t="s">
        <v>21616</v>
      </c>
      <c r="D2022" s="1" t="s">
        <v>19489</v>
      </c>
      <c r="E2022" s="1"/>
      <c r="F2022" s="1" t="s">
        <v>5155</v>
      </c>
      <c r="G2022" s="1" t="s">
        <v>21617</v>
      </c>
      <c r="H2022" s="1" t="s">
        <v>21618</v>
      </c>
      <c r="I2022" s="1" t="s">
        <v>21619</v>
      </c>
      <c r="J2022" s="1">
        <v>9958096028</v>
      </c>
      <c r="K2022" s="1" t="s">
        <v>79</v>
      </c>
      <c r="L2022" s="1" t="s">
        <v>495</v>
      </c>
      <c r="M2022" s="1" t="s">
        <v>81</v>
      </c>
      <c r="N2022" s="1" t="s">
        <v>1079</v>
      </c>
      <c r="O2022" s="1" t="s">
        <v>21620</v>
      </c>
      <c r="P2022" s="1" t="s">
        <v>450</v>
      </c>
      <c r="Q2022" s="1" t="s">
        <v>21621</v>
      </c>
      <c r="R2022" s="1" t="s">
        <v>21622</v>
      </c>
      <c r="S2022" s="1">
        <v>9811041098</v>
      </c>
      <c r="T2022" s="1" t="s">
        <v>906</v>
      </c>
      <c r="U2022" s="1" t="s">
        <v>21623</v>
      </c>
      <c r="V2022" s="1">
        <v>9953267199</v>
      </c>
      <c r="W2022" s="1" t="s">
        <v>89</v>
      </c>
      <c r="X2022" s="1" t="s">
        <v>21624</v>
      </c>
      <c r="Y2022" s="1" t="s">
        <v>3786</v>
      </c>
      <c r="Z2022" s="1" t="s">
        <v>534</v>
      </c>
      <c r="AA2022" s="1" t="s">
        <v>21624</v>
      </c>
      <c r="AB2022" s="1" t="s">
        <v>3786</v>
      </c>
      <c r="AC2022" s="1" t="s">
        <v>534</v>
      </c>
      <c r="AD2022" s="1">
        <v>7.54</v>
      </c>
      <c r="AE2022" s="1" t="s">
        <v>93</v>
      </c>
      <c r="AF2022" s="1" t="s">
        <v>21625</v>
      </c>
      <c r="AG2022" s="1" t="s">
        <v>21626</v>
      </c>
      <c r="AH2022" s="1" t="s">
        <v>505</v>
      </c>
      <c r="AI2022" s="1" t="s">
        <v>1088</v>
      </c>
      <c r="AJ2022" s="1">
        <v>68.7</v>
      </c>
      <c r="AK2022" s="1"/>
      <c r="AL2022" s="1" t="s">
        <v>21627</v>
      </c>
      <c r="AM2022" s="1" t="s">
        <v>21628</v>
      </c>
      <c r="AN2022" s="1" t="s">
        <v>1089</v>
      </c>
      <c r="AO2022" s="1" t="s">
        <v>195</v>
      </c>
      <c r="AP2022" s="1">
        <v>67.8</v>
      </c>
      <c r="AQ2022" s="1"/>
      <c r="AR2022" s="1"/>
      <c r="AS2022" s="1"/>
      <c r="AT2022" s="1"/>
      <c r="AU2022" s="1"/>
      <c r="AV2022" s="1"/>
      <c r="AW2022" s="1"/>
      <c r="AX2022" s="1" t="s">
        <v>21629</v>
      </c>
      <c r="AY2022" s="1" t="s">
        <v>21630</v>
      </c>
      <c r="AZ2022" s="1" t="s">
        <v>310</v>
      </c>
      <c r="BA2022" s="1" t="s">
        <v>1378</v>
      </c>
      <c r="BB2022" s="1">
        <v>69.4</v>
      </c>
      <c r="BC2022" s="1"/>
      <c r="BD2022" s="1"/>
      <c r="BE2022" s="1"/>
      <c r="BF2022" s="1"/>
      <c r="BG2022" s="1"/>
      <c r="BH2022" s="1"/>
      <c r="BI2022" s="1"/>
      <c r="BJ2022" s="1" t="s">
        <v>21631</v>
      </c>
      <c r="BK2022" s="1"/>
      <c r="BL2022" s="1"/>
      <c r="BM2022" s="1" t="s">
        <v>21632</v>
      </c>
      <c r="BN2022" s="1">
        <v>17</v>
      </c>
      <c r="BO2022" s="1"/>
      <c r="BP2022" s="1" t="str">
        <f>HYPERLINK("https://nconnect.nicmar.ac.in/storage/profile/ProfilePhoto_P25707027_184539.jpg","Download")</f>
        <v>0</v>
      </c>
      <c r="BQ2022" s="3"/>
      <c r="BR2022" s="3"/>
    </row>
    <row r="2023" spans="1:70">
      <c r="A2023" s="1" t="s">
        <v>19644</v>
      </c>
      <c r="B2023" s="1" t="s">
        <v>441</v>
      </c>
      <c r="C2023" s="1" t="s">
        <v>21633</v>
      </c>
      <c r="D2023" s="1" t="s">
        <v>7977</v>
      </c>
      <c r="E2023" s="1" t="s">
        <v>490</v>
      </c>
      <c r="F2023" s="1" t="s">
        <v>7298</v>
      </c>
      <c r="G2023" s="1" t="s">
        <v>21634</v>
      </c>
      <c r="H2023" s="1" t="s">
        <v>21635</v>
      </c>
      <c r="I2023" s="1" t="s">
        <v>21636</v>
      </c>
      <c r="J2023" s="1">
        <v>7507324914</v>
      </c>
      <c r="K2023" s="1" t="s">
        <v>79</v>
      </c>
      <c r="L2023" s="1" t="s">
        <v>838</v>
      </c>
      <c r="M2023" s="1" t="s">
        <v>81</v>
      </c>
      <c r="N2023" s="1" t="s">
        <v>605</v>
      </c>
      <c r="O2023" s="1"/>
      <c r="P2023" s="1" t="s">
        <v>497</v>
      </c>
      <c r="Q2023" s="1" t="s">
        <v>21637</v>
      </c>
      <c r="R2023" s="1" t="s">
        <v>21638</v>
      </c>
      <c r="S2023" s="1">
        <v>8806882121</v>
      </c>
      <c r="T2023" s="1" t="s">
        <v>820</v>
      </c>
      <c r="U2023" s="1" t="s">
        <v>21639</v>
      </c>
      <c r="V2023" s="1">
        <v>9922070273</v>
      </c>
      <c r="W2023" s="1" t="s">
        <v>89</v>
      </c>
      <c r="X2023" s="1" t="s">
        <v>21640</v>
      </c>
      <c r="Y2023" s="1" t="s">
        <v>191</v>
      </c>
      <c r="Z2023" s="1" t="s">
        <v>92</v>
      </c>
      <c r="AA2023" s="1" t="s">
        <v>21640</v>
      </c>
      <c r="AB2023" s="1" t="s">
        <v>191</v>
      </c>
      <c r="AC2023" s="1" t="s">
        <v>92</v>
      </c>
      <c r="AD2023" s="1">
        <v>8.53</v>
      </c>
      <c r="AE2023" s="1" t="s">
        <v>93</v>
      </c>
      <c r="AF2023" s="1" t="s">
        <v>7305</v>
      </c>
      <c r="AG2023" s="1" t="s">
        <v>7341</v>
      </c>
      <c r="AH2023" s="1" t="s">
        <v>433</v>
      </c>
      <c r="AI2023" s="1" t="s">
        <v>412</v>
      </c>
      <c r="AJ2023" s="1">
        <v>87.2</v>
      </c>
      <c r="AK2023" s="1"/>
      <c r="AL2023" s="1" t="s">
        <v>21641</v>
      </c>
      <c r="AM2023" s="1" t="s">
        <v>7341</v>
      </c>
      <c r="AN2023" s="1" t="s">
        <v>173</v>
      </c>
      <c r="AO2023" s="1" t="s">
        <v>511</v>
      </c>
      <c r="AP2023" s="1">
        <v>70.33</v>
      </c>
      <c r="AQ2023" s="1"/>
      <c r="AR2023" s="1"/>
      <c r="AS2023" s="1"/>
      <c r="AT2023" s="1"/>
      <c r="AU2023" s="1"/>
      <c r="AV2023" s="1"/>
      <c r="AW2023" s="1"/>
      <c r="AX2023" s="1" t="s">
        <v>361</v>
      </c>
      <c r="AY2023" s="1" t="s">
        <v>21642</v>
      </c>
      <c r="AZ2023" s="1" t="s">
        <v>105</v>
      </c>
      <c r="BA2023" s="1" t="s">
        <v>829</v>
      </c>
      <c r="BB2023" s="1">
        <v>69.9</v>
      </c>
      <c r="BC2023" s="1">
        <v>7.74</v>
      </c>
      <c r="BD2023" s="1"/>
      <c r="BE2023" s="1"/>
      <c r="BF2023" s="1"/>
      <c r="BG2023" s="1"/>
      <c r="BH2023" s="1"/>
      <c r="BI2023" s="1"/>
      <c r="BJ2023" s="1" t="s">
        <v>21643</v>
      </c>
      <c r="BK2023" s="1"/>
      <c r="BL2023" s="1"/>
      <c r="BM2023" s="1" t="s">
        <v>21644</v>
      </c>
      <c r="BN2023" s="1">
        <v>8</v>
      </c>
      <c r="BO2023" s="1" t="s">
        <v>21645</v>
      </c>
      <c r="BP2023" s="1" t="str">
        <f>HYPERLINK("https://nconnect.nicmar.ac.in/storage/profile/ProfilePhoto_P25707028_695231.jpg","Download")</f>
        <v>0</v>
      </c>
      <c r="BQ2023" s="3"/>
      <c r="BR2023" s="3"/>
    </row>
    <row r="2024" spans="1:70">
      <c r="A2024" s="1" t="s">
        <v>19644</v>
      </c>
      <c r="B2024" s="1" t="s">
        <v>441</v>
      </c>
      <c r="C2024" s="1" t="s">
        <v>21646</v>
      </c>
      <c r="D2024" s="1" t="s">
        <v>21647</v>
      </c>
      <c r="E2024" s="1" t="s">
        <v>5579</v>
      </c>
      <c r="F2024" s="1" t="s">
        <v>21648</v>
      </c>
      <c r="G2024" s="1" t="s">
        <v>21649</v>
      </c>
      <c r="H2024" s="1" t="s">
        <v>21650</v>
      </c>
      <c r="I2024" s="1" t="s">
        <v>21651</v>
      </c>
      <c r="J2024" s="1">
        <v>8805032088</v>
      </c>
      <c r="K2024" s="1" t="s">
        <v>79</v>
      </c>
      <c r="L2024" s="1" t="s">
        <v>21652</v>
      </c>
      <c r="M2024" s="1" t="s">
        <v>81</v>
      </c>
      <c r="N2024" s="1" t="s">
        <v>3587</v>
      </c>
      <c r="O2024" s="1"/>
      <c r="P2024" s="1" t="s">
        <v>450</v>
      </c>
      <c r="Q2024" s="1" t="s">
        <v>21653</v>
      </c>
      <c r="R2024" s="1" t="s">
        <v>5579</v>
      </c>
      <c r="S2024" s="1">
        <v>8830516177</v>
      </c>
      <c r="T2024" s="1" t="s">
        <v>154</v>
      </c>
      <c r="U2024" s="1" t="s">
        <v>7220</v>
      </c>
      <c r="V2024" s="1">
        <v>8830516177</v>
      </c>
      <c r="W2024" s="1" t="s">
        <v>156</v>
      </c>
      <c r="X2024" s="1" t="s">
        <v>21654</v>
      </c>
      <c r="Y2024" s="1" t="s">
        <v>1754</v>
      </c>
      <c r="Z2024" s="1" t="s">
        <v>92</v>
      </c>
      <c r="AA2024" s="1" t="s">
        <v>21654</v>
      </c>
      <c r="AB2024" s="1" t="s">
        <v>1754</v>
      </c>
      <c r="AC2024" s="1" t="s">
        <v>92</v>
      </c>
      <c r="AD2024" s="1">
        <v>8.85</v>
      </c>
      <c r="AE2024" s="1" t="s">
        <v>93</v>
      </c>
      <c r="AF2024" s="1" t="s">
        <v>21655</v>
      </c>
      <c r="AG2024" s="1" t="s">
        <v>21656</v>
      </c>
      <c r="AH2024" s="1" t="s">
        <v>165</v>
      </c>
      <c r="AI2024" s="1" t="s">
        <v>281</v>
      </c>
      <c r="AJ2024" s="1">
        <v>82.2</v>
      </c>
      <c r="AK2024" s="1"/>
      <c r="AL2024" s="1" t="s">
        <v>21657</v>
      </c>
      <c r="AM2024" s="1" t="s">
        <v>21656</v>
      </c>
      <c r="AN2024" s="1" t="s">
        <v>433</v>
      </c>
      <c r="AO2024" s="1" t="s">
        <v>360</v>
      </c>
      <c r="AP2024" s="1">
        <v>67.08</v>
      </c>
      <c r="AQ2024" s="1"/>
      <c r="AR2024" s="1"/>
      <c r="AS2024" s="1"/>
      <c r="AT2024" s="1"/>
      <c r="AU2024" s="1"/>
      <c r="AV2024" s="1"/>
      <c r="AW2024" s="1"/>
      <c r="AX2024" s="1" t="s">
        <v>21658</v>
      </c>
      <c r="AY2024" s="1" t="s">
        <v>21659</v>
      </c>
      <c r="AZ2024" s="1" t="s">
        <v>1148</v>
      </c>
      <c r="BA2024" s="1" t="s">
        <v>1067</v>
      </c>
      <c r="BB2024" s="1">
        <v>78.9</v>
      </c>
      <c r="BC2024" s="1">
        <v>7.89</v>
      </c>
      <c r="BD2024" s="1"/>
      <c r="BE2024" s="1"/>
      <c r="BF2024" s="1"/>
      <c r="BG2024" s="1"/>
      <c r="BH2024" s="1"/>
      <c r="BI2024" s="1"/>
      <c r="BJ2024" s="1" t="s">
        <v>1822</v>
      </c>
      <c r="BK2024" s="1"/>
      <c r="BL2024" s="1"/>
      <c r="BM2024" s="1" t="s">
        <v>21660</v>
      </c>
      <c r="BN2024" s="1">
        <v>71</v>
      </c>
      <c r="BO2024" s="1" t="s">
        <v>21661</v>
      </c>
      <c r="BP2024" s="1" t="str">
        <f>HYPERLINK("https://nconnect.nicmar.ac.in/storage/profile/ProfilePhoto_P25707029_139628.jpg","Download")</f>
        <v>0</v>
      </c>
      <c r="BQ2024" s="3"/>
      <c r="BR2024" s="3"/>
    </row>
    <row r="2025" spans="1:70">
      <c r="A2025" s="1" t="s">
        <v>19644</v>
      </c>
      <c r="B2025" s="1" t="s">
        <v>441</v>
      </c>
      <c r="C2025" s="1" t="s">
        <v>21662</v>
      </c>
      <c r="D2025" s="1" t="s">
        <v>21663</v>
      </c>
      <c r="E2025" s="1"/>
      <c r="F2025" s="1" t="s">
        <v>765</v>
      </c>
      <c r="G2025" s="1" t="s">
        <v>21664</v>
      </c>
      <c r="H2025" s="1" t="s">
        <v>21665</v>
      </c>
      <c r="I2025" s="1" t="s">
        <v>21666</v>
      </c>
      <c r="J2025" s="1">
        <v>9004254887</v>
      </c>
      <c r="K2025" s="1" t="s">
        <v>79</v>
      </c>
      <c r="L2025" s="1" t="s">
        <v>21667</v>
      </c>
      <c r="M2025" s="1" t="s">
        <v>81</v>
      </c>
      <c r="N2025" s="1" t="s">
        <v>1079</v>
      </c>
      <c r="O2025" s="1"/>
      <c r="P2025" s="1" t="s">
        <v>450</v>
      </c>
      <c r="Q2025" s="1" t="s">
        <v>21668</v>
      </c>
      <c r="R2025" s="1" t="s">
        <v>21669</v>
      </c>
      <c r="S2025" s="1">
        <v>9867614887</v>
      </c>
      <c r="T2025" s="1" t="s">
        <v>632</v>
      </c>
      <c r="U2025" s="1" t="s">
        <v>21670</v>
      </c>
      <c r="V2025" s="1">
        <v>9004243367</v>
      </c>
      <c r="W2025" s="1" t="s">
        <v>1234</v>
      </c>
      <c r="X2025" s="1" t="s">
        <v>21671</v>
      </c>
      <c r="Y2025" s="1" t="s">
        <v>1166</v>
      </c>
      <c r="Z2025" s="1" t="s">
        <v>92</v>
      </c>
      <c r="AA2025" s="1" t="s">
        <v>21671</v>
      </c>
      <c r="AB2025" s="1" t="s">
        <v>1166</v>
      </c>
      <c r="AC2025" s="1" t="s">
        <v>92</v>
      </c>
      <c r="AD2025" s="1">
        <v>9.1</v>
      </c>
      <c r="AE2025" s="1" t="s">
        <v>93</v>
      </c>
      <c r="AF2025" s="1" t="s">
        <v>21672</v>
      </c>
      <c r="AG2025" s="1" t="s">
        <v>1737</v>
      </c>
      <c r="AH2025" s="1" t="s">
        <v>161</v>
      </c>
      <c r="AI2025" s="1" t="s">
        <v>162</v>
      </c>
      <c r="AJ2025" s="1">
        <v>87.6</v>
      </c>
      <c r="AK2025" s="1">
        <v>9.6</v>
      </c>
      <c r="AL2025" s="1" t="s">
        <v>21673</v>
      </c>
      <c r="AM2025" s="1" t="s">
        <v>1942</v>
      </c>
      <c r="AN2025" s="1" t="s">
        <v>165</v>
      </c>
      <c r="AO2025" s="1" t="s">
        <v>101</v>
      </c>
      <c r="AP2025" s="1">
        <v>68.46</v>
      </c>
      <c r="AQ2025" s="1"/>
      <c r="AR2025" s="1"/>
      <c r="AS2025" s="1"/>
      <c r="AT2025" s="1"/>
      <c r="AU2025" s="1"/>
      <c r="AV2025" s="1"/>
      <c r="AW2025" s="1"/>
      <c r="AX2025" s="1" t="s">
        <v>21674</v>
      </c>
      <c r="AY2025" s="1" t="s">
        <v>21675</v>
      </c>
      <c r="AZ2025" s="1" t="s">
        <v>1043</v>
      </c>
      <c r="BA2025" s="1" t="s">
        <v>1378</v>
      </c>
      <c r="BB2025" s="1">
        <v>78.4</v>
      </c>
      <c r="BC2025" s="1">
        <v>8.34</v>
      </c>
      <c r="BD2025" s="1"/>
      <c r="BE2025" s="1"/>
      <c r="BF2025" s="1"/>
      <c r="BG2025" s="1"/>
      <c r="BH2025" s="1"/>
      <c r="BI2025" s="1"/>
      <c r="BJ2025" s="1" t="s">
        <v>21676</v>
      </c>
      <c r="BK2025" s="1" t="s">
        <v>21677</v>
      </c>
      <c r="BL2025" s="1" t="s">
        <v>1540</v>
      </c>
      <c r="BM2025" s="1" t="s">
        <v>21678</v>
      </c>
      <c r="BN2025" s="1">
        <v>15</v>
      </c>
      <c r="BO2025" s="1" t="s">
        <v>21679</v>
      </c>
      <c r="BP2025" s="1" t="str">
        <f>HYPERLINK("https://nconnect.nicmar.ac.in/storage/profile/ProfilePhoto_P25707030_263785.jpg","Download")</f>
        <v>0</v>
      </c>
      <c r="BQ2025" s="3"/>
      <c r="BR2025" s="3"/>
    </row>
    <row r="2026" spans="1:70">
      <c r="A2026" s="1" t="s">
        <v>19644</v>
      </c>
      <c r="B2026" s="1" t="s">
        <v>441</v>
      </c>
      <c r="C2026" s="1" t="s">
        <v>21680</v>
      </c>
      <c r="D2026" s="1" t="s">
        <v>7693</v>
      </c>
      <c r="E2026" s="1" t="s">
        <v>745</v>
      </c>
      <c r="F2026" s="1" t="s">
        <v>5654</v>
      </c>
      <c r="G2026" s="1" t="s">
        <v>21681</v>
      </c>
      <c r="H2026" s="1" t="s">
        <v>21682</v>
      </c>
      <c r="I2026" s="1" t="s">
        <v>21683</v>
      </c>
      <c r="J2026" s="1">
        <v>9372852385</v>
      </c>
      <c r="K2026" s="1" t="s">
        <v>79</v>
      </c>
      <c r="L2026" s="1" t="s">
        <v>21684</v>
      </c>
      <c r="M2026" s="1" t="s">
        <v>81</v>
      </c>
      <c r="N2026" s="1" t="s">
        <v>3587</v>
      </c>
      <c r="O2026" s="1"/>
      <c r="P2026" s="1" t="s">
        <v>497</v>
      </c>
      <c r="Q2026" s="1" t="s">
        <v>21685</v>
      </c>
      <c r="R2026" s="1" t="s">
        <v>21686</v>
      </c>
      <c r="S2026" s="1">
        <v>8169978521</v>
      </c>
      <c r="T2026" s="1" t="s">
        <v>632</v>
      </c>
      <c r="U2026" s="1" t="s">
        <v>21687</v>
      </c>
      <c r="V2026" s="1">
        <v>8779067109</v>
      </c>
      <c r="W2026" s="1" t="s">
        <v>21688</v>
      </c>
      <c r="X2026" s="1" t="s">
        <v>21689</v>
      </c>
      <c r="Y2026" s="1" t="s">
        <v>991</v>
      </c>
      <c r="Z2026" s="1" t="s">
        <v>92</v>
      </c>
      <c r="AA2026" s="1" t="s">
        <v>21689</v>
      </c>
      <c r="AB2026" s="1" t="s">
        <v>991</v>
      </c>
      <c r="AC2026" s="1" t="s">
        <v>92</v>
      </c>
      <c r="AD2026" s="1">
        <v>8.85</v>
      </c>
      <c r="AE2026" s="1" t="s">
        <v>93</v>
      </c>
      <c r="AF2026" s="1" t="s">
        <v>14530</v>
      </c>
      <c r="AG2026" s="1" t="s">
        <v>3677</v>
      </c>
      <c r="AH2026" s="1" t="s">
        <v>1043</v>
      </c>
      <c r="AI2026" s="1" t="s">
        <v>201</v>
      </c>
      <c r="AJ2026" s="1">
        <v>64</v>
      </c>
      <c r="AK2026" s="1"/>
      <c r="AL2026" s="1"/>
      <c r="AM2026" s="1"/>
      <c r="AN2026" s="1"/>
      <c r="AO2026" s="1"/>
      <c r="AP2026" s="1"/>
      <c r="AQ2026" s="1"/>
      <c r="AR2026" s="1" t="s">
        <v>434</v>
      </c>
      <c r="AS2026" s="1" t="s">
        <v>21690</v>
      </c>
      <c r="AT2026" s="1" t="s">
        <v>201</v>
      </c>
      <c r="AU2026" s="1" t="s">
        <v>1378</v>
      </c>
      <c r="AV2026" s="1">
        <v>73.53</v>
      </c>
      <c r="AW2026" s="1"/>
      <c r="AX2026" s="1" t="s">
        <v>666</v>
      </c>
      <c r="AY2026" s="1" t="s">
        <v>21691</v>
      </c>
      <c r="AZ2026" s="1" t="s">
        <v>105</v>
      </c>
      <c r="BA2026" s="1" t="s">
        <v>1379</v>
      </c>
      <c r="BB2026" s="1">
        <v>59.91</v>
      </c>
      <c r="BC2026" s="1"/>
      <c r="BD2026" s="1"/>
      <c r="BE2026" s="1"/>
      <c r="BF2026" s="1"/>
      <c r="BG2026" s="1"/>
      <c r="BH2026" s="1"/>
      <c r="BI2026" s="1"/>
      <c r="BJ2026" s="1" t="s">
        <v>364</v>
      </c>
      <c r="BK2026" s="1"/>
      <c r="BL2026" s="1"/>
      <c r="BM2026" s="1" t="s">
        <v>21692</v>
      </c>
      <c r="BN2026" s="1">
        <v>13</v>
      </c>
      <c r="BO2026" s="1" t="s">
        <v>21693</v>
      </c>
      <c r="BP2026" s="1" t="str">
        <f>HYPERLINK("https://nconnect.nicmar.ac.in/storage/profile/ProfilePhoto_P25707031_731429.jpg","Download")</f>
        <v>0</v>
      </c>
      <c r="BQ2026" s="3"/>
      <c r="BR2026" s="3"/>
    </row>
    <row r="2027" spans="1:70">
      <c r="A2027" s="1" t="s">
        <v>19644</v>
      </c>
      <c r="B2027" s="1" t="s">
        <v>441</v>
      </c>
      <c r="C2027" s="1" t="s">
        <v>21694</v>
      </c>
      <c r="D2027" s="1" t="s">
        <v>21695</v>
      </c>
      <c r="E2027" s="1"/>
      <c r="F2027" s="1" t="s">
        <v>21696</v>
      </c>
      <c r="G2027" s="1" t="s">
        <v>21697</v>
      </c>
      <c r="H2027" s="1" t="s">
        <v>21698</v>
      </c>
      <c r="I2027" s="1" t="s">
        <v>21699</v>
      </c>
      <c r="J2027" s="1">
        <v>8660783941</v>
      </c>
      <c r="K2027" s="1" t="s">
        <v>148</v>
      </c>
      <c r="L2027" s="1" t="s">
        <v>21700</v>
      </c>
      <c r="M2027" s="1" t="s">
        <v>81</v>
      </c>
      <c r="N2027" s="1" t="s">
        <v>605</v>
      </c>
      <c r="O2027" s="1"/>
      <c r="P2027" s="1" t="s">
        <v>450</v>
      </c>
      <c r="Q2027" s="1" t="s">
        <v>21701</v>
      </c>
      <c r="R2027" s="1" t="s">
        <v>21702</v>
      </c>
      <c r="S2027" s="1">
        <v>9075067936</v>
      </c>
      <c r="T2027" s="1" t="s">
        <v>6159</v>
      </c>
      <c r="U2027" s="1" t="s">
        <v>21703</v>
      </c>
      <c r="V2027" s="1">
        <v>9921949882</v>
      </c>
      <c r="W2027" s="1" t="s">
        <v>21704</v>
      </c>
      <c r="X2027" s="1" t="s">
        <v>21705</v>
      </c>
      <c r="Y2027" s="1" t="s">
        <v>191</v>
      </c>
      <c r="Z2027" s="1" t="s">
        <v>92</v>
      </c>
      <c r="AA2027" s="1" t="s">
        <v>21706</v>
      </c>
      <c r="AB2027" s="1" t="s">
        <v>191</v>
      </c>
      <c r="AC2027" s="1" t="s">
        <v>92</v>
      </c>
      <c r="AD2027" s="1">
        <v>8.43</v>
      </c>
      <c r="AE2027" s="1" t="s">
        <v>93</v>
      </c>
      <c r="AF2027" s="1" t="s">
        <v>4499</v>
      </c>
      <c r="AG2027" s="1" t="s">
        <v>21707</v>
      </c>
      <c r="AH2027" s="1" t="s">
        <v>433</v>
      </c>
      <c r="AI2027" s="1" t="s">
        <v>590</v>
      </c>
      <c r="AJ2027" s="1">
        <v>91.8</v>
      </c>
      <c r="AK2027" s="1"/>
      <c r="AL2027" s="1" t="s">
        <v>21708</v>
      </c>
      <c r="AM2027" s="1" t="s">
        <v>21707</v>
      </c>
      <c r="AN2027" s="1" t="s">
        <v>436</v>
      </c>
      <c r="AO2027" s="1" t="s">
        <v>284</v>
      </c>
      <c r="AP2027" s="1">
        <v>71.4</v>
      </c>
      <c r="AQ2027" s="1"/>
      <c r="AR2027" s="1"/>
      <c r="AS2027" s="1"/>
      <c r="AT2027" s="1"/>
      <c r="AU2027" s="1"/>
      <c r="AV2027" s="1"/>
      <c r="AW2027" s="1"/>
      <c r="AX2027" s="1" t="s">
        <v>21709</v>
      </c>
      <c r="AY2027" s="1" t="s">
        <v>21710</v>
      </c>
      <c r="AZ2027" s="1" t="s">
        <v>105</v>
      </c>
      <c r="BA2027" s="1" t="s">
        <v>543</v>
      </c>
      <c r="BB2027" s="1">
        <v>75.27</v>
      </c>
      <c r="BC2027" s="1"/>
      <c r="BD2027" s="1"/>
      <c r="BE2027" s="1"/>
      <c r="BF2027" s="1"/>
      <c r="BG2027" s="1"/>
      <c r="BH2027" s="1"/>
      <c r="BI2027" s="1"/>
      <c r="BJ2027" s="1" t="s">
        <v>1822</v>
      </c>
      <c r="BK2027" s="1"/>
      <c r="BL2027" s="1"/>
      <c r="BM2027" s="1"/>
      <c r="BN2027" s="1"/>
      <c r="BO2027" s="1" t="s">
        <v>21711</v>
      </c>
      <c r="BP2027" s="1" t="str">
        <f>HYPERLINK("https://nconnect.nicmar.ac.in/storage/profile/ProfilePhoto_P25707033_857492.jpg","Download")</f>
        <v>0</v>
      </c>
      <c r="BQ2027" s="3"/>
      <c r="BR2027" s="3"/>
    </row>
    <row r="2028" spans="1:70">
      <c r="A2028" s="1" t="s">
        <v>19644</v>
      </c>
      <c r="B2028" s="1" t="s">
        <v>441</v>
      </c>
      <c r="C2028" s="1" t="s">
        <v>21712</v>
      </c>
      <c r="D2028" s="1" t="s">
        <v>21713</v>
      </c>
      <c r="E2028" s="1"/>
      <c r="F2028" s="1" t="s">
        <v>5155</v>
      </c>
      <c r="G2028" s="1" t="s">
        <v>21714</v>
      </c>
      <c r="H2028" s="1" t="s">
        <v>21715</v>
      </c>
      <c r="I2028" s="1" t="s">
        <v>21716</v>
      </c>
      <c r="J2028" s="1">
        <v>8126404019</v>
      </c>
      <c r="K2028" s="1" t="s">
        <v>79</v>
      </c>
      <c r="L2028" s="1" t="s">
        <v>21717</v>
      </c>
      <c r="M2028" s="1" t="s">
        <v>81</v>
      </c>
      <c r="N2028" s="1" t="s">
        <v>4289</v>
      </c>
      <c r="O2028" s="1"/>
      <c r="P2028" s="1" t="s">
        <v>450</v>
      </c>
      <c r="Q2028" s="1" t="s">
        <v>21718</v>
      </c>
      <c r="R2028" s="1" t="s">
        <v>21719</v>
      </c>
      <c r="S2028" s="1">
        <v>9457852818</v>
      </c>
      <c r="T2028" s="1" t="s">
        <v>632</v>
      </c>
      <c r="U2028" s="1" t="s">
        <v>21720</v>
      </c>
      <c r="V2028" s="1">
        <v>9457852819</v>
      </c>
      <c r="W2028" s="1" t="s">
        <v>89</v>
      </c>
      <c r="X2028" s="1" t="s">
        <v>21721</v>
      </c>
      <c r="Y2028" s="1" t="s">
        <v>21722</v>
      </c>
      <c r="Z2028" s="1" t="s">
        <v>534</v>
      </c>
      <c r="AA2028" s="1" t="s">
        <v>21721</v>
      </c>
      <c r="AB2028" s="1" t="s">
        <v>21722</v>
      </c>
      <c r="AC2028" s="1" t="s">
        <v>534</v>
      </c>
      <c r="AD2028" s="1">
        <v>7.35</v>
      </c>
      <c r="AE2028" s="1" t="s">
        <v>93</v>
      </c>
      <c r="AF2028" s="1" t="s">
        <v>21723</v>
      </c>
      <c r="AG2028" s="1" t="s">
        <v>21724</v>
      </c>
      <c r="AH2028" s="1" t="s">
        <v>505</v>
      </c>
      <c r="AI2028" s="1" t="s">
        <v>131</v>
      </c>
      <c r="AJ2028" s="1">
        <v>64.16</v>
      </c>
      <c r="AK2028" s="1"/>
      <c r="AL2028" s="1" t="s">
        <v>21723</v>
      </c>
      <c r="AM2028" s="1" t="s">
        <v>21725</v>
      </c>
      <c r="AN2028" s="1" t="s">
        <v>1089</v>
      </c>
      <c r="AO2028" s="1" t="s">
        <v>562</v>
      </c>
      <c r="AP2028" s="1">
        <v>57.6</v>
      </c>
      <c r="AQ2028" s="1"/>
      <c r="AR2028" s="1"/>
      <c r="AS2028" s="1"/>
      <c r="AT2028" s="1"/>
      <c r="AU2028" s="1"/>
      <c r="AV2028" s="1"/>
      <c r="AW2028" s="1"/>
      <c r="AX2028" s="1" t="s">
        <v>21726</v>
      </c>
      <c r="AY2028" s="1" t="s">
        <v>21727</v>
      </c>
      <c r="AZ2028" s="1" t="s">
        <v>201</v>
      </c>
      <c r="BA2028" s="1" t="s">
        <v>21728</v>
      </c>
      <c r="BB2028" s="1">
        <v>62.07</v>
      </c>
      <c r="BC2028" s="1"/>
      <c r="BD2028" s="1" t="s">
        <v>21726</v>
      </c>
      <c r="BE2028" s="1" t="s">
        <v>18801</v>
      </c>
      <c r="BF2028" s="1" t="s">
        <v>9945</v>
      </c>
      <c r="BG2028" s="1" t="s">
        <v>7725</v>
      </c>
      <c r="BH2028" s="1">
        <v>75.48</v>
      </c>
      <c r="BI2028" s="1"/>
      <c r="BJ2028" s="1" t="s">
        <v>1822</v>
      </c>
      <c r="BK2028" s="1"/>
      <c r="BL2028" s="1"/>
      <c r="BM2028" s="1" t="s">
        <v>21729</v>
      </c>
      <c r="BN2028" s="1">
        <v>13</v>
      </c>
      <c r="BO2028" s="1" t="s">
        <v>21730</v>
      </c>
      <c r="BP2028" s="1" t="str">
        <f>HYPERLINK("https://nconnect.nicmar.ac.in/storage/profile/ProfilePhoto_P25707034_398276.jpg","Download")</f>
        <v>0</v>
      </c>
      <c r="BQ2028" s="3"/>
      <c r="BR2028" s="3"/>
    </row>
    <row r="2029" spans="1:70">
      <c r="A2029" s="1" t="s">
        <v>19644</v>
      </c>
      <c r="B2029" s="1" t="s">
        <v>441</v>
      </c>
      <c r="C2029" s="1" t="s">
        <v>21731</v>
      </c>
      <c r="D2029" s="1" t="s">
        <v>5422</v>
      </c>
      <c r="E2029" s="1" t="s">
        <v>9403</v>
      </c>
      <c r="F2029" s="1" t="s">
        <v>13297</v>
      </c>
      <c r="G2029" s="1" t="s">
        <v>21732</v>
      </c>
      <c r="H2029" s="1" t="s">
        <v>21733</v>
      </c>
      <c r="I2029" s="1" t="s">
        <v>21734</v>
      </c>
      <c r="J2029" s="1">
        <v>9067032223</v>
      </c>
      <c r="K2029" s="1" t="s">
        <v>148</v>
      </c>
      <c r="L2029" s="1" t="s">
        <v>8203</v>
      </c>
      <c r="M2029" s="1" t="s">
        <v>81</v>
      </c>
      <c r="N2029" s="1" t="s">
        <v>21735</v>
      </c>
      <c r="O2029" s="1" t="s">
        <v>21736</v>
      </c>
      <c r="P2029" s="1" t="s">
        <v>497</v>
      </c>
      <c r="Q2029" s="1" t="s">
        <v>21737</v>
      </c>
      <c r="R2029" s="1" t="s">
        <v>9403</v>
      </c>
      <c r="S2029" s="1">
        <v>9822396657</v>
      </c>
      <c r="T2029" s="1" t="s">
        <v>21738</v>
      </c>
      <c r="U2029" s="1" t="s">
        <v>3011</v>
      </c>
      <c r="V2029" s="1">
        <v>9021363301</v>
      </c>
      <c r="W2029" s="1" t="s">
        <v>21739</v>
      </c>
      <c r="X2029" s="1" t="s">
        <v>21740</v>
      </c>
      <c r="Y2029" s="1" t="s">
        <v>191</v>
      </c>
      <c r="Z2029" s="1" t="s">
        <v>92</v>
      </c>
      <c r="AA2029" s="1" t="s">
        <v>21741</v>
      </c>
      <c r="AB2029" s="1" t="s">
        <v>191</v>
      </c>
      <c r="AC2029" s="1" t="s">
        <v>92</v>
      </c>
      <c r="AD2029" s="1">
        <v>9.26</v>
      </c>
      <c r="AE2029" s="1" t="s">
        <v>93</v>
      </c>
      <c r="AF2029" s="1" t="s">
        <v>21742</v>
      </c>
      <c r="AG2029" s="1" t="s">
        <v>160</v>
      </c>
      <c r="AH2029" s="1" t="s">
        <v>97</v>
      </c>
      <c r="AI2029" s="1" t="s">
        <v>1089</v>
      </c>
      <c r="AJ2029" s="1">
        <v>85.4</v>
      </c>
      <c r="AK2029" s="1"/>
      <c r="AL2029" s="1" t="s">
        <v>21743</v>
      </c>
      <c r="AM2029" s="1" t="s">
        <v>160</v>
      </c>
      <c r="AN2029" s="1" t="s">
        <v>508</v>
      </c>
      <c r="AO2029" s="1" t="s">
        <v>1455</v>
      </c>
      <c r="AP2029" s="1">
        <v>59.38</v>
      </c>
      <c r="AQ2029" s="1"/>
      <c r="AR2029" s="1"/>
      <c r="AS2029" s="1"/>
      <c r="AT2029" s="1"/>
      <c r="AU2029" s="1"/>
      <c r="AV2029" s="1"/>
      <c r="AW2029" s="1"/>
      <c r="AX2029" s="1" t="s">
        <v>361</v>
      </c>
      <c r="AY2029" s="1" t="s">
        <v>21744</v>
      </c>
      <c r="AZ2029" s="1" t="s">
        <v>21745</v>
      </c>
      <c r="BA2029" s="1" t="s">
        <v>566</v>
      </c>
      <c r="BB2029" s="1">
        <v>62.42</v>
      </c>
      <c r="BC2029" s="1">
        <v>7.01</v>
      </c>
      <c r="BD2029" s="1"/>
      <c r="BE2029" s="1"/>
      <c r="BF2029" s="1"/>
      <c r="BG2029" s="1"/>
      <c r="BH2029" s="1"/>
      <c r="BI2029" s="1"/>
      <c r="BJ2029" s="1" t="s">
        <v>21746</v>
      </c>
      <c r="BK2029" s="1" t="s">
        <v>21747</v>
      </c>
      <c r="BL2029" s="1" t="s">
        <v>1540</v>
      </c>
      <c r="BM2029" s="1" t="s">
        <v>21748</v>
      </c>
      <c r="BN2029" s="1">
        <v>33</v>
      </c>
      <c r="BO2029" s="1"/>
      <c r="BP2029" s="1" t="str">
        <f>HYPERLINK("https://nconnect.nicmar.ac.in/storage/profile/ProfilePhoto_P25707035_892731.jpg","Download")</f>
        <v>0</v>
      </c>
      <c r="BQ2029" s="3"/>
      <c r="BR2029" s="3"/>
    </row>
    <row r="2030" spans="1:70">
      <c r="A2030" s="1" t="s">
        <v>19644</v>
      </c>
      <c r="B2030" s="1" t="s">
        <v>441</v>
      </c>
      <c r="C2030" s="1" t="s">
        <v>21749</v>
      </c>
      <c r="D2030" s="1" t="s">
        <v>6887</v>
      </c>
      <c r="E2030" s="1" t="s">
        <v>2744</v>
      </c>
      <c r="F2030" s="1" t="s">
        <v>21750</v>
      </c>
      <c r="G2030" s="1" t="s">
        <v>21751</v>
      </c>
      <c r="H2030" s="1" t="s">
        <v>21752</v>
      </c>
      <c r="I2030" s="1" t="s">
        <v>21753</v>
      </c>
      <c r="J2030" s="1">
        <v>9967448276</v>
      </c>
      <c r="K2030" s="1" t="s">
        <v>79</v>
      </c>
      <c r="L2030" s="1" t="s">
        <v>21754</v>
      </c>
      <c r="M2030" s="1" t="s">
        <v>81</v>
      </c>
      <c r="N2030" s="1" t="s">
        <v>6193</v>
      </c>
      <c r="O2030" s="1"/>
      <c r="P2030" s="1" t="s">
        <v>450</v>
      </c>
      <c r="Q2030" s="1" t="s">
        <v>21755</v>
      </c>
      <c r="R2030" s="1" t="s">
        <v>21756</v>
      </c>
      <c r="S2030" s="1">
        <v>9867317957</v>
      </c>
      <c r="T2030" s="1" t="s">
        <v>6725</v>
      </c>
      <c r="U2030" s="1" t="s">
        <v>21757</v>
      </c>
      <c r="V2030" s="1">
        <v>9867043732</v>
      </c>
      <c r="W2030" s="1" t="s">
        <v>531</v>
      </c>
      <c r="X2030" s="1" t="s">
        <v>21758</v>
      </c>
      <c r="Y2030" s="1" t="s">
        <v>1166</v>
      </c>
      <c r="Z2030" s="1" t="s">
        <v>92</v>
      </c>
      <c r="AA2030" s="1" t="s">
        <v>21758</v>
      </c>
      <c r="AB2030" s="1" t="s">
        <v>1166</v>
      </c>
      <c r="AC2030" s="1" t="s">
        <v>92</v>
      </c>
      <c r="AD2030" s="1">
        <v>8.63</v>
      </c>
      <c r="AE2030" s="1" t="s">
        <v>93</v>
      </c>
      <c r="AF2030" s="1" t="s">
        <v>21759</v>
      </c>
      <c r="AG2030" s="1" t="s">
        <v>21760</v>
      </c>
      <c r="AH2030" s="1" t="s">
        <v>101</v>
      </c>
      <c r="AI2030" s="1" t="s">
        <v>409</v>
      </c>
      <c r="AJ2030" s="1">
        <v>81.8</v>
      </c>
      <c r="AK2030" s="1"/>
      <c r="AL2030" s="1" t="s">
        <v>21761</v>
      </c>
      <c r="AM2030" s="1" t="s">
        <v>160</v>
      </c>
      <c r="AN2030" s="1" t="s">
        <v>173</v>
      </c>
      <c r="AO2030" s="1" t="s">
        <v>1169</v>
      </c>
      <c r="AP2030" s="1">
        <v>75.17</v>
      </c>
      <c r="AQ2030" s="1"/>
      <c r="AR2030" s="1"/>
      <c r="AS2030" s="1"/>
      <c r="AT2030" s="1"/>
      <c r="AU2030" s="1"/>
      <c r="AV2030" s="1"/>
      <c r="AW2030" s="1"/>
      <c r="AX2030" s="1" t="s">
        <v>253</v>
      </c>
      <c r="AY2030" s="1" t="s">
        <v>21762</v>
      </c>
      <c r="AZ2030" s="1" t="s">
        <v>852</v>
      </c>
      <c r="BA2030" s="1" t="s">
        <v>543</v>
      </c>
      <c r="BB2030" s="1">
        <v>68.39</v>
      </c>
      <c r="BC2030" s="1">
        <v>7.62</v>
      </c>
      <c r="BD2030" s="1"/>
      <c r="BE2030" s="1"/>
      <c r="BF2030" s="1"/>
      <c r="BG2030" s="1"/>
      <c r="BH2030" s="1"/>
      <c r="BI2030" s="1"/>
      <c r="BJ2030" s="1" t="s">
        <v>21763</v>
      </c>
      <c r="BK2030" s="1"/>
      <c r="BL2030" s="1"/>
      <c r="BM2030" s="1" t="s">
        <v>21764</v>
      </c>
      <c r="BN2030" s="1">
        <v>8</v>
      </c>
      <c r="BO2030" s="1" t="s">
        <v>21765</v>
      </c>
      <c r="BP2030" s="1" t="str">
        <f>HYPERLINK("https://nconnect.nicmar.ac.in/storage/profile/ProfilePhoto_P25707036_319574.jpg","Download")</f>
        <v>0</v>
      </c>
      <c r="BQ2030" s="3"/>
      <c r="BR2030" s="3"/>
    </row>
    <row r="2031" spans="1:70">
      <c r="A2031" s="1" t="s">
        <v>19644</v>
      </c>
      <c r="B2031" s="1" t="s">
        <v>441</v>
      </c>
      <c r="C2031" s="1" t="s">
        <v>21766</v>
      </c>
      <c r="D2031" s="1" t="s">
        <v>11050</v>
      </c>
      <c r="E2031" s="1" t="s">
        <v>12566</v>
      </c>
      <c r="F2031" s="1" t="s">
        <v>7168</v>
      </c>
      <c r="G2031" s="1" t="s">
        <v>21767</v>
      </c>
      <c r="H2031" s="1" t="s">
        <v>21768</v>
      </c>
      <c r="I2031" s="1" t="s">
        <v>21769</v>
      </c>
      <c r="J2031" s="1">
        <v>7768093156</v>
      </c>
      <c r="K2031" s="1" t="s">
        <v>79</v>
      </c>
      <c r="L2031" s="1" t="s">
        <v>12779</v>
      </c>
      <c r="M2031" s="1" t="s">
        <v>81</v>
      </c>
      <c r="N2031" s="1" t="s">
        <v>21770</v>
      </c>
      <c r="O2031" s="1"/>
      <c r="P2031" s="1" t="s">
        <v>472</v>
      </c>
      <c r="Q2031" s="1" t="s">
        <v>21771</v>
      </c>
      <c r="R2031" s="1" t="s">
        <v>21772</v>
      </c>
      <c r="S2031" s="1">
        <v>7972194378</v>
      </c>
      <c r="T2031" s="1" t="s">
        <v>11432</v>
      </c>
      <c r="U2031" s="1" t="s">
        <v>21773</v>
      </c>
      <c r="V2031" s="1">
        <v>8007342244</v>
      </c>
      <c r="W2031" s="1" t="s">
        <v>11432</v>
      </c>
      <c r="X2031" s="1" t="s">
        <v>21774</v>
      </c>
      <c r="Y2031" s="1" t="s">
        <v>1963</v>
      </c>
      <c r="Z2031" s="1" t="s">
        <v>92</v>
      </c>
      <c r="AA2031" s="1" t="s">
        <v>21774</v>
      </c>
      <c r="AB2031" s="1" t="s">
        <v>1963</v>
      </c>
      <c r="AC2031" s="1" t="s">
        <v>92</v>
      </c>
      <c r="AD2031" s="1">
        <v>9.44</v>
      </c>
      <c r="AE2031" s="1" t="s">
        <v>93</v>
      </c>
      <c r="AF2031" s="1" t="s">
        <v>20144</v>
      </c>
      <c r="AG2031" s="1" t="s">
        <v>21775</v>
      </c>
      <c r="AH2031" s="1" t="s">
        <v>383</v>
      </c>
      <c r="AI2031" s="1" t="s">
        <v>481</v>
      </c>
      <c r="AJ2031" s="1">
        <v>68.83</v>
      </c>
      <c r="AK2031" s="1"/>
      <c r="AL2031" s="1" t="s">
        <v>21776</v>
      </c>
      <c r="AM2031" s="1" t="s">
        <v>160</v>
      </c>
      <c r="AN2031" s="1" t="s">
        <v>310</v>
      </c>
      <c r="AO2031" s="1" t="s">
        <v>590</v>
      </c>
      <c r="AP2031" s="1">
        <v>65.08</v>
      </c>
      <c r="AQ2031" s="1"/>
      <c r="AR2031" s="1"/>
      <c r="AS2031" s="1"/>
      <c r="AT2031" s="1"/>
      <c r="AU2031" s="1"/>
      <c r="AV2031" s="1"/>
      <c r="AW2031" s="1"/>
      <c r="AX2031" s="1" t="s">
        <v>1862</v>
      </c>
      <c r="AY2031" s="1" t="s">
        <v>21777</v>
      </c>
      <c r="AZ2031" s="1" t="s">
        <v>539</v>
      </c>
      <c r="BA2031" s="1" t="s">
        <v>413</v>
      </c>
      <c r="BB2031" s="1">
        <v>82.4</v>
      </c>
      <c r="BC2031" s="1">
        <v>8.74</v>
      </c>
      <c r="BD2031" s="1"/>
      <c r="BE2031" s="1"/>
      <c r="BF2031" s="1"/>
      <c r="BG2031" s="1"/>
      <c r="BH2031" s="1"/>
      <c r="BI2031" s="1"/>
      <c r="BJ2031" s="1" t="s">
        <v>21778</v>
      </c>
      <c r="BK2031" s="1"/>
      <c r="BL2031" s="1"/>
      <c r="BM2031" s="1" t="s">
        <v>21779</v>
      </c>
      <c r="BN2031" s="1">
        <v>22</v>
      </c>
      <c r="BO2031" s="1" t="s">
        <v>21780</v>
      </c>
      <c r="BP2031" s="1" t="str">
        <f>HYPERLINK("https://nconnect.nicmar.ac.in/storage/profile/ProfilePhoto_P25707037_629387.jpg","Download")</f>
        <v>0</v>
      </c>
      <c r="BQ2031" s="3"/>
      <c r="BR2031" s="3"/>
    </row>
    <row r="2032" spans="1:70">
      <c r="A2032" s="1" t="s">
        <v>19644</v>
      </c>
      <c r="B2032" s="1" t="s">
        <v>441</v>
      </c>
      <c r="C2032" s="1" t="s">
        <v>21781</v>
      </c>
      <c r="D2032" s="1" t="s">
        <v>21782</v>
      </c>
      <c r="E2032" s="1"/>
      <c r="F2032" s="1" t="s">
        <v>21783</v>
      </c>
      <c r="G2032" s="1" t="s">
        <v>21784</v>
      </c>
      <c r="H2032" s="1" t="s">
        <v>21785</v>
      </c>
      <c r="I2032" s="1" t="s">
        <v>21786</v>
      </c>
      <c r="J2032" s="1">
        <v>6289954906</v>
      </c>
      <c r="K2032" s="1" t="s">
        <v>148</v>
      </c>
      <c r="L2032" s="1" t="s">
        <v>15040</v>
      </c>
      <c r="M2032" s="1" t="s">
        <v>81</v>
      </c>
      <c r="N2032" s="1" t="s">
        <v>14645</v>
      </c>
      <c r="O2032" s="1"/>
      <c r="P2032" s="1" t="s">
        <v>497</v>
      </c>
      <c r="Q2032" s="1" t="s">
        <v>21787</v>
      </c>
      <c r="R2032" s="1" t="s">
        <v>21788</v>
      </c>
      <c r="S2032" s="1">
        <v>9682557989</v>
      </c>
      <c r="T2032" s="1" t="s">
        <v>21789</v>
      </c>
      <c r="U2032" s="1" t="s">
        <v>21790</v>
      </c>
      <c r="V2032" s="1">
        <v>9123944987</v>
      </c>
      <c r="W2032" s="1" t="s">
        <v>273</v>
      </c>
      <c r="X2032" s="1" t="s">
        <v>21791</v>
      </c>
      <c r="Y2032" s="1" t="s">
        <v>3300</v>
      </c>
      <c r="Z2032" s="1" t="s">
        <v>1211</v>
      </c>
      <c r="AA2032" s="1" t="s">
        <v>21791</v>
      </c>
      <c r="AB2032" s="1" t="s">
        <v>3300</v>
      </c>
      <c r="AC2032" s="1" t="s">
        <v>1211</v>
      </c>
      <c r="AD2032" s="1">
        <v>8.45</v>
      </c>
      <c r="AE2032" s="1" t="s">
        <v>93</v>
      </c>
      <c r="AF2032" s="1" t="s">
        <v>21792</v>
      </c>
      <c r="AG2032" s="1" t="s">
        <v>21793</v>
      </c>
      <c r="AH2032" s="1" t="s">
        <v>162</v>
      </c>
      <c r="AI2032" s="1" t="s">
        <v>165</v>
      </c>
      <c r="AJ2032" s="1">
        <v>77.9</v>
      </c>
      <c r="AK2032" s="1">
        <v>8.2</v>
      </c>
      <c r="AL2032" s="1" t="s">
        <v>21794</v>
      </c>
      <c r="AM2032" s="1" t="s">
        <v>21795</v>
      </c>
      <c r="AN2032" s="1" t="s">
        <v>166</v>
      </c>
      <c r="AO2032" s="1" t="s">
        <v>433</v>
      </c>
      <c r="AP2032" s="1">
        <v>65.2</v>
      </c>
      <c r="AQ2032" s="1"/>
      <c r="AR2032" s="1"/>
      <c r="AS2032" s="1"/>
      <c r="AT2032" s="1"/>
      <c r="AU2032" s="1"/>
      <c r="AV2032" s="1"/>
      <c r="AW2032" s="1"/>
      <c r="AX2032" s="1" t="s">
        <v>16941</v>
      </c>
      <c r="AY2032" s="1" t="s">
        <v>21796</v>
      </c>
      <c r="AZ2032" s="1" t="s">
        <v>826</v>
      </c>
      <c r="BA2032" s="1" t="s">
        <v>1067</v>
      </c>
      <c r="BB2032" s="1">
        <v>69.4</v>
      </c>
      <c r="BC2032" s="1"/>
      <c r="BD2032" s="1"/>
      <c r="BE2032" s="1"/>
      <c r="BF2032" s="1"/>
      <c r="BG2032" s="1"/>
      <c r="BH2032" s="1"/>
      <c r="BI2032" s="1"/>
      <c r="BJ2032" s="1" t="s">
        <v>21797</v>
      </c>
      <c r="BK2032" s="1"/>
      <c r="BL2032" s="1"/>
      <c r="BM2032" s="1" t="s">
        <v>21798</v>
      </c>
      <c r="BN2032" s="1">
        <v>8</v>
      </c>
      <c r="BO2032" s="1"/>
      <c r="BP2032" s="1" t="str">
        <f>HYPERLINK("https://nconnect.nicmar.ac.in/storage/profile/ProfilePhoto_P25707038_634579.jpg","Download")</f>
        <v>0</v>
      </c>
      <c r="BQ2032" s="3"/>
      <c r="BR2032" s="3"/>
    </row>
    <row r="2033" spans="1:70">
      <c r="A2033" s="1" t="s">
        <v>19644</v>
      </c>
      <c r="B2033" s="1" t="s">
        <v>441</v>
      </c>
      <c r="C2033" s="1" t="s">
        <v>21799</v>
      </c>
      <c r="D2033" s="1" t="s">
        <v>21800</v>
      </c>
      <c r="E2033" s="1"/>
      <c r="F2033" s="1" t="s">
        <v>21801</v>
      </c>
      <c r="G2033" s="1" t="s">
        <v>21802</v>
      </c>
      <c r="H2033" s="1" t="s">
        <v>21803</v>
      </c>
      <c r="I2033" s="1" t="s">
        <v>21804</v>
      </c>
      <c r="J2033" s="1">
        <v>9115775205</v>
      </c>
      <c r="K2033" s="1" t="s">
        <v>148</v>
      </c>
      <c r="L2033" s="1" t="s">
        <v>21805</v>
      </c>
      <c r="M2033" s="1" t="s">
        <v>81</v>
      </c>
      <c r="N2033" s="1" t="s">
        <v>21806</v>
      </c>
      <c r="O2033" s="1" t="s">
        <v>152</v>
      </c>
      <c r="P2033" s="1" t="s">
        <v>84</v>
      </c>
      <c r="Q2033" s="1" t="s">
        <v>21807</v>
      </c>
      <c r="R2033" s="1" t="s">
        <v>21808</v>
      </c>
      <c r="S2033" s="1">
        <v>9811018149</v>
      </c>
      <c r="T2033" s="1" t="s">
        <v>21809</v>
      </c>
      <c r="U2033" s="1" t="s">
        <v>21810</v>
      </c>
      <c r="V2033" s="1">
        <v>9115711925</v>
      </c>
      <c r="W2033" s="1" t="s">
        <v>122</v>
      </c>
      <c r="X2033" s="1" t="s">
        <v>21811</v>
      </c>
      <c r="Y2033" s="1" t="s">
        <v>6484</v>
      </c>
      <c r="Z2033" s="1" t="s">
        <v>1714</v>
      </c>
      <c r="AA2033" s="1" t="s">
        <v>21811</v>
      </c>
      <c r="AB2033" s="1" t="s">
        <v>6484</v>
      </c>
      <c r="AC2033" s="1" t="s">
        <v>1714</v>
      </c>
      <c r="AD2033" s="1">
        <v>8.84</v>
      </c>
      <c r="AE2033" s="1" t="s">
        <v>93</v>
      </c>
      <c r="AF2033" s="1" t="s">
        <v>21812</v>
      </c>
      <c r="AG2033" s="1" t="s">
        <v>21813</v>
      </c>
      <c r="AH2033" s="1" t="s">
        <v>481</v>
      </c>
      <c r="AI2033" s="1" t="s">
        <v>308</v>
      </c>
      <c r="AJ2033" s="1">
        <v>75</v>
      </c>
      <c r="AK2033" s="1"/>
      <c r="AL2033" s="1" t="s">
        <v>21812</v>
      </c>
      <c r="AM2033" s="1" t="s">
        <v>21813</v>
      </c>
      <c r="AN2033" s="1" t="s">
        <v>956</v>
      </c>
      <c r="AO2033" s="1" t="s">
        <v>539</v>
      </c>
      <c r="AP2033" s="1">
        <v>89.2</v>
      </c>
      <c r="AQ2033" s="1"/>
      <c r="AR2033" s="1"/>
      <c r="AS2033" s="1"/>
      <c r="AT2033" s="1"/>
      <c r="AU2033" s="1"/>
      <c r="AV2033" s="1"/>
      <c r="AW2033" s="1"/>
      <c r="AX2033" s="1" t="s">
        <v>21814</v>
      </c>
      <c r="AY2033" s="1" t="s">
        <v>21815</v>
      </c>
      <c r="AZ2033" s="1" t="s">
        <v>593</v>
      </c>
      <c r="BA2033" s="1" t="s">
        <v>413</v>
      </c>
      <c r="BB2033" s="1">
        <v>80</v>
      </c>
      <c r="BC2033" s="1">
        <v>8</v>
      </c>
      <c r="BD2033" s="1"/>
      <c r="BE2033" s="1"/>
      <c r="BF2033" s="1"/>
      <c r="BG2033" s="1"/>
      <c r="BH2033" s="1"/>
      <c r="BI2033" s="1"/>
      <c r="BJ2033" s="1" t="s">
        <v>21816</v>
      </c>
      <c r="BK2033" s="1"/>
      <c r="BL2033" s="1"/>
      <c r="BM2033" s="1" t="s">
        <v>21817</v>
      </c>
      <c r="BN2033" s="1">
        <v>30</v>
      </c>
      <c r="BO2033" s="1" t="s">
        <v>21818</v>
      </c>
      <c r="BP2033" s="1" t="str">
        <f>HYPERLINK("https://nconnect.nicmar.ac.in/storage/profile/ProfilePhoto_P25707039_752349.jpg","Download")</f>
        <v>0</v>
      </c>
      <c r="BQ2033" s="3"/>
      <c r="BR2033" s="3"/>
    </row>
    <row r="2034" spans="1:70">
      <c r="A2034" s="1" t="s">
        <v>21304</v>
      </c>
      <c r="B2034" s="1" t="s">
        <v>441</v>
      </c>
      <c r="C2034" s="1" t="s">
        <v>21819</v>
      </c>
      <c r="D2034" s="1" t="s">
        <v>21820</v>
      </c>
      <c r="E2034" s="1"/>
      <c r="F2034" s="1" t="s">
        <v>21821</v>
      </c>
      <c r="G2034" s="1" t="s">
        <v>21822</v>
      </c>
      <c r="H2034" s="1" t="s">
        <v>21823</v>
      </c>
      <c r="I2034" s="1" t="s">
        <v>21824</v>
      </c>
      <c r="J2034" s="1">
        <v>9444018662</v>
      </c>
      <c r="K2034" s="1" t="s">
        <v>148</v>
      </c>
      <c r="L2034" s="1" t="s">
        <v>21825</v>
      </c>
      <c r="M2034" s="1" t="s">
        <v>81</v>
      </c>
      <c r="N2034" s="1" t="s">
        <v>21826</v>
      </c>
      <c r="O2034" s="1"/>
      <c r="P2034" s="1" t="s">
        <v>450</v>
      </c>
      <c r="Q2034" s="1" t="s">
        <v>21827</v>
      </c>
      <c r="R2034" s="1" t="s">
        <v>21828</v>
      </c>
      <c r="S2034" s="1">
        <v>9444018661</v>
      </c>
      <c r="T2034" s="1" t="s">
        <v>15556</v>
      </c>
      <c r="U2034" s="1" t="s">
        <v>21829</v>
      </c>
      <c r="V2034" s="1">
        <v>9444018663</v>
      </c>
      <c r="W2034" s="1" t="s">
        <v>2972</v>
      </c>
      <c r="X2034" s="1" t="s">
        <v>21830</v>
      </c>
      <c r="Y2034" s="1" t="s">
        <v>1475</v>
      </c>
      <c r="Z2034" s="1" t="s">
        <v>559</v>
      </c>
      <c r="AA2034" s="1" t="s">
        <v>21830</v>
      </c>
      <c r="AB2034" s="1" t="s">
        <v>1475</v>
      </c>
      <c r="AC2034" s="1" t="s">
        <v>559</v>
      </c>
      <c r="AD2034" s="1">
        <v>9.45</v>
      </c>
      <c r="AE2034" s="1" t="s">
        <v>93</v>
      </c>
      <c r="AF2034" s="1" t="s">
        <v>21831</v>
      </c>
      <c r="AG2034" s="1" t="s">
        <v>21832</v>
      </c>
      <c r="AH2034" s="1" t="s">
        <v>101</v>
      </c>
      <c r="AI2034" s="1" t="s">
        <v>308</v>
      </c>
      <c r="AJ2034" s="1">
        <v>90.6</v>
      </c>
      <c r="AK2034" s="1"/>
      <c r="AL2034" s="1" t="s">
        <v>21833</v>
      </c>
      <c r="AM2034" s="1" t="s">
        <v>21832</v>
      </c>
      <c r="AN2034" s="1" t="s">
        <v>956</v>
      </c>
      <c r="AO2034" s="1" t="s">
        <v>539</v>
      </c>
      <c r="AP2034" s="1">
        <v>96.4</v>
      </c>
      <c r="AQ2034" s="1"/>
      <c r="AR2034" s="1"/>
      <c r="AS2034" s="1"/>
      <c r="AT2034" s="1"/>
      <c r="AU2034" s="1"/>
      <c r="AV2034" s="1"/>
      <c r="AW2034" s="1"/>
      <c r="AX2034" s="1" t="s">
        <v>21834</v>
      </c>
      <c r="AY2034" s="1" t="s">
        <v>21835</v>
      </c>
      <c r="AZ2034" s="1" t="s">
        <v>135</v>
      </c>
      <c r="BA2034" s="1" t="s">
        <v>829</v>
      </c>
      <c r="BB2034" s="1">
        <v>78.5</v>
      </c>
      <c r="BC2034" s="1">
        <v>7.85</v>
      </c>
      <c r="BD2034" s="1"/>
      <c r="BE2034" s="1"/>
      <c r="BF2034" s="1"/>
      <c r="BG2034" s="1"/>
      <c r="BH2034" s="1"/>
      <c r="BI2034" s="1"/>
      <c r="BJ2034" s="1" t="s">
        <v>6131</v>
      </c>
      <c r="BK2034" s="1"/>
      <c r="BL2034" s="1"/>
      <c r="BM2034" s="1" t="s">
        <v>21836</v>
      </c>
      <c r="BN2034" s="1">
        <v>16</v>
      </c>
      <c r="BO2034" s="1" t="s">
        <v>21837</v>
      </c>
      <c r="BP2034" s="1" t="str">
        <f>HYPERLINK("https://nconnect.nicmar.ac.in/storage/profile/ProfilePhoto_P25701001_763985.jpg","Download")</f>
        <v>0</v>
      </c>
      <c r="BQ2034" s="3"/>
      <c r="BR2034" s="3"/>
    </row>
    <row r="2035" spans="1:70">
      <c r="A2035" s="1" t="s">
        <v>21304</v>
      </c>
      <c r="B2035" s="1" t="s">
        <v>441</v>
      </c>
      <c r="C2035" s="1" t="s">
        <v>21838</v>
      </c>
      <c r="D2035" s="1" t="s">
        <v>9129</v>
      </c>
      <c r="E2035" s="1" t="s">
        <v>5755</v>
      </c>
      <c r="F2035" s="1" t="s">
        <v>21839</v>
      </c>
      <c r="G2035" s="1" t="s">
        <v>21840</v>
      </c>
      <c r="H2035" s="1" t="s">
        <v>21841</v>
      </c>
      <c r="I2035" s="1" t="s">
        <v>21842</v>
      </c>
      <c r="J2035" s="1">
        <v>8291698788</v>
      </c>
      <c r="K2035" s="1" t="s">
        <v>79</v>
      </c>
      <c r="L2035" s="1" t="s">
        <v>21843</v>
      </c>
      <c r="M2035" s="1" t="s">
        <v>81</v>
      </c>
      <c r="N2035" s="1" t="s">
        <v>605</v>
      </c>
      <c r="O2035" s="1"/>
      <c r="P2035" s="1" t="s">
        <v>472</v>
      </c>
      <c r="Q2035" s="1" t="s">
        <v>21844</v>
      </c>
      <c r="R2035" s="1" t="s">
        <v>5755</v>
      </c>
      <c r="S2035" s="1">
        <v>9820543834</v>
      </c>
      <c r="T2035" s="1" t="s">
        <v>21845</v>
      </c>
      <c r="U2035" s="1" t="s">
        <v>21846</v>
      </c>
      <c r="V2035" s="1">
        <v>9920943328</v>
      </c>
      <c r="W2035" s="1" t="s">
        <v>156</v>
      </c>
      <c r="X2035" s="1" t="s">
        <v>21847</v>
      </c>
      <c r="Y2035" s="1" t="s">
        <v>991</v>
      </c>
      <c r="Z2035" s="1" t="s">
        <v>92</v>
      </c>
      <c r="AA2035" s="1" t="s">
        <v>21847</v>
      </c>
      <c r="AB2035" s="1" t="s">
        <v>991</v>
      </c>
      <c r="AC2035" s="1" t="s">
        <v>92</v>
      </c>
      <c r="AD2035" s="1">
        <v>8.96</v>
      </c>
      <c r="AE2035" s="1" t="s">
        <v>93</v>
      </c>
      <c r="AF2035" s="1" t="s">
        <v>21848</v>
      </c>
      <c r="AG2035" s="1" t="s">
        <v>21849</v>
      </c>
      <c r="AH2035" s="1" t="s">
        <v>97</v>
      </c>
      <c r="AI2035" s="1" t="s">
        <v>1089</v>
      </c>
      <c r="AJ2035" s="1">
        <v>94.4</v>
      </c>
      <c r="AK2035" s="1"/>
      <c r="AL2035" s="1" t="s">
        <v>21850</v>
      </c>
      <c r="AM2035" s="1" t="s">
        <v>160</v>
      </c>
      <c r="AN2035" s="1" t="s">
        <v>508</v>
      </c>
      <c r="AO2035" s="1" t="s">
        <v>1455</v>
      </c>
      <c r="AP2035" s="1">
        <v>62.46</v>
      </c>
      <c r="AQ2035" s="1"/>
      <c r="AR2035" s="1"/>
      <c r="AS2035" s="1"/>
      <c r="AT2035" s="1"/>
      <c r="AU2035" s="1"/>
      <c r="AV2035" s="1"/>
      <c r="AW2035" s="1"/>
      <c r="AX2035" s="1" t="s">
        <v>253</v>
      </c>
      <c r="AY2035" s="1" t="s">
        <v>21851</v>
      </c>
      <c r="AZ2035" s="1" t="s">
        <v>1043</v>
      </c>
      <c r="BA2035" s="1" t="s">
        <v>105</v>
      </c>
      <c r="BB2035" s="1">
        <v>65.79</v>
      </c>
      <c r="BC2035" s="1"/>
      <c r="BD2035" s="1"/>
      <c r="BE2035" s="1"/>
      <c r="BF2035" s="1"/>
      <c r="BG2035" s="1"/>
      <c r="BH2035" s="1"/>
      <c r="BI2035" s="1"/>
      <c r="BJ2035" s="1" t="s">
        <v>21852</v>
      </c>
      <c r="BK2035" s="1" t="s">
        <v>21853</v>
      </c>
      <c r="BL2035" s="1" t="s">
        <v>1459</v>
      </c>
      <c r="BM2035" s="1" t="s">
        <v>21854</v>
      </c>
      <c r="BN2035" s="1">
        <v>47</v>
      </c>
      <c r="BO2035" s="1" t="s">
        <v>21855</v>
      </c>
      <c r="BP2035" s="1" t="str">
        <f>HYPERLINK("https://nconnect.nicmar.ac.in/storage/profile/ProfilePhoto_P25701002_568417.jpg","Download")</f>
        <v>0</v>
      </c>
      <c r="BQ2035" s="3"/>
      <c r="BR2035" s="3"/>
    </row>
    <row r="2036" spans="1:70">
      <c r="A2036" s="1" t="s">
        <v>21304</v>
      </c>
      <c r="B2036" s="1" t="s">
        <v>441</v>
      </c>
      <c r="C2036" s="1" t="s">
        <v>21856</v>
      </c>
      <c r="D2036" s="1" t="s">
        <v>8382</v>
      </c>
      <c r="E2036" s="1" t="s">
        <v>21857</v>
      </c>
      <c r="F2036" s="1" t="s">
        <v>21858</v>
      </c>
      <c r="G2036" s="1" t="s">
        <v>21859</v>
      </c>
      <c r="H2036" s="1" t="s">
        <v>21860</v>
      </c>
      <c r="I2036" s="1" t="s">
        <v>21861</v>
      </c>
      <c r="J2036" s="1">
        <v>9022348931</v>
      </c>
      <c r="K2036" s="1" t="s">
        <v>79</v>
      </c>
      <c r="L2036" s="1" t="s">
        <v>21862</v>
      </c>
      <c r="M2036" s="1" t="s">
        <v>81</v>
      </c>
      <c r="N2036" s="1" t="s">
        <v>1140</v>
      </c>
      <c r="O2036" s="1" t="s">
        <v>21863</v>
      </c>
      <c r="P2036" s="1" t="s">
        <v>450</v>
      </c>
      <c r="Q2036" s="1" t="s">
        <v>21864</v>
      </c>
      <c r="R2036" s="1" t="s">
        <v>21865</v>
      </c>
      <c r="S2036" s="1">
        <v>7977074221</v>
      </c>
      <c r="T2036" s="1" t="s">
        <v>820</v>
      </c>
      <c r="U2036" s="1" t="s">
        <v>21866</v>
      </c>
      <c r="V2036" s="1">
        <v>7666060307</v>
      </c>
      <c r="W2036" s="1" t="s">
        <v>273</v>
      </c>
      <c r="X2036" s="1" t="s">
        <v>21867</v>
      </c>
      <c r="Y2036" s="1" t="s">
        <v>191</v>
      </c>
      <c r="Z2036" s="1" t="s">
        <v>92</v>
      </c>
      <c r="AA2036" s="1" t="s">
        <v>21867</v>
      </c>
      <c r="AB2036" s="1" t="s">
        <v>191</v>
      </c>
      <c r="AC2036" s="1" t="s">
        <v>92</v>
      </c>
      <c r="AD2036" s="1">
        <v>8.97</v>
      </c>
      <c r="AE2036" s="1" t="s">
        <v>93</v>
      </c>
      <c r="AF2036" s="1" t="s">
        <v>21868</v>
      </c>
      <c r="AG2036" s="1" t="s">
        <v>21869</v>
      </c>
      <c r="AH2036" s="1" t="s">
        <v>166</v>
      </c>
      <c r="AI2036" s="1" t="s">
        <v>308</v>
      </c>
      <c r="AJ2036" s="1">
        <v>75</v>
      </c>
      <c r="AK2036" s="1">
        <v>0</v>
      </c>
      <c r="AL2036" s="1" t="s">
        <v>21870</v>
      </c>
      <c r="AM2036" s="1" t="s">
        <v>160</v>
      </c>
      <c r="AN2036" s="1" t="s">
        <v>412</v>
      </c>
      <c r="AO2036" s="1" t="s">
        <v>826</v>
      </c>
      <c r="AP2036" s="1">
        <v>83.83</v>
      </c>
      <c r="AQ2036" s="1">
        <v>0</v>
      </c>
      <c r="AR2036" s="1"/>
      <c r="AS2036" s="1"/>
      <c r="AT2036" s="1"/>
      <c r="AU2036" s="1"/>
      <c r="AV2036" s="1"/>
      <c r="AW2036" s="1"/>
      <c r="AX2036" s="1" t="s">
        <v>361</v>
      </c>
      <c r="AY2036" s="1" t="s">
        <v>21871</v>
      </c>
      <c r="AZ2036" s="1" t="s">
        <v>852</v>
      </c>
      <c r="BA2036" s="1" t="s">
        <v>1379</v>
      </c>
      <c r="BB2036" s="1">
        <v>71</v>
      </c>
      <c r="BC2036" s="1">
        <v>7.85</v>
      </c>
      <c r="BD2036" s="1"/>
      <c r="BE2036" s="1"/>
      <c r="BF2036" s="1"/>
      <c r="BG2036" s="1"/>
      <c r="BH2036" s="1"/>
      <c r="BI2036" s="1"/>
      <c r="BJ2036" s="1" t="s">
        <v>21872</v>
      </c>
      <c r="BK2036" s="1"/>
      <c r="BL2036" s="1"/>
      <c r="BM2036" s="1" t="s">
        <v>21873</v>
      </c>
      <c r="BN2036" s="1">
        <v>17</v>
      </c>
      <c r="BO2036" s="1" t="s">
        <v>21874</v>
      </c>
      <c r="BP2036" s="1" t="str">
        <f>HYPERLINK("https://nconnect.nicmar.ac.in/storage/profile/ProfilePhoto_P25701003_852167.jpg","Download")</f>
        <v>0</v>
      </c>
      <c r="BQ2036" s="3"/>
      <c r="BR2036" s="3"/>
    </row>
    <row r="2037" spans="1:70">
      <c r="A2037" s="1" t="s">
        <v>21304</v>
      </c>
      <c r="B2037" s="1" t="s">
        <v>441</v>
      </c>
      <c r="C2037" s="1" t="s">
        <v>21875</v>
      </c>
      <c r="D2037" s="1" t="s">
        <v>21876</v>
      </c>
      <c r="E2037" s="1"/>
      <c r="F2037" s="1" t="s">
        <v>21877</v>
      </c>
      <c r="G2037" s="1" t="s">
        <v>21878</v>
      </c>
      <c r="H2037" s="1" t="s">
        <v>21879</v>
      </c>
      <c r="I2037" s="1" t="s">
        <v>21880</v>
      </c>
      <c r="J2037" s="1">
        <v>9035847995</v>
      </c>
      <c r="K2037" s="1" t="s">
        <v>79</v>
      </c>
      <c r="L2037" s="1" t="s">
        <v>21881</v>
      </c>
      <c r="M2037" s="1" t="s">
        <v>81</v>
      </c>
      <c r="N2037" s="1" t="s">
        <v>11019</v>
      </c>
      <c r="O2037" s="1"/>
      <c r="P2037" s="1" t="s">
        <v>450</v>
      </c>
      <c r="Q2037" s="1" t="s">
        <v>21882</v>
      </c>
      <c r="R2037" s="1" t="s">
        <v>21883</v>
      </c>
      <c r="S2037" s="1">
        <v>9986833143</v>
      </c>
      <c r="T2037" s="1" t="s">
        <v>21884</v>
      </c>
      <c r="U2037" s="1" t="s">
        <v>21885</v>
      </c>
      <c r="V2037" s="1">
        <v>9986093146</v>
      </c>
      <c r="W2037" s="1" t="s">
        <v>89</v>
      </c>
      <c r="X2037" s="1" t="s">
        <v>21886</v>
      </c>
      <c r="Y2037" s="1" t="s">
        <v>3151</v>
      </c>
      <c r="Z2037" s="1" t="s">
        <v>1187</v>
      </c>
      <c r="AA2037" s="1" t="s">
        <v>21886</v>
      </c>
      <c r="AB2037" s="1" t="s">
        <v>3151</v>
      </c>
      <c r="AC2037" s="1" t="s">
        <v>1187</v>
      </c>
      <c r="AD2037" s="1">
        <v>7.95</v>
      </c>
      <c r="AE2037" s="1" t="s">
        <v>93</v>
      </c>
      <c r="AF2037" s="1" t="s">
        <v>21887</v>
      </c>
      <c r="AG2037" s="1" t="s">
        <v>21888</v>
      </c>
      <c r="AH2037" s="1" t="s">
        <v>195</v>
      </c>
      <c r="AI2037" s="1" t="s">
        <v>166</v>
      </c>
      <c r="AJ2037" s="1">
        <v>70.5</v>
      </c>
      <c r="AK2037" s="1"/>
      <c r="AL2037" s="1" t="s">
        <v>4800</v>
      </c>
      <c r="AM2037" s="1" t="s">
        <v>13723</v>
      </c>
      <c r="AN2037" s="1" t="s">
        <v>409</v>
      </c>
      <c r="AO2037" s="1" t="s">
        <v>173</v>
      </c>
      <c r="AP2037" s="1">
        <v>63.33</v>
      </c>
      <c r="AQ2037" s="1"/>
      <c r="AR2037" s="1"/>
      <c r="AS2037" s="1"/>
      <c r="AT2037" s="1"/>
      <c r="AU2037" s="1"/>
      <c r="AV2037" s="1"/>
      <c r="AW2037" s="1"/>
      <c r="AX2037" s="1" t="s">
        <v>1194</v>
      </c>
      <c r="AY2037" s="1" t="s">
        <v>21889</v>
      </c>
      <c r="AZ2037" s="1" t="s">
        <v>170</v>
      </c>
      <c r="BA2037" s="1" t="s">
        <v>202</v>
      </c>
      <c r="BB2037" s="1">
        <v>65.2</v>
      </c>
      <c r="BC2037" s="1">
        <v>7.27</v>
      </c>
      <c r="BD2037" s="1"/>
      <c r="BE2037" s="1"/>
      <c r="BF2037" s="1"/>
      <c r="BG2037" s="1"/>
      <c r="BH2037" s="1"/>
      <c r="BI2037" s="1"/>
      <c r="BJ2037" s="1" t="s">
        <v>21890</v>
      </c>
      <c r="BK2037" s="1"/>
      <c r="BL2037" s="1"/>
      <c r="BM2037" s="1" t="s">
        <v>21891</v>
      </c>
      <c r="BN2037" s="1">
        <v>17</v>
      </c>
      <c r="BO2037" s="1"/>
      <c r="BP2037" s="1" t="str">
        <f>HYPERLINK("https://nconnect.nicmar.ac.in/storage/profile/ProfilePhoto_P25701004_384192.jpg","Download")</f>
        <v>0</v>
      </c>
      <c r="BQ2037" s="3"/>
      <c r="BR2037" s="3"/>
    </row>
    <row r="2038" spans="1:70">
      <c r="A2038" s="1" t="s">
        <v>21304</v>
      </c>
      <c r="B2038" s="1" t="s">
        <v>441</v>
      </c>
      <c r="C2038" s="1" t="s">
        <v>21892</v>
      </c>
      <c r="D2038" s="1" t="s">
        <v>21893</v>
      </c>
      <c r="E2038" s="1"/>
      <c r="F2038" s="1" t="s">
        <v>21894</v>
      </c>
      <c r="G2038" s="1" t="s">
        <v>21895</v>
      </c>
      <c r="H2038" s="1" t="s">
        <v>21896</v>
      </c>
      <c r="I2038" s="1" t="s">
        <v>21897</v>
      </c>
      <c r="J2038" s="1">
        <v>9840917479</v>
      </c>
      <c r="K2038" s="1" t="s">
        <v>148</v>
      </c>
      <c r="L2038" s="1" t="s">
        <v>21898</v>
      </c>
      <c r="M2038" s="1" t="s">
        <v>81</v>
      </c>
      <c r="N2038" s="1" t="s">
        <v>21899</v>
      </c>
      <c r="O2038" s="1"/>
      <c r="P2038" s="1" t="s">
        <v>472</v>
      </c>
      <c r="Q2038" s="1" t="s">
        <v>21900</v>
      </c>
      <c r="R2038" s="1" t="s">
        <v>21901</v>
      </c>
      <c r="S2038" s="1">
        <v>9894334005</v>
      </c>
      <c r="T2038" s="1" t="s">
        <v>21902</v>
      </c>
      <c r="U2038" s="1" t="s">
        <v>21903</v>
      </c>
      <c r="V2038" s="1">
        <v>9944434003</v>
      </c>
      <c r="W2038" s="1" t="s">
        <v>531</v>
      </c>
      <c r="X2038" s="1" t="s">
        <v>21904</v>
      </c>
      <c r="Y2038" s="1" t="s">
        <v>21905</v>
      </c>
      <c r="Z2038" s="1" t="s">
        <v>559</v>
      </c>
      <c r="AA2038" s="1" t="s">
        <v>21904</v>
      </c>
      <c r="AB2038" s="1" t="s">
        <v>21905</v>
      </c>
      <c r="AC2038" s="1" t="s">
        <v>559</v>
      </c>
      <c r="AD2038" s="1">
        <v>9.53</v>
      </c>
      <c r="AE2038" s="1" t="s">
        <v>93</v>
      </c>
      <c r="AF2038" s="1" t="s">
        <v>21906</v>
      </c>
      <c r="AG2038" s="1" t="s">
        <v>21907</v>
      </c>
      <c r="AH2038" s="1" t="s">
        <v>162</v>
      </c>
      <c r="AI2038" s="1" t="s">
        <v>562</v>
      </c>
      <c r="AJ2038" s="1">
        <v>81</v>
      </c>
      <c r="AK2038" s="1"/>
      <c r="AL2038" s="1" t="s">
        <v>21906</v>
      </c>
      <c r="AM2038" s="1" t="s">
        <v>21908</v>
      </c>
      <c r="AN2038" s="1" t="s">
        <v>101</v>
      </c>
      <c r="AO2038" s="1" t="s">
        <v>308</v>
      </c>
      <c r="AP2038" s="1">
        <v>82.4</v>
      </c>
      <c r="AQ2038" s="1"/>
      <c r="AR2038" s="1"/>
      <c r="AS2038" s="1"/>
      <c r="AT2038" s="1"/>
      <c r="AU2038" s="1"/>
      <c r="AV2038" s="1"/>
      <c r="AW2038" s="1"/>
      <c r="AX2038" s="1" t="s">
        <v>21909</v>
      </c>
      <c r="AY2038" s="1" t="s">
        <v>21910</v>
      </c>
      <c r="AZ2038" s="1" t="s">
        <v>201</v>
      </c>
      <c r="BA2038" s="1" t="s">
        <v>202</v>
      </c>
      <c r="BB2038" s="1">
        <v>89.2</v>
      </c>
      <c r="BC2038" s="1">
        <v>8.92</v>
      </c>
      <c r="BD2038" s="1"/>
      <c r="BE2038" s="1"/>
      <c r="BF2038" s="1"/>
      <c r="BG2038" s="1"/>
      <c r="BH2038" s="1"/>
      <c r="BI2038" s="1"/>
      <c r="BJ2038" s="1" t="s">
        <v>21911</v>
      </c>
      <c r="BK2038" s="1"/>
      <c r="BL2038" s="1"/>
      <c r="BM2038" s="1" t="s">
        <v>21912</v>
      </c>
      <c r="BN2038" s="1">
        <v>25</v>
      </c>
      <c r="BO2038" s="1" t="s">
        <v>21913</v>
      </c>
      <c r="BP2038" s="1" t="str">
        <f>HYPERLINK("https://nconnect.nicmar.ac.in/storage/profile/ProfilePhoto_P25701005_496138.jpg","Download")</f>
        <v>0</v>
      </c>
      <c r="BQ2038" s="3"/>
      <c r="BR2038" s="3"/>
    </row>
    <row r="2039" spans="1:70">
      <c r="A2039" s="1" t="s">
        <v>21304</v>
      </c>
      <c r="B2039" s="1" t="s">
        <v>441</v>
      </c>
      <c r="C2039" s="1" t="s">
        <v>21914</v>
      </c>
      <c r="D2039" s="1" t="s">
        <v>744</v>
      </c>
      <c r="E2039" s="1" t="s">
        <v>3061</v>
      </c>
      <c r="F2039" s="1" t="s">
        <v>21414</v>
      </c>
      <c r="G2039" s="1" t="s">
        <v>21915</v>
      </c>
      <c r="H2039" s="1" t="s">
        <v>21916</v>
      </c>
      <c r="I2039" s="1" t="s">
        <v>21917</v>
      </c>
      <c r="J2039" s="1">
        <v>9834614044</v>
      </c>
      <c r="K2039" s="1" t="s">
        <v>79</v>
      </c>
      <c r="L2039" s="1" t="s">
        <v>21918</v>
      </c>
      <c r="M2039" s="1" t="s">
        <v>81</v>
      </c>
      <c r="N2039" s="1" t="s">
        <v>605</v>
      </c>
      <c r="O2039" s="1"/>
      <c r="P2039" s="1" t="s">
        <v>472</v>
      </c>
      <c r="Q2039" s="1" t="s">
        <v>21919</v>
      </c>
      <c r="R2039" s="1" t="s">
        <v>3061</v>
      </c>
      <c r="S2039" s="1">
        <v>8308522030</v>
      </c>
      <c r="T2039" s="1" t="s">
        <v>120</v>
      </c>
      <c r="U2039" s="1" t="s">
        <v>217</v>
      </c>
      <c r="V2039" s="1">
        <v>8308522030</v>
      </c>
      <c r="W2039" s="1" t="s">
        <v>156</v>
      </c>
      <c r="X2039" s="1" t="s">
        <v>21920</v>
      </c>
      <c r="Y2039" s="1"/>
      <c r="Z2039" s="1" t="s">
        <v>92</v>
      </c>
      <c r="AA2039" s="1" t="s">
        <v>21920</v>
      </c>
      <c r="AB2039" s="1"/>
      <c r="AC2039" s="1" t="s">
        <v>92</v>
      </c>
      <c r="AD2039" s="1">
        <v>8.11</v>
      </c>
      <c r="AE2039" s="1" t="s">
        <v>93</v>
      </c>
      <c r="AF2039" s="1" t="s">
        <v>21921</v>
      </c>
      <c r="AG2039" s="1" t="s">
        <v>21922</v>
      </c>
      <c r="AH2039" s="1" t="s">
        <v>162</v>
      </c>
      <c r="AI2039" s="1" t="s">
        <v>195</v>
      </c>
      <c r="AJ2039" s="1">
        <v>68.2</v>
      </c>
      <c r="AK2039" s="1"/>
      <c r="AL2039" s="1" t="s">
        <v>21923</v>
      </c>
      <c r="AM2039" s="1" t="s">
        <v>21924</v>
      </c>
      <c r="AN2039" s="1" t="s">
        <v>383</v>
      </c>
      <c r="AO2039" s="1" t="s">
        <v>308</v>
      </c>
      <c r="AP2039" s="1">
        <v>63.08</v>
      </c>
      <c r="AQ2039" s="1"/>
      <c r="AR2039" s="1" t="s">
        <v>434</v>
      </c>
      <c r="AS2039" s="1" t="s">
        <v>21925</v>
      </c>
      <c r="AT2039" s="1" t="s">
        <v>310</v>
      </c>
      <c r="AU2039" s="1" t="s">
        <v>542</v>
      </c>
      <c r="AV2039" s="1">
        <v>88.95</v>
      </c>
      <c r="AW2039" s="1"/>
      <c r="AX2039" s="1" t="s">
        <v>21926</v>
      </c>
      <c r="AY2039" s="1" t="s">
        <v>21926</v>
      </c>
      <c r="AZ2039" s="1" t="s">
        <v>436</v>
      </c>
      <c r="BA2039" s="1" t="s">
        <v>202</v>
      </c>
      <c r="BB2039" s="1">
        <v>86.7</v>
      </c>
      <c r="BC2039" s="1">
        <v>9.42</v>
      </c>
      <c r="BD2039" s="1"/>
      <c r="BE2039" s="1"/>
      <c r="BF2039" s="1"/>
      <c r="BG2039" s="1"/>
      <c r="BH2039" s="1"/>
      <c r="BI2039" s="1"/>
      <c r="BJ2039" s="1" t="s">
        <v>21927</v>
      </c>
      <c r="BK2039" s="1" t="s">
        <v>21928</v>
      </c>
      <c r="BL2039" s="1" t="s">
        <v>2066</v>
      </c>
      <c r="BM2039" s="1" t="s">
        <v>21929</v>
      </c>
      <c r="BN2039" s="1">
        <v>23</v>
      </c>
      <c r="BO2039" s="1" t="s">
        <v>21930</v>
      </c>
      <c r="BP2039" s="1" t="str">
        <f>HYPERLINK("https://nconnect.nicmar.ac.in/storage/profile/ProfilePhoto_P25701007_349827.jpg","Download")</f>
        <v>0</v>
      </c>
      <c r="BQ2039" s="3"/>
      <c r="BR2039" s="3"/>
    </row>
    <row r="2040" spans="1:70">
      <c r="A2040" s="1" t="s">
        <v>21304</v>
      </c>
      <c r="B2040" s="1" t="s">
        <v>441</v>
      </c>
      <c r="C2040" s="1" t="s">
        <v>21931</v>
      </c>
      <c r="D2040" s="1" t="s">
        <v>21932</v>
      </c>
      <c r="E2040" s="1" t="s">
        <v>11633</v>
      </c>
      <c r="F2040" s="1" t="s">
        <v>18545</v>
      </c>
      <c r="G2040" s="1" t="s">
        <v>21933</v>
      </c>
      <c r="H2040" s="1" t="s">
        <v>21934</v>
      </c>
      <c r="I2040" s="1" t="s">
        <v>21935</v>
      </c>
      <c r="J2040" s="1">
        <v>9920066672</v>
      </c>
      <c r="K2040" s="1" t="s">
        <v>79</v>
      </c>
      <c r="L2040" s="1" t="s">
        <v>9408</v>
      </c>
      <c r="M2040" s="1" t="s">
        <v>81</v>
      </c>
      <c r="N2040" s="1" t="s">
        <v>1140</v>
      </c>
      <c r="O2040" s="1"/>
      <c r="P2040" s="1" t="s">
        <v>497</v>
      </c>
      <c r="Q2040" s="1" t="s">
        <v>21936</v>
      </c>
      <c r="R2040" s="1" t="s">
        <v>21937</v>
      </c>
      <c r="S2040" s="1">
        <v>9867336930</v>
      </c>
      <c r="T2040" s="1" t="s">
        <v>2384</v>
      </c>
      <c r="U2040" s="1" t="s">
        <v>21938</v>
      </c>
      <c r="V2040" s="1">
        <v>9967361509</v>
      </c>
      <c r="W2040" s="1" t="s">
        <v>21939</v>
      </c>
      <c r="X2040" s="1" t="s">
        <v>21940</v>
      </c>
      <c r="Y2040" s="1" t="s">
        <v>2229</v>
      </c>
      <c r="Z2040" s="1" t="s">
        <v>92</v>
      </c>
      <c r="AA2040" s="1" t="s">
        <v>21940</v>
      </c>
      <c r="AB2040" s="1" t="s">
        <v>2229</v>
      </c>
      <c r="AC2040" s="1" t="s">
        <v>92</v>
      </c>
      <c r="AD2040" s="1">
        <v>9.4</v>
      </c>
      <c r="AE2040" s="1" t="s">
        <v>93</v>
      </c>
      <c r="AF2040" s="1" t="s">
        <v>21941</v>
      </c>
      <c r="AG2040" s="1" t="s">
        <v>2154</v>
      </c>
      <c r="AH2040" s="1" t="s">
        <v>1088</v>
      </c>
      <c r="AI2040" s="1" t="s">
        <v>614</v>
      </c>
      <c r="AJ2040" s="1">
        <v>93.5</v>
      </c>
      <c r="AK2040" s="1">
        <v>0</v>
      </c>
      <c r="AL2040" s="1" t="s">
        <v>21942</v>
      </c>
      <c r="AM2040" s="1" t="s">
        <v>160</v>
      </c>
      <c r="AN2040" s="1" t="s">
        <v>165</v>
      </c>
      <c r="AO2040" s="1" t="s">
        <v>1455</v>
      </c>
      <c r="AP2040" s="1">
        <v>76.46</v>
      </c>
      <c r="AQ2040" s="1">
        <v>0</v>
      </c>
      <c r="AR2040" s="1"/>
      <c r="AS2040" s="1"/>
      <c r="AT2040" s="1"/>
      <c r="AU2040" s="1"/>
      <c r="AV2040" s="1"/>
      <c r="AW2040" s="1"/>
      <c r="AX2040" s="1" t="s">
        <v>253</v>
      </c>
      <c r="AY2040" s="1" t="s">
        <v>21943</v>
      </c>
      <c r="AZ2040" s="1" t="s">
        <v>1043</v>
      </c>
      <c r="BA2040" s="1" t="s">
        <v>229</v>
      </c>
      <c r="BB2040" s="1">
        <v>76.23</v>
      </c>
      <c r="BC2040" s="1">
        <v>8.68</v>
      </c>
      <c r="BD2040" s="1"/>
      <c r="BE2040" s="1"/>
      <c r="BF2040" s="1"/>
      <c r="BG2040" s="1"/>
      <c r="BH2040" s="1"/>
      <c r="BI2040" s="1"/>
      <c r="BJ2040" s="1" t="s">
        <v>21944</v>
      </c>
      <c r="BK2040" s="1" t="s">
        <v>21945</v>
      </c>
      <c r="BL2040" s="1" t="s">
        <v>569</v>
      </c>
      <c r="BM2040" s="1" t="s">
        <v>21946</v>
      </c>
      <c r="BN2040" s="1">
        <v>28</v>
      </c>
      <c r="BO2040" s="1" t="s">
        <v>21947</v>
      </c>
      <c r="BP2040" s="1" t="str">
        <f>HYPERLINK("https://nconnect.nicmar.ac.in/storage/profile/ProfilePhoto_P25701008_873691.jpg","Download")</f>
        <v>0</v>
      </c>
      <c r="BQ2040" s="3"/>
      <c r="BR2040" s="3"/>
    </row>
    <row r="2041" spans="1:70">
      <c r="A2041" s="1" t="s">
        <v>21304</v>
      </c>
      <c r="B2041" s="1" t="s">
        <v>441</v>
      </c>
      <c r="C2041" s="1" t="s">
        <v>21948</v>
      </c>
      <c r="D2041" s="1" t="s">
        <v>11050</v>
      </c>
      <c r="E2041" s="1" t="s">
        <v>21949</v>
      </c>
      <c r="F2041" s="1" t="s">
        <v>21950</v>
      </c>
      <c r="G2041" s="1" t="s">
        <v>21951</v>
      </c>
      <c r="H2041" s="1" t="s">
        <v>21952</v>
      </c>
      <c r="I2041" s="1" t="s">
        <v>21953</v>
      </c>
      <c r="J2041" s="1">
        <v>9158000887</v>
      </c>
      <c r="K2041" s="1" t="s">
        <v>79</v>
      </c>
      <c r="L2041" s="1" t="s">
        <v>21954</v>
      </c>
      <c r="M2041" s="1" t="s">
        <v>81</v>
      </c>
      <c r="N2041" s="1" t="s">
        <v>605</v>
      </c>
      <c r="O2041" s="1"/>
      <c r="P2041" s="1" t="s">
        <v>497</v>
      </c>
      <c r="Q2041" s="1" t="s">
        <v>21955</v>
      </c>
      <c r="R2041" s="1" t="s">
        <v>21956</v>
      </c>
      <c r="S2041" s="1">
        <v>9823050152</v>
      </c>
      <c r="T2041" s="1" t="s">
        <v>906</v>
      </c>
      <c r="U2041" s="1" t="s">
        <v>21957</v>
      </c>
      <c r="V2041" s="1">
        <v>9673961431</v>
      </c>
      <c r="W2041" s="1" t="s">
        <v>21958</v>
      </c>
      <c r="X2041" s="1" t="s">
        <v>21959</v>
      </c>
      <c r="Y2041" s="1" t="s">
        <v>91</v>
      </c>
      <c r="Z2041" s="1" t="s">
        <v>92</v>
      </c>
      <c r="AA2041" s="1" t="s">
        <v>21959</v>
      </c>
      <c r="AB2041" s="1" t="s">
        <v>91</v>
      </c>
      <c r="AC2041" s="1" t="s">
        <v>92</v>
      </c>
      <c r="AD2041" s="1">
        <v>8.67</v>
      </c>
      <c r="AE2041" s="1" t="s">
        <v>93</v>
      </c>
      <c r="AF2041" s="1" t="s">
        <v>21960</v>
      </c>
      <c r="AG2041" s="1" t="s">
        <v>21961</v>
      </c>
      <c r="AH2041" s="1" t="s">
        <v>1088</v>
      </c>
      <c r="AI2041" s="1" t="s">
        <v>1089</v>
      </c>
      <c r="AJ2041" s="1">
        <v>95</v>
      </c>
      <c r="AK2041" s="1">
        <v>10</v>
      </c>
      <c r="AL2041" s="1" t="s">
        <v>21960</v>
      </c>
      <c r="AM2041" s="1" t="s">
        <v>21961</v>
      </c>
      <c r="AN2041" s="1" t="s">
        <v>162</v>
      </c>
      <c r="AO2041" s="1" t="s">
        <v>166</v>
      </c>
      <c r="AP2041" s="1">
        <v>81.2</v>
      </c>
      <c r="AQ2041" s="1"/>
      <c r="AR2041" s="1"/>
      <c r="AS2041" s="1"/>
      <c r="AT2041" s="1"/>
      <c r="AU2041" s="1"/>
      <c r="AV2041" s="1"/>
      <c r="AW2041" s="1"/>
      <c r="AX2041" s="1" t="s">
        <v>361</v>
      </c>
      <c r="AY2041" s="1" t="s">
        <v>21962</v>
      </c>
      <c r="AZ2041" s="1" t="s">
        <v>169</v>
      </c>
      <c r="BA2041" s="1" t="s">
        <v>174</v>
      </c>
      <c r="BB2041" s="1">
        <v>69.5</v>
      </c>
      <c r="BC2041" s="1">
        <v>8.94</v>
      </c>
      <c r="BD2041" s="1"/>
      <c r="BE2041" s="1"/>
      <c r="BF2041" s="1"/>
      <c r="BG2041" s="1"/>
      <c r="BH2041" s="1"/>
      <c r="BI2041" s="1"/>
      <c r="BJ2041" s="1" t="s">
        <v>21963</v>
      </c>
      <c r="BK2041" s="1" t="s">
        <v>21964</v>
      </c>
      <c r="BL2041" s="1" t="s">
        <v>1151</v>
      </c>
      <c r="BM2041" s="1" t="s">
        <v>21965</v>
      </c>
      <c r="BN2041" s="1">
        <v>32</v>
      </c>
      <c r="BO2041" s="1"/>
      <c r="BP2041" s="1" t="str">
        <f>HYPERLINK("https://nconnect.nicmar.ac.in/storage/profile/ProfilePhoto_P25701009_968471.jpg","Download")</f>
        <v>0</v>
      </c>
      <c r="BQ2041" s="3"/>
      <c r="BR2041" s="3"/>
    </row>
    <row r="2042" spans="1:70">
      <c r="A2042" s="1" t="s">
        <v>21304</v>
      </c>
      <c r="B2042" s="1" t="s">
        <v>441</v>
      </c>
      <c r="C2042" s="1" t="s">
        <v>21966</v>
      </c>
      <c r="D2042" s="1" t="s">
        <v>12885</v>
      </c>
      <c r="E2042" s="1"/>
      <c r="F2042" s="1" t="s">
        <v>9026</v>
      </c>
      <c r="G2042" s="1" t="s">
        <v>21967</v>
      </c>
      <c r="H2042" s="1" t="s">
        <v>21968</v>
      </c>
      <c r="I2042" s="1" t="s">
        <v>21969</v>
      </c>
      <c r="J2042" s="1">
        <v>8619291499</v>
      </c>
      <c r="K2042" s="1" t="s">
        <v>79</v>
      </c>
      <c r="L2042" s="1" t="s">
        <v>8502</v>
      </c>
      <c r="M2042" s="1" t="s">
        <v>81</v>
      </c>
      <c r="N2042" s="1" t="s">
        <v>21970</v>
      </c>
      <c r="O2042" s="1"/>
      <c r="P2042" s="1" t="s">
        <v>497</v>
      </c>
      <c r="Q2042" s="1" t="s">
        <v>21971</v>
      </c>
      <c r="R2042" s="1" t="s">
        <v>21972</v>
      </c>
      <c r="S2042" s="1">
        <v>9414165470</v>
      </c>
      <c r="T2042" s="1" t="s">
        <v>21973</v>
      </c>
      <c r="U2042" s="1" t="s">
        <v>21974</v>
      </c>
      <c r="V2042" s="1">
        <v>6378256693</v>
      </c>
      <c r="W2042" s="1" t="s">
        <v>156</v>
      </c>
      <c r="X2042" s="1" t="s">
        <v>21975</v>
      </c>
      <c r="Y2042" s="1" t="s">
        <v>21976</v>
      </c>
      <c r="Z2042" s="1" t="s">
        <v>2126</v>
      </c>
      <c r="AA2042" s="1" t="s">
        <v>21975</v>
      </c>
      <c r="AB2042" s="1" t="s">
        <v>21976</v>
      </c>
      <c r="AC2042" s="1" t="s">
        <v>2126</v>
      </c>
      <c r="AD2042" s="1">
        <v>8.57</v>
      </c>
      <c r="AE2042" s="1" t="s">
        <v>93</v>
      </c>
      <c r="AF2042" s="1" t="s">
        <v>21977</v>
      </c>
      <c r="AG2042" s="1" t="s">
        <v>21978</v>
      </c>
      <c r="AH2042" s="1" t="s">
        <v>1239</v>
      </c>
      <c r="AI2042" s="1" t="s">
        <v>131</v>
      </c>
      <c r="AJ2042" s="1">
        <v>76</v>
      </c>
      <c r="AK2042" s="1">
        <v>8</v>
      </c>
      <c r="AL2042" s="1" t="s">
        <v>21979</v>
      </c>
      <c r="AM2042" s="1" t="s">
        <v>21978</v>
      </c>
      <c r="AN2042" s="1" t="s">
        <v>614</v>
      </c>
      <c r="AO2042" s="1" t="s">
        <v>562</v>
      </c>
      <c r="AP2042" s="1">
        <v>69</v>
      </c>
      <c r="AQ2042" s="1">
        <v>0</v>
      </c>
      <c r="AR2042" s="1"/>
      <c r="AS2042" s="1"/>
      <c r="AT2042" s="1"/>
      <c r="AU2042" s="1"/>
      <c r="AV2042" s="1"/>
      <c r="AW2042" s="1"/>
      <c r="AX2042" s="1" t="s">
        <v>21980</v>
      </c>
      <c r="AY2042" s="1" t="s">
        <v>21981</v>
      </c>
      <c r="AZ2042" s="1" t="s">
        <v>1043</v>
      </c>
      <c r="BA2042" s="1" t="s">
        <v>935</v>
      </c>
      <c r="BB2042" s="1">
        <v>75.2</v>
      </c>
      <c r="BC2042" s="1">
        <v>0</v>
      </c>
      <c r="BD2042" s="1"/>
      <c r="BE2042" s="1"/>
      <c r="BF2042" s="1"/>
      <c r="BG2042" s="1"/>
      <c r="BH2042" s="1"/>
      <c r="BI2042" s="1"/>
      <c r="BJ2042" s="1" t="s">
        <v>21982</v>
      </c>
      <c r="BK2042" s="1" t="s">
        <v>21983</v>
      </c>
      <c r="BL2042" s="1" t="s">
        <v>569</v>
      </c>
      <c r="BM2042" s="1" t="s">
        <v>21984</v>
      </c>
      <c r="BN2042" s="1">
        <v>33</v>
      </c>
      <c r="BO2042" s="1" t="s">
        <v>21985</v>
      </c>
      <c r="BP2042" s="1" t="str">
        <f>HYPERLINK("https://nconnect.nicmar.ac.in/storage/profile/ProfilePhoto_P25701010_479156.jpg","Download")</f>
        <v>0</v>
      </c>
      <c r="BQ2042" s="3"/>
      <c r="BR2042" s="3"/>
    </row>
    <row r="2043" spans="1:70">
      <c r="A2043" s="1" t="s">
        <v>21304</v>
      </c>
      <c r="B2043" s="1" t="s">
        <v>441</v>
      </c>
      <c r="C2043" s="1" t="s">
        <v>21986</v>
      </c>
      <c r="D2043" s="1" t="s">
        <v>21987</v>
      </c>
      <c r="E2043" s="1" t="s">
        <v>2071</v>
      </c>
      <c r="F2043" s="1" t="s">
        <v>6630</v>
      </c>
      <c r="G2043" s="1" t="s">
        <v>21988</v>
      </c>
      <c r="H2043" s="1" t="s">
        <v>21989</v>
      </c>
      <c r="I2043" s="1" t="s">
        <v>21990</v>
      </c>
      <c r="J2043" s="1">
        <v>9730539631</v>
      </c>
      <c r="K2043" s="1" t="s">
        <v>79</v>
      </c>
      <c r="L2043" s="1" t="s">
        <v>21991</v>
      </c>
      <c r="M2043" s="1" t="s">
        <v>81</v>
      </c>
      <c r="N2043" s="1" t="s">
        <v>21992</v>
      </c>
      <c r="O2043" s="1"/>
      <c r="P2043" s="1" t="s">
        <v>497</v>
      </c>
      <c r="Q2043" s="1" t="s">
        <v>21993</v>
      </c>
      <c r="R2043" s="1" t="s">
        <v>21994</v>
      </c>
      <c r="S2043" s="1">
        <v>9423419085</v>
      </c>
      <c r="T2043" s="1" t="s">
        <v>820</v>
      </c>
      <c r="U2043" s="1" t="s">
        <v>21995</v>
      </c>
      <c r="V2043" s="1">
        <v>9420284897</v>
      </c>
      <c r="W2043" s="1" t="s">
        <v>273</v>
      </c>
      <c r="X2043" s="1" t="s">
        <v>21996</v>
      </c>
      <c r="Y2043" s="1" t="s">
        <v>611</v>
      </c>
      <c r="Z2043" s="1" t="s">
        <v>92</v>
      </c>
      <c r="AA2043" s="1" t="s">
        <v>21996</v>
      </c>
      <c r="AB2043" s="1" t="s">
        <v>611</v>
      </c>
      <c r="AC2043" s="1" t="s">
        <v>92</v>
      </c>
      <c r="AD2043" s="1">
        <v>8.67</v>
      </c>
      <c r="AE2043" s="1" t="s">
        <v>93</v>
      </c>
      <c r="AF2043" s="1" t="s">
        <v>21997</v>
      </c>
      <c r="AG2043" s="1" t="s">
        <v>11222</v>
      </c>
      <c r="AH2043" s="1" t="s">
        <v>161</v>
      </c>
      <c r="AI2043" s="1" t="s">
        <v>279</v>
      </c>
      <c r="AJ2043" s="1">
        <v>74.8</v>
      </c>
      <c r="AK2043" s="1"/>
      <c r="AL2043" s="1"/>
      <c r="AM2043" s="1"/>
      <c r="AN2043" s="1"/>
      <c r="AO2043" s="1"/>
      <c r="AP2043" s="1"/>
      <c r="AQ2043" s="1"/>
      <c r="AR2043" s="1" t="s">
        <v>4644</v>
      </c>
      <c r="AS2043" s="1" t="s">
        <v>21998</v>
      </c>
      <c r="AT2043" s="1" t="s">
        <v>134</v>
      </c>
      <c r="AU2043" s="1" t="s">
        <v>310</v>
      </c>
      <c r="AV2043" s="1">
        <v>78.4</v>
      </c>
      <c r="AW2043" s="1"/>
      <c r="AX2043" s="1" t="s">
        <v>361</v>
      </c>
      <c r="AY2043" s="1" t="s">
        <v>21999</v>
      </c>
      <c r="AZ2043" s="1" t="s">
        <v>201</v>
      </c>
      <c r="BA2043" s="1" t="s">
        <v>105</v>
      </c>
      <c r="BB2043" s="1">
        <v>83.69</v>
      </c>
      <c r="BC2043" s="1">
        <v>8.81</v>
      </c>
      <c r="BD2043" s="1"/>
      <c r="BE2043" s="1"/>
      <c r="BF2043" s="1"/>
      <c r="BG2043" s="1"/>
      <c r="BH2043" s="1"/>
      <c r="BI2043" s="1"/>
      <c r="BJ2043" s="1" t="s">
        <v>567</v>
      </c>
      <c r="BK2043" s="1"/>
      <c r="BL2043" s="1"/>
      <c r="BM2043" s="1" t="s">
        <v>22000</v>
      </c>
      <c r="BN2043" s="1">
        <v>162</v>
      </c>
      <c r="BO2043" s="1" t="s">
        <v>22001</v>
      </c>
      <c r="BP2043" s="1" t="str">
        <f>HYPERLINK("https://nconnect.nicmar.ac.in/storage/profile/ProfilePhoto_P25701011_932476.jpg","Download")</f>
        <v>0</v>
      </c>
      <c r="BQ2043" s="3"/>
      <c r="BR2043" s="3"/>
    </row>
    <row r="2044" spans="1:70">
      <c r="A2044" s="1" t="s">
        <v>21304</v>
      </c>
      <c r="B2044" s="1" t="s">
        <v>441</v>
      </c>
      <c r="C2044" s="1" t="s">
        <v>22002</v>
      </c>
      <c r="D2044" s="1" t="s">
        <v>22003</v>
      </c>
      <c r="E2044" s="1" t="s">
        <v>3236</v>
      </c>
      <c r="F2044" s="1" t="s">
        <v>1156</v>
      </c>
      <c r="G2044" s="1" t="s">
        <v>22004</v>
      </c>
      <c r="H2044" s="1" t="s">
        <v>22005</v>
      </c>
      <c r="I2044" s="1" t="s">
        <v>22006</v>
      </c>
      <c r="J2044" s="1">
        <v>8600656184</v>
      </c>
      <c r="K2044" s="1" t="s">
        <v>148</v>
      </c>
      <c r="L2044" s="1" t="s">
        <v>22007</v>
      </c>
      <c r="M2044" s="1" t="s">
        <v>81</v>
      </c>
      <c r="N2044" s="1" t="s">
        <v>22008</v>
      </c>
      <c r="O2044" s="1" t="s">
        <v>22009</v>
      </c>
      <c r="P2044" s="1" t="s">
        <v>472</v>
      </c>
      <c r="Q2044" s="1" t="s">
        <v>22010</v>
      </c>
      <c r="R2044" s="1" t="s">
        <v>22011</v>
      </c>
      <c r="S2044" s="1">
        <v>8275272059</v>
      </c>
      <c r="T2044" s="1" t="s">
        <v>1938</v>
      </c>
      <c r="U2044" s="1" t="s">
        <v>22012</v>
      </c>
      <c r="V2044" s="1">
        <v>8275272057</v>
      </c>
      <c r="W2044" s="1" t="s">
        <v>89</v>
      </c>
      <c r="X2044" s="1" t="s">
        <v>22013</v>
      </c>
      <c r="Y2044" s="1" t="s">
        <v>191</v>
      </c>
      <c r="Z2044" s="1" t="s">
        <v>92</v>
      </c>
      <c r="AA2044" s="1" t="s">
        <v>22014</v>
      </c>
      <c r="AB2044" s="1" t="s">
        <v>1963</v>
      </c>
      <c r="AC2044" s="1" t="s">
        <v>92</v>
      </c>
      <c r="AD2044" s="1">
        <v>8.32</v>
      </c>
      <c r="AE2044" s="1" t="s">
        <v>93</v>
      </c>
      <c r="AF2044" s="1" t="s">
        <v>22015</v>
      </c>
      <c r="AG2044" s="1" t="s">
        <v>160</v>
      </c>
      <c r="AH2044" s="1" t="s">
        <v>10479</v>
      </c>
      <c r="AI2044" s="1" t="s">
        <v>97</v>
      </c>
      <c r="AJ2044" s="1">
        <v>83</v>
      </c>
      <c r="AK2044" s="1"/>
      <c r="AL2044" s="1" t="s">
        <v>22016</v>
      </c>
      <c r="AM2044" s="1" t="s">
        <v>160</v>
      </c>
      <c r="AN2044" s="1" t="s">
        <v>337</v>
      </c>
      <c r="AO2044" s="1" t="s">
        <v>195</v>
      </c>
      <c r="AP2044" s="1">
        <v>67.54</v>
      </c>
      <c r="AQ2044" s="1"/>
      <c r="AR2044" s="1"/>
      <c r="AS2044" s="1"/>
      <c r="AT2044" s="1"/>
      <c r="AU2044" s="1"/>
      <c r="AV2044" s="1"/>
      <c r="AW2044" s="1"/>
      <c r="AX2044" s="1" t="s">
        <v>12918</v>
      </c>
      <c r="AY2044" s="1" t="s">
        <v>22017</v>
      </c>
      <c r="AZ2044" s="1" t="s">
        <v>383</v>
      </c>
      <c r="BA2044" s="1" t="s">
        <v>1378</v>
      </c>
      <c r="BB2044" s="1">
        <v>75.69</v>
      </c>
      <c r="BC2044" s="1"/>
      <c r="BD2044" s="1"/>
      <c r="BE2044" s="1"/>
      <c r="BF2044" s="1"/>
      <c r="BG2044" s="1"/>
      <c r="BH2044" s="1"/>
      <c r="BI2044" s="1"/>
      <c r="BJ2044" s="1" t="s">
        <v>22018</v>
      </c>
      <c r="BK2044" s="1" t="s">
        <v>22019</v>
      </c>
      <c r="BL2044" s="1" t="s">
        <v>1824</v>
      </c>
      <c r="BM2044" s="1" t="s">
        <v>22020</v>
      </c>
      <c r="BN2044" s="1">
        <v>36</v>
      </c>
      <c r="BO2044" s="1" t="s">
        <v>22021</v>
      </c>
      <c r="BP2044" s="1" t="str">
        <f>HYPERLINK("https://nconnect.nicmar.ac.in/storage/profile/ProfilePhoto_P25701013_148267.jpg","Download")</f>
        <v>0</v>
      </c>
      <c r="BQ2044" s="3"/>
      <c r="BR2044" s="3"/>
    </row>
    <row r="2045" spans="1:70">
      <c r="A2045" s="1" t="s">
        <v>21304</v>
      </c>
      <c r="B2045" s="1" t="s">
        <v>441</v>
      </c>
      <c r="C2045" s="1" t="s">
        <v>22022</v>
      </c>
      <c r="D2045" s="1" t="s">
        <v>22023</v>
      </c>
      <c r="E2045" s="1"/>
      <c r="F2045" s="1" t="s">
        <v>22024</v>
      </c>
      <c r="G2045" s="1" t="s">
        <v>22025</v>
      </c>
      <c r="H2045" s="1" t="s">
        <v>22026</v>
      </c>
      <c r="I2045" s="1" t="s">
        <v>22027</v>
      </c>
      <c r="J2045" s="1">
        <v>9970758307</v>
      </c>
      <c r="K2045" s="1" t="s">
        <v>79</v>
      </c>
      <c r="L2045" s="1" t="s">
        <v>22028</v>
      </c>
      <c r="M2045" s="1" t="s">
        <v>81</v>
      </c>
      <c r="N2045" s="1" t="s">
        <v>22029</v>
      </c>
      <c r="O2045" s="1"/>
      <c r="P2045" s="1" t="s">
        <v>450</v>
      </c>
      <c r="Q2045" s="1" t="s">
        <v>22030</v>
      </c>
      <c r="R2045" s="1" t="s">
        <v>22031</v>
      </c>
      <c r="S2045" s="1">
        <v>9850849109</v>
      </c>
      <c r="T2045" s="1" t="s">
        <v>632</v>
      </c>
      <c r="U2045" s="1" t="s">
        <v>20540</v>
      </c>
      <c r="V2045" s="1">
        <v>9921145408</v>
      </c>
      <c r="W2045" s="1" t="s">
        <v>89</v>
      </c>
      <c r="X2045" s="1" t="s">
        <v>22032</v>
      </c>
      <c r="Y2045" s="1" t="s">
        <v>5034</v>
      </c>
      <c r="Z2045" s="1" t="s">
        <v>92</v>
      </c>
      <c r="AA2045" s="1" t="s">
        <v>22033</v>
      </c>
      <c r="AB2045" s="1" t="s">
        <v>10690</v>
      </c>
      <c r="AC2045" s="1" t="s">
        <v>456</v>
      </c>
      <c r="AD2045" s="1">
        <v>8.32</v>
      </c>
      <c r="AE2045" s="1" t="s">
        <v>93</v>
      </c>
      <c r="AF2045" s="1" t="s">
        <v>22034</v>
      </c>
      <c r="AG2045" s="1" t="s">
        <v>22035</v>
      </c>
      <c r="AH2045" s="1" t="s">
        <v>689</v>
      </c>
      <c r="AI2045" s="1" t="s">
        <v>166</v>
      </c>
      <c r="AJ2045" s="1">
        <v>60.4</v>
      </c>
      <c r="AK2045" s="1"/>
      <c r="AL2045" s="1" t="s">
        <v>22036</v>
      </c>
      <c r="AM2045" s="1" t="s">
        <v>22035</v>
      </c>
      <c r="AN2045" s="1" t="s">
        <v>198</v>
      </c>
      <c r="AO2045" s="1" t="s">
        <v>173</v>
      </c>
      <c r="AP2045" s="1">
        <v>69.6</v>
      </c>
      <c r="AQ2045" s="1"/>
      <c r="AR2045" s="1"/>
      <c r="AS2045" s="1"/>
      <c r="AT2045" s="1"/>
      <c r="AU2045" s="1"/>
      <c r="AV2045" s="1"/>
      <c r="AW2045" s="1"/>
      <c r="AX2045" s="1" t="s">
        <v>22037</v>
      </c>
      <c r="AY2045" s="1" t="s">
        <v>22038</v>
      </c>
      <c r="AZ2045" s="1" t="s">
        <v>1019</v>
      </c>
      <c r="BA2045" s="1" t="s">
        <v>9507</v>
      </c>
      <c r="BB2045" s="1">
        <v>80.37</v>
      </c>
      <c r="BC2045" s="1">
        <v>8.46</v>
      </c>
      <c r="BD2045" s="1"/>
      <c r="BE2045" s="1"/>
      <c r="BF2045" s="1"/>
      <c r="BG2045" s="1"/>
      <c r="BH2045" s="1"/>
      <c r="BI2045" s="1"/>
      <c r="BJ2045" s="1" t="s">
        <v>22039</v>
      </c>
      <c r="BK2045" s="1" t="s">
        <v>22040</v>
      </c>
      <c r="BL2045" s="1" t="s">
        <v>1151</v>
      </c>
      <c r="BM2045" s="1" t="s">
        <v>22041</v>
      </c>
      <c r="BN2045" s="1">
        <v>21</v>
      </c>
      <c r="BO2045" s="1"/>
      <c r="BP2045" s="1" t="str">
        <f>HYPERLINK("https://nconnect.nicmar.ac.in/storage/profile/ProfilePhoto_P25701014_782496.jpg","Download")</f>
        <v>0</v>
      </c>
      <c r="BQ2045" s="3"/>
      <c r="BR2045" s="3"/>
    </row>
    <row r="2046" spans="1:70">
      <c r="A2046" s="1" t="s">
        <v>21304</v>
      </c>
      <c r="B2046" s="1" t="s">
        <v>441</v>
      </c>
      <c r="C2046" s="1" t="s">
        <v>22042</v>
      </c>
      <c r="D2046" s="1" t="s">
        <v>22043</v>
      </c>
      <c r="E2046" s="1" t="s">
        <v>2071</v>
      </c>
      <c r="F2046" s="1" t="s">
        <v>1156</v>
      </c>
      <c r="G2046" s="1" t="s">
        <v>22044</v>
      </c>
      <c r="H2046" s="1" t="s">
        <v>22045</v>
      </c>
      <c r="I2046" s="1" t="s">
        <v>22046</v>
      </c>
      <c r="J2046" s="1">
        <v>9372196514</v>
      </c>
      <c r="K2046" s="1" t="s">
        <v>79</v>
      </c>
      <c r="L2046" s="1" t="s">
        <v>22047</v>
      </c>
      <c r="M2046" s="1" t="s">
        <v>81</v>
      </c>
      <c r="N2046" s="1" t="s">
        <v>883</v>
      </c>
      <c r="O2046" s="1"/>
      <c r="P2046" s="1" t="s">
        <v>497</v>
      </c>
      <c r="Q2046" s="1" t="s">
        <v>22048</v>
      </c>
      <c r="R2046" s="1" t="s">
        <v>22049</v>
      </c>
      <c r="S2046" s="1">
        <v>9403723082</v>
      </c>
      <c r="T2046" s="1" t="s">
        <v>122</v>
      </c>
      <c r="U2046" s="1" t="s">
        <v>22050</v>
      </c>
      <c r="V2046" s="1">
        <v>7276703959</v>
      </c>
      <c r="W2046" s="1" t="s">
        <v>156</v>
      </c>
      <c r="X2046" s="1" t="s">
        <v>22051</v>
      </c>
      <c r="Y2046" s="1" t="s">
        <v>991</v>
      </c>
      <c r="Z2046" s="1" t="s">
        <v>92</v>
      </c>
      <c r="AA2046" s="1" t="s">
        <v>22051</v>
      </c>
      <c r="AB2046" s="1" t="s">
        <v>991</v>
      </c>
      <c r="AC2046" s="1" t="s">
        <v>92</v>
      </c>
      <c r="AD2046" s="1">
        <v>8.54</v>
      </c>
      <c r="AE2046" s="1" t="s">
        <v>93</v>
      </c>
      <c r="AF2046" s="1" t="s">
        <v>22052</v>
      </c>
      <c r="AG2046" s="1" t="s">
        <v>2348</v>
      </c>
      <c r="AH2046" s="1" t="s">
        <v>195</v>
      </c>
      <c r="AI2046" s="1" t="s">
        <v>281</v>
      </c>
      <c r="AJ2046" s="1">
        <v>87.2</v>
      </c>
      <c r="AK2046" s="1"/>
      <c r="AL2046" s="1" t="s">
        <v>22053</v>
      </c>
      <c r="AM2046" s="1" t="s">
        <v>2348</v>
      </c>
      <c r="AN2046" s="1" t="s">
        <v>198</v>
      </c>
      <c r="AO2046" s="1" t="s">
        <v>360</v>
      </c>
      <c r="AP2046" s="1">
        <v>68.46</v>
      </c>
      <c r="AQ2046" s="1"/>
      <c r="AR2046" s="1"/>
      <c r="AS2046" s="1"/>
      <c r="AT2046" s="1"/>
      <c r="AU2046" s="1"/>
      <c r="AV2046" s="1"/>
      <c r="AW2046" s="1"/>
      <c r="AX2046" s="1" t="s">
        <v>253</v>
      </c>
      <c r="AY2046" s="1" t="s">
        <v>22054</v>
      </c>
      <c r="AZ2046" s="1" t="s">
        <v>363</v>
      </c>
      <c r="BA2046" s="1" t="s">
        <v>594</v>
      </c>
      <c r="BB2046" s="1">
        <v>65.72</v>
      </c>
      <c r="BC2046" s="1">
        <v>7.26</v>
      </c>
      <c r="BD2046" s="1"/>
      <c r="BE2046" s="1"/>
      <c r="BF2046" s="1"/>
      <c r="BG2046" s="1"/>
      <c r="BH2046" s="1"/>
      <c r="BI2046" s="1"/>
      <c r="BJ2046" s="1" t="s">
        <v>22055</v>
      </c>
      <c r="BK2046" s="1"/>
      <c r="BL2046" s="1"/>
      <c r="BM2046" s="1" t="s">
        <v>22056</v>
      </c>
      <c r="BN2046" s="1">
        <v>26</v>
      </c>
      <c r="BO2046" s="1" t="s">
        <v>22057</v>
      </c>
      <c r="BP2046" s="1" t="str">
        <f>HYPERLINK("https://nconnect.nicmar.ac.in/storage/profile/ProfilePhoto_P25701015_578136.jpg","Download")</f>
        <v>0</v>
      </c>
      <c r="BQ2046" s="3"/>
      <c r="BR2046" s="3"/>
    </row>
    <row r="2047" spans="1:70">
      <c r="A2047" s="1" t="s">
        <v>21304</v>
      </c>
      <c r="B2047" s="1" t="s">
        <v>441</v>
      </c>
      <c r="C2047" s="1" t="s">
        <v>22058</v>
      </c>
      <c r="D2047" s="1" t="s">
        <v>22059</v>
      </c>
      <c r="E2047" s="1"/>
      <c r="F2047" s="1" t="s">
        <v>520</v>
      </c>
      <c r="G2047" s="1" t="s">
        <v>22060</v>
      </c>
      <c r="H2047" s="1" t="s">
        <v>22061</v>
      </c>
      <c r="I2047" s="1" t="s">
        <v>22062</v>
      </c>
      <c r="J2047" s="1">
        <v>7990461595</v>
      </c>
      <c r="K2047" s="1" t="s">
        <v>148</v>
      </c>
      <c r="L2047" s="1" t="s">
        <v>552</v>
      </c>
      <c r="M2047" s="1" t="s">
        <v>81</v>
      </c>
      <c r="N2047" s="1" t="s">
        <v>4289</v>
      </c>
      <c r="O2047" s="1"/>
      <c r="P2047" s="1" t="s">
        <v>472</v>
      </c>
      <c r="Q2047" s="1" t="s">
        <v>22063</v>
      </c>
      <c r="R2047" s="1" t="s">
        <v>22064</v>
      </c>
      <c r="S2047" s="1">
        <v>9510058064</v>
      </c>
      <c r="T2047" s="1" t="s">
        <v>906</v>
      </c>
      <c r="U2047" s="1" t="s">
        <v>22065</v>
      </c>
      <c r="V2047" s="1">
        <v>9409145844</v>
      </c>
      <c r="W2047" s="1" t="s">
        <v>273</v>
      </c>
      <c r="X2047" s="1" t="s">
        <v>22066</v>
      </c>
      <c r="Y2047" s="1" t="s">
        <v>2889</v>
      </c>
      <c r="Z2047" s="1" t="s">
        <v>662</v>
      </c>
      <c r="AA2047" s="1" t="s">
        <v>22066</v>
      </c>
      <c r="AB2047" s="1" t="s">
        <v>2889</v>
      </c>
      <c r="AC2047" s="1" t="s">
        <v>662</v>
      </c>
      <c r="AD2047" s="1">
        <v>8.63</v>
      </c>
      <c r="AE2047" s="1" t="s">
        <v>93</v>
      </c>
      <c r="AF2047" s="1" t="s">
        <v>22067</v>
      </c>
      <c r="AG2047" s="1" t="s">
        <v>307</v>
      </c>
      <c r="AH2047" s="1" t="s">
        <v>165</v>
      </c>
      <c r="AI2047" s="1" t="s">
        <v>166</v>
      </c>
      <c r="AJ2047" s="1">
        <v>78.8</v>
      </c>
      <c r="AK2047" s="1"/>
      <c r="AL2047" s="1" t="s">
        <v>22068</v>
      </c>
      <c r="AM2047" s="1" t="s">
        <v>307</v>
      </c>
      <c r="AN2047" s="1" t="s">
        <v>310</v>
      </c>
      <c r="AO2047" s="1" t="s">
        <v>173</v>
      </c>
      <c r="AP2047" s="1">
        <v>86.2</v>
      </c>
      <c r="AQ2047" s="1"/>
      <c r="AR2047" s="1"/>
      <c r="AS2047" s="1"/>
      <c r="AT2047" s="1"/>
      <c r="AU2047" s="1"/>
      <c r="AV2047" s="1"/>
      <c r="AW2047" s="1"/>
      <c r="AX2047" s="1" t="s">
        <v>6985</v>
      </c>
      <c r="AY2047" s="1" t="s">
        <v>22069</v>
      </c>
      <c r="AZ2047" s="1" t="s">
        <v>173</v>
      </c>
      <c r="BA2047" s="1" t="s">
        <v>543</v>
      </c>
      <c r="BB2047" s="1">
        <v>73.05</v>
      </c>
      <c r="BC2047" s="1">
        <v>7.69</v>
      </c>
      <c r="BD2047" s="1"/>
      <c r="BE2047" s="1"/>
      <c r="BF2047" s="1"/>
      <c r="BG2047" s="1"/>
      <c r="BH2047" s="1"/>
      <c r="BI2047" s="1"/>
      <c r="BJ2047" s="1" t="s">
        <v>22070</v>
      </c>
      <c r="BK2047" s="1"/>
      <c r="BL2047" s="1"/>
      <c r="BM2047" s="1" t="s">
        <v>22071</v>
      </c>
      <c r="BN2047" s="1">
        <v>34</v>
      </c>
      <c r="BO2047" s="1" t="s">
        <v>22072</v>
      </c>
      <c r="BP2047" s="1" t="str">
        <f>HYPERLINK("https://nconnect.nicmar.ac.in/storage/profile/ProfilePhoto_P25701016_248953.jpg","Download")</f>
        <v>0</v>
      </c>
      <c r="BQ2047" s="3"/>
      <c r="BR2047" s="3"/>
    </row>
    <row r="2048" spans="1:70">
      <c r="A2048" s="1" t="s">
        <v>21304</v>
      </c>
      <c r="B2048" s="1" t="s">
        <v>441</v>
      </c>
      <c r="C2048" s="1" t="s">
        <v>22073</v>
      </c>
      <c r="D2048" s="1" t="s">
        <v>11266</v>
      </c>
      <c r="E2048" s="1"/>
      <c r="F2048" s="1" t="s">
        <v>940</v>
      </c>
      <c r="G2048" s="1" t="s">
        <v>22074</v>
      </c>
      <c r="H2048" s="1" t="s">
        <v>22075</v>
      </c>
      <c r="I2048" s="1" t="s">
        <v>22076</v>
      </c>
      <c r="J2048" s="1">
        <v>9823350123</v>
      </c>
      <c r="K2048" s="1" t="s">
        <v>148</v>
      </c>
      <c r="L2048" s="1" t="s">
        <v>22077</v>
      </c>
      <c r="M2048" s="1" t="s">
        <v>81</v>
      </c>
      <c r="N2048" s="1" t="s">
        <v>1079</v>
      </c>
      <c r="O2048" s="1"/>
      <c r="P2048" s="1" t="s">
        <v>472</v>
      </c>
      <c r="Q2048" s="1" t="s">
        <v>22078</v>
      </c>
      <c r="R2048" s="1" t="s">
        <v>22079</v>
      </c>
      <c r="S2048" s="1">
        <v>9823590123</v>
      </c>
      <c r="T2048" s="1" t="s">
        <v>906</v>
      </c>
      <c r="U2048" s="1" t="s">
        <v>22080</v>
      </c>
      <c r="V2048" s="1">
        <v>9823510123</v>
      </c>
      <c r="W2048" s="1" t="s">
        <v>156</v>
      </c>
      <c r="X2048" s="1" t="s">
        <v>22081</v>
      </c>
      <c r="Y2048" s="1" t="s">
        <v>191</v>
      </c>
      <c r="Z2048" s="1" t="s">
        <v>92</v>
      </c>
      <c r="AA2048" s="1" t="s">
        <v>22082</v>
      </c>
      <c r="AB2048" s="1" t="s">
        <v>191</v>
      </c>
      <c r="AC2048" s="1" t="s">
        <v>92</v>
      </c>
      <c r="AD2048" s="1">
        <v>8.33</v>
      </c>
      <c r="AE2048" s="1" t="s">
        <v>93</v>
      </c>
      <c r="AF2048" s="1" t="s">
        <v>22083</v>
      </c>
      <c r="AG2048" s="1" t="s">
        <v>9600</v>
      </c>
      <c r="AH2048" s="1" t="s">
        <v>337</v>
      </c>
      <c r="AI2048" s="1" t="s">
        <v>279</v>
      </c>
      <c r="AJ2048" s="1">
        <v>76.16</v>
      </c>
      <c r="AK2048" s="1">
        <v>0</v>
      </c>
      <c r="AL2048" s="1" t="s">
        <v>22084</v>
      </c>
      <c r="AM2048" s="1" t="s">
        <v>9600</v>
      </c>
      <c r="AN2048" s="1" t="s">
        <v>383</v>
      </c>
      <c r="AO2048" s="1" t="s">
        <v>481</v>
      </c>
      <c r="AP2048" s="1">
        <v>62.8</v>
      </c>
      <c r="AQ2048" s="1">
        <v>0</v>
      </c>
      <c r="AR2048" s="1"/>
      <c r="AS2048" s="1"/>
      <c r="AT2048" s="1"/>
      <c r="AU2048" s="1"/>
      <c r="AV2048" s="1"/>
      <c r="AW2048" s="1"/>
      <c r="AX2048" s="1" t="s">
        <v>4245</v>
      </c>
      <c r="AY2048" s="1" t="s">
        <v>22085</v>
      </c>
      <c r="AZ2048" s="1" t="s">
        <v>169</v>
      </c>
      <c r="BA2048" s="1" t="s">
        <v>2273</v>
      </c>
      <c r="BB2048" s="1">
        <v>80.6</v>
      </c>
      <c r="BC2048" s="1">
        <v>8.81</v>
      </c>
      <c r="BD2048" s="1"/>
      <c r="BE2048" s="1"/>
      <c r="BF2048" s="1"/>
      <c r="BG2048" s="1"/>
      <c r="BH2048" s="1"/>
      <c r="BI2048" s="1"/>
      <c r="BJ2048" s="1" t="s">
        <v>22086</v>
      </c>
      <c r="BK2048" s="1" t="s">
        <v>22087</v>
      </c>
      <c r="BL2048" s="1" t="s">
        <v>2454</v>
      </c>
      <c r="BM2048" s="1" t="s">
        <v>22088</v>
      </c>
      <c r="BN2048" s="1">
        <v>8</v>
      </c>
      <c r="BO2048" s="1"/>
      <c r="BP2048" s="1" t="str">
        <f>HYPERLINK("https://nconnect.nicmar.ac.in/storage/profile/ProfilePhoto_P25701017_283697.jpg","Download")</f>
        <v>0</v>
      </c>
      <c r="BQ2048" s="3"/>
      <c r="BR2048" s="3"/>
    </row>
    <row r="2049" spans="1:70">
      <c r="A2049" s="1" t="s">
        <v>21304</v>
      </c>
      <c r="B2049" s="1" t="s">
        <v>441</v>
      </c>
      <c r="C2049" s="1" t="s">
        <v>22089</v>
      </c>
      <c r="D2049" s="1" t="s">
        <v>3368</v>
      </c>
      <c r="E2049" s="1" t="s">
        <v>2203</v>
      </c>
      <c r="F2049" s="1" t="s">
        <v>11252</v>
      </c>
      <c r="G2049" s="1" t="s">
        <v>22090</v>
      </c>
      <c r="H2049" s="1" t="s">
        <v>22091</v>
      </c>
      <c r="I2049" s="1" t="s">
        <v>22092</v>
      </c>
      <c r="J2049" s="1">
        <v>9405626394</v>
      </c>
      <c r="K2049" s="1" t="s">
        <v>79</v>
      </c>
      <c r="L2049" s="1" t="s">
        <v>5101</v>
      </c>
      <c r="M2049" s="1" t="s">
        <v>81</v>
      </c>
      <c r="N2049" s="1" t="s">
        <v>1140</v>
      </c>
      <c r="O2049" s="1"/>
      <c r="P2049" s="1" t="s">
        <v>497</v>
      </c>
      <c r="Q2049" s="1" t="s">
        <v>22093</v>
      </c>
      <c r="R2049" s="1" t="s">
        <v>2203</v>
      </c>
      <c r="S2049" s="1">
        <v>9420348065</v>
      </c>
      <c r="T2049" s="1" t="s">
        <v>5643</v>
      </c>
      <c r="U2049" s="1" t="s">
        <v>3019</v>
      </c>
      <c r="V2049" s="1">
        <v>7020828633</v>
      </c>
      <c r="W2049" s="1" t="s">
        <v>156</v>
      </c>
      <c r="X2049" s="1" t="s">
        <v>22094</v>
      </c>
      <c r="Y2049" s="1" t="s">
        <v>191</v>
      </c>
      <c r="Z2049" s="1" t="s">
        <v>92</v>
      </c>
      <c r="AA2049" s="1" t="s">
        <v>22095</v>
      </c>
      <c r="AB2049" s="1" t="s">
        <v>304</v>
      </c>
      <c r="AC2049" s="1" t="s">
        <v>92</v>
      </c>
      <c r="AD2049" s="1" t="s">
        <v>93</v>
      </c>
      <c r="AE2049" s="1" t="s">
        <v>93</v>
      </c>
      <c r="AF2049" s="1" t="s">
        <v>22096</v>
      </c>
      <c r="AG2049" s="1" t="s">
        <v>22097</v>
      </c>
      <c r="AH2049" s="1" t="s">
        <v>195</v>
      </c>
      <c r="AI2049" s="1" t="s">
        <v>281</v>
      </c>
      <c r="AJ2049" s="1">
        <v>74.6</v>
      </c>
      <c r="AK2049" s="1"/>
      <c r="AL2049" s="1" t="s">
        <v>22098</v>
      </c>
      <c r="AM2049" s="1" t="s">
        <v>22099</v>
      </c>
      <c r="AN2049" s="1" t="s">
        <v>198</v>
      </c>
      <c r="AO2049" s="1" t="s">
        <v>360</v>
      </c>
      <c r="AP2049" s="1">
        <v>60.62</v>
      </c>
      <c r="AQ2049" s="1"/>
      <c r="AR2049" s="1"/>
      <c r="AS2049" s="1"/>
      <c r="AT2049" s="1"/>
      <c r="AU2049" s="1"/>
      <c r="AV2049" s="1"/>
      <c r="AW2049" s="1"/>
      <c r="AX2049" s="1" t="s">
        <v>361</v>
      </c>
      <c r="AY2049" s="1" t="s">
        <v>22100</v>
      </c>
      <c r="AZ2049" s="1" t="s">
        <v>363</v>
      </c>
      <c r="BA2049" s="1" t="s">
        <v>413</v>
      </c>
      <c r="BB2049" s="1">
        <v>60.96</v>
      </c>
      <c r="BC2049" s="1">
        <v>6.85</v>
      </c>
      <c r="BD2049" s="1"/>
      <c r="BE2049" s="1"/>
      <c r="BF2049" s="1"/>
      <c r="BG2049" s="1"/>
      <c r="BH2049" s="1"/>
      <c r="BI2049" s="1"/>
      <c r="BJ2049" s="1" t="s">
        <v>22101</v>
      </c>
      <c r="BK2049" s="1"/>
      <c r="BL2049" s="1"/>
      <c r="BM2049" s="1" t="s">
        <v>22102</v>
      </c>
      <c r="BN2049" s="1">
        <v>43</v>
      </c>
      <c r="BO2049" s="1" t="s">
        <v>22001</v>
      </c>
      <c r="BP2049" s="1" t="str">
        <f>HYPERLINK("https://nconnect.nicmar.ac.in/storage/profile/ProfilePhoto_P25701018_163478.jpg","Download")</f>
        <v>0</v>
      </c>
      <c r="BQ2049" s="3"/>
      <c r="BR2049" s="3"/>
    </row>
    <row r="2050" spans="1:70">
      <c r="A2050" s="1" t="s">
        <v>21304</v>
      </c>
      <c r="B2050" s="1" t="s">
        <v>441</v>
      </c>
      <c r="C2050" s="1" t="s">
        <v>22103</v>
      </c>
      <c r="D2050" s="1" t="s">
        <v>22104</v>
      </c>
      <c r="E2050" s="1" t="s">
        <v>6520</v>
      </c>
      <c r="F2050" s="1" t="s">
        <v>22105</v>
      </c>
      <c r="G2050" s="1" t="s">
        <v>22106</v>
      </c>
      <c r="H2050" s="1" t="s">
        <v>22107</v>
      </c>
      <c r="I2050" s="1" t="s">
        <v>22108</v>
      </c>
      <c r="J2050" s="1">
        <v>8655128267</v>
      </c>
      <c r="K2050" s="1" t="s">
        <v>148</v>
      </c>
      <c r="L2050" s="1" t="s">
        <v>7823</v>
      </c>
      <c r="M2050" s="1" t="s">
        <v>81</v>
      </c>
      <c r="N2050" s="1" t="s">
        <v>2424</v>
      </c>
      <c r="O2050" s="1" t="s">
        <v>22109</v>
      </c>
      <c r="P2050" s="1" t="s">
        <v>472</v>
      </c>
      <c r="Q2050" s="1" t="s">
        <v>22110</v>
      </c>
      <c r="R2050" s="1" t="s">
        <v>22111</v>
      </c>
      <c r="S2050" s="1">
        <v>9322891755</v>
      </c>
      <c r="T2050" s="1" t="s">
        <v>906</v>
      </c>
      <c r="U2050" s="1" t="s">
        <v>22112</v>
      </c>
      <c r="V2050" s="1">
        <v>9224413737</v>
      </c>
      <c r="W2050" s="1" t="s">
        <v>22113</v>
      </c>
      <c r="X2050" s="1" t="s">
        <v>22114</v>
      </c>
      <c r="Y2050" s="1" t="s">
        <v>991</v>
      </c>
      <c r="Z2050" s="1" t="s">
        <v>92</v>
      </c>
      <c r="AA2050" s="1" t="s">
        <v>22114</v>
      </c>
      <c r="AB2050" s="1" t="s">
        <v>991</v>
      </c>
      <c r="AC2050" s="1" t="s">
        <v>92</v>
      </c>
      <c r="AD2050" s="1">
        <v>8.38</v>
      </c>
      <c r="AE2050" s="1" t="s">
        <v>93</v>
      </c>
      <c r="AF2050" s="1" t="s">
        <v>22115</v>
      </c>
      <c r="AG2050" s="1" t="s">
        <v>22116</v>
      </c>
      <c r="AH2050" s="1" t="s">
        <v>1089</v>
      </c>
      <c r="AI2050" s="1" t="s">
        <v>195</v>
      </c>
      <c r="AJ2050" s="1">
        <v>82.8</v>
      </c>
      <c r="AK2050" s="1">
        <v>0</v>
      </c>
      <c r="AL2050" s="1" t="s">
        <v>22117</v>
      </c>
      <c r="AM2050" s="1" t="s">
        <v>22116</v>
      </c>
      <c r="AN2050" s="1" t="s">
        <v>1455</v>
      </c>
      <c r="AO2050" s="1" t="s">
        <v>198</v>
      </c>
      <c r="AP2050" s="1">
        <v>63.54</v>
      </c>
      <c r="AQ2050" s="1">
        <v>0</v>
      </c>
      <c r="AR2050" s="1"/>
      <c r="AS2050" s="1"/>
      <c r="AT2050" s="1"/>
      <c r="AU2050" s="1"/>
      <c r="AV2050" s="1"/>
      <c r="AW2050" s="1"/>
      <c r="AX2050" s="1" t="s">
        <v>22118</v>
      </c>
      <c r="AY2050" s="1" t="s">
        <v>22119</v>
      </c>
      <c r="AZ2050" s="1" t="s">
        <v>201</v>
      </c>
      <c r="BA2050" s="1" t="s">
        <v>1292</v>
      </c>
      <c r="BB2050" s="1">
        <v>69.64</v>
      </c>
      <c r="BC2050" s="1">
        <v>7.79</v>
      </c>
      <c r="BD2050" s="1"/>
      <c r="BE2050" s="1"/>
      <c r="BF2050" s="1"/>
      <c r="BG2050" s="1"/>
      <c r="BH2050" s="1"/>
      <c r="BI2050" s="1"/>
      <c r="BJ2050" s="1" t="s">
        <v>22120</v>
      </c>
      <c r="BK2050" s="1" t="s">
        <v>22121</v>
      </c>
      <c r="BL2050" s="1" t="s">
        <v>1048</v>
      </c>
      <c r="BM2050" s="1" t="s">
        <v>22122</v>
      </c>
      <c r="BN2050" s="1">
        <v>30</v>
      </c>
      <c r="BO2050" s="1" t="s">
        <v>22123</v>
      </c>
      <c r="BP2050" s="1" t="str">
        <f>HYPERLINK("https://nconnect.nicmar.ac.in/storage/profile/ProfilePhoto_P25701020_926453.jpg","Download")</f>
        <v>0</v>
      </c>
      <c r="BQ2050" s="3"/>
      <c r="BR2050" s="3"/>
    </row>
    <row r="2051" spans="1:70">
      <c r="A2051" s="1" t="s">
        <v>21304</v>
      </c>
      <c r="B2051" s="1" t="s">
        <v>441</v>
      </c>
      <c r="C2051" s="1" t="s">
        <v>22124</v>
      </c>
      <c r="D2051" s="1" t="s">
        <v>2345</v>
      </c>
      <c r="E2051" s="1" t="s">
        <v>2071</v>
      </c>
      <c r="F2051" s="1" t="s">
        <v>22125</v>
      </c>
      <c r="G2051" s="1" t="s">
        <v>22126</v>
      </c>
      <c r="H2051" s="1" t="s">
        <v>22127</v>
      </c>
      <c r="I2051" s="1" t="s">
        <v>22128</v>
      </c>
      <c r="J2051" s="1">
        <v>8600497716</v>
      </c>
      <c r="K2051" s="1" t="s">
        <v>148</v>
      </c>
      <c r="L2051" s="1" t="s">
        <v>22129</v>
      </c>
      <c r="M2051" s="1" t="s">
        <v>81</v>
      </c>
      <c r="N2051" s="1" t="s">
        <v>4976</v>
      </c>
      <c r="O2051" s="1"/>
      <c r="P2051" s="1" t="s">
        <v>472</v>
      </c>
      <c r="Q2051" s="1" t="s">
        <v>22130</v>
      </c>
      <c r="R2051" s="1" t="s">
        <v>2071</v>
      </c>
      <c r="S2051" s="1">
        <v>9422556914</v>
      </c>
      <c r="T2051" s="1" t="s">
        <v>87</v>
      </c>
      <c r="U2051" s="1" t="s">
        <v>22131</v>
      </c>
      <c r="V2051" s="1">
        <v>9730244161</v>
      </c>
      <c r="W2051" s="1" t="s">
        <v>122</v>
      </c>
      <c r="X2051" s="1" t="s">
        <v>22132</v>
      </c>
      <c r="Y2051" s="1" t="s">
        <v>405</v>
      </c>
      <c r="Z2051" s="1" t="s">
        <v>92</v>
      </c>
      <c r="AA2051" s="1" t="s">
        <v>22132</v>
      </c>
      <c r="AB2051" s="1" t="s">
        <v>405</v>
      </c>
      <c r="AC2051" s="1" t="s">
        <v>92</v>
      </c>
      <c r="AD2051" s="1">
        <v>7.69</v>
      </c>
      <c r="AE2051" s="1" t="s">
        <v>93</v>
      </c>
      <c r="AF2051" s="1" t="s">
        <v>22133</v>
      </c>
      <c r="AG2051" s="1" t="s">
        <v>307</v>
      </c>
      <c r="AH2051" s="1" t="s">
        <v>165</v>
      </c>
      <c r="AI2051" s="1" t="s">
        <v>166</v>
      </c>
      <c r="AJ2051" s="1">
        <v>70</v>
      </c>
      <c r="AK2051" s="1">
        <v>0</v>
      </c>
      <c r="AL2051" s="1" t="s">
        <v>22134</v>
      </c>
      <c r="AM2051" s="1" t="s">
        <v>160</v>
      </c>
      <c r="AN2051" s="1" t="s">
        <v>433</v>
      </c>
      <c r="AO2051" s="1" t="s">
        <v>412</v>
      </c>
      <c r="AP2051" s="1">
        <v>65.38</v>
      </c>
      <c r="AQ2051" s="1">
        <v>0</v>
      </c>
      <c r="AR2051" s="1"/>
      <c r="AS2051" s="1"/>
      <c r="AT2051" s="1"/>
      <c r="AU2051" s="1"/>
      <c r="AV2051" s="1"/>
      <c r="AW2051" s="1"/>
      <c r="AX2051" s="1" t="s">
        <v>976</v>
      </c>
      <c r="AY2051" s="1" t="s">
        <v>22135</v>
      </c>
      <c r="AZ2051" s="1" t="s">
        <v>173</v>
      </c>
      <c r="BA2051" s="1" t="s">
        <v>829</v>
      </c>
      <c r="BB2051" s="1">
        <v>60.7</v>
      </c>
      <c r="BC2051" s="1">
        <v>6.82</v>
      </c>
      <c r="BD2051" s="1"/>
      <c r="BE2051" s="1"/>
      <c r="BF2051" s="1"/>
      <c r="BG2051" s="1"/>
      <c r="BH2051" s="1"/>
      <c r="BI2051" s="1"/>
      <c r="BJ2051" s="1" t="s">
        <v>22136</v>
      </c>
      <c r="BK2051" s="1"/>
      <c r="BL2051" s="1"/>
      <c r="BM2051" s="1" t="s">
        <v>22137</v>
      </c>
      <c r="BN2051" s="1">
        <v>27</v>
      </c>
      <c r="BO2051" s="1" t="s">
        <v>22138</v>
      </c>
      <c r="BP2051" s="1" t="str">
        <f>HYPERLINK("https://nconnect.nicmar.ac.in/storage/profile/ProfilePhoto_P25701021_792318.jpg","Download")</f>
        <v>0</v>
      </c>
      <c r="BQ2051" s="3"/>
      <c r="BR2051" s="3"/>
    </row>
    <row r="2052" spans="1:70">
      <c r="A2052" s="1" t="s">
        <v>21304</v>
      </c>
      <c r="B2052" s="1" t="s">
        <v>441</v>
      </c>
      <c r="C2052" s="1" t="s">
        <v>22139</v>
      </c>
      <c r="D2052" s="1" t="s">
        <v>22140</v>
      </c>
      <c r="E2052" s="1" t="s">
        <v>4651</v>
      </c>
      <c r="F2052" s="1" t="s">
        <v>22141</v>
      </c>
      <c r="G2052" s="1" t="s">
        <v>22142</v>
      </c>
      <c r="H2052" s="1" t="s">
        <v>22143</v>
      </c>
      <c r="I2052" s="1" t="s">
        <v>22144</v>
      </c>
      <c r="J2052" s="1">
        <v>9156825990</v>
      </c>
      <c r="K2052" s="1" t="s">
        <v>148</v>
      </c>
      <c r="L2052" s="1" t="s">
        <v>9218</v>
      </c>
      <c r="M2052" s="1" t="s">
        <v>81</v>
      </c>
      <c r="N2052" s="1" t="s">
        <v>605</v>
      </c>
      <c r="O2052" s="1" t="s">
        <v>22145</v>
      </c>
      <c r="P2052" s="1" t="s">
        <v>450</v>
      </c>
      <c r="Q2052" s="1" t="s">
        <v>22146</v>
      </c>
      <c r="R2052" s="1" t="s">
        <v>4651</v>
      </c>
      <c r="S2052" s="1">
        <v>7720060261</v>
      </c>
      <c r="T2052" s="1" t="s">
        <v>377</v>
      </c>
      <c r="U2052" s="1" t="s">
        <v>13564</v>
      </c>
      <c r="V2052" s="1">
        <v>7720060264</v>
      </c>
      <c r="W2052" s="1" t="s">
        <v>156</v>
      </c>
      <c r="X2052" s="1" t="s">
        <v>22147</v>
      </c>
      <c r="Y2052" s="1" t="s">
        <v>405</v>
      </c>
      <c r="Z2052" s="1" t="s">
        <v>92</v>
      </c>
      <c r="AA2052" s="1" t="s">
        <v>22148</v>
      </c>
      <c r="AB2052" s="1" t="s">
        <v>191</v>
      </c>
      <c r="AC2052" s="1" t="s">
        <v>92</v>
      </c>
      <c r="AD2052" s="1">
        <v>9.06</v>
      </c>
      <c r="AE2052" s="1" t="s">
        <v>93</v>
      </c>
      <c r="AF2052" s="1" t="s">
        <v>22149</v>
      </c>
      <c r="AG2052" s="1" t="s">
        <v>307</v>
      </c>
      <c r="AH2052" s="1" t="s">
        <v>162</v>
      </c>
      <c r="AI2052" s="1" t="s">
        <v>165</v>
      </c>
      <c r="AJ2052" s="1">
        <v>91.2</v>
      </c>
      <c r="AK2052" s="1">
        <v>9.6</v>
      </c>
      <c r="AL2052" s="1" t="s">
        <v>22150</v>
      </c>
      <c r="AM2052" s="1" t="s">
        <v>22151</v>
      </c>
      <c r="AN2052" s="1" t="s">
        <v>101</v>
      </c>
      <c r="AO2052" s="1" t="s">
        <v>433</v>
      </c>
      <c r="AP2052" s="1">
        <v>76.62</v>
      </c>
      <c r="AQ2052" s="1"/>
      <c r="AR2052" s="1"/>
      <c r="AS2052" s="1"/>
      <c r="AT2052" s="1"/>
      <c r="AU2052" s="1"/>
      <c r="AV2052" s="1"/>
      <c r="AW2052" s="1"/>
      <c r="AX2052" s="1" t="s">
        <v>361</v>
      </c>
      <c r="AY2052" s="1" t="s">
        <v>22152</v>
      </c>
      <c r="AZ2052" s="1" t="s">
        <v>201</v>
      </c>
      <c r="BA2052" s="1" t="s">
        <v>413</v>
      </c>
      <c r="BB2052" s="1">
        <v>65.5</v>
      </c>
      <c r="BC2052" s="1">
        <v>7.3</v>
      </c>
      <c r="BD2052" s="1"/>
      <c r="BE2052" s="1"/>
      <c r="BF2052" s="1"/>
      <c r="BG2052" s="1"/>
      <c r="BH2052" s="1"/>
      <c r="BI2052" s="1"/>
      <c r="BJ2052" s="1" t="s">
        <v>22153</v>
      </c>
      <c r="BK2052" s="1"/>
      <c r="BL2052" s="1"/>
      <c r="BM2052" s="1" t="s">
        <v>22154</v>
      </c>
      <c r="BN2052" s="1">
        <v>33</v>
      </c>
      <c r="BO2052" s="1" t="s">
        <v>22155</v>
      </c>
      <c r="BP2052" s="1" t="str">
        <f>HYPERLINK("https://nconnect.nicmar.ac.in/storage/profile/ProfilePhoto_P25701022_635789.jpg","Download")</f>
        <v>0</v>
      </c>
      <c r="BQ2052" s="3"/>
      <c r="BR2052" s="3"/>
    </row>
    <row r="2053" spans="1:70">
      <c r="A2053" s="1" t="s">
        <v>21304</v>
      </c>
      <c r="B2053" s="1" t="s">
        <v>441</v>
      </c>
      <c r="C2053" s="1" t="s">
        <v>22156</v>
      </c>
      <c r="D2053" s="1" t="s">
        <v>7185</v>
      </c>
      <c r="E2053" s="1" t="s">
        <v>22157</v>
      </c>
      <c r="F2053" s="1" t="s">
        <v>22158</v>
      </c>
      <c r="G2053" s="1" t="s">
        <v>22159</v>
      </c>
      <c r="H2053" s="1" t="s">
        <v>22160</v>
      </c>
      <c r="I2053" s="1" t="s">
        <v>22161</v>
      </c>
      <c r="J2053" s="1">
        <v>7760817685</v>
      </c>
      <c r="K2053" s="1" t="s">
        <v>148</v>
      </c>
      <c r="L2053" s="1" t="s">
        <v>22162</v>
      </c>
      <c r="M2053" s="1" t="s">
        <v>81</v>
      </c>
      <c r="N2053" s="1" t="s">
        <v>13053</v>
      </c>
      <c r="O2053" s="1"/>
      <c r="P2053" s="1" t="s">
        <v>497</v>
      </c>
      <c r="Q2053" s="1" t="s">
        <v>22163</v>
      </c>
      <c r="R2053" s="1" t="s">
        <v>22164</v>
      </c>
      <c r="S2053" s="1">
        <v>9900114476</v>
      </c>
      <c r="T2053" s="1" t="s">
        <v>820</v>
      </c>
      <c r="U2053" s="1" t="s">
        <v>22165</v>
      </c>
      <c r="V2053" s="1">
        <v>9986244476</v>
      </c>
      <c r="W2053" s="1" t="s">
        <v>4700</v>
      </c>
      <c r="X2053" s="1" t="s">
        <v>22166</v>
      </c>
      <c r="Y2053" s="1" t="s">
        <v>3151</v>
      </c>
      <c r="Z2053" s="1" t="s">
        <v>1187</v>
      </c>
      <c r="AA2053" s="1" t="s">
        <v>22166</v>
      </c>
      <c r="AB2053" s="1" t="s">
        <v>3151</v>
      </c>
      <c r="AC2053" s="1" t="s">
        <v>1187</v>
      </c>
      <c r="AD2053" s="1">
        <v>9.63</v>
      </c>
      <c r="AE2053" s="1" t="s">
        <v>93</v>
      </c>
      <c r="AF2053" s="1" t="s">
        <v>22167</v>
      </c>
      <c r="AG2053" s="1" t="s">
        <v>758</v>
      </c>
      <c r="AH2053" s="1" t="s">
        <v>161</v>
      </c>
      <c r="AI2053" s="1" t="s">
        <v>614</v>
      </c>
      <c r="AJ2053" s="1">
        <v>95</v>
      </c>
      <c r="AK2053" s="1">
        <v>10</v>
      </c>
      <c r="AL2053" s="1" t="s">
        <v>22167</v>
      </c>
      <c r="AM2053" s="1" t="s">
        <v>758</v>
      </c>
      <c r="AN2053" s="1" t="s">
        <v>165</v>
      </c>
      <c r="AO2053" s="1" t="s">
        <v>166</v>
      </c>
      <c r="AP2053" s="1">
        <v>95.4</v>
      </c>
      <c r="AQ2053" s="1">
        <v>0</v>
      </c>
      <c r="AR2053" s="1"/>
      <c r="AS2053" s="1"/>
      <c r="AT2053" s="1"/>
      <c r="AU2053" s="1"/>
      <c r="AV2053" s="1"/>
      <c r="AW2053" s="1"/>
      <c r="AX2053" s="1" t="s">
        <v>717</v>
      </c>
      <c r="AY2053" s="1" t="s">
        <v>22168</v>
      </c>
      <c r="AZ2053" s="1" t="s">
        <v>169</v>
      </c>
      <c r="BA2053" s="1" t="s">
        <v>229</v>
      </c>
      <c r="BB2053" s="1">
        <v>82.8</v>
      </c>
      <c r="BC2053" s="1">
        <v>9.03</v>
      </c>
      <c r="BD2053" s="1"/>
      <c r="BE2053" s="1"/>
      <c r="BF2053" s="1"/>
      <c r="BG2053" s="1"/>
      <c r="BH2053" s="1"/>
      <c r="BI2053" s="1"/>
      <c r="BJ2053" s="1" t="s">
        <v>22169</v>
      </c>
      <c r="BK2053" s="1" t="s">
        <v>22170</v>
      </c>
      <c r="BL2053" s="1" t="s">
        <v>741</v>
      </c>
      <c r="BM2053" s="1" t="s">
        <v>22171</v>
      </c>
      <c r="BN2053" s="1">
        <v>25</v>
      </c>
      <c r="BO2053" s="1"/>
      <c r="BP2053" s="1" t="str">
        <f>HYPERLINK("https://nconnect.nicmar.ac.in/storage/profile/ProfilePhoto_P25701024_187362.jpg","Download")</f>
        <v>0</v>
      </c>
      <c r="BQ2053" s="3"/>
      <c r="BR2053" s="3"/>
    </row>
    <row r="2054" spans="1:70">
      <c r="A2054" s="1" t="s">
        <v>21304</v>
      </c>
      <c r="B2054" s="1" t="s">
        <v>441</v>
      </c>
      <c r="C2054" s="1" t="s">
        <v>22172</v>
      </c>
      <c r="D2054" s="1" t="s">
        <v>3120</v>
      </c>
      <c r="E2054" s="1" t="s">
        <v>22173</v>
      </c>
      <c r="F2054" s="1" t="s">
        <v>13762</v>
      </c>
      <c r="G2054" s="1" t="s">
        <v>22174</v>
      </c>
      <c r="H2054" s="1" t="s">
        <v>22175</v>
      </c>
      <c r="I2054" s="1" t="s">
        <v>22176</v>
      </c>
      <c r="J2054" s="1">
        <v>8208157977</v>
      </c>
      <c r="K2054" s="1" t="s">
        <v>79</v>
      </c>
      <c r="L2054" s="1" t="s">
        <v>7122</v>
      </c>
      <c r="M2054" s="1" t="s">
        <v>81</v>
      </c>
      <c r="N2054" s="1" t="s">
        <v>1140</v>
      </c>
      <c r="O2054" s="1"/>
      <c r="P2054" s="1" t="s">
        <v>450</v>
      </c>
      <c r="Q2054" s="1" t="s">
        <v>22177</v>
      </c>
      <c r="R2054" s="1" t="s">
        <v>22178</v>
      </c>
      <c r="S2054" s="1">
        <v>9921560422</v>
      </c>
      <c r="T2054" s="1" t="s">
        <v>154</v>
      </c>
      <c r="U2054" s="1" t="s">
        <v>22179</v>
      </c>
      <c r="V2054" s="1">
        <v>9403884122</v>
      </c>
      <c r="W2054" s="1" t="s">
        <v>273</v>
      </c>
      <c r="X2054" s="1" t="s">
        <v>22180</v>
      </c>
      <c r="Y2054" s="1" t="s">
        <v>191</v>
      </c>
      <c r="Z2054" s="1" t="s">
        <v>92</v>
      </c>
      <c r="AA2054" s="1" t="s">
        <v>22181</v>
      </c>
      <c r="AB2054" s="1" t="s">
        <v>219</v>
      </c>
      <c r="AC2054" s="1" t="s">
        <v>92</v>
      </c>
      <c r="AD2054" s="1" t="s">
        <v>93</v>
      </c>
      <c r="AE2054" s="1" t="s">
        <v>93</v>
      </c>
      <c r="AF2054" s="1" t="s">
        <v>22182</v>
      </c>
      <c r="AG2054" s="1" t="s">
        <v>2348</v>
      </c>
      <c r="AH2054" s="1" t="s">
        <v>782</v>
      </c>
      <c r="AI2054" s="1" t="s">
        <v>165</v>
      </c>
      <c r="AJ2054" s="1">
        <v>78.8</v>
      </c>
      <c r="AK2054" s="1"/>
      <c r="AL2054" s="1" t="s">
        <v>12737</v>
      </c>
      <c r="AM2054" s="1" t="s">
        <v>2348</v>
      </c>
      <c r="AN2054" s="1" t="s">
        <v>169</v>
      </c>
      <c r="AO2054" s="1" t="s">
        <v>198</v>
      </c>
      <c r="AP2054" s="1">
        <v>63.23</v>
      </c>
      <c r="AQ2054" s="1"/>
      <c r="AR2054" s="1"/>
      <c r="AS2054" s="1"/>
      <c r="AT2054" s="1"/>
      <c r="AU2054" s="1"/>
      <c r="AV2054" s="1"/>
      <c r="AW2054" s="1"/>
      <c r="AX2054" s="1" t="s">
        <v>335</v>
      </c>
      <c r="AY2054" s="1" t="s">
        <v>22183</v>
      </c>
      <c r="AZ2054" s="1" t="s">
        <v>201</v>
      </c>
      <c r="BA2054" s="1" t="s">
        <v>229</v>
      </c>
      <c r="BB2054" s="1">
        <v>58.51</v>
      </c>
      <c r="BC2054" s="1">
        <v>6.31</v>
      </c>
      <c r="BD2054" s="1"/>
      <c r="BE2054" s="1"/>
      <c r="BF2054" s="1"/>
      <c r="BG2054" s="1"/>
      <c r="BH2054" s="1"/>
      <c r="BI2054" s="1"/>
      <c r="BJ2054" s="1" t="s">
        <v>3326</v>
      </c>
      <c r="BK2054" s="1"/>
      <c r="BL2054" s="1"/>
      <c r="BM2054" s="1" t="s">
        <v>22184</v>
      </c>
      <c r="BN2054" s="1">
        <v>7</v>
      </c>
      <c r="BO2054" s="1"/>
      <c r="BP2054" s="1" t="str">
        <f>HYPERLINK("https://nconnect.nicmar.ac.in/storage/profile/ProfilePhoto_P25701025_745183.jpg","Download")</f>
        <v>0</v>
      </c>
      <c r="BQ2054" s="3"/>
      <c r="BR2054" s="3"/>
    </row>
    <row r="2055" spans="1:70">
      <c r="A2055" s="1" t="s">
        <v>21304</v>
      </c>
      <c r="B2055" s="1" t="s">
        <v>441</v>
      </c>
      <c r="C2055" s="1" t="s">
        <v>22185</v>
      </c>
      <c r="D2055" s="1" t="s">
        <v>22186</v>
      </c>
      <c r="E2055" s="1"/>
      <c r="F2055" s="1" t="s">
        <v>22187</v>
      </c>
      <c r="G2055" s="1" t="s">
        <v>22188</v>
      </c>
      <c r="H2055" s="1" t="s">
        <v>22189</v>
      </c>
      <c r="I2055" s="1" t="s">
        <v>22190</v>
      </c>
      <c r="J2055" s="1">
        <v>9108981990</v>
      </c>
      <c r="K2055" s="1" t="s">
        <v>79</v>
      </c>
      <c r="L2055" s="1" t="s">
        <v>22191</v>
      </c>
      <c r="M2055" s="1" t="s">
        <v>81</v>
      </c>
      <c r="N2055" s="1" t="s">
        <v>13716</v>
      </c>
      <c r="O2055" s="1"/>
      <c r="P2055" s="1" t="s">
        <v>497</v>
      </c>
      <c r="Q2055" s="1" t="s">
        <v>22192</v>
      </c>
      <c r="R2055" s="1" t="s">
        <v>22193</v>
      </c>
      <c r="S2055" s="1">
        <v>9844499891</v>
      </c>
      <c r="T2055" s="1" t="s">
        <v>22194</v>
      </c>
      <c r="U2055" s="1" t="s">
        <v>22195</v>
      </c>
      <c r="V2055" s="1">
        <v>9880088849</v>
      </c>
      <c r="W2055" s="1" t="s">
        <v>1234</v>
      </c>
      <c r="X2055" s="1" t="s">
        <v>22196</v>
      </c>
      <c r="Y2055" s="1" t="s">
        <v>13376</v>
      </c>
      <c r="Z2055" s="1" t="s">
        <v>1187</v>
      </c>
      <c r="AA2055" s="1" t="s">
        <v>22196</v>
      </c>
      <c r="AB2055" s="1" t="s">
        <v>13376</v>
      </c>
      <c r="AC2055" s="1" t="s">
        <v>1187</v>
      </c>
      <c r="AD2055" s="1">
        <v>7.87</v>
      </c>
      <c r="AE2055" s="1" t="s">
        <v>93</v>
      </c>
      <c r="AF2055" s="1" t="s">
        <v>22197</v>
      </c>
      <c r="AG2055" s="1" t="s">
        <v>307</v>
      </c>
      <c r="AH2055" s="1" t="s">
        <v>162</v>
      </c>
      <c r="AI2055" s="1" t="s">
        <v>165</v>
      </c>
      <c r="AJ2055" s="1">
        <v>89.3</v>
      </c>
      <c r="AK2055" s="1">
        <v>9.4</v>
      </c>
      <c r="AL2055" s="1" t="s">
        <v>22198</v>
      </c>
      <c r="AM2055" s="1" t="s">
        <v>13723</v>
      </c>
      <c r="AN2055" s="1" t="s">
        <v>281</v>
      </c>
      <c r="AO2055" s="1" t="s">
        <v>409</v>
      </c>
      <c r="AP2055" s="1">
        <v>81.33</v>
      </c>
      <c r="AQ2055" s="1">
        <v>8.6</v>
      </c>
      <c r="AR2055" s="1"/>
      <c r="AS2055" s="1"/>
      <c r="AT2055" s="1"/>
      <c r="AU2055" s="1"/>
      <c r="AV2055" s="1"/>
      <c r="AW2055" s="1"/>
      <c r="AX2055" s="1" t="s">
        <v>7583</v>
      </c>
      <c r="AY2055" s="1" t="s">
        <v>22199</v>
      </c>
      <c r="AZ2055" s="1" t="s">
        <v>201</v>
      </c>
      <c r="BA2055" s="1" t="s">
        <v>174</v>
      </c>
      <c r="BB2055" s="1">
        <v>81.3</v>
      </c>
      <c r="BC2055" s="1">
        <v>8.13</v>
      </c>
      <c r="BD2055" s="1"/>
      <c r="BE2055" s="1"/>
      <c r="BF2055" s="1"/>
      <c r="BG2055" s="1"/>
      <c r="BH2055" s="1"/>
      <c r="BI2055" s="1"/>
      <c r="BJ2055" s="1" t="s">
        <v>567</v>
      </c>
      <c r="BK2055" s="1" t="s">
        <v>22200</v>
      </c>
      <c r="BL2055" s="1" t="s">
        <v>2215</v>
      </c>
      <c r="BM2055" s="1" t="s">
        <v>22201</v>
      </c>
      <c r="BN2055" s="1">
        <v>12</v>
      </c>
      <c r="BO2055" s="1"/>
      <c r="BP2055" s="1" t="str">
        <f>HYPERLINK("https://nconnect.nicmar.ac.in/storage/profile/ProfilePhoto_P25701026_834126.jpg","Download")</f>
        <v>0</v>
      </c>
      <c r="BQ2055" s="3"/>
      <c r="BR2055" s="3"/>
    </row>
    <row r="2056" spans="1:70">
      <c r="A2056" s="1" t="s">
        <v>21304</v>
      </c>
      <c r="B2056" s="1" t="s">
        <v>441</v>
      </c>
      <c r="C2056" s="1" t="s">
        <v>22202</v>
      </c>
      <c r="D2056" s="1" t="s">
        <v>18827</v>
      </c>
      <c r="E2056" s="1"/>
      <c r="F2056" s="1" t="s">
        <v>2220</v>
      </c>
      <c r="G2056" s="1" t="s">
        <v>22203</v>
      </c>
      <c r="H2056" s="1" t="s">
        <v>22204</v>
      </c>
      <c r="I2056" s="1" t="s">
        <v>22205</v>
      </c>
      <c r="J2056" s="1">
        <v>9883267800</v>
      </c>
      <c r="K2056" s="1" t="s">
        <v>148</v>
      </c>
      <c r="L2056" s="1" t="s">
        <v>12929</v>
      </c>
      <c r="M2056" s="1" t="s">
        <v>81</v>
      </c>
      <c r="N2056" s="1" t="s">
        <v>22206</v>
      </c>
      <c r="O2056" s="1" t="s">
        <v>22207</v>
      </c>
      <c r="P2056" s="1" t="s">
        <v>450</v>
      </c>
      <c r="Q2056" s="1" t="s">
        <v>22208</v>
      </c>
      <c r="R2056" s="1" t="s">
        <v>22209</v>
      </c>
      <c r="S2056" s="1">
        <v>9339454513</v>
      </c>
      <c r="T2056" s="1" t="s">
        <v>820</v>
      </c>
      <c r="U2056" s="1" t="s">
        <v>22210</v>
      </c>
      <c r="V2056" s="1">
        <v>7003814005</v>
      </c>
      <c r="W2056" s="1" t="s">
        <v>89</v>
      </c>
      <c r="X2056" s="1" t="s">
        <v>22211</v>
      </c>
      <c r="Y2056" s="1" t="s">
        <v>3300</v>
      </c>
      <c r="Z2056" s="1" t="s">
        <v>1211</v>
      </c>
      <c r="AA2056" s="1" t="s">
        <v>22211</v>
      </c>
      <c r="AB2056" s="1" t="s">
        <v>3300</v>
      </c>
      <c r="AC2056" s="1" t="s">
        <v>1211</v>
      </c>
      <c r="AD2056" s="1">
        <v>8.97</v>
      </c>
      <c r="AE2056" s="1" t="s">
        <v>93</v>
      </c>
      <c r="AF2056" s="1" t="s">
        <v>22212</v>
      </c>
      <c r="AG2056" s="1" t="s">
        <v>307</v>
      </c>
      <c r="AH2056" s="1" t="s">
        <v>689</v>
      </c>
      <c r="AI2056" s="1" t="s">
        <v>281</v>
      </c>
      <c r="AJ2056" s="1">
        <v>85.4</v>
      </c>
      <c r="AK2056" s="1">
        <v>0</v>
      </c>
      <c r="AL2056" s="1" t="s">
        <v>22212</v>
      </c>
      <c r="AM2056" s="1" t="s">
        <v>307</v>
      </c>
      <c r="AN2056" s="1" t="s">
        <v>537</v>
      </c>
      <c r="AO2056" s="1" t="s">
        <v>590</v>
      </c>
      <c r="AP2056" s="1">
        <v>82</v>
      </c>
      <c r="AQ2056" s="1">
        <v>0</v>
      </c>
      <c r="AR2056" s="1"/>
      <c r="AS2056" s="1"/>
      <c r="AT2056" s="1"/>
      <c r="AU2056" s="1"/>
      <c r="AV2056" s="1"/>
      <c r="AW2056" s="1"/>
      <c r="AX2056" s="1" t="s">
        <v>22213</v>
      </c>
      <c r="AY2056" s="1" t="s">
        <v>22214</v>
      </c>
      <c r="AZ2056" s="1" t="s">
        <v>871</v>
      </c>
      <c r="BA2056" s="1" t="s">
        <v>829</v>
      </c>
      <c r="BB2056" s="1">
        <v>73.9</v>
      </c>
      <c r="BC2056" s="1">
        <v>7.89</v>
      </c>
      <c r="BD2056" s="1"/>
      <c r="BE2056" s="1"/>
      <c r="BF2056" s="1"/>
      <c r="BG2056" s="1"/>
      <c r="BH2056" s="1"/>
      <c r="BI2056" s="1"/>
      <c r="BJ2056" s="1" t="s">
        <v>22215</v>
      </c>
      <c r="BK2056" s="1"/>
      <c r="BL2056" s="1"/>
      <c r="BM2056" s="1" t="s">
        <v>22216</v>
      </c>
      <c r="BN2056" s="1">
        <v>30</v>
      </c>
      <c r="BO2056" s="1" t="s">
        <v>22217</v>
      </c>
      <c r="BP2056" s="1" t="str">
        <f>HYPERLINK("https://nconnect.nicmar.ac.in/storage/profile/ProfilePhoto_P25701027_634982.jpg","Download")</f>
        <v>0</v>
      </c>
      <c r="BQ2056" s="3"/>
      <c r="BR2056" s="3"/>
    </row>
    <row r="2057" spans="1:70">
      <c r="A2057" s="1" t="s">
        <v>21304</v>
      </c>
      <c r="B2057" s="1" t="s">
        <v>441</v>
      </c>
      <c r="C2057" s="1" t="s">
        <v>22218</v>
      </c>
      <c r="D2057" s="1" t="s">
        <v>22219</v>
      </c>
      <c r="E2057" s="1" t="s">
        <v>1587</v>
      </c>
      <c r="F2057" s="1" t="s">
        <v>13277</v>
      </c>
      <c r="G2057" s="1" t="s">
        <v>22220</v>
      </c>
      <c r="H2057" s="1" t="s">
        <v>22221</v>
      </c>
      <c r="I2057" s="1" t="s">
        <v>22222</v>
      </c>
      <c r="J2057" s="1">
        <v>9137393599</v>
      </c>
      <c r="K2057" s="1" t="s">
        <v>148</v>
      </c>
      <c r="L2057" s="1" t="s">
        <v>22223</v>
      </c>
      <c r="M2057" s="1" t="s">
        <v>81</v>
      </c>
      <c r="N2057" s="1" t="s">
        <v>1140</v>
      </c>
      <c r="O2057" s="1"/>
      <c r="P2057" s="1" t="s">
        <v>450</v>
      </c>
      <c r="Q2057" s="1" t="s">
        <v>22224</v>
      </c>
      <c r="R2057" s="1" t="s">
        <v>1587</v>
      </c>
      <c r="S2057" s="1">
        <v>9004414079</v>
      </c>
      <c r="T2057" s="1" t="s">
        <v>22225</v>
      </c>
      <c r="U2057" s="1" t="s">
        <v>10168</v>
      </c>
      <c r="V2057" s="1">
        <v>9653468457</v>
      </c>
      <c r="W2057" s="1" t="s">
        <v>89</v>
      </c>
      <c r="X2057" s="1" t="s">
        <v>22226</v>
      </c>
      <c r="Y2057" s="1" t="s">
        <v>2229</v>
      </c>
      <c r="Z2057" s="1" t="s">
        <v>92</v>
      </c>
      <c r="AA2057" s="1" t="s">
        <v>22226</v>
      </c>
      <c r="AB2057" s="1" t="s">
        <v>2229</v>
      </c>
      <c r="AC2057" s="1" t="s">
        <v>92</v>
      </c>
      <c r="AD2057" s="1">
        <v>9.1</v>
      </c>
      <c r="AE2057" s="1" t="s">
        <v>93</v>
      </c>
      <c r="AF2057" s="1" t="s">
        <v>10421</v>
      </c>
      <c r="AG2057" s="1" t="s">
        <v>1942</v>
      </c>
      <c r="AH2057" s="1" t="s">
        <v>96</v>
      </c>
      <c r="AI2057" s="1" t="s">
        <v>97</v>
      </c>
      <c r="AJ2057" s="1">
        <v>87.2</v>
      </c>
      <c r="AK2057" s="1"/>
      <c r="AL2057" s="1" t="s">
        <v>22227</v>
      </c>
      <c r="AM2057" s="1" t="s">
        <v>1942</v>
      </c>
      <c r="AN2057" s="1" t="s">
        <v>100</v>
      </c>
      <c r="AO2057" s="1" t="s">
        <v>562</v>
      </c>
      <c r="AP2057" s="1">
        <v>64</v>
      </c>
      <c r="AQ2057" s="1"/>
      <c r="AR2057" s="1"/>
      <c r="AS2057" s="1"/>
      <c r="AT2057" s="1"/>
      <c r="AU2057" s="1"/>
      <c r="AV2057" s="1"/>
      <c r="AW2057" s="1"/>
      <c r="AX2057" s="1" t="s">
        <v>666</v>
      </c>
      <c r="AY2057" s="1" t="s">
        <v>20567</v>
      </c>
      <c r="AZ2057" s="1" t="s">
        <v>225</v>
      </c>
      <c r="BA2057" s="1" t="s">
        <v>511</v>
      </c>
      <c r="BB2057" s="1">
        <v>71</v>
      </c>
      <c r="BC2057" s="1">
        <v>8.78</v>
      </c>
      <c r="BD2057" s="1"/>
      <c r="BE2057" s="1"/>
      <c r="BF2057" s="1"/>
      <c r="BG2057" s="1"/>
      <c r="BH2057" s="1"/>
      <c r="BI2057" s="1"/>
      <c r="BJ2057" s="1" t="s">
        <v>22228</v>
      </c>
      <c r="BK2057" s="1" t="s">
        <v>22229</v>
      </c>
      <c r="BL2057" s="1" t="s">
        <v>2295</v>
      </c>
      <c r="BM2057" s="1" t="s">
        <v>22230</v>
      </c>
      <c r="BN2057" s="1">
        <v>26</v>
      </c>
      <c r="BO2057" s="1"/>
      <c r="BP2057" s="1" t="str">
        <f>HYPERLINK("https://nconnect.nicmar.ac.in/storage/profile/ProfilePhoto_P25701028_358741.jpg","Download")</f>
        <v>0</v>
      </c>
      <c r="BQ2057" s="3"/>
      <c r="BR2057" s="3"/>
    </row>
    <row r="2058" spans="1:70">
      <c r="A2058" s="1" t="s">
        <v>21304</v>
      </c>
      <c r="B2058" s="1" t="s">
        <v>441</v>
      </c>
      <c r="C2058" s="1" t="s">
        <v>22231</v>
      </c>
      <c r="D2058" s="1" t="s">
        <v>22232</v>
      </c>
      <c r="E2058" s="1" t="s">
        <v>22233</v>
      </c>
      <c r="F2058" s="1" t="s">
        <v>22234</v>
      </c>
      <c r="G2058" s="1" t="s">
        <v>22235</v>
      </c>
      <c r="H2058" s="1" t="s">
        <v>22236</v>
      </c>
      <c r="I2058" s="1" t="s">
        <v>22237</v>
      </c>
      <c r="J2058" s="1">
        <v>9967603479</v>
      </c>
      <c r="K2058" s="1" t="s">
        <v>79</v>
      </c>
      <c r="L2058" s="1" t="s">
        <v>22238</v>
      </c>
      <c r="M2058" s="1" t="s">
        <v>81</v>
      </c>
      <c r="N2058" s="1" t="s">
        <v>883</v>
      </c>
      <c r="O2058" s="1" t="s">
        <v>22239</v>
      </c>
      <c r="P2058" s="1" t="s">
        <v>1007</v>
      </c>
      <c r="Q2058" s="1" t="s">
        <v>22240</v>
      </c>
      <c r="R2058" s="1" t="s">
        <v>22241</v>
      </c>
      <c r="S2058" s="1">
        <v>9967603479</v>
      </c>
      <c r="T2058" s="1" t="s">
        <v>13285</v>
      </c>
      <c r="U2058" s="1" t="s">
        <v>22242</v>
      </c>
      <c r="V2058" s="1">
        <v>9920591071</v>
      </c>
      <c r="W2058" s="1" t="s">
        <v>122</v>
      </c>
      <c r="X2058" s="1" t="s">
        <v>22243</v>
      </c>
      <c r="Y2058" s="1" t="s">
        <v>2229</v>
      </c>
      <c r="Z2058" s="1" t="s">
        <v>92</v>
      </c>
      <c r="AA2058" s="1" t="s">
        <v>22243</v>
      </c>
      <c r="AB2058" s="1" t="s">
        <v>2229</v>
      </c>
      <c r="AC2058" s="1" t="s">
        <v>92</v>
      </c>
      <c r="AD2058" s="1">
        <v>7.34</v>
      </c>
      <c r="AE2058" s="1" t="s">
        <v>93</v>
      </c>
      <c r="AF2058" s="1" t="s">
        <v>22244</v>
      </c>
      <c r="AG2058" s="1" t="s">
        <v>22245</v>
      </c>
      <c r="AH2058" s="1" t="s">
        <v>614</v>
      </c>
      <c r="AI2058" s="1" t="s">
        <v>562</v>
      </c>
      <c r="AJ2058" s="1">
        <v>79</v>
      </c>
      <c r="AK2058" s="1"/>
      <c r="AL2058" s="1" t="s">
        <v>22246</v>
      </c>
      <c r="AM2058" s="1" t="s">
        <v>22245</v>
      </c>
      <c r="AN2058" s="1" t="s">
        <v>1043</v>
      </c>
      <c r="AO2058" s="1" t="s">
        <v>308</v>
      </c>
      <c r="AP2058" s="1">
        <v>61.69</v>
      </c>
      <c r="AQ2058" s="1"/>
      <c r="AR2058" s="1"/>
      <c r="AS2058" s="1"/>
      <c r="AT2058" s="1"/>
      <c r="AU2058" s="1"/>
      <c r="AV2058" s="1"/>
      <c r="AW2058" s="1"/>
      <c r="AX2058" s="1" t="s">
        <v>253</v>
      </c>
      <c r="AY2058" s="1" t="s">
        <v>22247</v>
      </c>
      <c r="AZ2058" s="1" t="s">
        <v>201</v>
      </c>
      <c r="BA2058" s="1" t="s">
        <v>935</v>
      </c>
      <c r="BB2058" s="1">
        <v>73.32</v>
      </c>
      <c r="BC2058" s="1">
        <v>8.21</v>
      </c>
      <c r="BD2058" s="1"/>
      <c r="BE2058" s="1"/>
      <c r="BF2058" s="1"/>
      <c r="BG2058" s="1"/>
      <c r="BH2058" s="1"/>
      <c r="BI2058" s="1"/>
      <c r="BJ2058" s="1" t="s">
        <v>22248</v>
      </c>
      <c r="BK2058" s="1" t="s">
        <v>22249</v>
      </c>
      <c r="BL2058" s="1" t="s">
        <v>1048</v>
      </c>
      <c r="BM2058" s="1" t="s">
        <v>22250</v>
      </c>
      <c r="BN2058" s="1">
        <v>8</v>
      </c>
      <c r="BO2058" s="1" t="s">
        <v>22251</v>
      </c>
      <c r="BP2058" s="1" t="str">
        <f>HYPERLINK("https://nconnect.nicmar.ac.in/storage/profile/ProfilePhoto_P25701029_843927.jpg","Download")</f>
        <v>0</v>
      </c>
      <c r="BQ2058" s="3"/>
      <c r="BR2058" s="3"/>
    </row>
    <row r="2059" spans="1:70">
      <c r="A2059" s="1" t="s">
        <v>21304</v>
      </c>
      <c r="B2059" s="1" t="s">
        <v>441</v>
      </c>
      <c r="C2059" s="1" t="s">
        <v>22252</v>
      </c>
      <c r="D2059" s="1" t="s">
        <v>22253</v>
      </c>
      <c r="E2059" s="1" t="s">
        <v>22254</v>
      </c>
      <c r="F2059" s="1" t="s">
        <v>22255</v>
      </c>
      <c r="G2059" s="1" t="s">
        <v>22256</v>
      </c>
      <c r="H2059" s="1" t="s">
        <v>22257</v>
      </c>
      <c r="I2059" s="1" t="s">
        <v>22258</v>
      </c>
      <c r="J2059" s="1">
        <v>7756019739</v>
      </c>
      <c r="K2059" s="1" t="s">
        <v>148</v>
      </c>
      <c r="L2059" s="1" t="s">
        <v>6086</v>
      </c>
      <c r="M2059" s="1" t="s">
        <v>81</v>
      </c>
      <c r="N2059" s="1" t="s">
        <v>1140</v>
      </c>
      <c r="O2059" s="1" t="s">
        <v>22259</v>
      </c>
      <c r="P2059" s="1" t="s">
        <v>214</v>
      </c>
      <c r="Q2059" s="1" t="s">
        <v>22260</v>
      </c>
      <c r="R2059" s="1" t="s">
        <v>22261</v>
      </c>
      <c r="S2059" s="1">
        <v>9850158134</v>
      </c>
      <c r="T2059" s="1" t="s">
        <v>22262</v>
      </c>
      <c r="U2059" s="1" t="s">
        <v>22263</v>
      </c>
      <c r="V2059" s="1">
        <v>9850819305</v>
      </c>
      <c r="W2059" s="1" t="s">
        <v>22264</v>
      </c>
      <c r="X2059" s="1" t="s">
        <v>22265</v>
      </c>
      <c r="Y2059" s="1" t="s">
        <v>191</v>
      </c>
      <c r="Z2059" s="1" t="s">
        <v>92</v>
      </c>
      <c r="AA2059" s="1" t="s">
        <v>22266</v>
      </c>
      <c r="AB2059" s="1" t="s">
        <v>405</v>
      </c>
      <c r="AC2059" s="1" t="s">
        <v>92</v>
      </c>
      <c r="AD2059" s="1">
        <v>8.37</v>
      </c>
      <c r="AE2059" s="1" t="s">
        <v>93</v>
      </c>
      <c r="AF2059" s="1" t="s">
        <v>22267</v>
      </c>
      <c r="AG2059" s="1" t="s">
        <v>307</v>
      </c>
      <c r="AH2059" s="1" t="s">
        <v>165</v>
      </c>
      <c r="AI2059" s="1" t="s">
        <v>101</v>
      </c>
      <c r="AJ2059" s="1">
        <v>89.4</v>
      </c>
      <c r="AK2059" s="1"/>
      <c r="AL2059" s="1" t="s">
        <v>22268</v>
      </c>
      <c r="AM2059" s="1" t="s">
        <v>307</v>
      </c>
      <c r="AN2059" s="1" t="s">
        <v>101</v>
      </c>
      <c r="AO2059" s="1" t="s">
        <v>460</v>
      </c>
      <c r="AP2059" s="1">
        <v>75</v>
      </c>
      <c r="AQ2059" s="1"/>
      <c r="AR2059" s="1"/>
      <c r="AS2059" s="1"/>
      <c r="AT2059" s="1"/>
      <c r="AU2059" s="1"/>
      <c r="AV2059" s="1"/>
      <c r="AW2059" s="1"/>
      <c r="AX2059" s="1" t="s">
        <v>19659</v>
      </c>
      <c r="AY2059" s="1" t="s">
        <v>22269</v>
      </c>
      <c r="AZ2059" s="1" t="s">
        <v>460</v>
      </c>
      <c r="BA2059" s="1" t="s">
        <v>829</v>
      </c>
      <c r="BB2059" s="1">
        <v>72.09</v>
      </c>
      <c r="BC2059" s="1">
        <v>8.1</v>
      </c>
      <c r="BD2059" s="1"/>
      <c r="BE2059" s="1"/>
      <c r="BF2059" s="1"/>
      <c r="BG2059" s="1"/>
      <c r="BH2059" s="1"/>
      <c r="BI2059" s="1"/>
      <c r="BJ2059" s="1" t="s">
        <v>22270</v>
      </c>
      <c r="BK2059" s="1"/>
      <c r="BL2059" s="1"/>
      <c r="BM2059" s="1" t="s">
        <v>22271</v>
      </c>
      <c r="BN2059" s="1">
        <v>34</v>
      </c>
      <c r="BO2059" s="1" t="s">
        <v>22001</v>
      </c>
      <c r="BP2059" s="1" t="str">
        <f>HYPERLINK("https://nconnect.nicmar.ac.in/storage/profile/ProfilePhoto_P25701030_785132.jpg","Download")</f>
        <v>0</v>
      </c>
      <c r="BQ2059" s="3"/>
      <c r="BR2059" s="3"/>
    </row>
    <row r="2060" spans="1:70">
      <c r="A2060" s="1" t="s">
        <v>21304</v>
      </c>
      <c r="B2060" s="1" t="s">
        <v>441</v>
      </c>
      <c r="C2060" s="1" t="s">
        <v>22272</v>
      </c>
      <c r="D2060" s="1" t="s">
        <v>1441</v>
      </c>
      <c r="E2060" s="1" t="s">
        <v>234</v>
      </c>
      <c r="F2060" s="1" t="s">
        <v>3891</v>
      </c>
      <c r="G2060" s="1" t="s">
        <v>22273</v>
      </c>
      <c r="H2060" s="1" t="s">
        <v>22274</v>
      </c>
      <c r="I2060" s="1" t="s">
        <v>22275</v>
      </c>
      <c r="J2060" s="1">
        <v>7887865509</v>
      </c>
      <c r="K2060" s="1" t="s">
        <v>148</v>
      </c>
      <c r="L2060" s="1" t="s">
        <v>22276</v>
      </c>
      <c r="M2060" s="1" t="s">
        <v>81</v>
      </c>
      <c r="N2060" s="1" t="s">
        <v>605</v>
      </c>
      <c r="O2060" s="1"/>
      <c r="P2060" s="1" t="s">
        <v>450</v>
      </c>
      <c r="Q2060" s="1" t="s">
        <v>22277</v>
      </c>
      <c r="R2060" s="1" t="s">
        <v>234</v>
      </c>
      <c r="S2060" s="1">
        <v>9823155662</v>
      </c>
      <c r="T2060" s="1" t="s">
        <v>2384</v>
      </c>
      <c r="U2060" s="1" t="s">
        <v>13224</v>
      </c>
      <c r="V2060" s="1">
        <v>9423106222</v>
      </c>
      <c r="W2060" s="1" t="s">
        <v>2972</v>
      </c>
      <c r="X2060" s="1" t="s">
        <v>22278</v>
      </c>
      <c r="Y2060" s="1" t="s">
        <v>191</v>
      </c>
      <c r="Z2060" s="1" t="s">
        <v>92</v>
      </c>
      <c r="AA2060" s="1" t="s">
        <v>22279</v>
      </c>
      <c r="AB2060" s="1" t="s">
        <v>405</v>
      </c>
      <c r="AC2060" s="1" t="s">
        <v>92</v>
      </c>
      <c r="AD2060" s="1">
        <v>9.29</v>
      </c>
      <c r="AE2060" s="1" t="s">
        <v>93</v>
      </c>
      <c r="AF2060" s="1" t="s">
        <v>22280</v>
      </c>
      <c r="AG2060" s="1" t="s">
        <v>758</v>
      </c>
      <c r="AH2060" s="1" t="s">
        <v>1089</v>
      </c>
      <c r="AI2060" s="1" t="s">
        <v>165</v>
      </c>
      <c r="AJ2060" s="1">
        <v>95</v>
      </c>
      <c r="AK2060" s="1">
        <v>10</v>
      </c>
      <c r="AL2060" s="1" t="s">
        <v>22281</v>
      </c>
      <c r="AM2060" s="1" t="s">
        <v>2348</v>
      </c>
      <c r="AN2060" s="1" t="s">
        <v>101</v>
      </c>
      <c r="AO2060" s="1" t="s">
        <v>198</v>
      </c>
      <c r="AP2060" s="1">
        <v>76</v>
      </c>
      <c r="AQ2060" s="1">
        <v>0</v>
      </c>
      <c r="AR2060" s="1"/>
      <c r="AS2060" s="1"/>
      <c r="AT2060" s="1"/>
      <c r="AU2060" s="1"/>
      <c r="AV2060" s="1"/>
      <c r="AW2060" s="1"/>
      <c r="AX2060" s="1" t="s">
        <v>253</v>
      </c>
      <c r="AY2060" s="1" t="s">
        <v>22282</v>
      </c>
      <c r="AZ2060" s="1" t="s">
        <v>310</v>
      </c>
      <c r="BA2060" s="1" t="s">
        <v>413</v>
      </c>
      <c r="BB2060" s="1">
        <v>75.64</v>
      </c>
      <c r="BC2060" s="1">
        <v>8.6</v>
      </c>
      <c r="BD2060" s="1"/>
      <c r="BE2060" s="1"/>
      <c r="BF2060" s="1"/>
      <c r="BG2060" s="1"/>
      <c r="BH2060" s="1"/>
      <c r="BI2060" s="1"/>
      <c r="BJ2060" s="1" t="s">
        <v>22283</v>
      </c>
      <c r="BK2060" s="1" t="s">
        <v>22284</v>
      </c>
      <c r="BL2060" s="1" t="s">
        <v>1022</v>
      </c>
      <c r="BM2060" s="1" t="s">
        <v>22285</v>
      </c>
      <c r="BN2060" s="1">
        <v>53</v>
      </c>
      <c r="BO2060" s="1" t="s">
        <v>22286</v>
      </c>
      <c r="BP2060" s="1" t="str">
        <f>HYPERLINK("https://nconnect.nicmar.ac.in/storage/profile/ProfilePhoto_P25701031_957842.jpg","Download")</f>
        <v>0</v>
      </c>
      <c r="BQ2060" s="3"/>
      <c r="BR2060" s="3"/>
    </row>
    <row r="2061" spans="1:70">
      <c r="A2061" s="1" t="s">
        <v>21304</v>
      </c>
      <c r="B2061" s="1" t="s">
        <v>441</v>
      </c>
      <c r="C2061" s="1" t="s">
        <v>22287</v>
      </c>
      <c r="D2061" s="1" t="s">
        <v>22288</v>
      </c>
      <c r="E2061" s="1" t="s">
        <v>10274</v>
      </c>
      <c r="F2061" s="1" t="s">
        <v>22289</v>
      </c>
      <c r="G2061" s="1" t="s">
        <v>22290</v>
      </c>
      <c r="H2061" s="1" t="s">
        <v>22291</v>
      </c>
      <c r="I2061" s="1" t="s">
        <v>22292</v>
      </c>
      <c r="J2061" s="1">
        <v>8308644930</v>
      </c>
      <c r="K2061" s="1" t="s">
        <v>148</v>
      </c>
      <c r="L2061" s="1" t="s">
        <v>17689</v>
      </c>
      <c r="M2061" s="1" t="s">
        <v>81</v>
      </c>
      <c r="N2061" s="1" t="s">
        <v>2424</v>
      </c>
      <c r="O2061" s="1"/>
      <c r="P2061" s="1" t="s">
        <v>497</v>
      </c>
      <c r="Q2061" s="1" t="s">
        <v>22293</v>
      </c>
      <c r="R2061" s="1" t="s">
        <v>22294</v>
      </c>
      <c r="S2061" s="1">
        <v>9595097780</v>
      </c>
      <c r="T2061" s="1" t="s">
        <v>632</v>
      </c>
      <c r="U2061" s="1" t="s">
        <v>22295</v>
      </c>
      <c r="V2061" s="1">
        <v>9527085919</v>
      </c>
      <c r="W2061" s="1" t="s">
        <v>632</v>
      </c>
      <c r="X2061" s="1" t="s">
        <v>22296</v>
      </c>
      <c r="Y2061" s="1" t="s">
        <v>191</v>
      </c>
      <c r="Z2061" s="1" t="s">
        <v>92</v>
      </c>
      <c r="AA2061" s="1" t="s">
        <v>22296</v>
      </c>
      <c r="AB2061" s="1" t="s">
        <v>191</v>
      </c>
      <c r="AC2061" s="1" t="s">
        <v>92</v>
      </c>
      <c r="AD2061" s="1">
        <v>9.02</v>
      </c>
      <c r="AE2061" s="1" t="s">
        <v>93</v>
      </c>
      <c r="AF2061" s="1" t="s">
        <v>9806</v>
      </c>
      <c r="AG2061" s="1" t="s">
        <v>21869</v>
      </c>
      <c r="AH2061" s="1" t="s">
        <v>1088</v>
      </c>
      <c r="AI2061" s="1" t="s">
        <v>614</v>
      </c>
      <c r="AJ2061" s="1">
        <v>93.1</v>
      </c>
      <c r="AK2061" s="1">
        <v>9.8</v>
      </c>
      <c r="AL2061" s="1" t="s">
        <v>22297</v>
      </c>
      <c r="AM2061" s="1" t="s">
        <v>2348</v>
      </c>
      <c r="AN2061" s="1" t="s">
        <v>562</v>
      </c>
      <c r="AO2061" s="1" t="s">
        <v>166</v>
      </c>
      <c r="AP2061" s="1">
        <v>73.85</v>
      </c>
      <c r="AQ2061" s="1"/>
      <c r="AR2061" s="1"/>
      <c r="AS2061" s="1"/>
      <c r="AT2061" s="1"/>
      <c r="AU2061" s="1"/>
      <c r="AV2061" s="1"/>
      <c r="AW2061" s="1"/>
      <c r="AX2061" s="1" t="s">
        <v>361</v>
      </c>
      <c r="AY2061" s="1" t="s">
        <v>22269</v>
      </c>
      <c r="AZ2061" s="1" t="s">
        <v>169</v>
      </c>
      <c r="BA2061" s="1" t="s">
        <v>566</v>
      </c>
      <c r="BB2061" s="1">
        <v>75.96</v>
      </c>
      <c r="BC2061" s="1">
        <v>8.4</v>
      </c>
      <c r="BD2061" s="1"/>
      <c r="BE2061" s="1"/>
      <c r="BF2061" s="1"/>
      <c r="BG2061" s="1"/>
      <c r="BH2061" s="1"/>
      <c r="BI2061" s="1"/>
      <c r="BJ2061" s="1" t="s">
        <v>22298</v>
      </c>
      <c r="BK2061" s="1" t="s">
        <v>22299</v>
      </c>
      <c r="BL2061" s="1" t="s">
        <v>2434</v>
      </c>
      <c r="BM2061" s="1" t="s">
        <v>22300</v>
      </c>
      <c r="BN2061" s="1">
        <v>28</v>
      </c>
      <c r="BO2061" s="1" t="s">
        <v>22301</v>
      </c>
      <c r="BP2061" s="1" t="str">
        <f>HYPERLINK("https://nconnect.nicmar.ac.in/storage/profile/ProfilePhoto_P25701032_539862.jpg","Download")</f>
        <v>0</v>
      </c>
      <c r="BQ2061" s="3"/>
      <c r="BR2061" s="3"/>
    </row>
    <row r="2062" spans="1:70">
      <c r="A2062" s="1" t="s">
        <v>21304</v>
      </c>
      <c r="B2062" s="1" t="s">
        <v>441</v>
      </c>
      <c r="C2062" s="1" t="s">
        <v>22302</v>
      </c>
      <c r="D2062" s="1" t="s">
        <v>22303</v>
      </c>
      <c r="E2062" s="1" t="s">
        <v>745</v>
      </c>
      <c r="F2062" s="1" t="s">
        <v>9894</v>
      </c>
      <c r="G2062" s="1" t="s">
        <v>22304</v>
      </c>
      <c r="H2062" s="1" t="s">
        <v>22305</v>
      </c>
      <c r="I2062" s="1" t="s">
        <v>22306</v>
      </c>
      <c r="J2062" s="1">
        <v>8999332569</v>
      </c>
      <c r="K2062" s="1" t="s">
        <v>79</v>
      </c>
      <c r="L2062" s="1" t="s">
        <v>21754</v>
      </c>
      <c r="M2062" s="1" t="s">
        <v>81</v>
      </c>
      <c r="N2062" s="1" t="s">
        <v>751</v>
      </c>
      <c r="O2062" s="1" t="s">
        <v>22307</v>
      </c>
      <c r="P2062" s="1" t="s">
        <v>497</v>
      </c>
      <c r="Q2062" s="1" t="s">
        <v>22308</v>
      </c>
      <c r="R2062" s="1" t="s">
        <v>745</v>
      </c>
      <c r="S2062" s="1">
        <v>9422915948</v>
      </c>
      <c r="T2062" s="1" t="s">
        <v>1082</v>
      </c>
      <c r="U2062" s="1" t="s">
        <v>22309</v>
      </c>
      <c r="V2062" s="1">
        <v>8668258137</v>
      </c>
      <c r="W2062" s="1" t="s">
        <v>156</v>
      </c>
      <c r="X2062" s="1" t="s">
        <v>22310</v>
      </c>
      <c r="Y2062" s="1" t="s">
        <v>219</v>
      </c>
      <c r="Z2062" s="1" t="s">
        <v>92</v>
      </c>
      <c r="AA2062" s="1" t="s">
        <v>22310</v>
      </c>
      <c r="AB2062" s="1" t="s">
        <v>219</v>
      </c>
      <c r="AC2062" s="1" t="s">
        <v>92</v>
      </c>
      <c r="AD2062" s="1">
        <v>8.63</v>
      </c>
      <c r="AE2062" s="1" t="s">
        <v>93</v>
      </c>
      <c r="AF2062" s="1" t="s">
        <v>22311</v>
      </c>
      <c r="AG2062" s="1" t="s">
        <v>22312</v>
      </c>
      <c r="AH2062" s="1" t="s">
        <v>281</v>
      </c>
      <c r="AI2062" s="1" t="s">
        <v>409</v>
      </c>
      <c r="AJ2062" s="1">
        <v>73.6</v>
      </c>
      <c r="AK2062" s="1">
        <v>0</v>
      </c>
      <c r="AL2062" s="1" t="s">
        <v>22313</v>
      </c>
      <c r="AM2062" s="1" t="s">
        <v>22312</v>
      </c>
      <c r="AN2062" s="1" t="s">
        <v>956</v>
      </c>
      <c r="AO2062" s="1" t="s">
        <v>1148</v>
      </c>
      <c r="AP2062" s="1">
        <v>85.83</v>
      </c>
      <c r="AQ2062" s="1">
        <v>0</v>
      </c>
      <c r="AR2062" s="1"/>
      <c r="AS2062" s="1"/>
      <c r="AT2062" s="1"/>
      <c r="AU2062" s="1"/>
      <c r="AV2062" s="1"/>
      <c r="AW2062" s="1"/>
      <c r="AX2062" s="1" t="s">
        <v>335</v>
      </c>
      <c r="AY2062" s="1" t="s">
        <v>22314</v>
      </c>
      <c r="AZ2062" s="1" t="s">
        <v>828</v>
      </c>
      <c r="BA2062" s="1" t="s">
        <v>1067</v>
      </c>
      <c r="BB2062" s="1">
        <v>60.33</v>
      </c>
      <c r="BC2062" s="1">
        <v>0</v>
      </c>
      <c r="BD2062" s="1"/>
      <c r="BE2062" s="1"/>
      <c r="BF2062" s="1"/>
      <c r="BG2062" s="1"/>
      <c r="BH2062" s="1"/>
      <c r="BI2062" s="1"/>
      <c r="BJ2062" s="1" t="s">
        <v>22315</v>
      </c>
      <c r="BK2062" s="1"/>
      <c r="BL2062" s="1"/>
      <c r="BM2062" s="1" t="s">
        <v>22316</v>
      </c>
      <c r="BN2062" s="1">
        <v>7</v>
      </c>
      <c r="BO2062" s="1" t="s">
        <v>22317</v>
      </c>
      <c r="BP2062" s="1" t="str">
        <f>HYPERLINK("https://nconnect.nicmar.ac.in/storage/profile/ProfilePhoto_P25701033_941258.jpg","Download")</f>
        <v>0</v>
      </c>
      <c r="BQ2062" s="3"/>
      <c r="BR2062" s="3"/>
    </row>
    <row r="2063" spans="1:70">
      <c r="A2063" s="1" t="s">
        <v>21304</v>
      </c>
      <c r="B2063" s="1" t="s">
        <v>441</v>
      </c>
      <c r="C2063" s="1" t="s">
        <v>22318</v>
      </c>
      <c r="D2063" s="1" t="s">
        <v>111</v>
      </c>
      <c r="E2063" s="1"/>
      <c r="F2063" s="1" t="s">
        <v>22319</v>
      </c>
      <c r="G2063" s="1" t="s">
        <v>22320</v>
      </c>
      <c r="H2063" s="1" t="s">
        <v>22321</v>
      </c>
      <c r="I2063" s="1" t="s">
        <v>22322</v>
      </c>
      <c r="J2063" s="1">
        <v>9123555603</v>
      </c>
      <c r="K2063" s="1" t="s">
        <v>79</v>
      </c>
      <c r="L2063" s="1" t="s">
        <v>22323</v>
      </c>
      <c r="M2063" s="1" t="s">
        <v>81</v>
      </c>
      <c r="N2063" s="1" t="s">
        <v>12031</v>
      </c>
      <c r="O2063" s="1"/>
      <c r="P2063" s="1" t="s">
        <v>1007</v>
      </c>
      <c r="Q2063" s="1" t="s">
        <v>22324</v>
      </c>
      <c r="R2063" s="1" t="s">
        <v>22325</v>
      </c>
      <c r="S2063" s="1">
        <v>7358438796</v>
      </c>
      <c r="T2063" s="1" t="s">
        <v>22326</v>
      </c>
      <c r="U2063" s="1" t="s">
        <v>22327</v>
      </c>
      <c r="V2063" s="1">
        <v>8056810640</v>
      </c>
      <c r="W2063" s="1" t="s">
        <v>531</v>
      </c>
      <c r="X2063" s="1" t="s">
        <v>22328</v>
      </c>
      <c r="Y2063" s="1" t="s">
        <v>1475</v>
      </c>
      <c r="Z2063" s="1" t="s">
        <v>559</v>
      </c>
      <c r="AA2063" s="1" t="s">
        <v>22328</v>
      </c>
      <c r="AB2063" s="1" t="s">
        <v>1475</v>
      </c>
      <c r="AC2063" s="1" t="s">
        <v>559</v>
      </c>
      <c r="AD2063" s="1">
        <v>8.26</v>
      </c>
      <c r="AE2063" s="1" t="s">
        <v>93</v>
      </c>
      <c r="AF2063" s="1" t="s">
        <v>1599</v>
      </c>
      <c r="AG2063" s="1" t="s">
        <v>22329</v>
      </c>
      <c r="AH2063" s="1" t="s">
        <v>2736</v>
      </c>
      <c r="AI2063" s="1" t="s">
        <v>1239</v>
      </c>
      <c r="AJ2063" s="1">
        <v>74.1</v>
      </c>
      <c r="AK2063" s="1">
        <v>7.8</v>
      </c>
      <c r="AL2063" s="1" t="s">
        <v>1578</v>
      </c>
      <c r="AM2063" s="1" t="s">
        <v>3053</v>
      </c>
      <c r="AN2063" s="1" t="s">
        <v>96</v>
      </c>
      <c r="AO2063" s="1" t="s">
        <v>279</v>
      </c>
      <c r="AP2063" s="1">
        <v>92.3</v>
      </c>
      <c r="AQ2063" s="1"/>
      <c r="AR2063" s="1"/>
      <c r="AS2063" s="1"/>
      <c r="AT2063" s="1"/>
      <c r="AU2063" s="1"/>
      <c r="AV2063" s="1"/>
      <c r="AW2063" s="1"/>
      <c r="AX2063" s="1" t="s">
        <v>22330</v>
      </c>
      <c r="AY2063" s="1" t="s">
        <v>22331</v>
      </c>
      <c r="AZ2063" s="1" t="s">
        <v>134</v>
      </c>
      <c r="BA2063" s="1" t="s">
        <v>436</v>
      </c>
      <c r="BB2063" s="1">
        <v>74.4</v>
      </c>
      <c r="BC2063" s="1">
        <v>7.44</v>
      </c>
      <c r="BD2063" s="1"/>
      <c r="BE2063" s="1"/>
      <c r="BF2063" s="1"/>
      <c r="BG2063" s="1"/>
      <c r="BH2063" s="1"/>
      <c r="BI2063" s="1"/>
      <c r="BJ2063" s="1" t="s">
        <v>22332</v>
      </c>
      <c r="BK2063" s="1" t="s">
        <v>22333</v>
      </c>
      <c r="BL2063" s="1" t="s">
        <v>17904</v>
      </c>
      <c r="BM2063" s="1" t="s">
        <v>22334</v>
      </c>
      <c r="BN2063" s="1">
        <v>26</v>
      </c>
      <c r="BO2063" s="1"/>
      <c r="BP2063" s="1" t="str">
        <f>HYPERLINK("https://nconnect.nicmar.ac.in/storage/profile/ProfilePhoto_P25701034_463527.jpg","Download")</f>
        <v>0</v>
      </c>
      <c r="BQ2063" s="3"/>
      <c r="BR2063" s="3"/>
    </row>
    <row r="2064" spans="1:70">
      <c r="A2064" s="1" t="s">
        <v>21304</v>
      </c>
      <c r="B2064" s="1" t="s">
        <v>441</v>
      </c>
      <c r="C2064" s="1" t="s">
        <v>22335</v>
      </c>
      <c r="D2064" s="1" t="s">
        <v>22336</v>
      </c>
      <c r="E2064" s="1" t="s">
        <v>2203</v>
      </c>
      <c r="F2064" s="1" t="s">
        <v>2220</v>
      </c>
      <c r="G2064" s="1" t="s">
        <v>22337</v>
      </c>
      <c r="H2064" s="1" t="s">
        <v>22338</v>
      </c>
      <c r="I2064" s="1" t="s">
        <v>22339</v>
      </c>
      <c r="J2064" s="1">
        <v>9619687622</v>
      </c>
      <c r="K2064" s="1" t="s">
        <v>148</v>
      </c>
      <c r="L2064" s="1" t="s">
        <v>22340</v>
      </c>
      <c r="M2064" s="1" t="s">
        <v>81</v>
      </c>
      <c r="N2064" s="1" t="s">
        <v>241</v>
      </c>
      <c r="O2064" s="1"/>
      <c r="P2064" s="1" t="s">
        <v>497</v>
      </c>
      <c r="Q2064" s="1" t="s">
        <v>22341</v>
      </c>
      <c r="R2064" s="1" t="s">
        <v>2203</v>
      </c>
      <c r="S2064" s="1">
        <v>9892424677</v>
      </c>
      <c r="T2064" s="1" t="s">
        <v>1595</v>
      </c>
      <c r="U2064" s="1" t="s">
        <v>8309</v>
      </c>
      <c r="V2064" s="1">
        <v>9819902653</v>
      </c>
      <c r="W2064" s="1" t="s">
        <v>89</v>
      </c>
      <c r="X2064" s="1" t="s">
        <v>22342</v>
      </c>
      <c r="Y2064" s="1" t="s">
        <v>2229</v>
      </c>
      <c r="Z2064" s="1" t="s">
        <v>92</v>
      </c>
      <c r="AA2064" s="1" t="s">
        <v>22343</v>
      </c>
      <c r="AB2064" s="1" t="s">
        <v>2229</v>
      </c>
      <c r="AC2064" s="1" t="s">
        <v>92</v>
      </c>
      <c r="AD2064" s="1">
        <v>9.12</v>
      </c>
      <c r="AE2064" s="1" t="s">
        <v>93</v>
      </c>
      <c r="AF2064" s="1" t="s">
        <v>22344</v>
      </c>
      <c r="AG2064" s="1" t="s">
        <v>2154</v>
      </c>
      <c r="AH2064" s="1" t="s">
        <v>279</v>
      </c>
      <c r="AI2064" s="1" t="s">
        <v>562</v>
      </c>
      <c r="AJ2064" s="1">
        <v>91.16</v>
      </c>
      <c r="AK2064" s="1">
        <v>0</v>
      </c>
      <c r="AL2064" s="1" t="s">
        <v>21942</v>
      </c>
      <c r="AM2064" s="1" t="s">
        <v>160</v>
      </c>
      <c r="AN2064" s="1" t="s">
        <v>101</v>
      </c>
      <c r="AO2064" s="1" t="s">
        <v>198</v>
      </c>
      <c r="AP2064" s="1">
        <v>73.69</v>
      </c>
      <c r="AQ2064" s="1">
        <v>0</v>
      </c>
      <c r="AR2064" s="1"/>
      <c r="AS2064" s="1"/>
      <c r="AT2064" s="1"/>
      <c r="AU2064" s="1"/>
      <c r="AV2064" s="1"/>
      <c r="AW2064" s="1"/>
      <c r="AX2064" s="1" t="s">
        <v>253</v>
      </c>
      <c r="AY2064" s="1" t="s">
        <v>22345</v>
      </c>
      <c r="AZ2064" s="1" t="s">
        <v>201</v>
      </c>
      <c r="BA2064" s="1" t="s">
        <v>413</v>
      </c>
      <c r="BB2064" s="1">
        <v>74.53</v>
      </c>
      <c r="BC2064" s="1">
        <v>8.45</v>
      </c>
      <c r="BD2064" s="1"/>
      <c r="BE2064" s="1"/>
      <c r="BF2064" s="1"/>
      <c r="BG2064" s="1"/>
      <c r="BH2064" s="1"/>
      <c r="BI2064" s="1"/>
      <c r="BJ2064" s="1" t="s">
        <v>22346</v>
      </c>
      <c r="BK2064" s="1" t="s">
        <v>22347</v>
      </c>
      <c r="BL2064" s="1" t="s">
        <v>1022</v>
      </c>
      <c r="BM2064" s="1" t="s">
        <v>22348</v>
      </c>
      <c r="BN2064" s="1">
        <v>30</v>
      </c>
      <c r="BO2064" s="1"/>
      <c r="BP2064" s="1" t="str">
        <f>HYPERLINK("https://nconnect.nicmar.ac.in/storage/profile/ProfilePhoto_P25701035_827956.jpg","Download")</f>
        <v>0</v>
      </c>
      <c r="BQ2064" s="3"/>
      <c r="BR2064" s="3"/>
    </row>
    <row r="2065" spans="1:70">
      <c r="A2065" s="1" t="s">
        <v>21304</v>
      </c>
      <c r="B2065" s="1" t="s">
        <v>441</v>
      </c>
      <c r="C2065" s="1" t="s">
        <v>22349</v>
      </c>
      <c r="D2065" s="1" t="s">
        <v>1874</v>
      </c>
      <c r="E2065" s="1"/>
      <c r="F2065" s="1" t="s">
        <v>22350</v>
      </c>
      <c r="G2065" s="1" t="s">
        <v>22351</v>
      </c>
      <c r="H2065" s="1" t="s">
        <v>22352</v>
      </c>
      <c r="I2065" s="1" t="s">
        <v>22353</v>
      </c>
      <c r="J2065" s="1">
        <v>9392753545</v>
      </c>
      <c r="K2065" s="1" t="s">
        <v>148</v>
      </c>
      <c r="L2065" s="1" t="s">
        <v>22354</v>
      </c>
      <c r="M2065" s="1" t="s">
        <v>81</v>
      </c>
      <c r="N2065" s="1" t="s">
        <v>22355</v>
      </c>
      <c r="O2065" s="1" t="s">
        <v>22356</v>
      </c>
      <c r="P2065" s="1" t="s">
        <v>497</v>
      </c>
      <c r="Q2065" s="1" t="s">
        <v>22357</v>
      </c>
      <c r="R2065" s="1" t="s">
        <v>22358</v>
      </c>
      <c r="S2065" s="1">
        <v>9885067159</v>
      </c>
      <c r="T2065" s="1" t="s">
        <v>820</v>
      </c>
      <c r="U2065" s="1" t="s">
        <v>22359</v>
      </c>
      <c r="V2065" s="1">
        <v>9347062402</v>
      </c>
      <c r="W2065" s="1" t="s">
        <v>531</v>
      </c>
      <c r="X2065" s="1" t="s">
        <v>22360</v>
      </c>
      <c r="Y2065" s="1" t="s">
        <v>12800</v>
      </c>
      <c r="Z2065" s="1" t="s">
        <v>276</v>
      </c>
      <c r="AA2065" s="1" t="s">
        <v>22360</v>
      </c>
      <c r="AB2065" s="1" t="s">
        <v>12800</v>
      </c>
      <c r="AC2065" s="1" t="s">
        <v>276</v>
      </c>
      <c r="AD2065" s="1">
        <v>8.77</v>
      </c>
      <c r="AE2065" s="1" t="s">
        <v>93</v>
      </c>
      <c r="AF2065" s="1" t="s">
        <v>22361</v>
      </c>
      <c r="AG2065" s="1" t="s">
        <v>307</v>
      </c>
      <c r="AH2065" s="1" t="s">
        <v>383</v>
      </c>
      <c r="AI2065" s="1" t="s">
        <v>166</v>
      </c>
      <c r="AJ2065" s="1">
        <v>87.8</v>
      </c>
      <c r="AK2065" s="1"/>
      <c r="AL2065" s="1" t="s">
        <v>3052</v>
      </c>
      <c r="AM2065" s="1" t="s">
        <v>22362</v>
      </c>
      <c r="AN2065" s="1" t="s">
        <v>166</v>
      </c>
      <c r="AO2065" s="1" t="s">
        <v>360</v>
      </c>
      <c r="AP2065" s="1">
        <v>95.7</v>
      </c>
      <c r="AQ2065" s="1">
        <v>9.57</v>
      </c>
      <c r="AR2065" s="1"/>
      <c r="AS2065" s="1"/>
      <c r="AT2065" s="1"/>
      <c r="AU2065" s="1"/>
      <c r="AV2065" s="1"/>
      <c r="AW2065" s="1"/>
      <c r="AX2065" s="1" t="s">
        <v>22363</v>
      </c>
      <c r="AY2065" s="1" t="s">
        <v>22364</v>
      </c>
      <c r="AZ2065" s="1" t="s">
        <v>170</v>
      </c>
      <c r="BA2065" s="1" t="s">
        <v>543</v>
      </c>
      <c r="BB2065" s="1">
        <v>81.2</v>
      </c>
      <c r="BC2065" s="1">
        <v>8.87</v>
      </c>
      <c r="BD2065" s="1"/>
      <c r="BE2065" s="1"/>
      <c r="BF2065" s="1"/>
      <c r="BG2065" s="1"/>
      <c r="BH2065" s="1"/>
      <c r="BI2065" s="1"/>
      <c r="BJ2065" s="1" t="s">
        <v>22365</v>
      </c>
      <c r="BK2065" s="1"/>
      <c r="BL2065" s="1"/>
      <c r="BM2065" s="1" t="s">
        <v>22366</v>
      </c>
      <c r="BN2065" s="1">
        <v>35</v>
      </c>
      <c r="BO2065" s="1" t="s">
        <v>22367</v>
      </c>
      <c r="BP2065" s="1" t="str">
        <f>HYPERLINK("https://nconnect.nicmar.ac.in/storage/profile/ProfilePhoto_P25701036_451738.jpg","Download")</f>
        <v>0</v>
      </c>
      <c r="BQ2065" s="3"/>
      <c r="BR2065" s="3"/>
    </row>
    <row r="2066" spans="1:70">
      <c r="A2066" s="1" t="s">
        <v>21304</v>
      </c>
      <c r="B2066" s="1" t="s">
        <v>441</v>
      </c>
      <c r="C2066" s="1" t="s">
        <v>22368</v>
      </c>
      <c r="D2066" s="1" t="s">
        <v>22369</v>
      </c>
      <c r="E2066" s="1"/>
      <c r="F2066" s="1" t="s">
        <v>22370</v>
      </c>
      <c r="G2066" s="1" t="s">
        <v>22371</v>
      </c>
      <c r="H2066" s="1" t="s">
        <v>22372</v>
      </c>
      <c r="I2066" s="1" t="s">
        <v>22373</v>
      </c>
      <c r="J2066" s="1">
        <v>7306280013</v>
      </c>
      <c r="K2066" s="1" t="s">
        <v>148</v>
      </c>
      <c r="L2066" s="1" t="s">
        <v>19544</v>
      </c>
      <c r="M2066" s="1" t="s">
        <v>81</v>
      </c>
      <c r="N2066" s="1" t="s">
        <v>22374</v>
      </c>
      <c r="O2066" s="1"/>
      <c r="P2066" s="1" t="s">
        <v>497</v>
      </c>
      <c r="Q2066" s="1" t="s">
        <v>22375</v>
      </c>
      <c r="R2066" s="1" t="s">
        <v>22376</v>
      </c>
      <c r="S2066" s="1">
        <v>8281347926</v>
      </c>
      <c r="T2066" s="1" t="s">
        <v>22377</v>
      </c>
      <c r="U2066" s="1" t="s">
        <v>22378</v>
      </c>
      <c r="V2066" s="1">
        <v>9495407926</v>
      </c>
      <c r="W2066" s="1" t="s">
        <v>22379</v>
      </c>
      <c r="X2066" s="1" t="s">
        <v>22380</v>
      </c>
      <c r="Y2066" s="1" t="s">
        <v>3209</v>
      </c>
      <c r="Z2066" s="1" t="s">
        <v>125</v>
      </c>
      <c r="AA2066" s="1" t="s">
        <v>22380</v>
      </c>
      <c r="AB2066" s="1" t="s">
        <v>3209</v>
      </c>
      <c r="AC2066" s="1" t="s">
        <v>125</v>
      </c>
      <c r="AD2066" s="1">
        <v>7.59</v>
      </c>
      <c r="AE2066" s="1" t="s">
        <v>93</v>
      </c>
      <c r="AF2066" s="1" t="s">
        <v>22381</v>
      </c>
      <c r="AG2066" s="1" t="s">
        <v>22382</v>
      </c>
      <c r="AH2066" s="1" t="s">
        <v>162</v>
      </c>
      <c r="AI2066" s="1" t="s">
        <v>562</v>
      </c>
      <c r="AJ2066" s="1">
        <v>71.67</v>
      </c>
      <c r="AK2066" s="1"/>
      <c r="AL2066" s="1" t="s">
        <v>22383</v>
      </c>
      <c r="AM2066" s="1" t="s">
        <v>22384</v>
      </c>
      <c r="AN2066" s="1" t="s">
        <v>383</v>
      </c>
      <c r="AO2066" s="1" t="s">
        <v>308</v>
      </c>
      <c r="AP2066" s="1">
        <v>77.4</v>
      </c>
      <c r="AQ2066" s="1"/>
      <c r="AR2066" s="1"/>
      <c r="AS2066" s="1"/>
      <c r="AT2066" s="1" t="s">
        <v>174</v>
      </c>
      <c r="AU2066" s="1" t="s">
        <v>413</v>
      </c>
      <c r="AV2066" s="1"/>
      <c r="AW2066" s="1"/>
      <c r="AX2066" s="1" t="s">
        <v>132</v>
      </c>
      <c r="AY2066" s="1" t="s">
        <v>22385</v>
      </c>
      <c r="AZ2066" s="1" t="s">
        <v>310</v>
      </c>
      <c r="BA2066" s="1" t="s">
        <v>5282</v>
      </c>
      <c r="BB2066" s="1">
        <v>70.01</v>
      </c>
      <c r="BC2066" s="1"/>
      <c r="BD2066" s="1"/>
      <c r="BE2066" s="1"/>
      <c r="BF2066" s="1"/>
      <c r="BG2066" s="1"/>
      <c r="BH2066" s="1"/>
      <c r="BI2066" s="1"/>
      <c r="BJ2066" s="1" t="s">
        <v>22386</v>
      </c>
      <c r="BK2066" s="1"/>
      <c r="BL2066" s="1"/>
      <c r="BM2066" s="1" t="s">
        <v>22387</v>
      </c>
      <c r="BN2066" s="1">
        <v>42</v>
      </c>
      <c r="BO2066" s="1" t="s">
        <v>22388</v>
      </c>
      <c r="BP2066" s="1" t="str">
        <f>HYPERLINK("https://nconnect.nicmar.ac.in/storage/profile/ProfilePhoto_P25701037_823671.jpg","Download")</f>
        <v>0</v>
      </c>
      <c r="BQ2066" s="3"/>
      <c r="BR2066" s="3"/>
    </row>
    <row r="2067" spans="1:70">
      <c r="A2067" s="1" t="s">
        <v>21304</v>
      </c>
      <c r="B2067" s="1" t="s">
        <v>441</v>
      </c>
      <c r="C2067" s="1" t="s">
        <v>22389</v>
      </c>
      <c r="D2067" s="1" t="s">
        <v>22390</v>
      </c>
      <c r="E2067" s="1"/>
      <c r="F2067" s="1" t="s">
        <v>2745</v>
      </c>
      <c r="G2067" s="1" t="s">
        <v>22391</v>
      </c>
      <c r="H2067" s="1" t="s">
        <v>22392</v>
      </c>
      <c r="I2067" s="1" t="s">
        <v>22393</v>
      </c>
      <c r="J2067" s="1">
        <v>7838118203</v>
      </c>
      <c r="K2067" s="1" t="s">
        <v>79</v>
      </c>
      <c r="L2067" s="1" t="s">
        <v>22394</v>
      </c>
      <c r="M2067" s="1" t="s">
        <v>81</v>
      </c>
      <c r="N2067" s="1" t="s">
        <v>241</v>
      </c>
      <c r="O2067" s="1"/>
      <c r="P2067" s="1" t="s">
        <v>497</v>
      </c>
      <c r="Q2067" s="1" t="s">
        <v>22395</v>
      </c>
      <c r="R2067" s="1" t="s">
        <v>22396</v>
      </c>
      <c r="S2067" s="1">
        <v>7490047758</v>
      </c>
      <c r="T2067" s="1" t="s">
        <v>18098</v>
      </c>
      <c r="U2067" s="1" t="s">
        <v>22397</v>
      </c>
      <c r="V2067" s="1">
        <v>9540883202</v>
      </c>
      <c r="W2067" s="1" t="s">
        <v>531</v>
      </c>
      <c r="X2067" s="1" t="s">
        <v>22398</v>
      </c>
      <c r="Y2067" s="1" t="s">
        <v>3786</v>
      </c>
      <c r="Z2067" s="1" t="s">
        <v>534</v>
      </c>
      <c r="AA2067" s="1" t="s">
        <v>22398</v>
      </c>
      <c r="AB2067" s="1" t="s">
        <v>3786</v>
      </c>
      <c r="AC2067" s="1" t="s">
        <v>534</v>
      </c>
      <c r="AD2067" s="1">
        <v>8.36</v>
      </c>
      <c r="AE2067" s="1" t="s">
        <v>93</v>
      </c>
      <c r="AF2067" s="1" t="s">
        <v>22399</v>
      </c>
      <c r="AG2067" s="1" t="s">
        <v>22400</v>
      </c>
      <c r="AH2067" s="1" t="s">
        <v>3789</v>
      </c>
      <c r="AI2067" s="1" t="s">
        <v>129</v>
      </c>
      <c r="AJ2067" s="1">
        <v>64.6</v>
      </c>
      <c r="AK2067" s="1">
        <v>6.8</v>
      </c>
      <c r="AL2067" s="1" t="s">
        <v>22401</v>
      </c>
      <c r="AM2067" s="1" t="s">
        <v>22400</v>
      </c>
      <c r="AN2067" s="1" t="s">
        <v>1239</v>
      </c>
      <c r="AO2067" s="1" t="s">
        <v>131</v>
      </c>
      <c r="AP2067" s="1">
        <v>71.4</v>
      </c>
      <c r="AQ2067" s="1"/>
      <c r="AR2067" s="1"/>
      <c r="AS2067" s="1"/>
      <c r="AT2067" s="1"/>
      <c r="AU2067" s="1"/>
      <c r="AV2067" s="1"/>
      <c r="AW2067" s="1"/>
      <c r="AX2067" s="1" t="s">
        <v>22402</v>
      </c>
      <c r="AY2067" s="1" t="s">
        <v>22403</v>
      </c>
      <c r="AZ2067" s="1" t="s">
        <v>134</v>
      </c>
      <c r="BA2067" s="1" t="s">
        <v>433</v>
      </c>
      <c r="BB2067" s="1">
        <v>63.8</v>
      </c>
      <c r="BC2067" s="1">
        <v>6.38</v>
      </c>
      <c r="BD2067" s="1"/>
      <c r="BE2067" s="1"/>
      <c r="BF2067" s="1"/>
      <c r="BG2067" s="1"/>
      <c r="BH2067" s="1"/>
      <c r="BI2067" s="1"/>
      <c r="BJ2067" s="1" t="s">
        <v>567</v>
      </c>
      <c r="BK2067" s="1" t="s">
        <v>22404</v>
      </c>
      <c r="BL2067" s="1" t="s">
        <v>138</v>
      </c>
      <c r="BM2067" s="1" t="s">
        <v>22405</v>
      </c>
      <c r="BN2067" s="1">
        <v>12</v>
      </c>
      <c r="BO2067" s="1" t="s">
        <v>22406</v>
      </c>
      <c r="BP2067" s="1" t="str">
        <f>HYPERLINK("https://nconnect.nicmar.ac.in/storage/profile/ProfilePhoto_P25701038_647513.jpg","Download")</f>
        <v>0</v>
      </c>
      <c r="BQ2067" s="3"/>
      <c r="BR2067" s="3"/>
    </row>
    <row r="2068" spans="1:70">
      <c r="A2068" s="1" t="s">
        <v>21304</v>
      </c>
      <c r="B2068" s="1" t="s">
        <v>441</v>
      </c>
      <c r="C2068" s="1" t="s">
        <v>22407</v>
      </c>
      <c r="D2068" s="1" t="s">
        <v>22408</v>
      </c>
      <c r="E2068" s="1"/>
      <c r="F2068" s="1" t="s">
        <v>520</v>
      </c>
      <c r="G2068" s="1" t="s">
        <v>22409</v>
      </c>
      <c r="H2068" s="1" t="s">
        <v>22410</v>
      </c>
      <c r="I2068" s="1" t="s">
        <v>22411</v>
      </c>
      <c r="J2068" s="1">
        <v>9654994536</v>
      </c>
      <c r="K2068" s="1" t="s">
        <v>79</v>
      </c>
      <c r="L2068" s="1" t="s">
        <v>22412</v>
      </c>
      <c r="M2068" s="1" t="s">
        <v>81</v>
      </c>
      <c r="N2068" s="1" t="s">
        <v>22413</v>
      </c>
      <c r="O2068" s="1"/>
      <c r="P2068" s="1" t="s">
        <v>1007</v>
      </c>
      <c r="Q2068" s="1" t="s">
        <v>22414</v>
      </c>
      <c r="R2068" s="1" t="s">
        <v>22415</v>
      </c>
      <c r="S2068" s="1">
        <v>9910356567</v>
      </c>
      <c r="T2068" s="1" t="s">
        <v>820</v>
      </c>
      <c r="U2068" s="1" t="s">
        <v>22416</v>
      </c>
      <c r="V2068" s="1">
        <v>7838378900</v>
      </c>
      <c r="W2068" s="1" t="s">
        <v>531</v>
      </c>
      <c r="X2068" s="1" t="s">
        <v>22417</v>
      </c>
      <c r="Y2068" s="1" t="s">
        <v>22418</v>
      </c>
      <c r="Z2068" s="1" t="s">
        <v>1714</v>
      </c>
      <c r="AA2068" s="1" t="s">
        <v>22417</v>
      </c>
      <c r="AB2068" s="1" t="s">
        <v>22418</v>
      </c>
      <c r="AC2068" s="1" t="s">
        <v>1714</v>
      </c>
      <c r="AD2068" s="1">
        <v>8.46</v>
      </c>
      <c r="AE2068" s="1" t="s">
        <v>93</v>
      </c>
      <c r="AF2068" s="1" t="s">
        <v>22419</v>
      </c>
      <c r="AG2068" s="1" t="s">
        <v>22420</v>
      </c>
      <c r="AH2068" s="1" t="s">
        <v>3789</v>
      </c>
      <c r="AI2068" s="1" t="s">
        <v>1559</v>
      </c>
      <c r="AJ2068" s="1">
        <v>74.1</v>
      </c>
      <c r="AK2068" s="1">
        <v>7.8</v>
      </c>
      <c r="AL2068" s="1" t="s">
        <v>22421</v>
      </c>
      <c r="AM2068" s="1" t="s">
        <v>22420</v>
      </c>
      <c r="AN2068" s="1" t="s">
        <v>1191</v>
      </c>
      <c r="AO2068" s="1" t="s">
        <v>161</v>
      </c>
      <c r="AP2068" s="1">
        <v>64.6</v>
      </c>
      <c r="AQ2068" s="1"/>
      <c r="AR2068" s="1"/>
      <c r="AS2068" s="1"/>
      <c r="AT2068" s="1"/>
      <c r="AU2068" s="1"/>
      <c r="AV2068" s="1"/>
      <c r="AW2068" s="1"/>
      <c r="AX2068" s="1" t="s">
        <v>22422</v>
      </c>
      <c r="AY2068" s="1" t="s">
        <v>22423</v>
      </c>
      <c r="AZ2068" s="1" t="s">
        <v>100</v>
      </c>
      <c r="BA2068" s="1" t="s">
        <v>170</v>
      </c>
      <c r="BB2068" s="1">
        <v>58.33</v>
      </c>
      <c r="BC2068" s="1">
        <v>6.14</v>
      </c>
      <c r="BD2068" s="1" t="s">
        <v>22422</v>
      </c>
      <c r="BE2068" s="1" t="s">
        <v>1244</v>
      </c>
      <c r="BF2068" s="1" t="s">
        <v>170</v>
      </c>
      <c r="BG2068" s="1" t="s">
        <v>1378</v>
      </c>
      <c r="BH2068" s="1">
        <v>69.25</v>
      </c>
      <c r="BI2068" s="1">
        <v>7.29</v>
      </c>
      <c r="BJ2068" s="1" t="s">
        <v>22424</v>
      </c>
      <c r="BK2068" s="1" t="s">
        <v>22425</v>
      </c>
      <c r="BL2068" s="1" t="s">
        <v>340</v>
      </c>
      <c r="BM2068" s="1" t="s">
        <v>22426</v>
      </c>
      <c r="BN2068" s="1">
        <v>14</v>
      </c>
      <c r="BO2068" s="1"/>
      <c r="BP2068" s="1" t="str">
        <f>HYPERLINK("https://nconnect.nicmar.ac.in/storage/profile/ProfilePhoto_P25701040_275319.jpg","Download")</f>
        <v>0</v>
      </c>
      <c r="BQ2068" s="3"/>
      <c r="BR2068" s="3"/>
    </row>
    <row r="2069" spans="1:70">
      <c r="A2069" s="1" t="s">
        <v>21304</v>
      </c>
      <c r="B2069" s="1" t="s">
        <v>441</v>
      </c>
      <c r="C2069" s="1" t="s">
        <v>22427</v>
      </c>
      <c r="D2069" s="1" t="s">
        <v>2219</v>
      </c>
      <c r="E2069" s="1" t="s">
        <v>13364</v>
      </c>
      <c r="F2069" s="1" t="s">
        <v>10124</v>
      </c>
      <c r="G2069" s="1" t="s">
        <v>22428</v>
      </c>
      <c r="H2069" s="1" t="s">
        <v>22429</v>
      </c>
      <c r="I2069" s="1" t="s">
        <v>22430</v>
      </c>
      <c r="J2069" s="1">
        <v>7032613332</v>
      </c>
      <c r="K2069" s="1" t="s">
        <v>79</v>
      </c>
      <c r="L2069" s="1" t="s">
        <v>22431</v>
      </c>
      <c r="M2069" s="1" t="s">
        <v>81</v>
      </c>
      <c r="N2069" s="1" t="s">
        <v>22432</v>
      </c>
      <c r="O2069" s="1"/>
      <c r="P2069" s="1"/>
      <c r="Q2069" s="1" t="s">
        <v>22433</v>
      </c>
      <c r="R2069" s="1" t="s">
        <v>22434</v>
      </c>
      <c r="S2069" s="1">
        <v>9583257443</v>
      </c>
      <c r="T2069" s="1" t="s">
        <v>820</v>
      </c>
      <c r="U2069" s="1" t="s">
        <v>22435</v>
      </c>
      <c r="V2069" s="1">
        <v>9437359115</v>
      </c>
      <c r="W2069" s="1" t="s">
        <v>89</v>
      </c>
      <c r="X2069" s="1" t="s">
        <v>22436</v>
      </c>
      <c r="Y2069" s="1" t="s">
        <v>22437</v>
      </c>
      <c r="Z2069" s="1" t="s">
        <v>846</v>
      </c>
      <c r="AA2069" s="1" t="s">
        <v>22438</v>
      </c>
      <c r="AB2069" s="1" t="s">
        <v>22437</v>
      </c>
      <c r="AC2069" s="1" t="s">
        <v>846</v>
      </c>
      <c r="AD2069" s="1">
        <v>8.53</v>
      </c>
      <c r="AE2069" s="1" t="s">
        <v>93</v>
      </c>
      <c r="AF2069" s="1" t="s">
        <v>22439</v>
      </c>
      <c r="AG2069" s="1" t="s">
        <v>777</v>
      </c>
      <c r="AH2069" s="1" t="s">
        <v>1190</v>
      </c>
      <c r="AI2069" s="1" t="s">
        <v>131</v>
      </c>
      <c r="AJ2069" s="1">
        <v>83.6</v>
      </c>
      <c r="AK2069" s="1">
        <v>8.8</v>
      </c>
      <c r="AL2069" s="1" t="s">
        <v>22440</v>
      </c>
      <c r="AM2069" s="1" t="s">
        <v>22441</v>
      </c>
      <c r="AN2069" s="1" t="s">
        <v>161</v>
      </c>
      <c r="AO2069" s="1" t="s">
        <v>689</v>
      </c>
      <c r="AP2069" s="1">
        <v>79.5</v>
      </c>
      <c r="AQ2069" s="1"/>
      <c r="AR2069" s="1"/>
      <c r="AS2069" s="1"/>
      <c r="AT2069" s="1"/>
      <c r="AU2069" s="1"/>
      <c r="AV2069" s="1"/>
      <c r="AW2069" s="1"/>
      <c r="AX2069" s="1" t="s">
        <v>22442</v>
      </c>
      <c r="AY2069" s="1" t="s">
        <v>22443</v>
      </c>
      <c r="AZ2069" s="1" t="s">
        <v>165</v>
      </c>
      <c r="BA2069" s="1" t="s">
        <v>436</v>
      </c>
      <c r="BB2069" s="1">
        <v>65.83</v>
      </c>
      <c r="BC2069" s="1">
        <v>6.93</v>
      </c>
      <c r="BD2069" s="1"/>
      <c r="BE2069" s="1"/>
      <c r="BF2069" s="1"/>
      <c r="BG2069" s="1"/>
      <c r="BH2069" s="1"/>
      <c r="BI2069" s="1"/>
      <c r="BJ2069" s="1" t="s">
        <v>22444</v>
      </c>
      <c r="BK2069" s="1" t="s">
        <v>22445</v>
      </c>
      <c r="BL2069" s="1" t="s">
        <v>721</v>
      </c>
      <c r="BM2069" s="1" t="s">
        <v>22446</v>
      </c>
      <c r="BN2069" s="1">
        <v>8</v>
      </c>
      <c r="BO2069" s="1" t="s">
        <v>22447</v>
      </c>
      <c r="BP2069" s="1" t="str">
        <f>HYPERLINK("https://nconnect.nicmar.ac.in/storage/profile/ProfilePhoto_P25701041_738129.jpg","Download")</f>
        <v>0</v>
      </c>
      <c r="BQ2069" s="3"/>
      <c r="BR2069" s="3"/>
    </row>
    <row r="2070" spans="1:70">
      <c r="A2070" s="1" t="s">
        <v>21304</v>
      </c>
      <c r="B2070" s="1" t="s">
        <v>441</v>
      </c>
      <c r="C2070" s="1" t="s">
        <v>22448</v>
      </c>
      <c r="D2070" s="1" t="s">
        <v>22449</v>
      </c>
      <c r="E2070" s="1" t="s">
        <v>744</v>
      </c>
      <c r="F2070" s="1" t="s">
        <v>10414</v>
      </c>
      <c r="G2070" s="1" t="s">
        <v>22450</v>
      </c>
      <c r="H2070" s="1" t="s">
        <v>22451</v>
      </c>
      <c r="I2070" s="1" t="s">
        <v>22452</v>
      </c>
      <c r="J2070" s="1">
        <v>9653349239</v>
      </c>
      <c r="K2070" s="1" t="s">
        <v>79</v>
      </c>
      <c r="L2070" s="1" t="s">
        <v>22453</v>
      </c>
      <c r="M2070" s="1" t="s">
        <v>81</v>
      </c>
      <c r="N2070" s="1" t="s">
        <v>11803</v>
      </c>
      <c r="O2070" s="1"/>
      <c r="P2070" s="1" t="s">
        <v>497</v>
      </c>
      <c r="Q2070" s="1" t="s">
        <v>22454</v>
      </c>
      <c r="R2070" s="1" t="s">
        <v>10414</v>
      </c>
      <c r="S2070" s="1">
        <v>8104714825</v>
      </c>
      <c r="T2070" s="1" t="s">
        <v>5643</v>
      </c>
      <c r="U2070" s="1" t="s">
        <v>19248</v>
      </c>
      <c r="V2070" s="1">
        <v>9920127760</v>
      </c>
      <c r="W2070" s="1" t="s">
        <v>8316</v>
      </c>
      <c r="X2070" s="1" t="s">
        <v>22455</v>
      </c>
      <c r="Y2070" s="1" t="s">
        <v>1857</v>
      </c>
      <c r="Z2070" s="1" t="s">
        <v>92</v>
      </c>
      <c r="AA2070" s="1" t="s">
        <v>22455</v>
      </c>
      <c r="AB2070" s="1" t="s">
        <v>1857</v>
      </c>
      <c r="AC2070" s="1" t="s">
        <v>92</v>
      </c>
      <c r="AD2070" s="1">
        <v>9.13</v>
      </c>
      <c r="AE2070" s="1" t="s">
        <v>93</v>
      </c>
      <c r="AF2070" s="1" t="s">
        <v>22456</v>
      </c>
      <c r="AG2070" s="1" t="s">
        <v>160</v>
      </c>
      <c r="AH2070" s="1" t="s">
        <v>2603</v>
      </c>
      <c r="AI2070" s="1" t="s">
        <v>128</v>
      </c>
      <c r="AJ2070" s="1">
        <v>88.73</v>
      </c>
      <c r="AK2070" s="1"/>
      <c r="AL2070" s="1" t="s">
        <v>22457</v>
      </c>
      <c r="AM2070" s="1" t="s">
        <v>160</v>
      </c>
      <c r="AN2070" s="1" t="s">
        <v>128</v>
      </c>
      <c r="AO2070" s="1" t="s">
        <v>1239</v>
      </c>
      <c r="AP2070" s="1">
        <v>71.54</v>
      </c>
      <c r="AQ2070" s="1"/>
      <c r="AR2070" s="1"/>
      <c r="AS2070" s="1"/>
      <c r="AT2070" s="1"/>
      <c r="AU2070" s="1"/>
      <c r="AV2070" s="1"/>
      <c r="AW2070" s="1"/>
      <c r="AX2070" s="1" t="s">
        <v>666</v>
      </c>
      <c r="AY2070" s="1" t="s">
        <v>22458</v>
      </c>
      <c r="AZ2070" s="1" t="s">
        <v>130</v>
      </c>
      <c r="BA2070" s="1" t="s">
        <v>308</v>
      </c>
      <c r="BB2070" s="1">
        <v>61.48</v>
      </c>
      <c r="BC2070" s="1">
        <v>6.97</v>
      </c>
      <c r="BD2070" s="1"/>
      <c r="BE2070" s="1"/>
      <c r="BF2070" s="1"/>
      <c r="BG2070" s="1"/>
      <c r="BH2070" s="1"/>
      <c r="BI2070" s="1"/>
      <c r="BJ2070" s="1" t="s">
        <v>364</v>
      </c>
      <c r="BK2070" s="1" t="s">
        <v>22459</v>
      </c>
      <c r="BL2070" s="1" t="s">
        <v>22460</v>
      </c>
      <c r="BM2070" s="1" t="s">
        <v>22461</v>
      </c>
      <c r="BN2070" s="1">
        <v>8</v>
      </c>
      <c r="BO2070" s="1"/>
      <c r="BP2070" s="1" t="str">
        <f>HYPERLINK("https://nconnect.nicmar.ac.in/storage/profile/ProfilePhoto_P25701042_567892.jpg","Download")</f>
        <v>0</v>
      </c>
      <c r="BQ2070" s="3"/>
      <c r="BR2070" s="3"/>
    </row>
    <row r="2071" spans="1:70">
      <c r="A2071" s="1" t="s">
        <v>21304</v>
      </c>
      <c r="B2071" s="1" t="s">
        <v>441</v>
      </c>
      <c r="C2071" s="1" t="s">
        <v>22462</v>
      </c>
      <c r="D2071" s="1" t="s">
        <v>22463</v>
      </c>
      <c r="E2071" s="1" t="s">
        <v>2439</v>
      </c>
      <c r="F2071" s="1" t="s">
        <v>22464</v>
      </c>
      <c r="G2071" s="1" t="s">
        <v>22465</v>
      </c>
      <c r="H2071" s="1" t="s">
        <v>22466</v>
      </c>
      <c r="I2071" s="1" t="s">
        <v>22467</v>
      </c>
      <c r="J2071" s="1">
        <v>9594758807</v>
      </c>
      <c r="K2071" s="1" t="s">
        <v>79</v>
      </c>
      <c r="L2071" s="1" t="s">
        <v>22468</v>
      </c>
      <c r="M2071" s="1" t="s">
        <v>81</v>
      </c>
      <c r="N2071" s="1" t="s">
        <v>8503</v>
      </c>
      <c r="O2071" s="1"/>
      <c r="P2071" s="1" t="s">
        <v>450</v>
      </c>
      <c r="Q2071" s="1" t="s">
        <v>22469</v>
      </c>
      <c r="R2071" s="1" t="s">
        <v>2439</v>
      </c>
      <c r="S2071" s="1">
        <v>7738123076</v>
      </c>
      <c r="T2071" s="1" t="s">
        <v>120</v>
      </c>
      <c r="U2071" s="1" t="s">
        <v>4402</v>
      </c>
      <c r="V2071" s="1">
        <v>9967723580</v>
      </c>
      <c r="W2071" s="1" t="s">
        <v>273</v>
      </c>
      <c r="X2071" s="1" t="s">
        <v>22470</v>
      </c>
      <c r="Y2071" s="1" t="s">
        <v>1857</v>
      </c>
      <c r="Z2071" s="1" t="s">
        <v>92</v>
      </c>
      <c r="AA2071" s="1" t="s">
        <v>22470</v>
      </c>
      <c r="AB2071" s="1" t="s">
        <v>1857</v>
      </c>
      <c r="AC2071" s="1" t="s">
        <v>92</v>
      </c>
      <c r="AD2071" s="1">
        <v>9.1</v>
      </c>
      <c r="AE2071" s="1" t="s">
        <v>93</v>
      </c>
      <c r="AF2071" s="1" t="s">
        <v>22471</v>
      </c>
      <c r="AG2071" s="1" t="s">
        <v>1942</v>
      </c>
      <c r="AH2071" s="1" t="s">
        <v>96</v>
      </c>
      <c r="AI2071" s="1" t="s">
        <v>97</v>
      </c>
      <c r="AJ2071" s="1">
        <v>83.4</v>
      </c>
      <c r="AK2071" s="1"/>
      <c r="AL2071" s="1" t="s">
        <v>22472</v>
      </c>
      <c r="AM2071" s="1" t="s">
        <v>1942</v>
      </c>
      <c r="AN2071" s="1" t="s">
        <v>162</v>
      </c>
      <c r="AO2071" s="1" t="s">
        <v>508</v>
      </c>
      <c r="AP2071" s="1">
        <v>57.85</v>
      </c>
      <c r="AQ2071" s="1"/>
      <c r="AR2071" s="1" t="s">
        <v>18556</v>
      </c>
      <c r="AS2071" s="1" t="s">
        <v>22473</v>
      </c>
      <c r="AT2071" s="1" t="s">
        <v>165</v>
      </c>
      <c r="AU2071" s="1" t="s">
        <v>308</v>
      </c>
      <c r="AV2071" s="1">
        <v>68.12</v>
      </c>
      <c r="AW2071" s="1"/>
      <c r="AX2071" s="1" t="s">
        <v>666</v>
      </c>
      <c r="AY2071" s="1" t="s">
        <v>22474</v>
      </c>
      <c r="AZ2071" s="1" t="s">
        <v>201</v>
      </c>
      <c r="BA2071" s="1" t="s">
        <v>619</v>
      </c>
      <c r="BB2071" s="1">
        <v>73.38</v>
      </c>
      <c r="BC2071" s="1">
        <v>8.48</v>
      </c>
      <c r="BD2071" s="1"/>
      <c r="BE2071" s="1"/>
      <c r="BF2071" s="1"/>
      <c r="BG2071" s="1"/>
      <c r="BH2071" s="1"/>
      <c r="BI2071" s="1"/>
      <c r="BJ2071" s="1" t="s">
        <v>364</v>
      </c>
      <c r="BK2071" s="1" t="s">
        <v>22475</v>
      </c>
      <c r="BL2071" s="1" t="s">
        <v>138</v>
      </c>
      <c r="BM2071" s="1" t="s">
        <v>22476</v>
      </c>
      <c r="BN2071" s="1">
        <v>17</v>
      </c>
      <c r="BO2071" s="1" t="s">
        <v>22477</v>
      </c>
      <c r="BP2071" s="1" t="str">
        <f>HYPERLINK("https://nconnect.nicmar.ac.in/storage/profile/ProfilePhoto_P25701043_584167.jpg","Download")</f>
        <v>0</v>
      </c>
      <c r="BQ2071" s="3"/>
      <c r="BR2071" s="3"/>
    </row>
    <row r="2072" spans="1:70">
      <c r="A2072" s="1" t="s">
        <v>21304</v>
      </c>
      <c r="B2072" s="1" t="s">
        <v>441</v>
      </c>
      <c r="C2072" s="1" t="s">
        <v>22478</v>
      </c>
      <c r="D2072" s="1" t="s">
        <v>19489</v>
      </c>
      <c r="E2072" s="1"/>
      <c r="F2072" s="1" t="s">
        <v>2220</v>
      </c>
      <c r="G2072" s="1" t="s">
        <v>22479</v>
      </c>
      <c r="H2072" s="1" t="s">
        <v>22480</v>
      </c>
      <c r="I2072" s="1" t="s">
        <v>22481</v>
      </c>
      <c r="J2072" s="1">
        <v>9764791512</v>
      </c>
      <c r="K2072" s="1" t="s">
        <v>79</v>
      </c>
      <c r="L2072" s="1" t="s">
        <v>22482</v>
      </c>
      <c r="M2072" s="1" t="s">
        <v>81</v>
      </c>
      <c r="N2072" s="1" t="s">
        <v>4289</v>
      </c>
      <c r="O2072" s="1"/>
      <c r="P2072" s="1" t="s">
        <v>1007</v>
      </c>
      <c r="Q2072" s="1" t="s">
        <v>22483</v>
      </c>
      <c r="R2072" s="1" t="s">
        <v>22484</v>
      </c>
      <c r="S2072" s="1">
        <v>9922443627</v>
      </c>
      <c r="T2072" s="1" t="s">
        <v>22485</v>
      </c>
      <c r="U2072" s="1" t="s">
        <v>22486</v>
      </c>
      <c r="V2072" s="1">
        <v>9370284656</v>
      </c>
      <c r="W2072" s="1" t="s">
        <v>89</v>
      </c>
      <c r="X2072" s="1" t="s">
        <v>22487</v>
      </c>
      <c r="Y2072" s="1" t="s">
        <v>191</v>
      </c>
      <c r="Z2072" s="1" t="s">
        <v>92</v>
      </c>
      <c r="AA2072" s="1" t="s">
        <v>22487</v>
      </c>
      <c r="AB2072" s="1" t="s">
        <v>191</v>
      </c>
      <c r="AC2072" s="1" t="s">
        <v>92</v>
      </c>
      <c r="AD2072" s="1">
        <v>8.51</v>
      </c>
      <c r="AE2072" s="1" t="s">
        <v>93</v>
      </c>
      <c r="AF2072" s="1" t="s">
        <v>18364</v>
      </c>
      <c r="AG2072" s="1" t="s">
        <v>22488</v>
      </c>
      <c r="AH2072" s="1" t="s">
        <v>505</v>
      </c>
      <c r="AI2072" s="1" t="s">
        <v>131</v>
      </c>
      <c r="AJ2072" s="1">
        <v>83.6</v>
      </c>
      <c r="AK2072" s="1">
        <v>8.8</v>
      </c>
      <c r="AL2072" s="1" t="s">
        <v>18364</v>
      </c>
      <c r="AM2072" s="1" t="s">
        <v>22488</v>
      </c>
      <c r="AN2072" s="1" t="s">
        <v>1089</v>
      </c>
      <c r="AO2072" s="1" t="s">
        <v>562</v>
      </c>
      <c r="AP2072" s="1">
        <v>89.4</v>
      </c>
      <c r="AQ2072" s="1"/>
      <c r="AR2072" s="1"/>
      <c r="AS2072" s="1"/>
      <c r="AT2072" s="1"/>
      <c r="AU2072" s="1"/>
      <c r="AV2072" s="1"/>
      <c r="AW2072" s="1"/>
      <c r="AX2072" s="1" t="s">
        <v>17470</v>
      </c>
      <c r="AY2072" s="1" t="s">
        <v>22489</v>
      </c>
      <c r="AZ2072" s="1" t="s">
        <v>169</v>
      </c>
      <c r="BA2072" s="1" t="s">
        <v>1378</v>
      </c>
      <c r="BB2072" s="1">
        <v>85.6</v>
      </c>
      <c r="BC2072" s="1">
        <v>8.56</v>
      </c>
      <c r="BD2072" s="1"/>
      <c r="BE2072" s="1"/>
      <c r="BF2072" s="1"/>
      <c r="BG2072" s="1"/>
      <c r="BH2072" s="1"/>
      <c r="BI2072" s="1"/>
      <c r="BJ2072" s="1" t="s">
        <v>22490</v>
      </c>
      <c r="BK2072" s="1" t="s">
        <v>22491</v>
      </c>
      <c r="BL2072" s="1" t="s">
        <v>9090</v>
      </c>
      <c r="BM2072" s="1" t="s">
        <v>22492</v>
      </c>
      <c r="BN2072" s="1">
        <v>29</v>
      </c>
      <c r="BO2072" s="1"/>
      <c r="BP2072" s="1" t="str">
        <f>HYPERLINK("https://nconnect.nicmar.ac.in/storage/profile/ProfilePhoto_P25701044_378594.jpg","Download")</f>
        <v>0</v>
      </c>
      <c r="BQ2072" s="3"/>
      <c r="BR2072" s="3"/>
    </row>
    <row r="2073" spans="1:70">
      <c r="A2073" s="1" t="s">
        <v>21304</v>
      </c>
      <c r="B2073" s="1" t="s">
        <v>441</v>
      </c>
      <c r="C2073" s="1" t="s">
        <v>22493</v>
      </c>
      <c r="D2073" s="1" t="s">
        <v>22494</v>
      </c>
      <c r="E2073" s="1" t="s">
        <v>22495</v>
      </c>
      <c r="F2073" s="1" t="s">
        <v>11252</v>
      </c>
      <c r="G2073" s="1" t="s">
        <v>22496</v>
      </c>
      <c r="H2073" s="1" t="s">
        <v>22497</v>
      </c>
      <c r="I2073" s="1" t="s">
        <v>22498</v>
      </c>
      <c r="J2073" s="1">
        <v>8237192771</v>
      </c>
      <c r="K2073" s="1" t="s">
        <v>79</v>
      </c>
      <c r="L2073" s="1" t="s">
        <v>22499</v>
      </c>
      <c r="M2073" s="1" t="s">
        <v>81</v>
      </c>
      <c r="N2073" s="1" t="s">
        <v>4976</v>
      </c>
      <c r="O2073" s="1"/>
      <c r="P2073" s="1" t="s">
        <v>450</v>
      </c>
      <c r="Q2073" s="1" t="s">
        <v>22500</v>
      </c>
      <c r="R2073" s="1" t="s">
        <v>22501</v>
      </c>
      <c r="S2073" s="1">
        <v>9921298484</v>
      </c>
      <c r="T2073" s="1" t="s">
        <v>22502</v>
      </c>
      <c r="U2073" s="1" t="s">
        <v>22503</v>
      </c>
      <c r="V2073" s="1">
        <v>8485865531</v>
      </c>
      <c r="W2073" s="1" t="s">
        <v>273</v>
      </c>
      <c r="X2073" s="1" t="s">
        <v>22504</v>
      </c>
      <c r="Y2073" s="1" t="s">
        <v>191</v>
      </c>
      <c r="Z2073" s="1" t="s">
        <v>92</v>
      </c>
      <c r="AA2073" s="1" t="s">
        <v>22505</v>
      </c>
      <c r="AB2073" s="1" t="s">
        <v>1918</v>
      </c>
      <c r="AC2073" s="1" t="s">
        <v>1187</v>
      </c>
      <c r="AD2073" s="1">
        <v>7.81</v>
      </c>
      <c r="AE2073" s="1" t="s">
        <v>93</v>
      </c>
      <c r="AF2073" s="1" t="s">
        <v>22506</v>
      </c>
      <c r="AG2073" s="1" t="s">
        <v>160</v>
      </c>
      <c r="AH2073" s="1" t="s">
        <v>166</v>
      </c>
      <c r="AI2073" s="1" t="s">
        <v>433</v>
      </c>
      <c r="AJ2073" s="1">
        <v>74.6</v>
      </c>
      <c r="AK2073" s="1"/>
      <c r="AL2073" s="1" t="s">
        <v>22507</v>
      </c>
      <c r="AM2073" s="1" t="s">
        <v>160</v>
      </c>
      <c r="AN2073" s="1" t="s">
        <v>460</v>
      </c>
      <c r="AO2073" s="1" t="s">
        <v>436</v>
      </c>
      <c r="AP2073" s="1">
        <v>88.17</v>
      </c>
      <c r="AQ2073" s="1"/>
      <c r="AR2073" s="1"/>
      <c r="AS2073" s="1"/>
      <c r="AT2073" s="1"/>
      <c r="AU2073" s="1"/>
      <c r="AV2073" s="1"/>
      <c r="AW2073" s="1"/>
      <c r="AX2073" s="1" t="s">
        <v>1194</v>
      </c>
      <c r="AY2073" s="1" t="s">
        <v>22508</v>
      </c>
      <c r="AZ2073" s="1" t="s">
        <v>593</v>
      </c>
      <c r="BA2073" s="1" t="s">
        <v>543</v>
      </c>
      <c r="BB2073" s="1">
        <v>77.1</v>
      </c>
      <c r="BC2073" s="1">
        <v>7.71</v>
      </c>
      <c r="BD2073" s="1"/>
      <c r="BE2073" s="1"/>
      <c r="BF2073" s="1"/>
      <c r="BG2073" s="1"/>
      <c r="BH2073" s="1"/>
      <c r="BI2073" s="1"/>
      <c r="BJ2073" s="1" t="s">
        <v>22509</v>
      </c>
      <c r="BK2073" s="1"/>
      <c r="BL2073" s="1"/>
      <c r="BM2073" s="1" t="s">
        <v>22510</v>
      </c>
      <c r="BN2073" s="1">
        <v>27</v>
      </c>
      <c r="BO2073" s="1" t="s">
        <v>22001</v>
      </c>
      <c r="BP2073" s="1" t="str">
        <f>HYPERLINK("https://nconnect.nicmar.ac.in/storage/profile/ProfilePhoto_P25701045_798341.jpg","Download")</f>
        <v>0</v>
      </c>
      <c r="BQ2073" s="3"/>
      <c r="BR2073" s="3"/>
    </row>
    <row r="2074" spans="1:70">
      <c r="A2074" s="1" t="s">
        <v>21304</v>
      </c>
      <c r="B2074" s="1" t="s">
        <v>441</v>
      </c>
      <c r="C2074" s="1" t="s">
        <v>22511</v>
      </c>
      <c r="D2074" s="1" t="s">
        <v>22512</v>
      </c>
      <c r="E2074" s="1"/>
      <c r="F2074" s="1" t="s">
        <v>12664</v>
      </c>
      <c r="G2074" s="1" t="s">
        <v>22513</v>
      </c>
      <c r="H2074" s="1" t="s">
        <v>22514</v>
      </c>
      <c r="I2074" s="1" t="s">
        <v>22515</v>
      </c>
      <c r="J2074" s="1">
        <v>9446578575</v>
      </c>
      <c r="K2074" s="1" t="s">
        <v>79</v>
      </c>
      <c r="L2074" s="1" t="s">
        <v>18908</v>
      </c>
      <c r="M2074" s="1" t="s">
        <v>81</v>
      </c>
      <c r="N2074" s="1" t="s">
        <v>22516</v>
      </c>
      <c r="O2074" s="1"/>
      <c r="P2074" s="1" t="s">
        <v>450</v>
      </c>
      <c r="Q2074" s="1" t="s">
        <v>22517</v>
      </c>
      <c r="R2074" s="1" t="s">
        <v>22518</v>
      </c>
      <c r="S2074" s="1">
        <v>9447915003</v>
      </c>
      <c r="T2074" s="1" t="s">
        <v>271</v>
      </c>
      <c r="U2074" s="1" t="s">
        <v>22519</v>
      </c>
      <c r="V2074" s="1">
        <v>9446574075</v>
      </c>
      <c r="W2074" s="1" t="s">
        <v>122</v>
      </c>
      <c r="X2074" s="1" t="s">
        <v>22520</v>
      </c>
      <c r="Y2074" s="1" t="s">
        <v>686</v>
      </c>
      <c r="Z2074" s="1" t="s">
        <v>125</v>
      </c>
      <c r="AA2074" s="1" t="s">
        <v>22520</v>
      </c>
      <c r="AB2074" s="1" t="s">
        <v>686</v>
      </c>
      <c r="AC2074" s="1" t="s">
        <v>125</v>
      </c>
      <c r="AD2074" s="1">
        <v>8.98</v>
      </c>
      <c r="AE2074" s="1" t="s">
        <v>93</v>
      </c>
      <c r="AF2074" s="1" t="s">
        <v>22521</v>
      </c>
      <c r="AG2074" s="1" t="s">
        <v>22522</v>
      </c>
      <c r="AH2074" s="1" t="s">
        <v>162</v>
      </c>
      <c r="AI2074" s="1" t="s">
        <v>165</v>
      </c>
      <c r="AJ2074" s="1">
        <v>95</v>
      </c>
      <c r="AK2074" s="1">
        <v>10</v>
      </c>
      <c r="AL2074" s="1" t="s">
        <v>22521</v>
      </c>
      <c r="AM2074" s="1" t="s">
        <v>22522</v>
      </c>
      <c r="AN2074" s="1" t="s">
        <v>101</v>
      </c>
      <c r="AO2074" s="1" t="s">
        <v>308</v>
      </c>
      <c r="AP2074" s="1">
        <v>83.8</v>
      </c>
      <c r="AQ2074" s="1"/>
      <c r="AR2074" s="1"/>
      <c r="AS2074" s="1"/>
      <c r="AT2074" s="1"/>
      <c r="AU2074" s="1"/>
      <c r="AV2074" s="1"/>
      <c r="AW2074" s="1"/>
      <c r="AX2074" s="1" t="s">
        <v>132</v>
      </c>
      <c r="AY2074" s="1" t="s">
        <v>22523</v>
      </c>
      <c r="AZ2074" s="1" t="s">
        <v>433</v>
      </c>
      <c r="BA2074" s="1" t="s">
        <v>229</v>
      </c>
      <c r="BB2074" s="1">
        <v>80</v>
      </c>
      <c r="BC2074" s="1">
        <v>8</v>
      </c>
      <c r="BD2074" s="1"/>
      <c r="BE2074" s="1"/>
      <c r="BF2074" s="1"/>
      <c r="BG2074" s="1"/>
      <c r="BH2074" s="1"/>
      <c r="BI2074" s="1"/>
      <c r="BJ2074" s="1" t="s">
        <v>22524</v>
      </c>
      <c r="BK2074" s="1" t="s">
        <v>22525</v>
      </c>
      <c r="BL2074" s="1" t="s">
        <v>1048</v>
      </c>
      <c r="BM2074" s="1" t="s">
        <v>22526</v>
      </c>
      <c r="BN2074" s="1">
        <v>9</v>
      </c>
      <c r="BO2074" s="1" t="s">
        <v>22527</v>
      </c>
      <c r="BP2074" s="1" t="str">
        <f>HYPERLINK("https://nconnect.nicmar.ac.in/storage/profile/ProfilePhoto_P25701047_179582.jpg","Download")</f>
        <v>0</v>
      </c>
      <c r="BQ2074" s="3"/>
      <c r="BR2074" s="3"/>
    </row>
    <row r="2075" spans="1:70">
      <c r="A2075" s="1" t="s">
        <v>21304</v>
      </c>
      <c r="B2075" s="1" t="s">
        <v>441</v>
      </c>
      <c r="C2075" s="1" t="s">
        <v>22528</v>
      </c>
      <c r="D2075" s="1" t="s">
        <v>22529</v>
      </c>
      <c r="E2075" s="1"/>
      <c r="F2075" s="1" t="s">
        <v>22530</v>
      </c>
      <c r="G2075" s="1" t="s">
        <v>22531</v>
      </c>
      <c r="H2075" s="1" t="s">
        <v>22532</v>
      </c>
      <c r="I2075" s="1" t="s">
        <v>22533</v>
      </c>
      <c r="J2075" s="1">
        <v>7093809403</v>
      </c>
      <c r="K2075" s="1" t="s">
        <v>148</v>
      </c>
      <c r="L2075" s="1" t="s">
        <v>5101</v>
      </c>
      <c r="M2075" s="1" t="s">
        <v>81</v>
      </c>
      <c r="N2075" s="1" t="s">
        <v>22534</v>
      </c>
      <c r="O2075" s="1"/>
      <c r="P2075" s="1" t="s">
        <v>450</v>
      </c>
      <c r="Q2075" s="1" t="s">
        <v>22535</v>
      </c>
      <c r="R2075" s="1" t="s">
        <v>22536</v>
      </c>
      <c r="S2075" s="1">
        <v>7659009214</v>
      </c>
      <c r="T2075" s="1" t="s">
        <v>1938</v>
      </c>
      <c r="U2075" s="1" t="s">
        <v>22537</v>
      </c>
      <c r="V2075" s="1">
        <v>7659009214</v>
      </c>
      <c r="W2075" s="1" t="s">
        <v>154</v>
      </c>
      <c r="X2075" s="1" t="s">
        <v>22538</v>
      </c>
      <c r="Y2075" s="1" t="s">
        <v>22539</v>
      </c>
      <c r="Z2075" s="1" t="s">
        <v>276</v>
      </c>
      <c r="AA2075" s="1" t="s">
        <v>22538</v>
      </c>
      <c r="AB2075" s="1" t="s">
        <v>22539</v>
      </c>
      <c r="AC2075" s="1" t="s">
        <v>276</v>
      </c>
      <c r="AD2075" s="1">
        <v>8.5</v>
      </c>
      <c r="AE2075" s="1" t="s">
        <v>93</v>
      </c>
      <c r="AF2075" s="1" t="s">
        <v>22540</v>
      </c>
      <c r="AG2075" s="1" t="s">
        <v>22541</v>
      </c>
      <c r="AH2075" s="1" t="s">
        <v>1191</v>
      </c>
      <c r="AI2075" s="1" t="s">
        <v>308</v>
      </c>
      <c r="AJ2075" s="1">
        <v>79</v>
      </c>
      <c r="AK2075" s="1">
        <v>0</v>
      </c>
      <c r="AL2075" s="1" t="s">
        <v>22542</v>
      </c>
      <c r="AM2075" s="1" t="s">
        <v>22543</v>
      </c>
      <c r="AN2075" s="1" t="s">
        <v>308</v>
      </c>
      <c r="AO2075" s="1" t="s">
        <v>539</v>
      </c>
      <c r="AP2075" s="1">
        <v>82</v>
      </c>
      <c r="AQ2075" s="1">
        <v>0</v>
      </c>
      <c r="AR2075" s="1"/>
      <c r="AS2075" s="1"/>
      <c r="AT2075" s="1"/>
      <c r="AU2075" s="1"/>
      <c r="AV2075" s="1"/>
      <c r="AW2075" s="1"/>
      <c r="AX2075" s="1" t="s">
        <v>22544</v>
      </c>
      <c r="AY2075" s="1" t="s">
        <v>22545</v>
      </c>
      <c r="AZ2075" s="1" t="s">
        <v>542</v>
      </c>
      <c r="BA2075" s="1" t="s">
        <v>543</v>
      </c>
      <c r="BB2075" s="1">
        <v>75</v>
      </c>
      <c r="BC2075" s="1">
        <v>7.98</v>
      </c>
      <c r="BD2075" s="1"/>
      <c r="BE2075" s="1"/>
      <c r="BF2075" s="1"/>
      <c r="BG2075" s="1"/>
      <c r="BH2075" s="1"/>
      <c r="BI2075" s="1"/>
      <c r="BJ2075" s="1" t="s">
        <v>22546</v>
      </c>
      <c r="BK2075" s="1"/>
      <c r="BL2075" s="1"/>
      <c r="BM2075" s="1" t="s">
        <v>22547</v>
      </c>
      <c r="BN2075" s="1">
        <v>11</v>
      </c>
      <c r="BO2075" s="1" t="s">
        <v>22548</v>
      </c>
      <c r="BP2075" s="1" t="str">
        <f>HYPERLINK("https://nconnect.nicmar.ac.in/storage/profile/ProfilePhoto_P25701048_947136.jpg","Download")</f>
        <v>0</v>
      </c>
      <c r="BQ2075" s="3"/>
      <c r="BR2075" s="3"/>
    </row>
    <row r="2076" spans="1:70">
      <c r="A2076" s="1" t="s">
        <v>21304</v>
      </c>
      <c r="B2076" s="1" t="s">
        <v>441</v>
      </c>
      <c r="C2076" s="1" t="s">
        <v>22549</v>
      </c>
      <c r="D2076" s="1" t="s">
        <v>18256</v>
      </c>
      <c r="E2076" s="1"/>
      <c r="F2076" s="1" t="s">
        <v>22550</v>
      </c>
      <c r="G2076" s="1" t="s">
        <v>22551</v>
      </c>
      <c r="H2076" s="1" t="s">
        <v>22552</v>
      </c>
      <c r="I2076" s="1" t="s">
        <v>22553</v>
      </c>
      <c r="J2076" s="1">
        <v>8840663508</v>
      </c>
      <c r="K2076" s="1" t="s">
        <v>79</v>
      </c>
      <c r="L2076" s="1" t="s">
        <v>22554</v>
      </c>
      <c r="M2076" s="1" t="s">
        <v>81</v>
      </c>
      <c r="N2076" s="1" t="s">
        <v>4289</v>
      </c>
      <c r="O2076" s="1"/>
      <c r="P2076" s="1" t="s">
        <v>472</v>
      </c>
      <c r="Q2076" s="1" t="s">
        <v>22555</v>
      </c>
      <c r="R2076" s="1" t="s">
        <v>22556</v>
      </c>
      <c r="S2076" s="1">
        <v>9935361255</v>
      </c>
      <c r="T2076" s="1" t="s">
        <v>1595</v>
      </c>
      <c r="U2076" s="1" t="s">
        <v>22557</v>
      </c>
      <c r="V2076" s="1">
        <v>9935301743</v>
      </c>
      <c r="W2076" s="1" t="s">
        <v>156</v>
      </c>
      <c r="X2076" s="1" t="s">
        <v>22558</v>
      </c>
      <c r="Y2076" s="1" t="s">
        <v>5554</v>
      </c>
      <c r="Z2076" s="1" t="s">
        <v>534</v>
      </c>
      <c r="AA2076" s="1" t="s">
        <v>22558</v>
      </c>
      <c r="AB2076" s="1" t="s">
        <v>5554</v>
      </c>
      <c r="AC2076" s="1" t="s">
        <v>534</v>
      </c>
      <c r="AD2076" s="1">
        <v>9.25</v>
      </c>
      <c r="AE2076" s="1" t="s">
        <v>93</v>
      </c>
      <c r="AF2076" s="1" t="s">
        <v>22559</v>
      </c>
      <c r="AG2076" s="1" t="s">
        <v>22560</v>
      </c>
      <c r="AH2076" s="1" t="s">
        <v>161</v>
      </c>
      <c r="AI2076" s="1" t="s">
        <v>614</v>
      </c>
      <c r="AJ2076" s="1">
        <v>88.16</v>
      </c>
      <c r="AK2076" s="1"/>
      <c r="AL2076" s="1" t="s">
        <v>22559</v>
      </c>
      <c r="AM2076" s="1" t="s">
        <v>22560</v>
      </c>
      <c r="AN2076" s="1" t="s">
        <v>165</v>
      </c>
      <c r="AO2076" s="1" t="s">
        <v>481</v>
      </c>
      <c r="AP2076" s="1">
        <v>87.8</v>
      </c>
      <c r="AQ2076" s="1"/>
      <c r="AR2076" s="1"/>
      <c r="AS2076" s="1"/>
      <c r="AT2076" s="1"/>
      <c r="AU2076" s="1"/>
      <c r="AV2076" s="1"/>
      <c r="AW2076" s="1"/>
      <c r="AX2076" s="1" t="s">
        <v>7411</v>
      </c>
      <c r="AY2076" s="1" t="s">
        <v>22561</v>
      </c>
      <c r="AZ2076" s="1" t="s">
        <v>310</v>
      </c>
      <c r="BA2076" s="1" t="s">
        <v>229</v>
      </c>
      <c r="BB2076" s="1">
        <v>78.4</v>
      </c>
      <c r="BC2076" s="1">
        <v>7.84</v>
      </c>
      <c r="BD2076" s="1"/>
      <c r="BE2076" s="1"/>
      <c r="BF2076" s="1"/>
      <c r="BG2076" s="1"/>
      <c r="BH2076" s="1"/>
      <c r="BI2076" s="1"/>
      <c r="BJ2076" s="1" t="s">
        <v>22562</v>
      </c>
      <c r="BK2076" s="1"/>
      <c r="BL2076" s="1"/>
      <c r="BM2076" s="1" t="s">
        <v>22563</v>
      </c>
      <c r="BN2076" s="1">
        <v>36</v>
      </c>
      <c r="BO2076" s="1" t="s">
        <v>22564</v>
      </c>
      <c r="BP2076" s="1" t="str">
        <f>HYPERLINK("https://nconnect.nicmar.ac.in/storage/profile/ProfilePhoto_P25701049_942516.jpg","Download")</f>
        <v>0</v>
      </c>
      <c r="BQ2076" s="3"/>
      <c r="BR2076" s="3"/>
    </row>
    <row r="2077" spans="1:70">
      <c r="A2077" s="1" t="s">
        <v>21304</v>
      </c>
      <c r="B2077" s="1" t="s">
        <v>441</v>
      </c>
      <c r="C2077" s="1" t="s">
        <v>22565</v>
      </c>
      <c r="D2077" s="1" t="s">
        <v>7656</v>
      </c>
      <c r="E2077" s="1" t="s">
        <v>4342</v>
      </c>
      <c r="F2077" s="1" t="s">
        <v>22566</v>
      </c>
      <c r="G2077" s="1" t="s">
        <v>22567</v>
      </c>
      <c r="H2077" s="1" t="s">
        <v>22568</v>
      </c>
      <c r="I2077" s="1" t="s">
        <v>22569</v>
      </c>
      <c r="J2077" s="1">
        <v>8999176687</v>
      </c>
      <c r="K2077" s="1" t="s">
        <v>79</v>
      </c>
      <c r="L2077" s="1" t="s">
        <v>6942</v>
      </c>
      <c r="M2077" s="1" t="s">
        <v>81</v>
      </c>
      <c r="N2077" s="1" t="s">
        <v>3587</v>
      </c>
      <c r="O2077" s="1"/>
      <c r="P2077" s="1" t="s">
        <v>497</v>
      </c>
      <c r="Q2077" s="1" t="s">
        <v>22570</v>
      </c>
      <c r="R2077" s="1" t="s">
        <v>22571</v>
      </c>
      <c r="S2077" s="1">
        <v>9766703688</v>
      </c>
      <c r="T2077" s="1" t="s">
        <v>120</v>
      </c>
      <c r="U2077" s="1" t="s">
        <v>22572</v>
      </c>
      <c r="V2077" s="1">
        <v>9970427289</v>
      </c>
      <c r="W2077" s="1" t="s">
        <v>156</v>
      </c>
      <c r="X2077" s="1" t="s">
        <v>22573</v>
      </c>
      <c r="Y2077" s="1" t="s">
        <v>191</v>
      </c>
      <c r="Z2077" s="1" t="s">
        <v>92</v>
      </c>
      <c r="AA2077" s="1" t="s">
        <v>22574</v>
      </c>
      <c r="AB2077" s="1" t="s">
        <v>246</v>
      </c>
      <c r="AC2077" s="1" t="s">
        <v>92</v>
      </c>
      <c r="AD2077" s="1">
        <v>8.67</v>
      </c>
      <c r="AE2077" s="1" t="s">
        <v>93</v>
      </c>
      <c r="AF2077" s="1" t="s">
        <v>22575</v>
      </c>
      <c r="AG2077" s="1" t="s">
        <v>2348</v>
      </c>
      <c r="AH2077" s="1" t="s">
        <v>97</v>
      </c>
      <c r="AI2077" s="1" t="s">
        <v>1089</v>
      </c>
      <c r="AJ2077" s="1">
        <v>73</v>
      </c>
      <c r="AK2077" s="1"/>
      <c r="AL2077" s="1" t="s">
        <v>22576</v>
      </c>
      <c r="AM2077" s="1" t="s">
        <v>2348</v>
      </c>
      <c r="AN2077" s="1" t="s">
        <v>508</v>
      </c>
      <c r="AO2077" s="1" t="s">
        <v>1455</v>
      </c>
      <c r="AP2077" s="1">
        <v>65.69</v>
      </c>
      <c r="AQ2077" s="1"/>
      <c r="AR2077" s="1"/>
      <c r="AS2077" s="1"/>
      <c r="AT2077" s="1"/>
      <c r="AU2077" s="1"/>
      <c r="AV2077" s="1"/>
      <c r="AW2077" s="1"/>
      <c r="AX2077" s="1" t="s">
        <v>22577</v>
      </c>
      <c r="AY2077" s="1" t="s">
        <v>22578</v>
      </c>
      <c r="AZ2077" s="1" t="s">
        <v>169</v>
      </c>
      <c r="BA2077" s="1" t="s">
        <v>1378</v>
      </c>
      <c r="BB2077" s="1">
        <v>77.7</v>
      </c>
      <c r="BC2077" s="1">
        <v>9.11</v>
      </c>
      <c r="BD2077" s="1"/>
      <c r="BE2077" s="1"/>
      <c r="BF2077" s="1"/>
      <c r="BG2077" s="1"/>
      <c r="BH2077" s="1"/>
      <c r="BI2077" s="1"/>
      <c r="BJ2077" s="1" t="s">
        <v>22579</v>
      </c>
      <c r="BK2077" s="1" t="s">
        <v>22580</v>
      </c>
      <c r="BL2077" s="1" t="s">
        <v>4887</v>
      </c>
      <c r="BM2077" s="1" t="s">
        <v>22581</v>
      </c>
      <c r="BN2077" s="1">
        <v>34</v>
      </c>
      <c r="BO2077" s="1" t="s">
        <v>22582</v>
      </c>
      <c r="BP2077" s="1" t="str">
        <f>HYPERLINK("https://nconnect.nicmar.ac.in/storage/profile/ProfilePhoto_P25701050_146523.jpg","Download")</f>
        <v>0</v>
      </c>
      <c r="BQ2077" s="3"/>
      <c r="BR2077" s="3"/>
    </row>
    <row r="2078" spans="1:70">
      <c r="A2078" s="1" t="s">
        <v>21304</v>
      </c>
      <c r="B2078" s="1" t="s">
        <v>441</v>
      </c>
      <c r="C2078" s="1" t="s">
        <v>22583</v>
      </c>
      <c r="D2078" s="1" t="s">
        <v>6734</v>
      </c>
      <c r="E2078" s="1" t="s">
        <v>144</v>
      </c>
      <c r="F2078" s="1" t="s">
        <v>22584</v>
      </c>
      <c r="G2078" s="1" t="s">
        <v>22585</v>
      </c>
      <c r="H2078" s="1" t="s">
        <v>22586</v>
      </c>
      <c r="I2078" s="1" t="s">
        <v>22587</v>
      </c>
      <c r="J2078" s="1">
        <v>9765917945</v>
      </c>
      <c r="K2078" s="1" t="s">
        <v>79</v>
      </c>
      <c r="L2078" s="1" t="s">
        <v>5438</v>
      </c>
      <c r="M2078" s="1" t="s">
        <v>81</v>
      </c>
      <c r="N2078" s="1" t="s">
        <v>751</v>
      </c>
      <c r="O2078" s="1"/>
      <c r="P2078" s="1" t="s">
        <v>497</v>
      </c>
      <c r="Q2078" s="1" t="s">
        <v>22588</v>
      </c>
      <c r="R2078" s="1" t="s">
        <v>22589</v>
      </c>
      <c r="S2078" s="1">
        <v>9765554974</v>
      </c>
      <c r="T2078" s="1" t="s">
        <v>632</v>
      </c>
      <c r="U2078" s="1" t="s">
        <v>22590</v>
      </c>
      <c r="V2078" s="1">
        <v>9765480237</v>
      </c>
      <c r="W2078" s="1" t="s">
        <v>22591</v>
      </c>
      <c r="X2078" s="1" t="s">
        <v>22592</v>
      </c>
      <c r="Y2078" s="1" t="s">
        <v>890</v>
      </c>
      <c r="Z2078" s="1" t="s">
        <v>92</v>
      </c>
      <c r="AA2078" s="1" t="s">
        <v>22592</v>
      </c>
      <c r="AB2078" s="1" t="s">
        <v>890</v>
      </c>
      <c r="AC2078" s="1" t="s">
        <v>92</v>
      </c>
      <c r="AD2078" s="1">
        <v>9.29</v>
      </c>
      <c r="AE2078" s="1" t="s">
        <v>93</v>
      </c>
      <c r="AF2078" s="1" t="s">
        <v>22593</v>
      </c>
      <c r="AG2078" s="1" t="s">
        <v>22594</v>
      </c>
      <c r="AH2078" s="1" t="s">
        <v>165</v>
      </c>
      <c r="AI2078" s="1" t="s">
        <v>281</v>
      </c>
      <c r="AJ2078" s="1">
        <v>90.6</v>
      </c>
      <c r="AK2078" s="1">
        <v>0</v>
      </c>
      <c r="AL2078" s="1" t="s">
        <v>22595</v>
      </c>
      <c r="AM2078" s="1" t="s">
        <v>22594</v>
      </c>
      <c r="AN2078" s="1" t="s">
        <v>433</v>
      </c>
      <c r="AO2078" s="1" t="s">
        <v>360</v>
      </c>
      <c r="AP2078" s="1">
        <v>82.62</v>
      </c>
      <c r="AQ2078" s="1">
        <v>0</v>
      </c>
      <c r="AR2078" s="1"/>
      <c r="AS2078" s="1"/>
      <c r="AT2078" s="1"/>
      <c r="AU2078" s="1"/>
      <c r="AV2078" s="1"/>
      <c r="AW2078" s="1"/>
      <c r="AX2078" s="1" t="s">
        <v>22596</v>
      </c>
      <c r="AY2078" s="1" t="s">
        <v>22597</v>
      </c>
      <c r="AZ2078" s="1" t="s">
        <v>360</v>
      </c>
      <c r="BA2078" s="1" t="s">
        <v>1379</v>
      </c>
      <c r="BB2078" s="1">
        <v>72.35</v>
      </c>
      <c r="BC2078" s="1">
        <v>8.13</v>
      </c>
      <c r="BD2078" s="1"/>
      <c r="BE2078" s="1"/>
      <c r="BF2078" s="1"/>
      <c r="BG2078" s="1"/>
      <c r="BH2078" s="1"/>
      <c r="BI2078" s="1"/>
      <c r="BJ2078" s="1" t="s">
        <v>22598</v>
      </c>
      <c r="BK2078" s="1"/>
      <c r="BL2078" s="1"/>
      <c r="BM2078" s="1" t="s">
        <v>22599</v>
      </c>
      <c r="BN2078" s="1">
        <v>29</v>
      </c>
      <c r="BO2078" s="1" t="s">
        <v>22600</v>
      </c>
      <c r="BP2078" s="1" t="str">
        <f>HYPERLINK("https://nconnect.nicmar.ac.in/storage/profile/ProfilePhoto_P25701051_864915.jpg","Download")</f>
        <v>0</v>
      </c>
      <c r="BQ2078" s="3"/>
      <c r="BR2078" s="3"/>
    </row>
    <row r="2079" spans="1:70">
      <c r="A2079" s="1" t="s">
        <v>21304</v>
      </c>
      <c r="B2079" s="1" t="s">
        <v>441</v>
      </c>
      <c r="C2079" s="1" t="s">
        <v>22601</v>
      </c>
      <c r="D2079" s="1" t="s">
        <v>22602</v>
      </c>
      <c r="E2079" s="1" t="s">
        <v>7260</v>
      </c>
      <c r="F2079" s="1" t="s">
        <v>22603</v>
      </c>
      <c r="G2079" s="1" t="s">
        <v>22604</v>
      </c>
      <c r="H2079" s="1" t="s">
        <v>22605</v>
      </c>
      <c r="I2079" s="1" t="s">
        <v>22606</v>
      </c>
      <c r="J2079" s="1">
        <v>9309157441</v>
      </c>
      <c r="K2079" s="1" t="s">
        <v>79</v>
      </c>
      <c r="L2079" s="1" t="s">
        <v>7771</v>
      </c>
      <c r="M2079" s="1" t="s">
        <v>81</v>
      </c>
      <c r="N2079" s="1" t="s">
        <v>22607</v>
      </c>
      <c r="O2079" s="1"/>
      <c r="P2079" s="1" t="s">
        <v>450</v>
      </c>
      <c r="Q2079" s="1" t="s">
        <v>22608</v>
      </c>
      <c r="R2079" s="1" t="s">
        <v>7260</v>
      </c>
      <c r="S2079" s="1">
        <v>9834387576</v>
      </c>
      <c r="T2079" s="1" t="s">
        <v>906</v>
      </c>
      <c r="U2079" s="1" t="s">
        <v>5404</v>
      </c>
      <c r="V2079" s="1">
        <v>8668987708</v>
      </c>
      <c r="W2079" s="1" t="s">
        <v>156</v>
      </c>
      <c r="X2079" s="1" t="s">
        <v>22609</v>
      </c>
      <c r="Y2079" s="1" t="s">
        <v>191</v>
      </c>
      <c r="Z2079" s="1" t="s">
        <v>92</v>
      </c>
      <c r="AA2079" s="1" t="s">
        <v>22610</v>
      </c>
      <c r="AB2079" s="1" t="s">
        <v>5034</v>
      </c>
      <c r="AC2079" s="1" t="s">
        <v>92</v>
      </c>
      <c r="AD2079" s="1">
        <v>9.11</v>
      </c>
      <c r="AE2079" s="1" t="s">
        <v>93</v>
      </c>
      <c r="AF2079" s="1" t="s">
        <v>22034</v>
      </c>
      <c r="AG2079" s="1" t="s">
        <v>22611</v>
      </c>
      <c r="AH2079" s="1" t="s">
        <v>195</v>
      </c>
      <c r="AI2079" s="1" t="s">
        <v>101</v>
      </c>
      <c r="AJ2079" s="1">
        <v>67.6</v>
      </c>
      <c r="AK2079" s="1"/>
      <c r="AL2079" s="1" t="s">
        <v>22612</v>
      </c>
      <c r="AM2079" s="1" t="s">
        <v>11908</v>
      </c>
      <c r="AN2079" s="1" t="s">
        <v>310</v>
      </c>
      <c r="AO2079" s="1" t="s">
        <v>173</v>
      </c>
      <c r="AP2079" s="1">
        <v>67.23</v>
      </c>
      <c r="AQ2079" s="1"/>
      <c r="AR2079" s="1"/>
      <c r="AS2079" s="1"/>
      <c r="AT2079" s="1"/>
      <c r="AU2079" s="1"/>
      <c r="AV2079" s="1"/>
      <c r="AW2079" s="1"/>
      <c r="AX2079" s="1" t="s">
        <v>22613</v>
      </c>
      <c r="AY2079" s="1" t="s">
        <v>22614</v>
      </c>
      <c r="AZ2079" s="1" t="s">
        <v>542</v>
      </c>
      <c r="BA2079" s="1" t="s">
        <v>543</v>
      </c>
      <c r="BB2079" s="1">
        <v>86.5</v>
      </c>
      <c r="BC2079" s="1">
        <v>8.65</v>
      </c>
      <c r="BD2079" s="1"/>
      <c r="BE2079" s="1"/>
      <c r="BF2079" s="1"/>
      <c r="BG2079" s="1"/>
      <c r="BH2079" s="1"/>
      <c r="BI2079" s="1"/>
      <c r="BJ2079" s="1" t="s">
        <v>22615</v>
      </c>
      <c r="BK2079" s="1"/>
      <c r="BL2079" s="1"/>
      <c r="BM2079" s="1" t="s">
        <v>22616</v>
      </c>
      <c r="BN2079" s="1">
        <v>21</v>
      </c>
      <c r="BO2079" s="1" t="s">
        <v>22617</v>
      </c>
      <c r="BP2079" s="1" t="str">
        <f>HYPERLINK("https://nconnect.nicmar.ac.in/storage/profile/ProfilePhoto_P25701052_917684.jpg","Download")</f>
        <v>0</v>
      </c>
      <c r="BQ2079" s="3"/>
      <c r="BR2079" s="3"/>
    </row>
    <row r="2080" spans="1:70">
      <c r="A2080" s="1" t="s">
        <v>21304</v>
      </c>
      <c r="B2080" s="1" t="s">
        <v>441</v>
      </c>
      <c r="C2080" s="1" t="s">
        <v>22618</v>
      </c>
      <c r="D2080" s="1" t="s">
        <v>22619</v>
      </c>
      <c r="E2080" s="1" t="s">
        <v>9144</v>
      </c>
      <c r="F2080" s="1" t="s">
        <v>22620</v>
      </c>
      <c r="G2080" s="1" t="s">
        <v>22621</v>
      </c>
      <c r="H2080" s="1" t="s">
        <v>22622</v>
      </c>
      <c r="I2080" s="1" t="s">
        <v>22623</v>
      </c>
      <c r="J2080" s="1">
        <v>8431755726</v>
      </c>
      <c r="K2080" s="1" t="s">
        <v>148</v>
      </c>
      <c r="L2080" s="1" t="s">
        <v>17383</v>
      </c>
      <c r="M2080" s="1" t="s">
        <v>81</v>
      </c>
      <c r="N2080" s="1" t="s">
        <v>4422</v>
      </c>
      <c r="O2080" s="1"/>
      <c r="P2080" s="1" t="s">
        <v>450</v>
      </c>
      <c r="Q2080" s="1" t="s">
        <v>22624</v>
      </c>
      <c r="R2080" s="1" t="s">
        <v>22625</v>
      </c>
      <c r="S2080" s="1">
        <v>9980125250</v>
      </c>
      <c r="T2080" s="1" t="s">
        <v>820</v>
      </c>
      <c r="U2080" s="1" t="s">
        <v>22626</v>
      </c>
      <c r="V2080" s="1">
        <v>8951135803</v>
      </c>
      <c r="W2080" s="1" t="s">
        <v>156</v>
      </c>
      <c r="X2080" s="1" t="s">
        <v>22627</v>
      </c>
      <c r="Y2080" s="1" t="s">
        <v>1598</v>
      </c>
      <c r="Z2080" s="1" t="s">
        <v>1187</v>
      </c>
      <c r="AA2080" s="1" t="s">
        <v>22627</v>
      </c>
      <c r="AB2080" s="1" t="s">
        <v>1598</v>
      </c>
      <c r="AC2080" s="1" t="s">
        <v>1187</v>
      </c>
      <c r="AD2080" s="1">
        <v>8.19</v>
      </c>
      <c r="AE2080" s="1" t="s">
        <v>93</v>
      </c>
      <c r="AF2080" s="1" t="s">
        <v>22628</v>
      </c>
      <c r="AG2080" s="1" t="s">
        <v>307</v>
      </c>
      <c r="AH2080" s="1" t="s">
        <v>101</v>
      </c>
      <c r="AI2080" s="1" t="s">
        <v>308</v>
      </c>
      <c r="AJ2080" s="1">
        <v>61.6</v>
      </c>
      <c r="AK2080" s="1"/>
      <c r="AL2080" s="1" t="s">
        <v>22629</v>
      </c>
      <c r="AM2080" s="1" t="s">
        <v>4624</v>
      </c>
      <c r="AN2080" s="1" t="s">
        <v>310</v>
      </c>
      <c r="AO2080" s="1" t="s">
        <v>828</v>
      </c>
      <c r="AP2080" s="1">
        <v>67</v>
      </c>
      <c r="AQ2080" s="1"/>
      <c r="AR2080" s="1"/>
      <c r="AS2080" s="1"/>
      <c r="AT2080" s="1"/>
      <c r="AU2080" s="1"/>
      <c r="AV2080" s="1"/>
      <c r="AW2080" s="1"/>
      <c r="AX2080" s="1" t="s">
        <v>22630</v>
      </c>
      <c r="AY2080" s="1" t="s">
        <v>22630</v>
      </c>
      <c r="AZ2080" s="1" t="s">
        <v>852</v>
      </c>
      <c r="BA2080" s="1" t="s">
        <v>829</v>
      </c>
      <c r="BB2080" s="1">
        <v>71.2</v>
      </c>
      <c r="BC2080" s="1">
        <v>7.87</v>
      </c>
      <c r="BD2080" s="1"/>
      <c r="BE2080" s="1"/>
      <c r="BF2080" s="1"/>
      <c r="BG2080" s="1"/>
      <c r="BH2080" s="1"/>
      <c r="BI2080" s="1"/>
      <c r="BJ2080" s="1" t="s">
        <v>22631</v>
      </c>
      <c r="BK2080" s="1"/>
      <c r="BL2080" s="1"/>
      <c r="BM2080" s="1" t="s">
        <v>22632</v>
      </c>
      <c r="BN2080" s="1">
        <v>16</v>
      </c>
      <c r="BO2080" s="1"/>
      <c r="BP2080" s="1" t="str">
        <f>HYPERLINK("https://nconnect.nicmar.ac.in/storage/profile/ProfilePhoto_P25701053_372945.jpg","Download")</f>
        <v>0</v>
      </c>
      <c r="BQ2080" s="3"/>
      <c r="BR2080" s="3"/>
    </row>
    <row r="2081" spans="1:70">
      <c r="A2081" s="1" t="s">
        <v>21304</v>
      </c>
      <c r="B2081" s="1" t="s">
        <v>441</v>
      </c>
      <c r="C2081" s="1" t="s">
        <v>22633</v>
      </c>
      <c r="D2081" s="1" t="s">
        <v>22634</v>
      </c>
      <c r="E2081" s="1" t="s">
        <v>15321</v>
      </c>
      <c r="F2081" s="1" t="s">
        <v>22635</v>
      </c>
      <c r="G2081" s="1" t="s">
        <v>22636</v>
      </c>
      <c r="H2081" s="1" t="s">
        <v>22637</v>
      </c>
      <c r="I2081" s="1" t="s">
        <v>22638</v>
      </c>
      <c r="J2081" s="1">
        <v>9588660285</v>
      </c>
      <c r="K2081" s="1" t="s">
        <v>148</v>
      </c>
      <c r="L2081" s="1" t="s">
        <v>21825</v>
      </c>
      <c r="M2081" s="1" t="s">
        <v>81</v>
      </c>
      <c r="N2081" s="1" t="s">
        <v>4976</v>
      </c>
      <c r="O2081" s="1"/>
      <c r="P2081" s="1" t="s">
        <v>472</v>
      </c>
      <c r="Q2081" s="1" t="s">
        <v>22639</v>
      </c>
      <c r="R2081" s="1" t="s">
        <v>22640</v>
      </c>
      <c r="S2081" s="1">
        <v>9422155873</v>
      </c>
      <c r="T2081" s="1" t="s">
        <v>820</v>
      </c>
      <c r="U2081" s="1" t="s">
        <v>22641</v>
      </c>
      <c r="V2081" s="1">
        <v>9422917492</v>
      </c>
      <c r="W2081" s="1" t="s">
        <v>820</v>
      </c>
      <c r="X2081" s="1" t="s">
        <v>22642</v>
      </c>
      <c r="Y2081" s="1" t="s">
        <v>219</v>
      </c>
      <c r="Z2081" s="1" t="s">
        <v>92</v>
      </c>
      <c r="AA2081" s="1" t="s">
        <v>22642</v>
      </c>
      <c r="AB2081" s="1" t="s">
        <v>219</v>
      </c>
      <c r="AC2081" s="1" t="s">
        <v>92</v>
      </c>
      <c r="AD2081" s="1">
        <v>7.59</v>
      </c>
      <c r="AE2081" s="1" t="s">
        <v>93</v>
      </c>
      <c r="AF2081" s="1" t="s">
        <v>22643</v>
      </c>
      <c r="AG2081" s="1" t="s">
        <v>14946</v>
      </c>
      <c r="AH2081" s="1" t="s">
        <v>281</v>
      </c>
      <c r="AI2081" s="1" t="s">
        <v>308</v>
      </c>
      <c r="AJ2081" s="1">
        <v>76.4</v>
      </c>
      <c r="AK2081" s="1"/>
      <c r="AL2081" s="1" t="s">
        <v>22644</v>
      </c>
      <c r="AM2081" s="1" t="s">
        <v>14946</v>
      </c>
      <c r="AN2081" s="1" t="s">
        <v>590</v>
      </c>
      <c r="AO2081" s="1" t="s">
        <v>826</v>
      </c>
      <c r="AP2081" s="1">
        <v>84.83</v>
      </c>
      <c r="AQ2081" s="1"/>
      <c r="AR2081" s="1"/>
      <c r="AS2081" s="1"/>
      <c r="AT2081" s="1"/>
      <c r="AU2081" s="1"/>
      <c r="AV2081" s="1"/>
      <c r="AW2081" s="1"/>
      <c r="AX2081" s="1" t="s">
        <v>361</v>
      </c>
      <c r="AY2081" s="1" t="s">
        <v>22645</v>
      </c>
      <c r="AZ2081" s="1" t="s">
        <v>1169</v>
      </c>
      <c r="BA2081" s="1" t="s">
        <v>543</v>
      </c>
      <c r="BB2081" s="1">
        <v>72.77</v>
      </c>
      <c r="BC2081" s="1">
        <v>7.66</v>
      </c>
      <c r="BD2081" s="1"/>
      <c r="BE2081" s="1"/>
      <c r="BF2081" s="1"/>
      <c r="BG2081" s="1"/>
      <c r="BH2081" s="1"/>
      <c r="BI2081" s="1"/>
      <c r="BJ2081" s="1" t="s">
        <v>22646</v>
      </c>
      <c r="BK2081" s="1"/>
      <c r="BL2081" s="1"/>
      <c r="BM2081" s="1" t="s">
        <v>22647</v>
      </c>
      <c r="BN2081" s="1">
        <v>27</v>
      </c>
      <c r="BO2081" s="1"/>
      <c r="BP2081" s="1" t="str">
        <f>HYPERLINK("https://nconnect.nicmar.ac.in/storage/profile/ProfilePhoto_P25701054_928375.jpg","Download")</f>
        <v>0</v>
      </c>
      <c r="BQ2081" s="3"/>
      <c r="BR2081" s="3"/>
    </row>
    <row r="2082" spans="1:70">
      <c r="A2082" s="1" t="s">
        <v>21304</v>
      </c>
      <c r="B2082" s="1" t="s">
        <v>441</v>
      </c>
      <c r="C2082" s="1" t="s">
        <v>22648</v>
      </c>
      <c r="D2082" s="1" t="s">
        <v>4824</v>
      </c>
      <c r="E2082" s="1" t="s">
        <v>22649</v>
      </c>
      <c r="F2082" s="1" t="s">
        <v>2072</v>
      </c>
      <c r="G2082" s="1" t="s">
        <v>22650</v>
      </c>
      <c r="H2082" s="1" t="s">
        <v>22651</v>
      </c>
      <c r="I2082" s="1" t="s">
        <v>22652</v>
      </c>
      <c r="J2082" s="1">
        <v>7208881482</v>
      </c>
      <c r="K2082" s="1" t="s">
        <v>79</v>
      </c>
      <c r="L2082" s="1" t="s">
        <v>13510</v>
      </c>
      <c r="M2082" s="1" t="s">
        <v>81</v>
      </c>
      <c r="N2082" s="1" t="s">
        <v>1448</v>
      </c>
      <c r="O2082" s="1" t="s">
        <v>22653</v>
      </c>
      <c r="P2082" s="1" t="s">
        <v>450</v>
      </c>
      <c r="Q2082" s="1" t="s">
        <v>22654</v>
      </c>
      <c r="R2082" s="1" t="s">
        <v>22655</v>
      </c>
      <c r="S2082" s="1">
        <v>9769484706</v>
      </c>
      <c r="T2082" s="1" t="s">
        <v>22656</v>
      </c>
      <c r="U2082" s="1" t="s">
        <v>1929</v>
      </c>
      <c r="V2082" s="1">
        <v>8097713101</v>
      </c>
      <c r="W2082" s="1" t="s">
        <v>531</v>
      </c>
      <c r="X2082" s="1" t="s">
        <v>22657</v>
      </c>
      <c r="Y2082" s="1" t="s">
        <v>991</v>
      </c>
      <c r="Z2082" s="1" t="s">
        <v>92</v>
      </c>
      <c r="AA2082" s="1" t="s">
        <v>22657</v>
      </c>
      <c r="AB2082" s="1" t="s">
        <v>991</v>
      </c>
      <c r="AC2082" s="1" t="s">
        <v>92</v>
      </c>
      <c r="AD2082" s="1">
        <v>8.05</v>
      </c>
      <c r="AE2082" s="1" t="s">
        <v>93</v>
      </c>
      <c r="AF2082" s="1" t="s">
        <v>22658</v>
      </c>
      <c r="AG2082" s="1" t="s">
        <v>22659</v>
      </c>
      <c r="AH2082" s="1" t="s">
        <v>161</v>
      </c>
      <c r="AI2082" s="1" t="s">
        <v>614</v>
      </c>
      <c r="AJ2082" s="1">
        <v>68.4</v>
      </c>
      <c r="AK2082" s="1"/>
      <c r="AL2082" s="1"/>
      <c r="AM2082" s="1"/>
      <c r="AN2082" s="1"/>
      <c r="AO2082" s="1"/>
      <c r="AP2082" s="1"/>
      <c r="AQ2082" s="1"/>
      <c r="AR2082" s="1" t="s">
        <v>434</v>
      </c>
      <c r="AS2082" s="1" t="s">
        <v>22660</v>
      </c>
      <c r="AT2082" s="1" t="s">
        <v>1374</v>
      </c>
      <c r="AU2082" s="1" t="s">
        <v>433</v>
      </c>
      <c r="AV2082" s="1">
        <v>69.7</v>
      </c>
      <c r="AW2082" s="1"/>
      <c r="AX2082" s="1" t="s">
        <v>253</v>
      </c>
      <c r="AY2082" s="1" t="s">
        <v>22661</v>
      </c>
      <c r="AZ2082" s="1" t="s">
        <v>201</v>
      </c>
      <c r="BA2082" s="1" t="s">
        <v>105</v>
      </c>
      <c r="BB2082" s="1">
        <v>70.54</v>
      </c>
      <c r="BC2082" s="1"/>
      <c r="BD2082" s="1"/>
      <c r="BE2082" s="1"/>
      <c r="BF2082" s="1"/>
      <c r="BG2082" s="1"/>
      <c r="BH2082" s="1"/>
      <c r="BI2082" s="1"/>
      <c r="BJ2082" s="1" t="s">
        <v>22662</v>
      </c>
      <c r="BK2082" s="1" t="s">
        <v>22663</v>
      </c>
      <c r="BL2082" s="1" t="s">
        <v>1048</v>
      </c>
      <c r="BM2082" s="1" t="s">
        <v>22664</v>
      </c>
      <c r="BN2082" s="1">
        <v>8</v>
      </c>
      <c r="BO2082" s="1" t="s">
        <v>22665</v>
      </c>
      <c r="BP2082" s="1" t="str">
        <f>HYPERLINK("https://nconnect.nicmar.ac.in/storage/profile/ProfilePhoto_P25701055_348719.jpg","Download")</f>
        <v>0</v>
      </c>
      <c r="BQ2082" s="3"/>
      <c r="BR2082" s="3"/>
    </row>
    <row r="2083" spans="1:70">
      <c r="A2083" s="1" t="s">
        <v>21304</v>
      </c>
      <c r="B2083" s="1" t="s">
        <v>441</v>
      </c>
      <c r="C2083" s="1" t="s">
        <v>22666</v>
      </c>
      <c r="D2083" s="1" t="s">
        <v>7185</v>
      </c>
      <c r="E2083" s="1" t="s">
        <v>4321</v>
      </c>
      <c r="F2083" s="1" t="s">
        <v>22667</v>
      </c>
      <c r="G2083" s="1" t="s">
        <v>22668</v>
      </c>
      <c r="H2083" s="1" t="s">
        <v>22669</v>
      </c>
      <c r="I2083" s="1" t="s">
        <v>22670</v>
      </c>
      <c r="J2083" s="1">
        <v>8082190515</v>
      </c>
      <c r="K2083" s="1" t="s">
        <v>148</v>
      </c>
      <c r="L2083" s="1" t="s">
        <v>22671</v>
      </c>
      <c r="M2083" s="1" t="s">
        <v>81</v>
      </c>
      <c r="N2083" s="1" t="s">
        <v>605</v>
      </c>
      <c r="O2083" s="1"/>
      <c r="P2083" s="1" t="s">
        <v>497</v>
      </c>
      <c r="Q2083" s="1" t="s">
        <v>22672</v>
      </c>
      <c r="R2083" s="1" t="s">
        <v>4321</v>
      </c>
      <c r="S2083" s="1">
        <v>9870073746</v>
      </c>
      <c r="T2083" s="1" t="s">
        <v>22673</v>
      </c>
      <c r="U2083" s="1" t="s">
        <v>22674</v>
      </c>
      <c r="V2083" s="1">
        <v>9870073751</v>
      </c>
      <c r="W2083" s="1" t="s">
        <v>22675</v>
      </c>
      <c r="X2083" s="1" t="s">
        <v>22676</v>
      </c>
      <c r="Y2083" s="1" t="s">
        <v>2229</v>
      </c>
      <c r="Z2083" s="1" t="s">
        <v>92</v>
      </c>
      <c r="AA2083" s="1" t="s">
        <v>22676</v>
      </c>
      <c r="AB2083" s="1" t="s">
        <v>2229</v>
      </c>
      <c r="AC2083" s="1" t="s">
        <v>92</v>
      </c>
      <c r="AD2083" s="1">
        <v>8.89</v>
      </c>
      <c r="AE2083" s="1" t="s">
        <v>93</v>
      </c>
      <c r="AF2083" s="1" t="s">
        <v>22677</v>
      </c>
      <c r="AG2083" s="1" t="s">
        <v>4335</v>
      </c>
      <c r="AH2083" s="1" t="s">
        <v>1190</v>
      </c>
      <c r="AI2083" s="1" t="s">
        <v>96</v>
      </c>
      <c r="AJ2083" s="1">
        <v>94.4</v>
      </c>
      <c r="AK2083" s="1">
        <v>0</v>
      </c>
      <c r="AL2083" s="1" t="s">
        <v>22678</v>
      </c>
      <c r="AM2083" s="1" t="s">
        <v>4335</v>
      </c>
      <c r="AN2083" s="1" t="s">
        <v>161</v>
      </c>
      <c r="AO2083" s="1" t="s">
        <v>614</v>
      </c>
      <c r="AP2083" s="1">
        <v>91.69</v>
      </c>
      <c r="AQ2083" s="1">
        <v>0</v>
      </c>
      <c r="AR2083" s="1"/>
      <c r="AS2083" s="1"/>
      <c r="AT2083" s="1"/>
      <c r="AU2083" s="1"/>
      <c r="AV2083" s="1"/>
      <c r="AW2083" s="1"/>
      <c r="AX2083" s="1" t="s">
        <v>253</v>
      </c>
      <c r="AY2083" s="1" t="s">
        <v>22679</v>
      </c>
      <c r="AZ2083" s="1" t="s">
        <v>134</v>
      </c>
      <c r="BA2083" s="1" t="s">
        <v>828</v>
      </c>
      <c r="BB2083" s="1">
        <v>66.68</v>
      </c>
      <c r="BC2083" s="1">
        <v>0</v>
      </c>
      <c r="BD2083" s="1"/>
      <c r="BE2083" s="1"/>
      <c r="BF2083" s="1"/>
      <c r="BG2083" s="1"/>
      <c r="BH2083" s="1"/>
      <c r="BI2083" s="1"/>
      <c r="BJ2083" s="1" t="s">
        <v>22680</v>
      </c>
      <c r="BK2083" s="1" t="s">
        <v>22681</v>
      </c>
      <c r="BL2083" s="1" t="s">
        <v>17904</v>
      </c>
      <c r="BM2083" s="1" t="s">
        <v>22682</v>
      </c>
      <c r="BN2083" s="1">
        <v>43</v>
      </c>
      <c r="BO2083" s="1"/>
      <c r="BP2083" s="1" t="str">
        <f>HYPERLINK("https://nconnect.nicmar.ac.in/storage/profile/ProfilePhoto_P25701056_321589.jpg","Download")</f>
        <v>0</v>
      </c>
      <c r="BQ2083" s="3"/>
      <c r="BR2083" s="3"/>
    </row>
    <row r="2084" spans="1:70">
      <c r="A2084" s="1" t="s">
        <v>21304</v>
      </c>
      <c r="B2084" s="1" t="s">
        <v>441</v>
      </c>
      <c r="C2084" s="1" t="s">
        <v>22683</v>
      </c>
      <c r="D2084" s="1" t="s">
        <v>22684</v>
      </c>
      <c r="E2084" s="1"/>
      <c r="F2084" s="1" t="s">
        <v>22685</v>
      </c>
      <c r="G2084" s="1" t="s">
        <v>22686</v>
      </c>
      <c r="H2084" s="1" t="s">
        <v>22687</v>
      </c>
      <c r="I2084" s="1" t="s">
        <v>22688</v>
      </c>
      <c r="J2084" s="1">
        <v>9774486918</v>
      </c>
      <c r="K2084" s="1" t="s">
        <v>79</v>
      </c>
      <c r="L2084" s="1" t="s">
        <v>22689</v>
      </c>
      <c r="M2084" s="1" t="s">
        <v>81</v>
      </c>
      <c r="N2084" s="1" t="s">
        <v>10773</v>
      </c>
      <c r="O2084" s="1"/>
      <c r="P2084" s="1" t="s">
        <v>497</v>
      </c>
      <c r="Q2084" s="1" t="s">
        <v>22690</v>
      </c>
      <c r="R2084" s="1" t="s">
        <v>22691</v>
      </c>
      <c r="S2084" s="1">
        <v>9774862616</v>
      </c>
      <c r="T2084" s="1" t="s">
        <v>89</v>
      </c>
      <c r="U2084" s="1" t="s">
        <v>22692</v>
      </c>
      <c r="V2084" s="1">
        <v>9774012767</v>
      </c>
      <c r="W2084" s="1" t="s">
        <v>529</v>
      </c>
      <c r="X2084" s="1" t="s">
        <v>22693</v>
      </c>
      <c r="Y2084" s="1" t="s">
        <v>22694</v>
      </c>
      <c r="Z2084" s="1" t="s">
        <v>22695</v>
      </c>
      <c r="AA2084" s="1" t="s">
        <v>22693</v>
      </c>
      <c r="AB2084" s="1" t="s">
        <v>22694</v>
      </c>
      <c r="AC2084" s="1" t="s">
        <v>22695</v>
      </c>
      <c r="AD2084" s="1">
        <v>7.47</v>
      </c>
      <c r="AE2084" s="1" t="s">
        <v>93</v>
      </c>
      <c r="AF2084" s="1" t="s">
        <v>22696</v>
      </c>
      <c r="AG2084" s="1" t="s">
        <v>22697</v>
      </c>
      <c r="AH2084" s="1" t="s">
        <v>131</v>
      </c>
      <c r="AI2084" s="1" t="s">
        <v>279</v>
      </c>
      <c r="AJ2084" s="1">
        <v>89.3</v>
      </c>
      <c r="AK2084" s="1">
        <v>9.4</v>
      </c>
      <c r="AL2084" s="1" t="s">
        <v>22698</v>
      </c>
      <c r="AM2084" s="1" t="s">
        <v>22697</v>
      </c>
      <c r="AN2084" s="1" t="s">
        <v>689</v>
      </c>
      <c r="AO2084" s="1" t="s">
        <v>281</v>
      </c>
      <c r="AP2084" s="1">
        <v>70.2</v>
      </c>
      <c r="AQ2084" s="1"/>
      <c r="AR2084" s="1"/>
      <c r="AS2084" s="1"/>
      <c r="AT2084" s="1"/>
      <c r="AU2084" s="1"/>
      <c r="AV2084" s="1"/>
      <c r="AW2084" s="1"/>
      <c r="AX2084" s="1" t="s">
        <v>22699</v>
      </c>
      <c r="AY2084" s="1" t="s">
        <v>22699</v>
      </c>
      <c r="AZ2084" s="1" t="s">
        <v>169</v>
      </c>
      <c r="BA2084" s="1" t="s">
        <v>619</v>
      </c>
      <c r="BB2084" s="1">
        <v>70.4</v>
      </c>
      <c r="BC2084" s="1">
        <v>7.04</v>
      </c>
      <c r="BD2084" s="1"/>
      <c r="BE2084" s="1"/>
      <c r="BF2084" s="1"/>
      <c r="BG2084" s="1"/>
      <c r="BH2084" s="1"/>
      <c r="BI2084" s="1"/>
      <c r="BJ2084" s="1" t="s">
        <v>567</v>
      </c>
      <c r="BK2084" s="1" t="s">
        <v>22700</v>
      </c>
      <c r="BL2084" s="1" t="s">
        <v>1129</v>
      </c>
      <c r="BM2084" s="1" t="s">
        <v>22701</v>
      </c>
      <c r="BN2084" s="1">
        <v>8</v>
      </c>
      <c r="BO2084" s="1"/>
      <c r="BP2084" s="1" t="str">
        <f>HYPERLINK("https://nconnect.nicmar.ac.in/storage/profile/ProfilePhoto_P25701057_742385.jpg","Download")</f>
        <v>0</v>
      </c>
      <c r="BQ2084" s="3"/>
      <c r="BR2084" s="3"/>
    </row>
    <row r="2085" spans="1:70">
      <c r="A2085" s="1" t="s">
        <v>21304</v>
      </c>
      <c r="B2085" s="1" t="s">
        <v>441</v>
      </c>
      <c r="C2085" s="1" t="s">
        <v>22702</v>
      </c>
      <c r="D2085" s="1" t="s">
        <v>22703</v>
      </c>
      <c r="E2085" s="1" t="s">
        <v>520</v>
      </c>
      <c r="F2085" s="1" t="s">
        <v>22704</v>
      </c>
      <c r="G2085" s="1" t="s">
        <v>22705</v>
      </c>
      <c r="H2085" s="1" t="s">
        <v>22706</v>
      </c>
      <c r="I2085" s="1" t="s">
        <v>22707</v>
      </c>
      <c r="J2085" s="1">
        <v>9079355689</v>
      </c>
      <c r="K2085" s="1" t="s">
        <v>79</v>
      </c>
      <c r="L2085" s="1" t="s">
        <v>22708</v>
      </c>
      <c r="M2085" s="1" t="s">
        <v>81</v>
      </c>
      <c r="N2085" s="1" t="s">
        <v>82</v>
      </c>
      <c r="O2085" s="1" t="s">
        <v>22709</v>
      </c>
      <c r="P2085" s="1" t="s">
        <v>497</v>
      </c>
      <c r="Q2085" s="1" t="s">
        <v>22710</v>
      </c>
      <c r="R2085" s="1" t="s">
        <v>22711</v>
      </c>
      <c r="S2085" s="1">
        <v>7014937187</v>
      </c>
      <c r="T2085" s="1" t="s">
        <v>22712</v>
      </c>
      <c r="U2085" s="1" t="s">
        <v>22713</v>
      </c>
      <c r="V2085" s="1">
        <v>7568789701</v>
      </c>
      <c r="W2085" s="1" t="s">
        <v>89</v>
      </c>
      <c r="X2085" s="1" t="s">
        <v>22714</v>
      </c>
      <c r="Y2085" s="1" t="s">
        <v>22715</v>
      </c>
      <c r="Z2085" s="1" t="s">
        <v>2126</v>
      </c>
      <c r="AA2085" s="1" t="s">
        <v>22714</v>
      </c>
      <c r="AB2085" s="1" t="s">
        <v>22715</v>
      </c>
      <c r="AC2085" s="1" t="s">
        <v>2126</v>
      </c>
      <c r="AD2085" s="1">
        <v>8.3</v>
      </c>
      <c r="AE2085" s="1" t="s">
        <v>93</v>
      </c>
      <c r="AF2085" s="1" t="s">
        <v>22716</v>
      </c>
      <c r="AG2085" s="1" t="s">
        <v>777</v>
      </c>
      <c r="AH2085" s="1" t="s">
        <v>1088</v>
      </c>
      <c r="AI2085" s="1" t="s">
        <v>614</v>
      </c>
      <c r="AJ2085" s="1">
        <v>85.5</v>
      </c>
      <c r="AK2085" s="1">
        <v>9</v>
      </c>
      <c r="AL2085" s="1" t="s">
        <v>22716</v>
      </c>
      <c r="AM2085" s="1" t="s">
        <v>777</v>
      </c>
      <c r="AN2085" s="1" t="s">
        <v>689</v>
      </c>
      <c r="AO2085" s="1" t="s">
        <v>166</v>
      </c>
      <c r="AP2085" s="1">
        <v>64.2</v>
      </c>
      <c r="AQ2085" s="1"/>
      <c r="AR2085" s="1"/>
      <c r="AS2085" s="1"/>
      <c r="AT2085" s="1"/>
      <c r="AU2085" s="1"/>
      <c r="AV2085" s="1"/>
      <c r="AW2085" s="1"/>
      <c r="AX2085" s="1" t="s">
        <v>22717</v>
      </c>
      <c r="AY2085" s="1" t="s">
        <v>22718</v>
      </c>
      <c r="AZ2085" s="1" t="s">
        <v>1043</v>
      </c>
      <c r="BA2085" s="1" t="s">
        <v>174</v>
      </c>
      <c r="BB2085" s="1">
        <v>83.9</v>
      </c>
      <c r="BC2085" s="1">
        <v>8.39</v>
      </c>
      <c r="BD2085" s="1"/>
      <c r="BE2085" s="1"/>
      <c r="BF2085" s="1"/>
      <c r="BG2085" s="1"/>
      <c r="BH2085" s="1"/>
      <c r="BI2085" s="1"/>
      <c r="BJ2085" s="1" t="s">
        <v>22719</v>
      </c>
      <c r="BK2085" s="1" t="s">
        <v>22720</v>
      </c>
      <c r="BL2085" s="1" t="s">
        <v>3965</v>
      </c>
      <c r="BM2085" s="1" t="s">
        <v>22721</v>
      </c>
      <c r="BN2085" s="1">
        <v>15</v>
      </c>
      <c r="BO2085" s="1" t="s">
        <v>22722</v>
      </c>
      <c r="BP2085" s="1" t="str">
        <f>HYPERLINK("https://nconnect.nicmar.ac.in/storage/profile/ProfilePhoto_P25701058_382415.jpg","Download")</f>
        <v>0</v>
      </c>
      <c r="BQ2085" s="3"/>
      <c r="BR2085" s="3"/>
    </row>
    <row r="2086" spans="1:70">
      <c r="A2086" s="1" t="s">
        <v>21304</v>
      </c>
      <c r="B2086" s="1" t="s">
        <v>441</v>
      </c>
      <c r="C2086" s="1" t="s">
        <v>22723</v>
      </c>
      <c r="D2086" s="1" t="s">
        <v>21399</v>
      </c>
      <c r="E2086" s="1"/>
      <c r="F2086" s="1" t="s">
        <v>111</v>
      </c>
      <c r="G2086" s="1" t="s">
        <v>22724</v>
      </c>
      <c r="H2086" s="1" t="s">
        <v>22725</v>
      </c>
      <c r="I2086" s="1" t="s">
        <v>22726</v>
      </c>
      <c r="J2086" s="1">
        <v>8310554418</v>
      </c>
      <c r="K2086" s="1" t="s">
        <v>148</v>
      </c>
      <c r="L2086" s="1" t="s">
        <v>18061</v>
      </c>
      <c r="M2086" s="1" t="s">
        <v>81</v>
      </c>
      <c r="N2086" s="1" t="s">
        <v>22727</v>
      </c>
      <c r="O2086" s="1"/>
      <c r="P2086" s="1" t="s">
        <v>472</v>
      </c>
      <c r="Q2086" s="1" t="s">
        <v>22728</v>
      </c>
      <c r="R2086" s="1" t="s">
        <v>22729</v>
      </c>
      <c r="S2086" s="1">
        <v>9740448322</v>
      </c>
      <c r="T2086" s="1" t="s">
        <v>3807</v>
      </c>
      <c r="U2086" s="1" t="s">
        <v>22730</v>
      </c>
      <c r="V2086" s="1">
        <v>7892469730</v>
      </c>
      <c r="W2086" s="1" t="s">
        <v>273</v>
      </c>
      <c r="X2086" s="1" t="s">
        <v>22731</v>
      </c>
      <c r="Y2086" s="1" t="s">
        <v>3151</v>
      </c>
      <c r="Z2086" s="1" t="s">
        <v>1187</v>
      </c>
      <c r="AA2086" s="1" t="s">
        <v>22732</v>
      </c>
      <c r="AB2086" s="1" t="s">
        <v>3151</v>
      </c>
      <c r="AC2086" s="1" t="s">
        <v>1187</v>
      </c>
      <c r="AD2086" s="1">
        <v>7.52</v>
      </c>
      <c r="AE2086" s="1" t="s">
        <v>93</v>
      </c>
      <c r="AF2086" s="1" t="s">
        <v>22733</v>
      </c>
      <c r="AG2086" s="1" t="s">
        <v>1920</v>
      </c>
      <c r="AH2086" s="1" t="s">
        <v>166</v>
      </c>
      <c r="AI2086" s="1" t="s">
        <v>537</v>
      </c>
      <c r="AJ2086" s="1">
        <v>86.56</v>
      </c>
      <c r="AK2086" s="1"/>
      <c r="AL2086" s="1" t="s">
        <v>22734</v>
      </c>
      <c r="AM2086" s="1" t="s">
        <v>10858</v>
      </c>
      <c r="AN2086" s="1" t="s">
        <v>433</v>
      </c>
      <c r="AO2086" s="1" t="s">
        <v>539</v>
      </c>
      <c r="AP2086" s="1">
        <v>80.5</v>
      </c>
      <c r="AQ2086" s="1"/>
      <c r="AR2086" s="1"/>
      <c r="AS2086" s="1"/>
      <c r="AT2086" s="1"/>
      <c r="AU2086" s="1"/>
      <c r="AV2086" s="1"/>
      <c r="AW2086" s="1"/>
      <c r="AX2086" s="1" t="s">
        <v>4201</v>
      </c>
      <c r="AY2086" s="1" t="s">
        <v>22735</v>
      </c>
      <c r="AZ2086" s="1" t="s">
        <v>852</v>
      </c>
      <c r="BA2086" s="1" t="s">
        <v>1379</v>
      </c>
      <c r="BB2086" s="1">
        <v>70.9</v>
      </c>
      <c r="BC2086" s="1">
        <v>7.84</v>
      </c>
      <c r="BD2086" s="1"/>
      <c r="BE2086" s="1"/>
      <c r="BF2086" s="1"/>
      <c r="BG2086" s="1"/>
      <c r="BH2086" s="1"/>
      <c r="BI2086" s="1"/>
      <c r="BJ2086" s="1" t="s">
        <v>22736</v>
      </c>
      <c r="BK2086" s="1"/>
      <c r="BL2086" s="1"/>
      <c r="BM2086" s="1" t="s">
        <v>22737</v>
      </c>
      <c r="BN2086" s="1">
        <v>34</v>
      </c>
      <c r="BO2086" s="1"/>
      <c r="BP2086" s="1" t="str">
        <f>HYPERLINK("https://nconnect.nicmar.ac.in/storage/profile/ProfilePhoto_P25701059_618749.jpg","Download")</f>
        <v>0</v>
      </c>
      <c r="BQ2086" s="3"/>
      <c r="BR2086" s="3"/>
    </row>
    <row r="2087" spans="1:70">
      <c r="A2087" s="1" t="s">
        <v>21304</v>
      </c>
      <c r="B2087" s="1" t="s">
        <v>441</v>
      </c>
      <c r="C2087" s="1" t="s">
        <v>22738</v>
      </c>
      <c r="D2087" s="1" t="s">
        <v>520</v>
      </c>
      <c r="E2087" s="1" t="s">
        <v>22739</v>
      </c>
      <c r="F2087" s="1" t="s">
        <v>15901</v>
      </c>
      <c r="G2087" s="1" t="s">
        <v>22740</v>
      </c>
      <c r="H2087" s="1" t="s">
        <v>22741</v>
      </c>
      <c r="I2087" s="1" t="s">
        <v>22742</v>
      </c>
      <c r="J2087" s="1">
        <v>8356041344</v>
      </c>
      <c r="K2087" s="1" t="s">
        <v>79</v>
      </c>
      <c r="L2087" s="1" t="s">
        <v>9732</v>
      </c>
      <c r="M2087" s="1" t="s">
        <v>81</v>
      </c>
      <c r="N2087" s="1" t="s">
        <v>605</v>
      </c>
      <c r="O2087" s="1"/>
      <c r="P2087" s="1" t="s">
        <v>497</v>
      </c>
      <c r="Q2087" s="1" t="s">
        <v>22743</v>
      </c>
      <c r="R2087" s="1" t="s">
        <v>22744</v>
      </c>
      <c r="S2087" s="1">
        <v>8080225626</v>
      </c>
      <c r="T2087" s="1" t="s">
        <v>22745</v>
      </c>
      <c r="U2087" s="1" t="s">
        <v>22746</v>
      </c>
      <c r="V2087" s="1">
        <v>9833733249</v>
      </c>
      <c r="W2087" s="1" t="s">
        <v>89</v>
      </c>
      <c r="X2087" s="1" t="s">
        <v>22747</v>
      </c>
      <c r="Y2087" s="1" t="s">
        <v>991</v>
      </c>
      <c r="Z2087" s="1" t="s">
        <v>92</v>
      </c>
      <c r="AA2087" s="1" t="s">
        <v>22747</v>
      </c>
      <c r="AB2087" s="1" t="s">
        <v>991</v>
      </c>
      <c r="AC2087" s="1" t="s">
        <v>92</v>
      </c>
      <c r="AD2087" s="1" t="s">
        <v>93</v>
      </c>
      <c r="AE2087" s="1" t="s">
        <v>93</v>
      </c>
      <c r="AF2087" s="1" t="s">
        <v>22748</v>
      </c>
      <c r="AG2087" s="1" t="s">
        <v>22749</v>
      </c>
      <c r="AH2087" s="1" t="s">
        <v>161</v>
      </c>
      <c r="AI2087" s="1" t="s">
        <v>162</v>
      </c>
      <c r="AJ2087" s="1">
        <v>71.6</v>
      </c>
      <c r="AK2087" s="1"/>
      <c r="AL2087" s="1"/>
      <c r="AM2087" s="1"/>
      <c r="AN2087" s="1"/>
      <c r="AO2087" s="1"/>
      <c r="AP2087" s="1"/>
      <c r="AQ2087" s="1"/>
      <c r="AR2087" s="1" t="s">
        <v>98</v>
      </c>
      <c r="AS2087" s="1" t="s">
        <v>22750</v>
      </c>
      <c r="AT2087" s="1" t="s">
        <v>1374</v>
      </c>
      <c r="AU2087" s="1" t="s">
        <v>433</v>
      </c>
      <c r="AV2087" s="1">
        <v>72.18</v>
      </c>
      <c r="AW2087" s="1"/>
      <c r="AX2087" s="1" t="s">
        <v>253</v>
      </c>
      <c r="AY2087" s="1" t="s">
        <v>22751</v>
      </c>
      <c r="AZ2087" s="1" t="s">
        <v>201</v>
      </c>
      <c r="BA2087" s="1" t="s">
        <v>105</v>
      </c>
      <c r="BB2087" s="1">
        <v>74.4</v>
      </c>
      <c r="BC2087" s="1"/>
      <c r="BD2087" s="1"/>
      <c r="BE2087" s="1"/>
      <c r="BF2087" s="1"/>
      <c r="BG2087" s="1"/>
      <c r="BH2087" s="1"/>
      <c r="BI2087" s="1"/>
      <c r="BJ2087" s="1" t="s">
        <v>364</v>
      </c>
      <c r="BK2087" s="1" t="s">
        <v>22752</v>
      </c>
      <c r="BL2087" s="1" t="s">
        <v>721</v>
      </c>
      <c r="BM2087" s="1" t="s">
        <v>22753</v>
      </c>
      <c r="BN2087" s="1">
        <v>72</v>
      </c>
      <c r="BO2087" s="1"/>
      <c r="BP2087" s="1" t="str">
        <f>HYPERLINK("https://nconnect.nicmar.ac.in/storage/profile/ProfilePhoto_P25701060_532694.jpg","Download")</f>
        <v>0</v>
      </c>
      <c r="BQ2087" s="3"/>
      <c r="BR2087" s="3"/>
    </row>
    <row r="2088" spans="1:70">
      <c r="A2088" s="1" t="s">
        <v>21304</v>
      </c>
      <c r="B2088" s="1" t="s">
        <v>441</v>
      </c>
      <c r="C2088" s="1" t="s">
        <v>22754</v>
      </c>
      <c r="D2088" s="1" t="s">
        <v>22755</v>
      </c>
      <c r="E2088" s="1"/>
      <c r="F2088" s="1" t="s">
        <v>15412</v>
      </c>
      <c r="G2088" s="1" t="s">
        <v>22756</v>
      </c>
      <c r="H2088" s="1" t="s">
        <v>22757</v>
      </c>
      <c r="I2088" s="1" t="s">
        <v>22758</v>
      </c>
      <c r="J2088" s="1">
        <v>9330372646</v>
      </c>
      <c r="K2088" s="1" t="s">
        <v>79</v>
      </c>
      <c r="L2088" s="1" t="s">
        <v>18891</v>
      </c>
      <c r="M2088" s="1" t="s">
        <v>81</v>
      </c>
      <c r="N2088" s="1" t="s">
        <v>12166</v>
      </c>
      <c r="O2088" s="1"/>
      <c r="P2088" s="1" t="s">
        <v>450</v>
      </c>
      <c r="Q2088" s="1" t="s">
        <v>22759</v>
      </c>
      <c r="R2088" s="1" t="s">
        <v>22760</v>
      </c>
      <c r="S2088" s="1">
        <v>9830827767</v>
      </c>
      <c r="T2088" s="1" t="s">
        <v>632</v>
      </c>
      <c r="U2088" s="1" t="s">
        <v>22761</v>
      </c>
      <c r="V2088" s="1">
        <v>9051451485</v>
      </c>
      <c r="W2088" s="1" t="s">
        <v>89</v>
      </c>
      <c r="X2088" s="1" t="s">
        <v>22762</v>
      </c>
      <c r="Y2088" s="1" t="s">
        <v>191</v>
      </c>
      <c r="Z2088" s="1" t="s">
        <v>92</v>
      </c>
      <c r="AA2088" s="1" t="s">
        <v>22763</v>
      </c>
      <c r="AB2088" s="1" t="s">
        <v>1210</v>
      </c>
      <c r="AC2088" s="1" t="s">
        <v>1211</v>
      </c>
      <c r="AD2088" s="1">
        <v>8.73</v>
      </c>
      <c r="AE2088" s="1" t="s">
        <v>93</v>
      </c>
      <c r="AF2088" s="1" t="s">
        <v>22764</v>
      </c>
      <c r="AG2088" s="1" t="s">
        <v>21888</v>
      </c>
      <c r="AH2088" s="1" t="s">
        <v>279</v>
      </c>
      <c r="AI2088" s="1" t="s">
        <v>562</v>
      </c>
      <c r="AJ2088" s="1">
        <v>86.67</v>
      </c>
      <c r="AK2088" s="1"/>
      <c r="AL2088" s="1" t="s">
        <v>22765</v>
      </c>
      <c r="AM2088" s="1" t="s">
        <v>22766</v>
      </c>
      <c r="AN2088" s="1" t="s">
        <v>562</v>
      </c>
      <c r="AO2088" s="1" t="s">
        <v>308</v>
      </c>
      <c r="AP2088" s="1">
        <v>83</v>
      </c>
      <c r="AQ2088" s="1"/>
      <c r="AR2088" s="1"/>
      <c r="AS2088" s="1"/>
      <c r="AT2088" s="1"/>
      <c r="AU2088" s="1"/>
      <c r="AV2088" s="1"/>
      <c r="AW2088" s="1"/>
      <c r="AX2088" s="1" t="s">
        <v>22767</v>
      </c>
      <c r="AY2088" s="1" t="s">
        <v>22768</v>
      </c>
      <c r="AZ2088" s="1" t="s">
        <v>201</v>
      </c>
      <c r="BA2088" s="1" t="s">
        <v>915</v>
      </c>
      <c r="BB2088" s="1">
        <v>69.53</v>
      </c>
      <c r="BC2088" s="1"/>
      <c r="BD2088" s="1"/>
      <c r="BE2088" s="1"/>
      <c r="BF2088" s="1"/>
      <c r="BG2088" s="1"/>
      <c r="BH2088" s="1"/>
      <c r="BI2088" s="1"/>
      <c r="BJ2088" s="1" t="s">
        <v>1822</v>
      </c>
      <c r="BK2088" s="1" t="s">
        <v>22769</v>
      </c>
      <c r="BL2088" s="1" t="s">
        <v>569</v>
      </c>
      <c r="BM2088" s="1" t="s">
        <v>22770</v>
      </c>
      <c r="BN2088" s="1">
        <v>9</v>
      </c>
      <c r="BO2088" s="1"/>
      <c r="BP2088" s="1" t="str">
        <f>HYPERLINK("https://nconnect.nicmar.ac.in/storage/profile/ProfilePhoto_P25701061_738146.jpg","Download")</f>
        <v>0</v>
      </c>
      <c r="BQ2088" s="3"/>
      <c r="BR2088" s="3"/>
    </row>
    <row r="2089" spans="1:70">
      <c r="A2089" s="1" t="s">
        <v>21304</v>
      </c>
      <c r="B2089" s="1" t="s">
        <v>441</v>
      </c>
      <c r="C2089" s="1" t="s">
        <v>22771</v>
      </c>
      <c r="D2089" s="1" t="s">
        <v>4228</v>
      </c>
      <c r="E2089" s="1" t="s">
        <v>2203</v>
      </c>
      <c r="F2089" s="1" t="s">
        <v>22772</v>
      </c>
      <c r="G2089" s="1" t="s">
        <v>22773</v>
      </c>
      <c r="H2089" s="1" t="s">
        <v>22774</v>
      </c>
      <c r="I2089" s="1" t="s">
        <v>22775</v>
      </c>
      <c r="J2089" s="1">
        <v>8669116038</v>
      </c>
      <c r="K2089" s="1" t="s">
        <v>79</v>
      </c>
      <c r="L2089" s="1" t="s">
        <v>1230</v>
      </c>
      <c r="M2089" s="1" t="s">
        <v>81</v>
      </c>
      <c r="N2089" s="1" t="s">
        <v>21436</v>
      </c>
      <c r="O2089" s="1" t="s">
        <v>22776</v>
      </c>
      <c r="P2089" s="1" t="s">
        <v>472</v>
      </c>
      <c r="Q2089" s="1" t="s">
        <v>22777</v>
      </c>
      <c r="R2089" s="1" t="s">
        <v>22778</v>
      </c>
      <c r="S2089" s="1">
        <v>8007093453</v>
      </c>
      <c r="T2089" s="1" t="s">
        <v>22779</v>
      </c>
      <c r="U2089" s="1" t="s">
        <v>22780</v>
      </c>
      <c r="V2089" s="1">
        <v>9689548771</v>
      </c>
      <c r="W2089" s="1" t="s">
        <v>89</v>
      </c>
      <c r="X2089" s="1" t="s">
        <v>22781</v>
      </c>
      <c r="Y2089" s="1" t="s">
        <v>6543</v>
      </c>
      <c r="Z2089" s="1" t="s">
        <v>6544</v>
      </c>
      <c r="AA2089" s="1" t="s">
        <v>22781</v>
      </c>
      <c r="AB2089" s="1" t="s">
        <v>6543</v>
      </c>
      <c r="AC2089" s="1" t="s">
        <v>6544</v>
      </c>
      <c r="AD2089" s="1">
        <v>8.51</v>
      </c>
      <c r="AE2089" s="1" t="s">
        <v>93</v>
      </c>
      <c r="AF2089" s="1" t="s">
        <v>22782</v>
      </c>
      <c r="AG2089" s="1" t="s">
        <v>20228</v>
      </c>
      <c r="AH2089" s="1" t="s">
        <v>161</v>
      </c>
      <c r="AI2089" s="1" t="s">
        <v>614</v>
      </c>
      <c r="AJ2089" s="1">
        <v>80.83</v>
      </c>
      <c r="AK2089" s="1"/>
      <c r="AL2089" s="1" t="s">
        <v>22783</v>
      </c>
      <c r="AM2089" s="1" t="s">
        <v>20228</v>
      </c>
      <c r="AN2089" s="1" t="s">
        <v>165</v>
      </c>
      <c r="AO2089" s="1" t="s">
        <v>166</v>
      </c>
      <c r="AP2089" s="1">
        <v>66.67</v>
      </c>
      <c r="AQ2089" s="1"/>
      <c r="AR2089" s="1"/>
      <c r="AS2089" s="1"/>
      <c r="AT2089" s="1"/>
      <c r="AU2089" s="1"/>
      <c r="AV2089" s="1"/>
      <c r="AW2089" s="1"/>
      <c r="AX2089" s="1" t="s">
        <v>11208</v>
      </c>
      <c r="AY2089" s="1" t="s">
        <v>22784</v>
      </c>
      <c r="AZ2089" s="1" t="s">
        <v>169</v>
      </c>
      <c r="BA2089" s="1" t="s">
        <v>1378</v>
      </c>
      <c r="BB2089" s="1">
        <v>66.92</v>
      </c>
      <c r="BC2089" s="1"/>
      <c r="BD2089" s="1"/>
      <c r="BE2089" s="1"/>
      <c r="BF2089" s="1"/>
      <c r="BG2089" s="1"/>
      <c r="BH2089" s="1"/>
      <c r="BI2089" s="1"/>
      <c r="BJ2089" s="1" t="s">
        <v>22785</v>
      </c>
      <c r="BK2089" s="1" t="s">
        <v>22786</v>
      </c>
      <c r="BL2089" s="1" t="s">
        <v>1459</v>
      </c>
      <c r="BM2089" s="1" t="s">
        <v>22787</v>
      </c>
      <c r="BN2089" s="1">
        <v>37</v>
      </c>
      <c r="BO2089" s="1" t="s">
        <v>22788</v>
      </c>
      <c r="BP2089" s="1" t="str">
        <f>HYPERLINK("https://nconnect.nicmar.ac.in/storage/profile/ProfilePhoto_P25701062_418765.jpg","Download")</f>
        <v>0</v>
      </c>
      <c r="BQ2089" s="3"/>
      <c r="BR2089" s="3"/>
    </row>
    <row r="2090" spans="1:70">
      <c r="A2090" s="1" t="s">
        <v>21304</v>
      </c>
      <c r="B2090" s="1" t="s">
        <v>441</v>
      </c>
      <c r="C2090" s="1" t="s">
        <v>22789</v>
      </c>
      <c r="D2090" s="1" t="s">
        <v>18445</v>
      </c>
      <c r="E2090" s="1"/>
      <c r="F2090" s="1" t="s">
        <v>17654</v>
      </c>
      <c r="G2090" s="1" t="s">
        <v>22790</v>
      </c>
      <c r="H2090" s="1" t="s">
        <v>22791</v>
      </c>
      <c r="I2090" s="1" t="s">
        <v>22792</v>
      </c>
      <c r="J2090" s="1">
        <v>9556521573</v>
      </c>
      <c r="K2090" s="1" t="s">
        <v>79</v>
      </c>
      <c r="L2090" s="1" t="s">
        <v>18723</v>
      </c>
      <c r="M2090" s="1" t="s">
        <v>81</v>
      </c>
      <c r="N2090" s="1" t="s">
        <v>862</v>
      </c>
      <c r="O2090" s="1"/>
      <c r="P2090" s="1" t="s">
        <v>472</v>
      </c>
      <c r="Q2090" s="1" t="s">
        <v>22793</v>
      </c>
      <c r="R2090" s="1" t="s">
        <v>22794</v>
      </c>
      <c r="S2090" s="1">
        <v>9437158463</v>
      </c>
      <c r="T2090" s="1" t="s">
        <v>820</v>
      </c>
      <c r="U2090" s="1" t="s">
        <v>22795</v>
      </c>
      <c r="V2090" s="1">
        <v>7008316854</v>
      </c>
      <c r="W2090" s="1" t="s">
        <v>531</v>
      </c>
      <c r="X2090" s="1" t="s">
        <v>22796</v>
      </c>
      <c r="Y2090" s="1" t="s">
        <v>9559</v>
      </c>
      <c r="Z2090" s="1" t="s">
        <v>846</v>
      </c>
      <c r="AA2090" s="1" t="s">
        <v>22796</v>
      </c>
      <c r="AB2090" s="1" t="s">
        <v>9559</v>
      </c>
      <c r="AC2090" s="1" t="s">
        <v>846</v>
      </c>
      <c r="AD2090" s="1">
        <v>8.9</v>
      </c>
      <c r="AE2090" s="1" t="s">
        <v>93</v>
      </c>
      <c r="AF2090" s="1" t="s">
        <v>22797</v>
      </c>
      <c r="AG2090" s="1" t="s">
        <v>22798</v>
      </c>
      <c r="AH2090" s="1" t="s">
        <v>162</v>
      </c>
      <c r="AI2090" s="1" t="s">
        <v>383</v>
      </c>
      <c r="AJ2090" s="1">
        <v>95</v>
      </c>
      <c r="AK2090" s="1">
        <v>10</v>
      </c>
      <c r="AL2090" s="1" t="s">
        <v>22799</v>
      </c>
      <c r="AM2090" s="1" t="s">
        <v>22800</v>
      </c>
      <c r="AN2090" s="1" t="s">
        <v>169</v>
      </c>
      <c r="AO2090" s="1" t="s">
        <v>433</v>
      </c>
      <c r="AP2090" s="1">
        <v>69</v>
      </c>
      <c r="AQ2090" s="1"/>
      <c r="AR2090" s="1"/>
      <c r="AS2090" s="1"/>
      <c r="AT2090" s="1"/>
      <c r="AU2090" s="1"/>
      <c r="AV2090" s="1"/>
      <c r="AW2090" s="1"/>
      <c r="AX2090" s="1" t="s">
        <v>15544</v>
      </c>
      <c r="AY2090" s="1" t="s">
        <v>15544</v>
      </c>
      <c r="AZ2090" s="1" t="s">
        <v>201</v>
      </c>
      <c r="BA2090" s="1" t="s">
        <v>413</v>
      </c>
      <c r="BB2090" s="1">
        <v>81.98</v>
      </c>
      <c r="BC2090" s="1">
        <v>8.19</v>
      </c>
      <c r="BD2090" s="1"/>
      <c r="BE2090" s="1"/>
      <c r="BF2090" s="1"/>
      <c r="BG2090" s="1"/>
      <c r="BH2090" s="1"/>
      <c r="BI2090" s="1"/>
      <c r="BJ2090" s="1" t="s">
        <v>22801</v>
      </c>
      <c r="BK2090" s="1" t="s">
        <v>22802</v>
      </c>
      <c r="BL2090" s="1" t="s">
        <v>1022</v>
      </c>
      <c r="BM2090" s="1" t="s">
        <v>22803</v>
      </c>
      <c r="BN2090" s="1">
        <v>41</v>
      </c>
      <c r="BO2090" s="1"/>
      <c r="BP2090" s="1" t="str">
        <f>HYPERLINK("https://nconnect.nicmar.ac.in/storage/profile/ProfilePhoto_P25701063_213945.jpg","Download")</f>
        <v>0</v>
      </c>
      <c r="BQ2090" s="3"/>
      <c r="BR2090" s="3"/>
    </row>
    <row r="2091" spans="1:70">
      <c r="A2091" s="1" t="s">
        <v>21304</v>
      </c>
      <c r="B2091" s="1" t="s">
        <v>441</v>
      </c>
      <c r="C2091" s="1" t="s">
        <v>22804</v>
      </c>
      <c r="D2091" s="1" t="s">
        <v>22805</v>
      </c>
      <c r="E2091" s="1" t="s">
        <v>5486</v>
      </c>
      <c r="F2091" s="1" t="s">
        <v>22806</v>
      </c>
      <c r="G2091" s="1" t="s">
        <v>22807</v>
      </c>
      <c r="H2091" s="1" t="s">
        <v>22808</v>
      </c>
      <c r="I2091" s="1" t="s">
        <v>22809</v>
      </c>
      <c r="J2091" s="1">
        <v>7507154125</v>
      </c>
      <c r="K2091" s="1" t="s">
        <v>148</v>
      </c>
      <c r="L2091" s="1" t="s">
        <v>22810</v>
      </c>
      <c r="M2091" s="1" t="s">
        <v>81</v>
      </c>
      <c r="N2091" s="1" t="s">
        <v>22811</v>
      </c>
      <c r="O2091" s="1"/>
      <c r="P2091" s="1" t="s">
        <v>450</v>
      </c>
      <c r="Q2091" s="1" t="s">
        <v>22812</v>
      </c>
      <c r="R2091" s="1" t="s">
        <v>22813</v>
      </c>
      <c r="S2091" s="1">
        <v>9823178125</v>
      </c>
      <c r="T2091" s="1" t="s">
        <v>632</v>
      </c>
      <c r="U2091" s="1" t="s">
        <v>22814</v>
      </c>
      <c r="V2091" s="1">
        <v>9422113125</v>
      </c>
      <c r="W2091" s="1" t="s">
        <v>820</v>
      </c>
      <c r="X2091" s="1" t="s">
        <v>22815</v>
      </c>
      <c r="Y2091" s="1" t="s">
        <v>191</v>
      </c>
      <c r="Z2091" s="1" t="s">
        <v>92</v>
      </c>
      <c r="AA2091" s="1" t="s">
        <v>22816</v>
      </c>
      <c r="AB2091" s="1" t="s">
        <v>405</v>
      </c>
      <c r="AC2091" s="1" t="s">
        <v>92</v>
      </c>
      <c r="AD2091" s="1">
        <v>9.59</v>
      </c>
      <c r="AE2091" s="1" t="s">
        <v>93</v>
      </c>
      <c r="AF2091" s="1" t="s">
        <v>22817</v>
      </c>
      <c r="AG2091" s="1" t="s">
        <v>7354</v>
      </c>
      <c r="AH2091" s="1" t="s">
        <v>162</v>
      </c>
      <c r="AI2091" s="1" t="s">
        <v>195</v>
      </c>
      <c r="AJ2091" s="1">
        <v>96.2</v>
      </c>
      <c r="AK2091" s="1"/>
      <c r="AL2091" s="1" t="s">
        <v>22818</v>
      </c>
      <c r="AM2091" s="1" t="s">
        <v>7354</v>
      </c>
      <c r="AN2091" s="1" t="s">
        <v>101</v>
      </c>
      <c r="AO2091" s="1" t="s">
        <v>198</v>
      </c>
      <c r="AP2091" s="1">
        <v>79.23</v>
      </c>
      <c r="AQ2091" s="1"/>
      <c r="AR2091" s="1"/>
      <c r="AS2091" s="1"/>
      <c r="AT2091" s="1"/>
      <c r="AU2091" s="1"/>
      <c r="AV2091" s="1"/>
      <c r="AW2091" s="1"/>
      <c r="AX2091" s="1" t="s">
        <v>361</v>
      </c>
      <c r="AY2091" s="1" t="s">
        <v>22819</v>
      </c>
      <c r="AZ2091" s="1" t="s">
        <v>201</v>
      </c>
      <c r="BA2091" s="1" t="s">
        <v>1292</v>
      </c>
      <c r="BB2091" s="1">
        <v>72.96</v>
      </c>
      <c r="BC2091" s="1">
        <v>7.68</v>
      </c>
      <c r="BD2091" s="1"/>
      <c r="BE2091" s="1"/>
      <c r="BF2091" s="1"/>
      <c r="BG2091" s="1"/>
      <c r="BH2091" s="1"/>
      <c r="BI2091" s="1"/>
      <c r="BJ2091" s="1" t="s">
        <v>22820</v>
      </c>
      <c r="BK2091" s="1" t="s">
        <v>22821</v>
      </c>
      <c r="BL2091" s="1" t="s">
        <v>1048</v>
      </c>
      <c r="BM2091" s="1" t="s">
        <v>22822</v>
      </c>
      <c r="BN2091" s="1">
        <v>86</v>
      </c>
      <c r="BO2091" s="1" t="s">
        <v>22823</v>
      </c>
      <c r="BP2091" s="1" t="str">
        <f>HYPERLINK("https://nconnect.nicmar.ac.in/storage/profile/ProfilePhoto_P25701064_689127.jpg","Download")</f>
        <v>0</v>
      </c>
      <c r="BQ2091" s="3"/>
      <c r="BR2091" s="3"/>
    </row>
    <row r="2092" spans="1:70">
      <c r="A2092" s="1" t="s">
        <v>21304</v>
      </c>
      <c r="B2092" s="1" t="s">
        <v>441</v>
      </c>
      <c r="C2092" s="1" t="s">
        <v>22824</v>
      </c>
      <c r="D2092" s="1" t="s">
        <v>22059</v>
      </c>
      <c r="E2092" s="1" t="s">
        <v>22825</v>
      </c>
      <c r="F2092" s="1" t="s">
        <v>22826</v>
      </c>
      <c r="G2092" s="1" t="s">
        <v>22827</v>
      </c>
      <c r="H2092" s="1" t="s">
        <v>22828</v>
      </c>
      <c r="I2092" s="1" t="s">
        <v>22829</v>
      </c>
      <c r="J2092" s="1">
        <v>9447200447</v>
      </c>
      <c r="K2092" s="1" t="s">
        <v>148</v>
      </c>
      <c r="L2092" s="1" t="s">
        <v>22830</v>
      </c>
      <c r="M2092" s="1" t="s">
        <v>81</v>
      </c>
      <c r="N2092" s="1" t="s">
        <v>1278</v>
      </c>
      <c r="O2092" s="1"/>
      <c r="P2092" s="1" t="s">
        <v>472</v>
      </c>
      <c r="Q2092" s="1" t="s">
        <v>22831</v>
      </c>
      <c r="R2092" s="1" t="s">
        <v>22832</v>
      </c>
      <c r="S2092" s="1">
        <v>7510866844</v>
      </c>
      <c r="T2092" s="1" t="s">
        <v>22833</v>
      </c>
      <c r="U2092" s="1" t="s">
        <v>22834</v>
      </c>
      <c r="V2092" s="1">
        <v>7510866844</v>
      </c>
      <c r="W2092" s="1" t="s">
        <v>271</v>
      </c>
      <c r="X2092" s="1" t="s">
        <v>22835</v>
      </c>
      <c r="Y2092" s="1" t="s">
        <v>3209</v>
      </c>
      <c r="Z2092" s="1" t="s">
        <v>125</v>
      </c>
      <c r="AA2092" s="1" t="s">
        <v>22836</v>
      </c>
      <c r="AB2092" s="1" t="s">
        <v>22837</v>
      </c>
      <c r="AC2092" s="1" t="s">
        <v>125</v>
      </c>
      <c r="AD2092" s="1">
        <v>9.33</v>
      </c>
      <c r="AE2092" s="1" t="s">
        <v>93</v>
      </c>
      <c r="AF2092" s="1" t="s">
        <v>22838</v>
      </c>
      <c r="AG2092" s="1" t="s">
        <v>3174</v>
      </c>
      <c r="AH2092" s="1" t="s">
        <v>101</v>
      </c>
      <c r="AI2092" s="1" t="s">
        <v>308</v>
      </c>
      <c r="AJ2092" s="1">
        <v>96.2</v>
      </c>
      <c r="AK2092" s="1">
        <v>0</v>
      </c>
      <c r="AL2092" s="1" t="s">
        <v>22839</v>
      </c>
      <c r="AM2092" s="1" t="s">
        <v>3174</v>
      </c>
      <c r="AN2092" s="1" t="s">
        <v>460</v>
      </c>
      <c r="AO2092" s="1" t="s">
        <v>539</v>
      </c>
      <c r="AP2092" s="1">
        <v>89.6</v>
      </c>
      <c r="AQ2092" s="1">
        <v>0</v>
      </c>
      <c r="AR2092" s="1"/>
      <c r="AS2092" s="1"/>
      <c r="AT2092" s="1"/>
      <c r="AU2092" s="1"/>
      <c r="AV2092" s="1"/>
      <c r="AW2092" s="1"/>
      <c r="AX2092" s="1" t="s">
        <v>132</v>
      </c>
      <c r="AY2092" s="1" t="s">
        <v>22840</v>
      </c>
      <c r="AZ2092" s="1" t="s">
        <v>135</v>
      </c>
      <c r="BA2092" s="1" t="s">
        <v>594</v>
      </c>
      <c r="BB2092" s="1">
        <v>93.3</v>
      </c>
      <c r="BC2092" s="1">
        <v>9.33</v>
      </c>
      <c r="BD2092" s="1"/>
      <c r="BE2092" s="1"/>
      <c r="BF2092" s="1"/>
      <c r="BG2092" s="1"/>
      <c r="BH2092" s="1"/>
      <c r="BI2092" s="1"/>
      <c r="BJ2092" s="1" t="s">
        <v>22841</v>
      </c>
      <c r="BK2092" s="1"/>
      <c r="BL2092" s="1"/>
      <c r="BM2092" s="1" t="s">
        <v>22842</v>
      </c>
      <c r="BN2092" s="1">
        <v>18</v>
      </c>
      <c r="BO2092" s="1"/>
      <c r="BP2092" s="1" t="str">
        <f>HYPERLINK("https://nconnect.nicmar.ac.in/storage/profile/ProfilePhoto_P25701065_158739.jpg","Download")</f>
        <v>0</v>
      </c>
      <c r="BQ2092" s="3"/>
      <c r="BR2092" s="3"/>
    </row>
    <row r="2093" spans="1:70">
      <c r="A2093" s="1" t="s">
        <v>21304</v>
      </c>
      <c r="B2093" s="1" t="s">
        <v>441</v>
      </c>
      <c r="C2093" s="1" t="s">
        <v>22843</v>
      </c>
      <c r="D2093" s="1" t="s">
        <v>18241</v>
      </c>
      <c r="E2093" s="1"/>
      <c r="F2093" s="1" t="s">
        <v>4035</v>
      </c>
      <c r="G2093" s="1" t="s">
        <v>22844</v>
      </c>
      <c r="H2093" s="1" t="s">
        <v>22845</v>
      </c>
      <c r="I2093" s="1" t="s">
        <v>22846</v>
      </c>
      <c r="J2093" s="1">
        <v>9004390493</v>
      </c>
      <c r="K2093" s="1" t="s">
        <v>148</v>
      </c>
      <c r="L2093" s="1" t="s">
        <v>5118</v>
      </c>
      <c r="M2093" s="1" t="s">
        <v>81</v>
      </c>
      <c r="N2093" s="1" t="s">
        <v>7173</v>
      </c>
      <c r="O2093" s="1" t="s">
        <v>22009</v>
      </c>
      <c r="P2093" s="1" t="s">
        <v>117</v>
      </c>
      <c r="Q2093" s="1" t="s">
        <v>22847</v>
      </c>
      <c r="R2093" s="1" t="s">
        <v>22848</v>
      </c>
      <c r="S2093" s="1">
        <v>9821529199</v>
      </c>
      <c r="T2093" s="1" t="s">
        <v>632</v>
      </c>
      <c r="U2093" s="1" t="s">
        <v>22849</v>
      </c>
      <c r="V2093" s="1">
        <v>9321149199</v>
      </c>
      <c r="W2093" s="1" t="s">
        <v>531</v>
      </c>
      <c r="X2093" s="1" t="s">
        <v>22850</v>
      </c>
      <c r="Y2093" s="1" t="s">
        <v>991</v>
      </c>
      <c r="Z2093" s="1" t="s">
        <v>92</v>
      </c>
      <c r="AA2093" s="1" t="s">
        <v>22850</v>
      </c>
      <c r="AB2093" s="1" t="s">
        <v>991</v>
      </c>
      <c r="AC2093" s="1" t="s">
        <v>92</v>
      </c>
      <c r="AD2093" s="1">
        <v>8.7</v>
      </c>
      <c r="AE2093" s="1" t="s">
        <v>93</v>
      </c>
      <c r="AF2093" s="1" t="s">
        <v>22851</v>
      </c>
      <c r="AG2093" s="1" t="s">
        <v>9487</v>
      </c>
      <c r="AH2093" s="1" t="s">
        <v>162</v>
      </c>
      <c r="AI2093" s="1" t="s">
        <v>165</v>
      </c>
      <c r="AJ2093" s="1">
        <v>85.5</v>
      </c>
      <c r="AK2093" s="1">
        <v>9</v>
      </c>
      <c r="AL2093" s="1" t="s">
        <v>22851</v>
      </c>
      <c r="AM2093" s="1" t="s">
        <v>9487</v>
      </c>
      <c r="AN2093" s="1" t="s">
        <v>101</v>
      </c>
      <c r="AO2093" s="1" t="s">
        <v>308</v>
      </c>
      <c r="AP2093" s="1">
        <v>71.6</v>
      </c>
      <c r="AQ2093" s="1"/>
      <c r="AR2093" s="1"/>
      <c r="AS2093" s="1"/>
      <c r="AT2093" s="1"/>
      <c r="AU2093" s="1"/>
      <c r="AV2093" s="1"/>
      <c r="AW2093" s="1"/>
      <c r="AX2093" s="1" t="s">
        <v>253</v>
      </c>
      <c r="AY2093" s="1" t="s">
        <v>22852</v>
      </c>
      <c r="AZ2093" s="1" t="s">
        <v>310</v>
      </c>
      <c r="BA2093" s="1" t="s">
        <v>413</v>
      </c>
      <c r="BB2093" s="1">
        <v>70.68</v>
      </c>
      <c r="BC2093" s="1">
        <v>7.93</v>
      </c>
      <c r="BD2093" s="1"/>
      <c r="BE2093" s="1"/>
      <c r="BF2093" s="1"/>
      <c r="BG2093" s="1"/>
      <c r="BH2093" s="1"/>
      <c r="BI2093" s="1"/>
      <c r="BJ2093" s="1" t="s">
        <v>22853</v>
      </c>
      <c r="BK2093" s="1" t="s">
        <v>22854</v>
      </c>
      <c r="BL2093" s="1" t="s">
        <v>873</v>
      </c>
      <c r="BM2093" s="1" t="s">
        <v>22855</v>
      </c>
      <c r="BN2093" s="1">
        <v>34</v>
      </c>
      <c r="BO2093" s="1" t="s">
        <v>22856</v>
      </c>
      <c r="BP2093" s="1" t="str">
        <f>HYPERLINK("https://nconnect.nicmar.ac.in/storage/profile/ProfilePhoto_P25701066_926834.jpg","Download")</f>
        <v>0</v>
      </c>
      <c r="BQ2093" s="3"/>
      <c r="BR2093" s="3"/>
    </row>
    <row r="2094" spans="1:70">
      <c r="A2094" s="1" t="s">
        <v>21304</v>
      </c>
      <c r="B2094" s="1" t="s">
        <v>441</v>
      </c>
      <c r="C2094" s="1" t="s">
        <v>22857</v>
      </c>
      <c r="D2094" s="1" t="s">
        <v>17046</v>
      </c>
      <c r="E2094" s="1" t="s">
        <v>19362</v>
      </c>
      <c r="F2094" s="1" t="s">
        <v>22858</v>
      </c>
      <c r="G2094" s="1" t="s">
        <v>22859</v>
      </c>
      <c r="H2094" s="1" t="s">
        <v>22860</v>
      </c>
      <c r="I2094" s="1" t="s">
        <v>22861</v>
      </c>
      <c r="J2094" s="1">
        <v>8766599124</v>
      </c>
      <c r="K2094" s="1" t="s">
        <v>148</v>
      </c>
      <c r="L2094" s="1" t="s">
        <v>20457</v>
      </c>
      <c r="M2094" s="1" t="s">
        <v>81</v>
      </c>
      <c r="N2094" s="1" t="s">
        <v>1140</v>
      </c>
      <c r="O2094" s="1"/>
      <c r="P2094" s="1" t="s">
        <v>472</v>
      </c>
      <c r="Q2094" s="1" t="s">
        <v>22862</v>
      </c>
      <c r="R2094" s="1" t="s">
        <v>19362</v>
      </c>
      <c r="S2094" s="1">
        <v>9421874787</v>
      </c>
      <c r="T2094" s="1" t="s">
        <v>2972</v>
      </c>
      <c r="U2094" s="1" t="s">
        <v>21368</v>
      </c>
      <c r="V2094" s="1">
        <v>9403840824</v>
      </c>
      <c r="W2094" s="1" t="s">
        <v>820</v>
      </c>
      <c r="X2094" s="1" t="s">
        <v>22863</v>
      </c>
      <c r="Y2094" s="1" t="s">
        <v>219</v>
      </c>
      <c r="Z2094" s="1" t="s">
        <v>92</v>
      </c>
      <c r="AA2094" s="1" t="s">
        <v>22863</v>
      </c>
      <c r="AB2094" s="1" t="s">
        <v>219</v>
      </c>
      <c r="AC2094" s="1" t="s">
        <v>92</v>
      </c>
      <c r="AD2094" s="1">
        <v>8.47</v>
      </c>
      <c r="AE2094" s="1" t="s">
        <v>93</v>
      </c>
      <c r="AF2094" s="1" t="s">
        <v>22864</v>
      </c>
      <c r="AG2094" s="1" t="s">
        <v>22865</v>
      </c>
      <c r="AH2094" s="1" t="s">
        <v>165</v>
      </c>
      <c r="AI2094" s="1" t="s">
        <v>281</v>
      </c>
      <c r="AJ2094" s="1">
        <v>86.6</v>
      </c>
      <c r="AK2094" s="1"/>
      <c r="AL2094" s="1" t="s">
        <v>22866</v>
      </c>
      <c r="AM2094" s="1" t="s">
        <v>22867</v>
      </c>
      <c r="AN2094" s="1" t="s">
        <v>308</v>
      </c>
      <c r="AO2094" s="1" t="s">
        <v>360</v>
      </c>
      <c r="AP2094" s="1">
        <v>62.92</v>
      </c>
      <c r="AQ2094" s="1"/>
      <c r="AR2094" s="1"/>
      <c r="AS2094" s="1"/>
      <c r="AT2094" s="1"/>
      <c r="AU2094" s="1"/>
      <c r="AV2094" s="1"/>
      <c r="AW2094" s="1"/>
      <c r="AX2094" s="1" t="s">
        <v>253</v>
      </c>
      <c r="AY2094" s="1" t="s">
        <v>22054</v>
      </c>
      <c r="AZ2094" s="1" t="s">
        <v>363</v>
      </c>
      <c r="BA2094" s="1" t="s">
        <v>594</v>
      </c>
      <c r="BB2094" s="1">
        <v>74.23</v>
      </c>
      <c r="BC2094" s="1">
        <v>8.41</v>
      </c>
      <c r="BD2094" s="1"/>
      <c r="BE2094" s="1"/>
      <c r="BF2094" s="1"/>
      <c r="BG2094" s="1"/>
      <c r="BH2094" s="1"/>
      <c r="BI2094" s="1"/>
      <c r="BJ2094" s="1" t="s">
        <v>22868</v>
      </c>
      <c r="BK2094" s="1"/>
      <c r="BL2094" s="1"/>
      <c r="BM2094" s="1" t="s">
        <v>22869</v>
      </c>
      <c r="BN2094" s="1">
        <v>25</v>
      </c>
      <c r="BO2094" s="1" t="s">
        <v>22870</v>
      </c>
      <c r="BP2094" s="1" t="str">
        <f>HYPERLINK("https://nconnect.nicmar.ac.in/storage/profile/ProfilePhoto_P25701067_261389.jpg","Download")</f>
        <v>0</v>
      </c>
      <c r="BQ2094" s="3"/>
      <c r="BR2094" s="3"/>
    </row>
    <row r="2095" spans="1:70">
      <c r="A2095" s="1" t="s">
        <v>21304</v>
      </c>
      <c r="B2095" s="1" t="s">
        <v>441</v>
      </c>
      <c r="C2095" s="1" t="s">
        <v>22871</v>
      </c>
      <c r="D2095" s="1" t="s">
        <v>6593</v>
      </c>
      <c r="E2095" s="1" t="s">
        <v>745</v>
      </c>
      <c r="F2095" s="1" t="s">
        <v>2914</v>
      </c>
      <c r="G2095" s="1" t="s">
        <v>22872</v>
      </c>
      <c r="H2095" s="1" t="s">
        <v>22873</v>
      </c>
      <c r="I2095" s="1" t="s">
        <v>22874</v>
      </c>
      <c r="J2095" s="1">
        <v>9011527399</v>
      </c>
      <c r="K2095" s="1" t="s">
        <v>79</v>
      </c>
      <c r="L2095" s="1" t="s">
        <v>6226</v>
      </c>
      <c r="M2095" s="1" t="s">
        <v>81</v>
      </c>
      <c r="N2095" s="1" t="s">
        <v>2424</v>
      </c>
      <c r="O2095" s="1" t="s">
        <v>22875</v>
      </c>
      <c r="P2095" s="1" t="s">
        <v>497</v>
      </c>
      <c r="Q2095" s="1" t="s">
        <v>22876</v>
      </c>
      <c r="R2095" s="1" t="s">
        <v>22877</v>
      </c>
      <c r="S2095" s="1">
        <v>9921492794</v>
      </c>
      <c r="T2095" s="1" t="s">
        <v>22878</v>
      </c>
      <c r="U2095" s="1" t="s">
        <v>22879</v>
      </c>
      <c r="V2095" s="1">
        <v>8956941788</v>
      </c>
      <c r="W2095" s="1" t="s">
        <v>156</v>
      </c>
      <c r="X2095" s="1" t="s">
        <v>22880</v>
      </c>
      <c r="Y2095" s="1" t="s">
        <v>191</v>
      </c>
      <c r="Z2095" s="1" t="s">
        <v>92</v>
      </c>
      <c r="AA2095" s="1" t="s">
        <v>22881</v>
      </c>
      <c r="AB2095" s="1" t="s">
        <v>5185</v>
      </c>
      <c r="AC2095" s="1" t="s">
        <v>92</v>
      </c>
      <c r="AD2095" s="1">
        <v>7.24</v>
      </c>
      <c r="AE2095" s="1" t="s">
        <v>93</v>
      </c>
      <c r="AF2095" s="1" t="s">
        <v>22882</v>
      </c>
      <c r="AG2095" s="1" t="s">
        <v>22883</v>
      </c>
      <c r="AH2095" s="1" t="s">
        <v>433</v>
      </c>
      <c r="AI2095" s="1" t="s">
        <v>409</v>
      </c>
      <c r="AJ2095" s="1">
        <v>76.4</v>
      </c>
      <c r="AK2095" s="1">
        <v>0</v>
      </c>
      <c r="AL2095" s="1" t="s">
        <v>22884</v>
      </c>
      <c r="AM2095" s="1" t="s">
        <v>22885</v>
      </c>
      <c r="AN2095" s="1" t="s">
        <v>828</v>
      </c>
      <c r="AO2095" s="1" t="s">
        <v>436</v>
      </c>
      <c r="AP2095" s="1">
        <v>83</v>
      </c>
      <c r="AQ2095" s="1">
        <v>0</v>
      </c>
      <c r="AR2095" s="1"/>
      <c r="AS2095" s="1"/>
      <c r="AT2095" s="1"/>
      <c r="AU2095" s="1"/>
      <c r="AV2095" s="1"/>
      <c r="AW2095" s="1"/>
      <c r="AX2095" s="1" t="s">
        <v>361</v>
      </c>
      <c r="AY2095" s="1" t="s">
        <v>22886</v>
      </c>
      <c r="AZ2095" s="1" t="s">
        <v>852</v>
      </c>
      <c r="BA2095" s="1" t="s">
        <v>829</v>
      </c>
      <c r="BB2095" s="1">
        <v>61.4</v>
      </c>
      <c r="BC2095" s="1">
        <v>6.89</v>
      </c>
      <c r="BD2095" s="1"/>
      <c r="BE2095" s="1"/>
      <c r="BF2095" s="1"/>
      <c r="BG2095" s="1"/>
      <c r="BH2095" s="1"/>
      <c r="BI2095" s="1"/>
      <c r="BJ2095" s="1" t="s">
        <v>1293</v>
      </c>
      <c r="BK2095" s="1"/>
      <c r="BL2095" s="1"/>
      <c r="BM2095" s="1" t="s">
        <v>22887</v>
      </c>
      <c r="BN2095" s="1">
        <v>13</v>
      </c>
      <c r="BO2095" s="1" t="s">
        <v>22888</v>
      </c>
      <c r="BP2095" s="1" t="str">
        <f>HYPERLINK("https://nconnect.nicmar.ac.in/storage/profile/ProfilePhoto_P25701068_489276.jpg","Download")</f>
        <v>0</v>
      </c>
      <c r="BQ2095" s="3"/>
      <c r="BR2095" s="3"/>
    </row>
    <row r="2096" spans="1:70">
      <c r="A2096" s="1" t="s">
        <v>21304</v>
      </c>
      <c r="B2096" s="1" t="s">
        <v>441</v>
      </c>
      <c r="C2096" s="1" t="s">
        <v>22889</v>
      </c>
      <c r="D2096" s="1" t="s">
        <v>22890</v>
      </c>
      <c r="E2096" s="1"/>
      <c r="F2096" s="1" t="s">
        <v>9894</v>
      </c>
      <c r="G2096" s="1" t="s">
        <v>22891</v>
      </c>
      <c r="H2096" s="1" t="s">
        <v>22892</v>
      </c>
      <c r="I2096" s="1" t="s">
        <v>22893</v>
      </c>
      <c r="J2096" s="1">
        <v>8260607704</v>
      </c>
      <c r="K2096" s="1" t="s">
        <v>148</v>
      </c>
      <c r="L2096" s="1" t="s">
        <v>22894</v>
      </c>
      <c r="M2096" s="1" t="s">
        <v>81</v>
      </c>
      <c r="N2096" s="1" t="s">
        <v>22895</v>
      </c>
      <c r="O2096" s="1"/>
      <c r="P2096" s="1" t="s">
        <v>497</v>
      </c>
      <c r="Q2096" s="1" t="s">
        <v>22896</v>
      </c>
      <c r="R2096" s="1" t="s">
        <v>22897</v>
      </c>
      <c r="S2096" s="1">
        <v>7008363900</v>
      </c>
      <c r="T2096" s="1" t="s">
        <v>216</v>
      </c>
      <c r="U2096" s="1" t="s">
        <v>22898</v>
      </c>
      <c r="V2096" s="1">
        <v>8984478363</v>
      </c>
      <c r="W2096" s="1" t="s">
        <v>89</v>
      </c>
      <c r="X2096" s="1" t="s">
        <v>22899</v>
      </c>
      <c r="Y2096" s="1" t="s">
        <v>22900</v>
      </c>
      <c r="Z2096" s="1" t="s">
        <v>846</v>
      </c>
      <c r="AA2096" s="1" t="s">
        <v>22899</v>
      </c>
      <c r="AB2096" s="1" t="s">
        <v>22900</v>
      </c>
      <c r="AC2096" s="1" t="s">
        <v>846</v>
      </c>
      <c r="AD2096" s="1">
        <v>7.98</v>
      </c>
      <c r="AE2096" s="1" t="s">
        <v>93</v>
      </c>
      <c r="AF2096" s="1" t="s">
        <v>22901</v>
      </c>
      <c r="AG2096" s="1" t="s">
        <v>18102</v>
      </c>
      <c r="AH2096" s="1" t="s">
        <v>689</v>
      </c>
      <c r="AI2096" s="1" t="s">
        <v>166</v>
      </c>
      <c r="AJ2096" s="1">
        <v>75.17</v>
      </c>
      <c r="AK2096" s="1"/>
      <c r="AL2096" s="1" t="s">
        <v>22902</v>
      </c>
      <c r="AM2096" s="1" t="s">
        <v>22903</v>
      </c>
      <c r="AN2096" s="1" t="s">
        <v>165</v>
      </c>
      <c r="AO2096" s="1" t="s">
        <v>871</v>
      </c>
      <c r="AP2096" s="1">
        <v>72.17</v>
      </c>
      <c r="AQ2096" s="1"/>
      <c r="AR2096" s="1"/>
      <c r="AS2096" s="1"/>
      <c r="AT2096" s="1"/>
      <c r="AU2096" s="1"/>
      <c r="AV2096" s="1"/>
      <c r="AW2096" s="1"/>
      <c r="AX2096" s="1" t="s">
        <v>4143</v>
      </c>
      <c r="AY2096" s="1" t="s">
        <v>22904</v>
      </c>
      <c r="AZ2096" s="1" t="s">
        <v>228</v>
      </c>
      <c r="BA2096" s="1" t="s">
        <v>413</v>
      </c>
      <c r="BB2096" s="1">
        <v>76.4</v>
      </c>
      <c r="BC2096" s="1">
        <v>8.14</v>
      </c>
      <c r="BD2096" s="1"/>
      <c r="BE2096" s="1"/>
      <c r="BF2096" s="1"/>
      <c r="BG2096" s="1"/>
      <c r="BH2096" s="1"/>
      <c r="BI2096" s="1"/>
      <c r="BJ2096" s="1" t="s">
        <v>22905</v>
      </c>
      <c r="BK2096" s="1"/>
      <c r="BL2096" s="1"/>
      <c r="BM2096" s="1" t="s">
        <v>22906</v>
      </c>
      <c r="BN2096" s="1">
        <v>14</v>
      </c>
      <c r="BO2096" s="1" t="s">
        <v>22907</v>
      </c>
      <c r="BP2096" s="1" t="str">
        <f>HYPERLINK("https://nconnect.nicmar.ac.in/storage/profile/ProfilePhoto_P25701070_249536.jpg","Download")</f>
        <v>0</v>
      </c>
      <c r="BQ2096" s="3"/>
      <c r="BR2096" s="3"/>
    </row>
    <row r="2097" spans="1:70">
      <c r="A2097" s="1" t="s">
        <v>21304</v>
      </c>
      <c r="B2097" s="1" t="s">
        <v>441</v>
      </c>
      <c r="C2097" s="1" t="s">
        <v>22908</v>
      </c>
      <c r="D2097" s="1" t="s">
        <v>417</v>
      </c>
      <c r="E2097" s="1" t="s">
        <v>3236</v>
      </c>
      <c r="F2097" s="1" t="s">
        <v>22909</v>
      </c>
      <c r="G2097" s="1" t="s">
        <v>22910</v>
      </c>
      <c r="H2097" s="1" t="s">
        <v>22911</v>
      </c>
      <c r="I2097" s="1" t="s">
        <v>22912</v>
      </c>
      <c r="J2097" s="1">
        <v>9820511536</v>
      </c>
      <c r="K2097" s="1" t="s">
        <v>148</v>
      </c>
      <c r="L2097" s="1" t="s">
        <v>9831</v>
      </c>
      <c r="M2097" s="1" t="s">
        <v>81</v>
      </c>
      <c r="N2097" s="1" t="s">
        <v>605</v>
      </c>
      <c r="O2097" s="1"/>
      <c r="P2097" s="1" t="s">
        <v>450</v>
      </c>
      <c r="Q2097" s="1" t="s">
        <v>22913</v>
      </c>
      <c r="R2097" s="1" t="s">
        <v>3236</v>
      </c>
      <c r="S2097" s="1">
        <v>8108106699</v>
      </c>
      <c r="T2097" s="1" t="s">
        <v>820</v>
      </c>
      <c r="U2097" s="1" t="s">
        <v>5404</v>
      </c>
      <c r="V2097" s="1">
        <v>9930215114</v>
      </c>
      <c r="W2097" s="1" t="s">
        <v>820</v>
      </c>
      <c r="X2097" s="1" t="s">
        <v>22914</v>
      </c>
      <c r="Y2097" s="1" t="s">
        <v>991</v>
      </c>
      <c r="Z2097" s="1" t="s">
        <v>92</v>
      </c>
      <c r="AA2097" s="1" t="s">
        <v>22915</v>
      </c>
      <c r="AB2097" s="1" t="s">
        <v>991</v>
      </c>
      <c r="AC2097" s="1" t="s">
        <v>92</v>
      </c>
      <c r="AD2097" s="1">
        <v>8.23</v>
      </c>
      <c r="AE2097" s="1" t="s">
        <v>93</v>
      </c>
      <c r="AF2097" s="1" t="s">
        <v>22916</v>
      </c>
      <c r="AG2097" s="1" t="s">
        <v>22917</v>
      </c>
      <c r="AH2097" s="1" t="s">
        <v>165</v>
      </c>
      <c r="AI2097" s="1" t="s">
        <v>281</v>
      </c>
      <c r="AJ2097" s="1">
        <v>88.2</v>
      </c>
      <c r="AK2097" s="1">
        <v>0</v>
      </c>
      <c r="AL2097" s="1" t="s">
        <v>22916</v>
      </c>
      <c r="AM2097" s="1" t="s">
        <v>22917</v>
      </c>
      <c r="AN2097" s="1" t="s">
        <v>433</v>
      </c>
      <c r="AO2097" s="1" t="s">
        <v>360</v>
      </c>
      <c r="AP2097" s="1">
        <v>63.38</v>
      </c>
      <c r="AQ2097" s="1">
        <v>0</v>
      </c>
      <c r="AR2097" s="1"/>
      <c r="AS2097" s="1"/>
      <c r="AT2097" s="1"/>
      <c r="AU2097" s="1"/>
      <c r="AV2097" s="1"/>
      <c r="AW2097" s="1"/>
      <c r="AX2097" s="1" t="s">
        <v>253</v>
      </c>
      <c r="AY2097" s="1" t="s">
        <v>21357</v>
      </c>
      <c r="AZ2097" s="1" t="s">
        <v>363</v>
      </c>
      <c r="BA2097" s="1" t="s">
        <v>543</v>
      </c>
      <c r="BB2097" s="1">
        <v>71.2</v>
      </c>
      <c r="BC2097" s="1">
        <v>8</v>
      </c>
      <c r="BD2097" s="1"/>
      <c r="BE2097" s="1"/>
      <c r="BF2097" s="1"/>
      <c r="BG2097" s="1"/>
      <c r="BH2097" s="1"/>
      <c r="BI2097" s="1"/>
      <c r="BJ2097" s="1" t="s">
        <v>22918</v>
      </c>
      <c r="BK2097" s="1"/>
      <c r="BL2097" s="1"/>
      <c r="BM2097" s="1" t="s">
        <v>22919</v>
      </c>
      <c r="BN2097" s="1">
        <v>30</v>
      </c>
      <c r="BO2097" s="1" t="s">
        <v>22920</v>
      </c>
      <c r="BP2097" s="1" t="str">
        <f>HYPERLINK("https://nconnect.nicmar.ac.in/storage/profile/ProfilePhoto_P25701071_961527.jpg","Download")</f>
        <v>0</v>
      </c>
      <c r="BQ2097" s="3"/>
      <c r="BR2097" s="3"/>
    </row>
    <row r="2098" spans="1:70">
      <c r="A2098" s="1" t="s">
        <v>21304</v>
      </c>
      <c r="B2098" s="1" t="s">
        <v>441</v>
      </c>
      <c r="C2098" s="1" t="s">
        <v>22921</v>
      </c>
      <c r="D2098" s="1" t="s">
        <v>22922</v>
      </c>
      <c r="E2098" s="1" t="s">
        <v>793</v>
      </c>
      <c r="F2098" s="1" t="s">
        <v>1970</v>
      </c>
      <c r="G2098" s="1" t="s">
        <v>22923</v>
      </c>
      <c r="H2098" s="1" t="s">
        <v>22924</v>
      </c>
      <c r="I2098" s="1" t="s">
        <v>22925</v>
      </c>
      <c r="J2098" s="1">
        <v>9481244339</v>
      </c>
      <c r="K2098" s="1" t="s">
        <v>79</v>
      </c>
      <c r="L2098" s="1" t="s">
        <v>22926</v>
      </c>
      <c r="M2098" s="1" t="s">
        <v>81</v>
      </c>
      <c r="N2098" s="1" t="s">
        <v>22927</v>
      </c>
      <c r="O2098" s="1"/>
      <c r="P2098" s="1" t="s">
        <v>497</v>
      </c>
      <c r="Q2098" s="1" t="s">
        <v>22928</v>
      </c>
      <c r="R2098" s="1" t="s">
        <v>22929</v>
      </c>
      <c r="S2098" s="1">
        <v>9341252448</v>
      </c>
      <c r="T2098" s="1" t="s">
        <v>87</v>
      </c>
      <c r="U2098" s="1" t="s">
        <v>22930</v>
      </c>
      <c r="V2098" s="1">
        <v>9448950426</v>
      </c>
      <c r="W2098" s="1" t="s">
        <v>531</v>
      </c>
      <c r="X2098" s="1" t="s">
        <v>22931</v>
      </c>
      <c r="Y2098" s="1" t="s">
        <v>3151</v>
      </c>
      <c r="Z2098" s="1" t="s">
        <v>1187</v>
      </c>
      <c r="AA2098" s="1" t="s">
        <v>22931</v>
      </c>
      <c r="AB2098" s="1" t="s">
        <v>3151</v>
      </c>
      <c r="AC2098" s="1" t="s">
        <v>1187</v>
      </c>
      <c r="AD2098" s="1">
        <v>8.34</v>
      </c>
      <c r="AE2098" s="1" t="s">
        <v>93</v>
      </c>
      <c r="AF2098" s="1" t="s">
        <v>22932</v>
      </c>
      <c r="AG2098" s="1" t="s">
        <v>22933</v>
      </c>
      <c r="AH2098" s="1" t="s">
        <v>162</v>
      </c>
      <c r="AI2098" s="1" t="s">
        <v>165</v>
      </c>
      <c r="AJ2098" s="1">
        <v>72.2</v>
      </c>
      <c r="AK2098" s="1">
        <v>7.6</v>
      </c>
      <c r="AL2098" s="1"/>
      <c r="AM2098" s="1"/>
      <c r="AN2098" s="1"/>
      <c r="AO2098" s="1"/>
      <c r="AP2098" s="1"/>
      <c r="AQ2098" s="1"/>
      <c r="AR2098" s="1" t="s">
        <v>98</v>
      </c>
      <c r="AS2098" s="1" t="s">
        <v>22934</v>
      </c>
      <c r="AT2098" s="1" t="s">
        <v>101</v>
      </c>
      <c r="AU2098" s="1" t="s">
        <v>852</v>
      </c>
      <c r="AV2098" s="1">
        <v>72.28</v>
      </c>
      <c r="AW2098" s="1"/>
      <c r="AX2098" s="1" t="s">
        <v>717</v>
      </c>
      <c r="AY2098" s="1" t="s">
        <v>22935</v>
      </c>
      <c r="AZ2098" s="1" t="s">
        <v>852</v>
      </c>
      <c r="BA2098" s="1" t="s">
        <v>1067</v>
      </c>
      <c r="BB2098" s="1">
        <v>69.2</v>
      </c>
      <c r="BC2098" s="1">
        <v>7.67</v>
      </c>
      <c r="BD2098" s="1"/>
      <c r="BE2098" s="1"/>
      <c r="BF2098" s="1"/>
      <c r="BG2098" s="1"/>
      <c r="BH2098" s="1"/>
      <c r="BI2098" s="1"/>
      <c r="BJ2098" s="1" t="s">
        <v>22936</v>
      </c>
      <c r="BK2098" s="1" t="s">
        <v>22937</v>
      </c>
      <c r="BL2098" s="1" t="s">
        <v>463</v>
      </c>
      <c r="BM2098" s="1" t="s">
        <v>22938</v>
      </c>
      <c r="BN2098" s="1">
        <v>15</v>
      </c>
      <c r="BO2098" s="1"/>
      <c r="BP2098" s="1" t="str">
        <f>HYPERLINK("https://nconnect.nicmar.ac.in/storage/profile/ProfilePhoto_P25701073_431986.jpg","Download")</f>
        <v>0</v>
      </c>
      <c r="BQ2098" s="3"/>
      <c r="BR2098" s="3"/>
    </row>
    <row r="2099" spans="1:70">
      <c r="A2099" s="1" t="s">
        <v>21304</v>
      </c>
      <c r="B2099" s="1" t="s">
        <v>441</v>
      </c>
      <c r="C2099" s="1" t="s">
        <v>22939</v>
      </c>
      <c r="D2099" s="1" t="s">
        <v>10376</v>
      </c>
      <c r="E2099" s="1" t="s">
        <v>520</v>
      </c>
      <c r="F2099" s="1" t="s">
        <v>1828</v>
      </c>
      <c r="G2099" s="1" t="s">
        <v>22940</v>
      </c>
      <c r="H2099" s="1" t="s">
        <v>22941</v>
      </c>
      <c r="I2099" s="1" t="s">
        <v>22942</v>
      </c>
      <c r="J2099" s="1">
        <v>9964579239</v>
      </c>
      <c r="K2099" s="1" t="s">
        <v>79</v>
      </c>
      <c r="L2099" s="1" t="s">
        <v>22943</v>
      </c>
      <c r="M2099" s="1" t="s">
        <v>81</v>
      </c>
      <c r="N2099" s="1" t="s">
        <v>22944</v>
      </c>
      <c r="O2099" s="1"/>
      <c r="P2099" s="1" t="s">
        <v>472</v>
      </c>
      <c r="Q2099" s="1" t="s">
        <v>22945</v>
      </c>
      <c r="R2099" s="1" t="s">
        <v>22946</v>
      </c>
      <c r="S2099" s="1">
        <v>9980540888</v>
      </c>
      <c r="T2099" s="1" t="s">
        <v>18098</v>
      </c>
      <c r="U2099" s="1" t="s">
        <v>22947</v>
      </c>
      <c r="V2099" s="1">
        <v>9980866476</v>
      </c>
      <c r="W2099" s="1" t="s">
        <v>273</v>
      </c>
      <c r="X2099" s="1" t="s">
        <v>22948</v>
      </c>
      <c r="Y2099" s="1" t="s">
        <v>3151</v>
      </c>
      <c r="Z2099" s="1" t="s">
        <v>1187</v>
      </c>
      <c r="AA2099" s="1" t="s">
        <v>22948</v>
      </c>
      <c r="AB2099" s="1" t="s">
        <v>3151</v>
      </c>
      <c r="AC2099" s="1" t="s">
        <v>1187</v>
      </c>
      <c r="AD2099" s="1">
        <v>8.57</v>
      </c>
      <c r="AE2099" s="1" t="s">
        <v>93</v>
      </c>
      <c r="AF2099" s="1" t="s">
        <v>22949</v>
      </c>
      <c r="AG2099" s="1" t="s">
        <v>22950</v>
      </c>
      <c r="AH2099" s="1" t="s">
        <v>1374</v>
      </c>
      <c r="AI2099" s="1" t="s">
        <v>562</v>
      </c>
      <c r="AJ2099" s="1">
        <v>68.8</v>
      </c>
      <c r="AK2099" s="1">
        <v>0</v>
      </c>
      <c r="AL2099" s="1"/>
      <c r="AM2099" s="1"/>
      <c r="AN2099" s="1"/>
      <c r="AO2099" s="1"/>
      <c r="AP2099" s="1"/>
      <c r="AQ2099" s="1"/>
      <c r="AR2099" s="1" t="s">
        <v>22951</v>
      </c>
      <c r="AS2099" s="1" t="s">
        <v>22952</v>
      </c>
      <c r="AT2099" s="1" t="s">
        <v>22953</v>
      </c>
      <c r="AU2099" s="1" t="s">
        <v>228</v>
      </c>
      <c r="AV2099" s="1">
        <v>75</v>
      </c>
      <c r="AW2099" s="1">
        <v>0</v>
      </c>
      <c r="AX2099" s="1" t="s">
        <v>717</v>
      </c>
      <c r="AY2099" s="1" t="s">
        <v>22954</v>
      </c>
      <c r="AZ2099" s="1" t="s">
        <v>828</v>
      </c>
      <c r="BA2099" s="1" t="s">
        <v>386</v>
      </c>
      <c r="BB2099" s="1">
        <v>61.3</v>
      </c>
      <c r="BC2099" s="1">
        <v>6.88</v>
      </c>
      <c r="BD2099" s="1"/>
      <c r="BE2099" s="1"/>
      <c r="BF2099" s="1"/>
      <c r="BG2099" s="1"/>
      <c r="BH2099" s="1"/>
      <c r="BI2099" s="1"/>
      <c r="BJ2099" s="1" t="s">
        <v>22955</v>
      </c>
      <c r="BK2099" s="1" t="s">
        <v>22956</v>
      </c>
      <c r="BL2099" s="1" t="s">
        <v>8843</v>
      </c>
      <c r="BM2099" s="1" t="s">
        <v>22957</v>
      </c>
      <c r="BN2099" s="1">
        <v>56</v>
      </c>
      <c r="BO2099" s="1" t="s">
        <v>22958</v>
      </c>
      <c r="BP2099" s="1" t="str">
        <f>HYPERLINK("https://nconnect.nicmar.ac.in/storage/profile/ProfilePhoto_P25701074_918327.jpg","Download")</f>
        <v>0</v>
      </c>
      <c r="BQ2099" s="3"/>
      <c r="BR2099" s="3"/>
    </row>
    <row r="2100" spans="1:70">
      <c r="A2100" s="1" t="s">
        <v>21304</v>
      </c>
      <c r="B2100" s="1" t="s">
        <v>441</v>
      </c>
      <c r="C2100" s="1" t="s">
        <v>22959</v>
      </c>
      <c r="D2100" s="1" t="s">
        <v>11050</v>
      </c>
      <c r="E2100" s="1" t="s">
        <v>4168</v>
      </c>
      <c r="F2100" s="1" t="s">
        <v>22960</v>
      </c>
      <c r="G2100" s="1" t="s">
        <v>22961</v>
      </c>
      <c r="H2100" s="1" t="s">
        <v>22962</v>
      </c>
      <c r="I2100" s="1" t="s">
        <v>22963</v>
      </c>
      <c r="J2100" s="1">
        <v>9637489494</v>
      </c>
      <c r="K2100" s="1" t="s">
        <v>79</v>
      </c>
      <c r="L2100" s="1" t="s">
        <v>5217</v>
      </c>
      <c r="M2100" s="1" t="s">
        <v>81</v>
      </c>
      <c r="N2100" s="1" t="s">
        <v>22964</v>
      </c>
      <c r="O2100" s="1" t="s">
        <v>22965</v>
      </c>
      <c r="P2100" s="1" t="s">
        <v>472</v>
      </c>
      <c r="Q2100" s="1" t="s">
        <v>22966</v>
      </c>
      <c r="R2100" s="1" t="s">
        <v>4168</v>
      </c>
      <c r="S2100" s="1">
        <v>9423363480</v>
      </c>
      <c r="T2100" s="1" t="s">
        <v>820</v>
      </c>
      <c r="U2100" s="1" t="s">
        <v>18416</v>
      </c>
      <c r="V2100" s="1">
        <v>8308722054</v>
      </c>
      <c r="W2100" s="1" t="s">
        <v>156</v>
      </c>
      <c r="X2100" s="1" t="s">
        <v>22967</v>
      </c>
      <c r="Y2100" s="1" t="s">
        <v>991</v>
      </c>
      <c r="Z2100" s="1" t="s">
        <v>92</v>
      </c>
      <c r="AA2100" s="1" t="s">
        <v>22967</v>
      </c>
      <c r="AB2100" s="1" t="s">
        <v>991</v>
      </c>
      <c r="AC2100" s="1" t="s">
        <v>92</v>
      </c>
      <c r="AD2100" s="1">
        <v>7.01</v>
      </c>
      <c r="AE2100" s="1" t="s">
        <v>93</v>
      </c>
      <c r="AF2100" s="1" t="s">
        <v>22968</v>
      </c>
      <c r="AG2100" s="1" t="s">
        <v>22969</v>
      </c>
      <c r="AH2100" s="1" t="s">
        <v>162</v>
      </c>
      <c r="AI2100" s="1" t="s">
        <v>165</v>
      </c>
      <c r="AJ2100" s="1">
        <v>83.4</v>
      </c>
      <c r="AK2100" s="1"/>
      <c r="AL2100" s="1" t="s">
        <v>22970</v>
      </c>
      <c r="AM2100" s="1" t="s">
        <v>22971</v>
      </c>
      <c r="AN2100" s="1" t="s">
        <v>1043</v>
      </c>
      <c r="AO2100" s="1" t="s">
        <v>308</v>
      </c>
      <c r="AP2100" s="1">
        <v>60</v>
      </c>
      <c r="AQ2100" s="1">
        <v>6.31</v>
      </c>
      <c r="AR2100" s="1"/>
      <c r="AS2100" s="1"/>
      <c r="AT2100" s="1"/>
      <c r="AU2100" s="1"/>
      <c r="AV2100" s="1"/>
      <c r="AW2100" s="1"/>
      <c r="AX2100" s="1" t="s">
        <v>666</v>
      </c>
      <c r="AY2100" s="1" t="s">
        <v>22972</v>
      </c>
      <c r="AZ2100" s="1" t="s">
        <v>828</v>
      </c>
      <c r="BA2100" s="1" t="s">
        <v>1067</v>
      </c>
      <c r="BB2100" s="1">
        <v>60.22</v>
      </c>
      <c r="BC2100" s="1">
        <v>6.6</v>
      </c>
      <c r="BD2100" s="1"/>
      <c r="BE2100" s="1"/>
      <c r="BF2100" s="1"/>
      <c r="BG2100" s="1"/>
      <c r="BH2100" s="1"/>
      <c r="BI2100" s="1"/>
      <c r="BJ2100" s="1" t="s">
        <v>22973</v>
      </c>
      <c r="BK2100" s="1"/>
      <c r="BL2100" s="1"/>
      <c r="BM2100" s="1" t="s">
        <v>22974</v>
      </c>
      <c r="BN2100" s="1">
        <v>39</v>
      </c>
      <c r="BO2100" s="1" t="s">
        <v>22975</v>
      </c>
      <c r="BP2100" s="1" t="str">
        <f>HYPERLINK("https://nconnect.nicmar.ac.in/storage/profile/ProfilePhoto_P25701075_871349.jpg","Download")</f>
        <v>0</v>
      </c>
      <c r="BQ2100" s="3"/>
      <c r="BR2100" s="3"/>
    </row>
    <row r="2101" spans="1:70">
      <c r="A2101" s="1" t="s">
        <v>21304</v>
      </c>
      <c r="B2101" s="1" t="s">
        <v>441</v>
      </c>
      <c r="C2101" s="1" t="s">
        <v>22976</v>
      </c>
      <c r="D2101" s="1" t="s">
        <v>22977</v>
      </c>
      <c r="E2101" s="1" t="s">
        <v>22978</v>
      </c>
      <c r="F2101" s="1" t="s">
        <v>22979</v>
      </c>
      <c r="G2101" s="1" t="s">
        <v>22980</v>
      </c>
      <c r="H2101" s="1" t="s">
        <v>22981</v>
      </c>
      <c r="I2101" s="1" t="s">
        <v>22982</v>
      </c>
      <c r="J2101" s="1">
        <v>7249773022</v>
      </c>
      <c r="K2101" s="1" t="s">
        <v>79</v>
      </c>
      <c r="L2101" s="1" t="s">
        <v>17658</v>
      </c>
      <c r="M2101" s="1" t="s">
        <v>81</v>
      </c>
      <c r="N2101" s="1" t="s">
        <v>15132</v>
      </c>
      <c r="O2101" s="1" t="s">
        <v>22983</v>
      </c>
      <c r="P2101" s="1" t="s">
        <v>497</v>
      </c>
      <c r="Q2101" s="1" t="s">
        <v>22984</v>
      </c>
      <c r="R2101" s="1" t="s">
        <v>22985</v>
      </c>
      <c r="S2101" s="1">
        <v>9834795580</v>
      </c>
      <c r="T2101" s="1" t="s">
        <v>22986</v>
      </c>
      <c r="U2101" s="1" t="s">
        <v>22987</v>
      </c>
      <c r="V2101" s="1">
        <v>7249773022</v>
      </c>
      <c r="W2101" s="1" t="s">
        <v>22988</v>
      </c>
      <c r="X2101" s="1" t="s">
        <v>22989</v>
      </c>
      <c r="Y2101" s="1" t="s">
        <v>191</v>
      </c>
      <c r="Z2101" s="1" t="s">
        <v>92</v>
      </c>
      <c r="AA2101" s="1" t="s">
        <v>22989</v>
      </c>
      <c r="AB2101" s="1" t="s">
        <v>191</v>
      </c>
      <c r="AC2101" s="1" t="s">
        <v>92</v>
      </c>
      <c r="AD2101" s="1">
        <v>8.48</v>
      </c>
      <c r="AE2101" s="1" t="s">
        <v>93</v>
      </c>
      <c r="AF2101" s="1" t="s">
        <v>22990</v>
      </c>
      <c r="AG2101" s="1" t="s">
        <v>1942</v>
      </c>
      <c r="AH2101" s="1" t="s">
        <v>3131</v>
      </c>
      <c r="AI2101" s="1" t="s">
        <v>409</v>
      </c>
      <c r="AJ2101" s="1">
        <v>85.2</v>
      </c>
      <c r="AK2101" s="1"/>
      <c r="AL2101" s="1" t="s">
        <v>22991</v>
      </c>
      <c r="AM2101" s="1" t="s">
        <v>1942</v>
      </c>
      <c r="AN2101" s="1" t="s">
        <v>310</v>
      </c>
      <c r="AO2101" s="1" t="s">
        <v>1169</v>
      </c>
      <c r="AP2101" s="1">
        <v>85.17</v>
      </c>
      <c r="AQ2101" s="1"/>
      <c r="AR2101" s="1"/>
      <c r="AS2101" s="1"/>
      <c r="AT2101" s="1"/>
      <c r="AU2101" s="1"/>
      <c r="AV2101" s="1"/>
      <c r="AW2101" s="1"/>
      <c r="AX2101" s="1" t="s">
        <v>361</v>
      </c>
      <c r="AY2101" s="1" t="s">
        <v>22992</v>
      </c>
      <c r="AZ2101" s="1" t="s">
        <v>539</v>
      </c>
      <c r="BA2101" s="1" t="s">
        <v>829</v>
      </c>
      <c r="BB2101" s="1">
        <v>70.8</v>
      </c>
      <c r="BC2101" s="1">
        <v>7.83</v>
      </c>
      <c r="BD2101" s="1"/>
      <c r="BE2101" s="1"/>
      <c r="BF2101" s="1"/>
      <c r="BG2101" s="1"/>
      <c r="BH2101" s="1"/>
      <c r="BI2101" s="1"/>
      <c r="BJ2101" s="1" t="s">
        <v>22993</v>
      </c>
      <c r="BK2101" s="1"/>
      <c r="BL2101" s="1"/>
      <c r="BM2101" s="1" t="s">
        <v>22994</v>
      </c>
      <c r="BN2101" s="1">
        <v>15</v>
      </c>
      <c r="BO2101" s="1" t="s">
        <v>22995</v>
      </c>
      <c r="BP2101" s="1" t="str">
        <f>HYPERLINK("https://nconnect.nicmar.ac.in/storage/profile/ProfilePhoto_P25701076_837462.jpg","Download")</f>
        <v>0</v>
      </c>
      <c r="BQ2101" s="3"/>
      <c r="BR2101" s="3"/>
    </row>
    <row r="2102" spans="1:70">
      <c r="A2102" s="1" t="s">
        <v>21304</v>
      </c>
      <c r="B2102" s="1" t="s">
        <v>441</v>
      </c>
      <c r="C2102" s="1" t="s">
        <v>22996</v>
      </c>
      <c r="D2102" s="1" t="s">
        <v>22997</v>
      </c>
      <c r="E2102" s="1"/>
      <c r="F2102" s="1" t="s">
        <v>520</v>
      </c>
      <c r="G2102" s="1" t="s">
        <v>22998</v>
      </c>
      <c r="H2102" s="1" t="s">
        <v>22999</v>
      </c>
      <c r="I2102" s="1" t="s">
        <v>23000</v>
      </c>
      <c r="J2102" s="1">
        <v>9873481483</v>
      </c>
      <c r="K2102" s="1" t="s">
        <v>148</v>
      </c>
      <c r="L2102" s="1" t="s">
        <v>23001</v>
      </c>
      <c r="M2102" s="1" t="s">
        <v>81</v>
      </c>
      <c r="N2102" s="1" t="s">
        <v>4289</v>
      </c>
      <c r="O2102" s="1"/>
      <c r="P2102" s="1" t="s">
        <v>472</v>
      </c>
      <c r="Q2102" s="1" t="s">
        <v>23002</v>
      </c>
      <c r="R2102" s="1" t="s">
        <v>23003</v>
      </c>
      <c r="S2102" s="1">
        <v>9891545415</v>
      </c>
      <c r="T2102" s="1" t="s">
        <v>906</v>
      </c>
      <c r="U2102" s="1" t="s">
        <v>23004</v>
      </c>
      <c r="V2102" s="1">
        <v>8882100200</v>
      </c>
      <c r="W2102" s="1" t="s">
        <v>8800</v>
      </c>
      <c r="X2102" s="1" t="s">
        <v>23005</v>
      </c>
      <c r="Y2102" s="1" t="s">
        <v>9205</v>
      </c>
      <c r="Z2102" s="1" t="s">
        <v>1714</v>
      </c>
      <c r="AA2102" s="1" t="s">
        <v>23005</v>
      </c>
      <c r="AB2102" s="1" t="s">
        <v>9205</v>
      </c>
      <c r="AC2102" s="1" t="s">
        <v>1714</v>
      </c>
      <c r="AD2102" s="1">
        <v>8.35</v>
      </c>
      <c r="AE2102" s="1" t="s">
        <v>93</v>
      </c>
      <c r="AF2102" s="1" t="s">
        <v>23006</v>
      </c>
      <c r="AG2102" s="1" t="s">
        <v>688</v>
      </c>
      <c r="AH2102" s="1" t="s">
        <v>11466</v>
      </c>
      <c r="AI2102" s="1" t="s">
        <v>507</v>
      </c>
      <c r="AJ2102" s="1">
        <v>85.5</v>
      </c>
      <c r="AK2102" s="1">
        <v>9</v>
      </c>
      <c r="AL2102" s="1" t="s">
        <v>23007</v>
      </c>
      <c r="AM2102" s="1" t="s">
        <v>688</v>
      </c>
      <c r="AN2102" s="1" t="s">
        <v>689</v>
      </c>
      <c r="AO2102" s="1" t="s">
        <v>281</v>
      </c>
      <c r="AP2102" s="1">
        <v>77.6</v>
      </c>
      <c r="AQ2102" s="1">
        <v>8.16</v>
      </c>
      <c r="AR2102" s="1"/>
      <c r="AS2102" s="1"/>
      <c r="AT2102" s="1"/>
      <c r="AU2102" s="1"/>
      <c r="AV2102" s="1"/>
      <c r="AW2102" s="1"/>
      <c r="AX2102" s="1" t="s">
        <v>20328</v>
      </c>
      <c r="AY2102" s="1" t="s">
        <v>19093</v>
      </c>
      <c r="AZ2102" s="1" t="s">
        <v>169</v>
      </c>
      <c r="BA2102" s="1" t="s">
        <v>1378</v>
      </c>
      <c r="BB2102" s="1">
        <v>84</v>
      </c>
      <c r="BC2102" s="1">
        <v>8.9</v>
      </c>
      <c r="BD2102" s="1"/>
      <c r="BE2102" s="1"/>
      <c r="BF2102" s="1"/>
      <c r="BG2102" s="1"/>
      <c r="BH2102" s="1"/>
      <c r="BI2102" s="1"/>
      <c r="BJ2102" s="1" t="s">
        <v>18752</v>
      </c>
      <c r="BK2102" s="1" t="s">
        <v>23008</v>
      </c>
      <c r="BL2102" s="1" t="s">
        <v>514</v>
      </c>
      <c r="BM2102" s="1" t="s">
        <v>23009</v>
      </c>
      <c r="BN2102" s="1">
        <v>14</v>
      </c>
      <c r="BO2102" s="1"/>
      <c r="BP2102" s="1" t="str">
        <f>HYPERLINK("https://nconnect.nicmar.ac.in/storage/profile/ProfilePhoto_P25701077_254678.jpg","Download")</f>
        <v>0</v>
      </c>
      <c r="BQ2102" s="3"/>
      <c r="BR2102" s="3"/>
    </row>
    <row r="2103" spans="1:70">
      <c r="A2103" s="1" t="s">
        <v>21304</v>
      </c>
      <c r="B2103" s="1" t="s">
        <v>441</v>
      </c>
      <c r="C2103" s="1" t="s">
        <v>23010</v>
      </c>
      <c r="D2103" s="1" t="s">
        <v>3236</v>
      </c>
      <c r="E2103" s="1"/>
      <c r="F2103" s="1" t="s">
        <v>23011</v>
      </c>
      <c r="G2103" s="1" t="s">
        <v>23012</v>
      </c>
      <c r="H2103" s="1" t="s">
        <v>23013</v>
      </c>
      <c r="I2103" s="1" t="s">
        <v>23014</v>
      </c>
      <c r="J2103" s="1">
        <v>9566144140</v>
      </c>
      <c r="K2103" s="1" t="s">
        <v>79</v>
      </c>
      <c r="L2103" s="1" t="s">
        <v>23015</v>
      </c>
      <c r="M2103" s="1" t="s">
        <v>81</v>
      </c>
      <c r="N2103" s="1" t="s">
        <v>5779</v>
      </c>
      <c r="O2103" s="1"/>
      <c r="P2103" s="1" t="s">
        <v>1007</v>
      </c>
      <c r="Q2103" s="1" t="s">
        <v>23016</v>
      </c>
      <c r="R2103" s="1" t="s">
        <v>23011</v>
      </c>
      <c r="S2103" s="1">
        <v>9840084140</v>
      </c>
      <c r="T2103" s="1" t="s">
        <v>820</v>
      </c>
      <c r="U2103" s="1" t="s">
        <v>23017</v>
      </c>
      <c r="V2103" s="1">
        <v>9790888140</v>
      </c>
      <c r="W2103" s="1" t="s">
        <v>273</v>
      </c>
      <c r="X2103" s="1" t="s">
        <v>23018</v>
      </c>
      <c r="Y2103" s="1" t="s">
        <v>1475</v>
      </c>
      <c r="Z2103" s="1" t="s">
        <v>559</v>
      </c>
      <c r="AA2103" s="1" t="s">
        <v>23018</v>
      </c>
      <c r="AB2103" s="1" t="s">
        <v>1475</v>
      </c>
      <c r="AC2103" s="1" t="s">
        <v>559</v>
      </c>
      <c r="AD2103" s="1">
        <v>8.56</v>
      </c>
      <c r="AE2103" s="1" t="s">
        <v>93</v>
      </c>
      <c r="AF2103" s="1" t="s">
        <v>23019</v>
      </c>
      <c r="AG2103" s="1" t="s">
        <v>23020</v>
      </c>
      <c r="AH2103" s="1" t="s">
        <v>97</v>
      </c>
      <c r="AI2103" s="1" t="s">
        <v>1089</v>
      </c>
      <c r="AJ2103" s="1">
        <v>91.2</v>
      </c>
      <c r="AK2103" s="1"/>
      <c r="AL2103" s="1" t="s">
        <v>23019</v>
      </c>
      <c r="AM2103" s="1" t="s">
        <v>23020</v>
      </c>
      <c r="AN2103" s="1" t="s">
        <v>195</v>
      </c>
      <c r="AO2103" s="1" t="s">
        <v>281</v>
      </c>
      <c r="AP2103" s="1">
        <v>73.91</v>
      </c>
      <c r="AQ2103" s="1"/>
      <c r="AR2103" s="1"/>
      <c r="AS2103" s="1"/>
      <c r="AT2103" s="1"/>
      <c r="AU2103" s="1"/>
      <c r="AV2103" s="1"/>
      <c r="AW2103" s="1"/>
      <c r="AX2103" s="1" t="s">
        <v>19902</v>
      </c>
      <c r="AY2103" s="1" t="s">
        <v>23021</v>
      </c>
      <c r="AZ2103" s="1" t="s">
        <v>101</v>
      </c>
      <c r="BA2103" s="1" t="s">
        <v>174</v>
      </c>
      <c r="BB2103" s="1">
        <v>87.5</v>
      </c>
      <c r="BC2103" s="1">
        <v>8.75</v>
      </c>
      <c r="BD2103" s="1"/>
      <c r="BE2103" s="1"/>
      <c r="BF2103" s="1"/>
      <c r="BG2103" s="1"/>
      <c r="BH2103" s="1"/>
      <c r="BI2103" s="1"/>
      <c r="BJ2103" s="1" t="s">
        <v>23022</v>
      </c>
      <c r="BK2103" s="1" t="s">
        <v>23023</v>
      </c>
      <c r="BL2103" s="1" t="s">
        <v>741</v>
      </c>
      <c r="BM2103" s="1" t="s">
        <v>23024</v>
      </c>
      <c r="BN2103" s="1">
        <v>33</v>
      </c>
      <c r="BO2103" s="1"/>
      <c r="BP2103" s="1" t="str">
        <f>HYPERLINK("https://nconnect.nicmar.ac.in/storage/profile/ProfilePhoto_P25701078_946752.jpg","Download")</f>
        <v>0</v>
      </c>
      <c r="BQ2103" s="3"/>
      <c r="BR2103" s="3"/>
    </row>
    <row r="2104" spans="1:70">
      <c r="A2104" s="1" t="s">
        <v>21304</v>
      </c>
      <c r="B2104" s="1" t="s">
        <v>441</v>
      </c>
      <c r="C2104" s="1" t="s">
        <v>23025</v>
      </c>
      <c r="D2104" s="1" t="s">
        <v>3368</v>
      </c>
      <c r="E2104" s="1" t="s">
        <v>2492</v>
      </c>
      <c r="F2104" s="1" t="s">
        <v>22667</v>
      </c>
      <c r="G2104" s="1" t="s">
        <v>23026</v>
      </c>
      <c r="H2104" s="1" t="s">
        <v>23027</v>
      </c>
      <c r="I2104" s="1" t="s">
        <v>23028</v>
      </c>
      <c r="J2104" s="1">
        <v>9004509282</v>
      </c>
      <c r="K2104" s="1" t="s">
        <v>79</v>
      </c>
      <c r="L2104" s="1" t="s">
        <v>9246</v>
      </c>
      <c r="M2104" s="1" t="s">
        <v>81</v>
      </c>
      <c r="N2104" s="1" t="s">
        <v>2424</v>
      </c>
      <c r="O2104" s="1"/>
      <c r="P2104" s="1" t="s">
        <v>450</v>
      </c>
      <c r="Q2104" s="1" t="s">
        <v>23029</v>
      </c>
      <c r="R2104" s="1" t="s">
        <v>23030</v>
      </c>
      <c r="S2104" s="1">
        <v>9867932157</v>
      </c>
      <c r="T2104" s="1" t="s">
        <v>23031</v>
      </c>
      <c r="U2104" s="1" t="s">
        <v>23032</v>
      </c>
      <c r="V2104" s="1">
        <v>9969227556</v>
      </c>
      <c r="W2104" s="1" t="s">
        <v>89</v>
      </c>
      <c r="X2104" s="1" t="s">
        <v>23033</v>
      </c>
      <c r="Y2104" s="1" t="s">
        <v>2229</v>
      </c>
      <c r="Z2104" s="1" t="s">
        <v>92</v>
      </c>
      <c r="AA2104" s="1" t="s">
        <v>23033</v>
      </c>
      <c r="AB2104" s="1" t="s">
        <v>2229</v>
      </c>
      <c r="AC2104" s="1" t="s">
        <v>92</v>
      </c>
      <c r="AD2104" s="1">
        <v>8.87</v>
      </c>
      <c r="AE2104" s="1" t="s">
        <v>93</v>
      </c>
      <c r="AF2104" s="1" t="s">
        <v>23034</v>
      </c>
      <c r="AG2104" s="1" t="s">
        <v>2154</v>
      </c>
      <c r="AH2104" s="1" t="s">
        <v>1088</v>
      </c>
      <c r="AI2104" s="1" t="s">
        <v>614</v>
      </c>
      <c r="AJ2104" s="1">
        <v>88.33</v>
      </c>
      <c r="AK2104" s="1">
        <v>0</v>
      </c>
      <c r="AL2104" s="1" t="s">
        <v>23035</v>
      </c>
      <c r="AM2104" s="1" t="s">
        <v>160</v>
      </c>
      <c r="AN2104" s="1" t="s">
        <v>165</v>
      </c>
      <c r="AO2104" s="1" t="s">
        <v>1455</v>
      </c>
      <c r="AP2104" s="1">
        <v>81.54</v>
      </c>
      <c r="AQ2104" s="1">
        <v>0</v>
      </c>
      <c r="AR2104" s="1"/>
      <c r="AS2104" s="1"/>
      <c r="AT2104" s="1"/>
      <c r="AU2104" s="1"/>
      <c r="AV2104" s="1"/>
      <c r="AW2104" s="1"/>
      <c r="AX2104" s="1" t="s">
        <v>253</v>
      </c>
      <c r="AY2104" s="1" t="s">
        <v>23036</v>
      </c>
      <c r="AZ2104" s="1" t="s">
        <v>1043</v>
      </c>
      <c r="BA2104" s="1" t="s">
        <v>229</v>
      </c>
      <c r="BB2104" s="1">
        <v>78.08</v>
      </c>
      <c r="BC2104" s="1">
        <v>8.93</v>
      </c>
      <c r="BD2104" s="1"/>
      <c r="BE2104" s="1"/>
      <c r="BF2104" s="1"/>
      <c r="BG2104" s="1"/>
      <c r="BH2104" s="1"/>
      <c r="BI2104" s="1"/>
      <c r="BJ2104" s="1" t="s">
        <v>23037</v>
      </c>
      <c r="BK2104" s="1" t="s">
        <v>23038</v>
      </c>
      <c r="BL2104" s="1" t="s">
        <v>4165</v>
      </c>
      <c r="BM2104" s="1" t="s">
        <v>23039</v>
      </c>
      <c r="BN2104" s="1">
        <v>29</v>
      </c>
      <c r="BO2104" s="1" t="s">
        <v>23040</v>
      </c>
      <c r="BP2104" s="1" t="str">
        <f>HYPERLINK("https://nconnect.nicmar.ac.in/storage/profile/ProfilePhoto_P25701080_291384.jpg","Download")</f>
        <v>0</v>
      </c>
      <c r="BQ2104" s="3"/>
      <c r="BR2104" s="3"/>
    </row>
    <row r="2105" spans="1:70">
      <c r="A2105" s="1" t="s">
        <v>21304</v>
      </c>
      <c r="B2105" s="1" t="s">
        <v>441</v>
      </c>
      <c r="C2105" s="1" t="s">
        <v>23041</v>
      </c>
      <c r="D2105" s="1" t="s">
        <v>1298</v>
      </c>
      <c r="E2105" s="1"/>
      <c r="F2105" s="1" t="s">
        <v>23042</v>
      </c>
      <c r="G2105" s="1" t="s">
        <v>23043</v>
      </c>
      <c r="H2105" s="1" t="s">
        <v>23044</v>
      </c>
      <c r="I2105" s="1" t="s">
        <v>23045</v>
      </c>
      <c r="J2105" s="1">
        <v>8979187316</v>
      </c>
      <c r="K2105" s="1" t="s">
        <v>79</v>
      </c>
      <c r="L2105" s="1" t="s">
        <v>15693</v>
      </c>
      <c r="M2105" s="1" t="s">
        <v>81</v>
      </c>
      <c r="N2105" s="1" t="s">
        <v>11324</v>
      </c>
      <c r="O2105" s="1"/>
      <c r="P2105" s="1" t="s">
        <v>497</v>
      </c>
      <c r="Q2105" s="1" t="s">
        <v>23046</v>
      </c>
      <c r="R2105" s="1" t="s">
        <v>23047</v>
      </c>
      <c r="S2105" s="1">
        <v>8171585158</v>
      </c>
      <c r="T2105" s="1" t="s">
        <v>8760</v>
      </c>
      <c r="U2105" s="1" t="s">
        <v>23048</v>
      </c>
      <c r="V2105" s="1">
        <v>9927449224</v>
      </c>
      <c r="W2105" s="1" t="s">
        <v>273</v>
      </c>
      <c r="X2105" s="1" t="s">
        <v>23049</v>
      </c>
      <c r="Y2105" s="1" t="s">
        <v>191</v>
      </c>
      <c r="Z2105" s="1" t="s">
        <v>92</v>
      </c>
      <c r="AA2105" s="1" t="s">
        <v>23050</v>
      </c>
      <c r="AB2105" s="1" t="s">
        <v>23051</v>
      </c>
      <c r="AC2105" s="1" t="s">
        <v>7916</v>
      </c>
      <c r="AD2105" s="1">
        <v>6.65</v>
      </c>
      <c r="AE2105" s="1" t="s">
        <v>93</v>
      </c>
      <c r="AF2105" s="1" t="s">
        <v>23052</v>
      </c>
      <c r="AG2105" s="1" t="s">
        <v>307</v>
      </c>
      <c r="AH2105" s="1" t="s">
        <v>1088</v>
      </c>
      <c r="AI2105" s="1" t="s">
        <v>134</v>
      </c>
      <c r="AJ2105" s="1">
        <v>60.8</v>
      </c>
      <c r="AK2105" s="1">
        <v>6.4</v>
      </c>
      <c r="AL2105" s="1" t="s">
        <v>23053</v>
      </c>
      <c r="AM2105" s="1" t="s">
        <v>307</v>
      </c>
      <c r="AN2105" s="1" t="s">
        <v>165</v>
      </c>
      <c r="AO2105" s="1" t="s">
        <v>166</v>
      </c>
      <c r="AP2105" s="1">
        <v>46.16</v>
      </c>
      <c r="AQ2105" s="1">
        <v>5.4</v>
      </c>
      <c r="AR2105" s="1" t="s">
        <v>23054</v>
      </c>
      <c r="AS2105" s="1" t="s">
        <v>23055</v>
      </c>
      <c r="AT2105" s="1" t="s">
        <v>16731</v>
      </c>
      <c r="AU2105" s="1" t="s">
        <v>828</v>
      </c>
      <c r="AV2105" s="1">
        <v>67.6</v>
      </c>
      <c r="AW2105" s="1"/>
      <c r="AX2105" s="1" t="s">
        <v>957</v>
      </c>
      <c r="AY2105" s="1" t="s">
        <v>23056</v>
      </c>
      <c r="AZ2105" s="1" t="s">
        <v>542</v>
      </c>
      <c r="BA2105" s="1" t="s">
        <v>4109</v>
      </c>
      <c r="BB2105" s="1">
        <v>67.9</v>
      </c>
      <c r="BC2105" s="1">
        <v>6.79</v>
      </c>
      <c r="BD2105" s="1"/>
      <c r="BE2105" s="1"/>
      <c r="BF2105" s="1"/>
      <c r="BG2105" s="1"/>
      <c r="BH2105" s="1"/>
      <c r="BI2105" s="1"/>
      <c r="BJ2105" s="1" t="s">
        <v>23057</v>
      </c>
      <c r="BK2105" s="1"/>
      <c r="BL2105" s="1"/>
      <c r="BM2105" s="1" t="s">
        <v>23058</v>
      </c>
      <c r="BN2105" s="1">
        <v>89</v>
      </c>
      <c r="BO2105" s="1" t="s">
        <v>23059</v>
      </c>
      <c r="BP2105" s="1" t="str">
        <f>HYPERLINK("https://nconnect.nicmar.ac.in/storage/profile/ProfilePhoto_P25701082_517926.jpg","Download")</f>
        <v>0</v>
      </c>
      <c r="BQ2105" s="3"/>
      <c r="BR2105" s="3"/>
    </row>
    <row r="2106" spans="1:70">
      <c r="A2106" s="1" t="s">
        <v>21304</v>
      </c>
      <c r="B2106" s="1" t="s">
        <v>441</v>
      </c>
      <c r="C2106" s="1" t="s">
        <v>23060</v>
      </c>
      <c r="D2106" s="1" t="s">
        <v>23061</v>
      </c>
      <c r="E2106" s="1"/>
      <c r="F2106" s="1" t="s">
        <v>23062</v>
      </c>
      <c r="G2106" s="1" t="s">
        <v>23063</v>
      </c>
      <c r="H2106" s="1" t="s">
        <v>23064</v>
      </c>
      <c r="I2106" s="1" t="s">
        <v>23065</v>
      </c>
      <c r="J2106" s="1">
        <v>7024089723</v>
      </c>
      <c r="K2106" s="1" t="s">
        <v>79</v>
      </c>
      <c r="L2106" s="1" t="s">
        <v>2224</v>
      </c>
      <c r="M2106" s="1" t="s">
        <v>81</v>
      </c>
      <c r="N2106" s="1" t="s">
        <v>241</v>
      </c>
      <c r="O2106" s="1"/>
      <c r="P2106" s="1" t="s">
        <v>450</v>
      </c>
      <c r="Q2106" s="1" t="s">
        <v>23066</v>
      </c>
      <c r="R2106" s="1" t="s">
        <v>23067</v>
      </c>
      <c r="S2106" s="1">
        <v>9893401711</v>
      </c>
      <c r="T2106" s="1" t="s">
        <v>6124</v>
      </c>
      <c r="U2106" s="1" t="s">
        <v>23068</v>
      </c>
      <c r="V2106" s="1">
        <v>9589041741</v>
      </c>
      <c r="W2106" s="1" t="s">
        <v>156</v>
      </c>
      <c r="X2106" s="1" t="s">
        <v>23069</v>
      </c>
      <c r="Y2106" s="1" t="s">
        <v>191</v>
      </c>
      <c r="Z2106" s="1" t="s">
        <v>92</v>
      </c>
      <c r="AA2106" s="1" t="s">
        <v>23070</v>
      </c>
      <c r="AB2106" s="1" t="s">
        <v>5645</v>
      </c>
      <c r="AC2106" s="1" t="s">
        <v>3437</v>
      </c>
      <c r="AD2106" s="1">
        <v>7.99</v>
      </c>
      <c r="AE2106" s="1" t="s">
        <v>93</v>
      </c>
      <c r="AF2106" s="1" t="s">
        <v>23071</v>
      </c>
      <c r="AG2106" s="1" t="s">
        <v>23072</v>
      </c>
      <c r="AH2106" s="1" t="s">
        <v>279</v>
      </c>
      <c r="AI2106" s="1" t="s">
        <v>508</v>
      </c>
      <c r="AJ2106" s="1">
        <v>77.7</v>
      </c>
      <c r="AK2106" s="1">
        <v>8.2</v>
      </c>
      <c r="AL2106" s="1" t="s">
        <v>23071</v>
      </c>
      <c r="AM2106" s="1" t="s">
        <v>23072</v>
      </c>
      <c r="AN2106" s="1" t="s">
        <v>481</v>
      </c>
      <c r="AO2106" s="1" t="s">
        <v>537</v>
      </c>
      <c r="AP2106" s="1">
        <v>77.8</v>
      </c>
      <c r="AQ2106" s="1">
        <v>8.2</v>
      </c>
      <c r="AR2106" s="1"/>
      <c r="AS2106" s="1"/>
      <c r="AT2106" s="1"/>
      <c r="AU2106" s="1"/>
      <c r="AV2106" s="1"/>
      <c r="AW2106" s="1"/>
      <c r="AX2106" s="1" t="s">
        <v>23073</v>
      </c>
      <c r="AY2106" s="1" t="s">
        <v>23072</v>
      </c>
      <c r="AZ2106" s="1" t="s">
        <v>310</v>
      </c>
      <c r="BA2106" s="1" t="s">
        <v>202</v>
      </c>
      <c r="BB2106" s="1">
        <v>67</v>
      </c>
      <c r="BC2106" s="1">
        <v>6.76</v>
      </c>
      <c r="BD2106" s="1"/>
      <c r="BE2106" s="1"/>
      <c r="BF2106" s="1"/>
      <c r="BG2106" s="1"/>
      <c r="BH2106" s="1"/>
      <c r="BI2106" s="1"/>
      <c r="BJ2106" s="1" t="s">
        <v>23074</v>
      </c>
      <c r="BK2106" s="1"/>
      <c r="BL2106" s="1"/>
      <c r="BM2106" s="1" t="s">
        <v>23075</v>
      </c>
      <c r="BN2106" s="1">
        <v>26</v>
      </c>
      <c r="BO2106" s="1"/>
      <c r="BP2106" s="1" t="str">
        <f>HYPERLINK("https://nconnect.nicmar.ac.in/storage/profile/ProfilePhoto_P25701083_263178.jpg","Download")</f>
        <v>0</v>
      </c>
      <c r="BQ2106" s="3"/>
      <c r="BR2106" s="3"/>
    </row>
    <row r="2107" spans="1:70">
      <c r="A2107" s="1" t="s">
        <v>21304</v>
      </c>
      <c r="B2107" s="1" t="s">
        <v>441</v>
      </c>
      <c r="C2107" s="1" t="s">
        <v>23076</v>
      </c>
      <c r="D2107" s="1" t="s">
        <v>1867</v>
      </c>
      <c r="E2107" s="1"/>
      <c r="F2107" s="1" t="s">
        <v>1298</v>
      </c>
      <c r="G2107" s="1" t="s">
        <v>23077</v>
      </c>
      <c r="H2107" s="1" t="s">
        <v>23078</v>
      </c>
      <c r="I2107" s="1" t="s">
        <v>23079</v>
      </c>
      <c r="J2107" s="1">
        <v>6296086996</v>
      </c>
      <c r="K2107" s="1" t="s">
        <v>79</v>
      </c>
      <c r="L2107" s="1" t="s">
        <v>8294</v>
      </c>
      <c r="M2107" s="1" t="s">
        <v>81</v>
      </c>
      <c r="N2107" s="1" t="s">
        <v>14645</v>
      </c>
      <c r="O2107" s="1"/>
      <c r="P2107" s="1" t="s">
        <v>497</v>
      </c>
      <c r="Q2107" s="1" t="s">
        <v>23080</v>
      </c>
      <c r="R2107" s="1" t="s">
        <v>23081</v>
      </c>
      <c r="S2107" s="1">
        <v>9800112285</v>
      </c>
      <c r="T2107" s="1" t="s">
        <v>529</v>
      </c>
      <c r="U2107" s="1" t="s">
        <v>23082</v>
      </c>
      <c r="V2107" s="1">
        <v>9574448041</v>
      </c>
      <c r="W2107" s="1" t="s">
        <v>156</v>
      </c>
      <c r="X2107" s="1" t="s">
        <v>23083</v>
      </c>
      <c r="Y2107" s="1" t="s">
        <v>11276</v>
      </c>
      <c r="Z2107" s="1" t="s">
        <v>1211</v>
      </c>
      <c r="AA2107" s="1" t="s">
        <v>23084</v>
      </c>
      <c r="AB2107" s="1" t="s">
        <v>23085</v>
      </c>
      <c r="AC2107" s="1" t="s">
        <v>636</v>
      </c>
      <c r="AD2107" s="1">
        <v>8.7</v>
      </c>
      <c r="AE2107" s="1" t="s">
        <v>93</v>
      </c>
      <c r="AF2107" s="1" t="s">
        <v>23086</v>
      </c>
      <c r="AG2107" s="1" t="s">
        <v>307</v>
      </c>
      <c r="AH2107" s="1" t="s">
        <v>689</v>
      </c>
      <c r="AI2107" s="1" t="s">
        <v>166</v>
      </c>
      <c r="AJ2107" s="1">
        <v>72.4</v>
      </c>
      <c r="AK2107" s="1"/>
      <c r="AL2107" s="1" t="s">
        <v>23086</v>
      </c>
      <c r="AM2107" s="1" t="s">
        <v>307</v>
      </c>
      <c r="AN2107" s="1" t="s">
        <v>537</v>
      </c>
      <c r="AO2107" s="1" t="s">
        <v>173</v>
      </c>
      <c r="AP2107" s="1">
        <v>76.4</v>
      </c>
      <c r="AQ2107" s="1"/>
      <c r="AR2107" s="1"/>
      <c r="AS2107" s="1"/>
      <c r="AT2107" s="1"/>
      <c r="AU2107" s="1"/>
      <c r="AV2107" s="1"/>
      <c r="AW2107" s="1"/>
      <c r="AX2107" s="1" t="s">
        <v>1217</v>
      </c>
      <c r="AY2107" s="1" t="s">
        <v>23087</v>
      </c>
      <c r="AZ2107" s="1" t="s">
        <v>871</v>
      </c>
      <c r="BA2107" s="1" t="s">
        <v>1067</v>
      </c>
      <c r="BB2107" s="1">
        <v>73.2</v>
      </c>
      <c r="BC2107" s="1">
        <v>8.07</v>
      </c>
      <c r="BD2107" s="1"/>
      <c r="BE2107" s="1"/>
      <c r="BF2107" s="1"/>
      <c r="BG2107" s="1"/>
      <c r="BH2107" s="1"/>
      <c r="BI2107" s="1"/>
      <c r="BJ2107" s="1" t="s">
        <v>23088</v>
      </c>
      <c r="BK2107" s="1"/>
      <c r="BL2107" s="1"/>
      <c r="BM2107" s="1" t="s">
        <v>23089</v>
      </c>
      <c r="BN2107" s="1">
        <v>38</v>
      </c>
      <c r="BO2107" s="1" t="s">
        <v>23090</v>
      </c>
      <c r="BP2107" s="1" t="str">
        <f>HYPERLINK("https://nconnect.nicmar.ac.in/storage/profile/ProfilePhoto_P25701084_612374.jpg","Download")</f>
        <v>0</v>
      </c>
      <c r="BQ2107" s="3"/>
      <c r="BR2107" s="3"/>
    </row>
    <row r="2108" spans="1:70">
      <c r="A2108" s="1" t="s">
        <v>21304</v>
      </c>
      <c r="B2108" s="1" t="s">
        <v>441</v>
      </c>
      <c r="C2108" s="1" t="s">
        <v>23091</v>
      </c>
      <c r="D2108" s="1" t="s">
        <v>12868</v>
      </c>
      <c r="E2108" s="1" t="s">
        <v>23092</v>
      </c>
      <c r="F2108" s="1" t="s">
        <v>1931</v>
      </c>
      <c r="G2108" s="1" t="s">
        <v>23093</v>
      </c>
      <c r="H2108" s="1" t="s">
        <v>23094</v>
      </c>
      <c r="I2108" s="1" t="s">
        <v>23095</v>
      </c>
      <c r="J2108" s="1">
        <v>9028389684</v>
      </c>
      <c r="K2108" s="1" t="s">
        <v>79</v>
      </c>
      <c r="L2108" s="1" t="s">
        <v>23096</v>
      </c>
      <c r="M2108" s="1" t="s">
        <v>81</v>
      </c>
      <c r="N2108" s="1" t="s">
        <v>3518</v>
      </c>
      <c r="O2108" s="1"/>
      <c r="P2108" s="1" t="s">
        <v>472</v>
      </c>
      <c r="Q2108" s="1" t="s">
        <v>23097</v>
      </c>
      <c r="R2108" s="1" t="s">
        <v>23092</v>
      </c>
      <c r="S2108" s="1">
        <v>8237153681</v>
      </c>
      <c r="T2108" s="1" t="s">
        <v>906</v>
      </c>
      <c r="U2108" s="1" t="s">
        <v>7185</v>
      </c>
      <c r="V2108" s="1">
        <v>9420058704</v>
      </c>
      <c r="W2108" s="1" t="s">
        <v>156</v>
      </c>
      <c r="X2108" s="1" t="s">
        <v>23098</v>
      </c>
      <c r="Y2108" s="1" t="s">
        <v>1166</v>
      </c>
      <c r="Z2108" s="1" t="s">
        <v>92</v>
      </c>
      <c r="AA2108" s="1" t="s">
        <v>23098</v>
      </c>
      <c r="AB2108" s="1" t="s">
        <v>1166</v>
      </c>
      <c r="AC2108" s="1" t="s">
        <v>92</v>
      </c>
      <c r="AD2108" s="1">
        <v>7.66</v>
      </c>
      <c r="AE2108" s="1" t="s">
        <v>93</v>
      </c>
      <c r="AF2108" s="1" t="s">
        <v>23099</v>
      </c>
      <c r="AG2108" s="1" t="s">
        <v>23100</v>
      </c>
      <c r="AH2108" s="1" t="s">
        <v>689</v>
      </c>
      <c r="AI2108" s="1" t="s">
        <v>543</v>
      </c>
      <c r="AJ2108" s="1">
        <v>60.04</v>
      </c>
      <c r="AK2108" s="1"/>
      <c r="AL2108" s="1"/>
      <c r="AM2108" s="1"/>
      <c r="AN2108" s="1"/>
      <c r="AO2108" s="1"/>
      <c r="AP2108" s="1"/>
      <c r="AQ2108" s="1"/>
      <c r="AR2108" s="1" t="s">
        <v>98</v>
      </c>
      <c r="AS2108" s="1" t="s">
        <v>23101</v>
      </c>
      <c r="AT2108" s="1" t="s">
        <v>169</v>
      </c>
      <c r="AU2108" s="1" t="s">
        <v>436</v>
      </c>
      <c r="AV2108" s="1">
        <v>87.11</v>
      </c>
      <c r="AW2108" s="1"/>
      <c r="AX2108" s="1" t="s">
        <v>9524</v>
      </c>
      <c r="AY2108" s="1" t="s">
        <v>23102</v>
      </c>
      <c r="AZ2108" s="1" t="s">
        <v>593</v>
      </c>
      <c r="BA2108" s="1" t="s">
        <v>1067</v>
      </c>
      <c r="BB2108" s="1">
        <v>66.2</v>
      </c>
      <c r="BC2108" s="1">
        <v>7.37</v>
      </c>
      <c r="BD2108" s="1"/>
      <c r="BE2108" s="1"/>
      <c r="BF2108" s="1"/>
      <c r="BG2108" s="1"/>
      <c r="BH2108" s="1"/>
      <c r="BI2108" s="1"/>
      <c r="BJ2108" s="1" t="s">
        <v>23103</v>
      </c>
      <c r="BK2108" s="1"/>
      <c r="BL2108" s="1"/>
      <c r="BM2108" s="1" t="s">
        <v>23104</v>
      </c>
      <c r="BN2108" s="1">
        <v>13</v>
      </c>
      <c r="BO2108" s="1" t="s">
        <v>23105</v>
      </c>
      <c r="BP2108" s="1" t="str">
        <f>HYPERLINK("https://nconnect.nicmar.ac.in/storage/profile/ProfilePhoto_P25701085_372584.jpg","Download")</f>
        <v>0</v>
      </c>
      <c r="BQ2108" s="3"/>
      <c r="BR2108" s="3"/>
    </row>
    <row r="2109" spans="1:70">
      <c r="A2109" s="1" t="s">
        <v>21304</v>
      </c>
      <c r="B2109" s="1" t="s">
        <v>441</v>
      </c>
      <c r="C2109" s="1" t="s">
        <v>23106</v>
      </c>
      <c r="D2109" s="1" t="s">
        <v>23107</v>
      </c>
      <c r="E2109" s="1"/>
      <c r="F2109" s="1" t="s">
        <v>18072</v>
      </c>
      <c r="G2109" s="1" t="s">
        <v>23108</v>
      </c>
      <c r="H2109" s="1" t="s">
        <v>23109</v>
      </c>
      <c r="I2109" s="1" t="s">
        <v>23110</v>
      </c>
      <c r="J2109" s="1">
        <v>8867909058</v>
      </c>
      <c r="K2109" s="1" t="s">
        <v>79</v>
      </c>
      <c r="L2109" s="1" t="s">
        <v>23111</v>
      </c>
      <c r="M2109" s="1" t="s">
        <v>81</v>
      </c>
      <c r="N2109" s="1" t="s">
        <v>23112</v>
      </c>
      <c r="O2109" s="1"/>
      <c r="P2109" s="1" t="s">
        <v>450</v>
      </c>
      <c r="Q2109" s="1" t="s">
        <v>23113</v>
      </c>
      <c r="R2109" s="1" t="s">
        <v>23114</v>
      </c>
      <c r="S2109" s="1">
        <v>9448285654</v>
      </c>
      <c r="T2109" s="1" t="s">
        <v>87</v>
      </c>
      <c r="U2109" s="1" t="s">
        <v>23115</v>
      </c>
      <c r="V2109" s="1">
        <v>9448282634</v>
      </c>
      <c r="W2109" s="1" t="s">
        <v>531</v>
      </c>
      <c r="X2109" s="1" t="s">
        <v>23116</v>
      </c>
      <c r="Y2109" s="1" t="s">
        <v>1186</v>
      </c>
      <c r="Z2109" s="1" t="s">
        <v>1187</v>
      </c>
      <c r="AA2109" s="1" t="s">
        <v>23116</v>
      </c>
      <c r="AB2109" s="1" t="s">
        <v>1186</v>
      </c>
      <c r="AC2109" s="1" t="s">
        <v>1187</v>
      </c>
      <c r="AD2109" s="1">
        <v>8.42</v>
      </c>
      <c r="AE2109" s="1" t="s">
        <v>93</v>
      </c>
      <c r="AF2109" s="1" t="s">
        <v>23117</v>
      </c>
      <c r="AG2109" s="1" t="s">
        <v>307</v>
      </c>
      <c r="AH2109" s="1" t="s">
        <v>162</v>
      </c>
      <c r="AI2109" s="1" t="s">
        <v>165</v>
      </c>
      <c r="AJ2109" s="1">
        <v>83.6</v>
      </c>
      <c r="AK2109" s="1">
        <v>8.8</v>
      </c>
      <c r="AL2109" s="1" t="s">
        <v>23118</v>
      </c>
      <c r="AM2109" s="1" t="s">
        <v>23119</v>
      </c>
      <c r="AN2109" s="1" t="s">
        <v>169</v>
      </c>
      <c r="AO2109" s="1" t="s">
        <v>537</v>
      </c>
      <c r="AP2109" s="1">
        <v>80.16</v>
      </c>
      <c r="AQ2109" s="1"/>
      <c r="AR2109" s="1"/>
      <c r="AS2109" s="1"/>
      <c r="AT2109" s="1"/>
      <c r="AU2109" s="1"/>
      <c r="AV2109" s="1"/>
      <c r="AW2109" s="1"/>
      <c r="AX2109" s="1" t="s">
        <v>23120</v>
      </c>
      <c r="AY2109" s="1" t="s">
        <v>23120</v>
      </c>
      <c r="AZ2109" s="1" t="s">
        <v>201</v>
      </c>
      <c r="BA2109" s="1" t="s">
        <v>1245</v>
      </c>
      <c r="BB2109" s="1">
        <v>80.6</v>
      </c>
      <c r="BC2109" s="1">
        <v>8.81</v>
      </c>
      <c r="BD2109" s="1"/>
      <c r="BE2109" s="1"/>
      <c r="BF2109" s="1"/>
      <c r="BG2109" s="1"/>
      <c r="BH2109" s="1"/>
      <c r="BI2109" s="1"/>
      <c r="BJ2109" s="1" t="s">
        <v>23121</v>
      </c>
      <c r="BK2109" s="1" t="s">
        <v>23122</v>
      </c>
      <c r="BL2109" s="1" t="s">
        <v>1129</v>
      </c>
      <c r="BM2109" s="1" t="s">
        <v>23123</v>
      </c>
      <c r="BN2109" s="1">
        <v>13</v>
      </c>
      <c r="BO2109" s="1"/>
      <c r="BP2109" s="1" t="str">
        <f>HYPERLINK("https://nconnect.nicmar.ac.in/storage/profile/ProfilePhoto_P25701087_365981.jpg","Download")</f>
        <v>0</v>
      </c>
      <c r="BQ2109" s="3"/>
      <c r="BR2109" s="3"/>
    </row>
    <row r="2110" spans="1:70">
      <c r="A2110" s="1" t="s">
        <v>21304</v>
      </c>
      <c r="B2110" s="1" t="s">
        <v>441</v>
      </c>
      <c r="C2110" s="1" t="s">
        <v>23124</v>
      </c>
      <c r="D2110" s="1" t="s">
        <v>22303</v>
      </c>
      <c r="E2110" s="1" t="s">
        <v>16803</v>
      </c>
      <c r="F2110" s="1" t="s">
        <v>23125</v>
      </c>
      <c r="G2110" s="1" t="s">
        <v>23126</v>
      </c>
      <c r="H2110" s="1" t="s">
        <v>23127</v>
      </c>
      <c r="I2110" s="1" t="s">
        <v>23128</v>
      </c>
      <c r="J2110" s="1">
        <v>8788891256</v>
      </c>
      <c r="K2110" s="1" t="s">
        <v>79</v>
      </c>
      <c r="L2110" s="1" t="s">
        <v>7122</v>
      </c>
      <c r="M2110" s="1" t="s">
        <v>81</v>
      </c>
      <c r="N2110" s="1" t="s">
        <v>883</v>
      </c>
      <c r="O2110" s="1"/>
      <c r="P2110" s="1" t="s">
        <v>472</v>
      </c>
      <c r="Q2110" s="1" t="s">
        <v>23129</v>
      </c>
      <c r="R2110" s="1" t="s">
        <v>16803</v>
      </c>
      <c r="S2110" s="1">
        <v>9326183951</v>
      </c>
      <c r="T2110" s="1" t="s">
        <v>93</v>
      </c>
      <c r="U2110" s="1" t="s">
        <v>5275</v>
      </c>
      <c r="V2110" s="1">
        <v>9326183951</v>
      </c>
      <c r="W2110" s="1" t="s">
        <v>89</v>
      </c>
      <c r="X2110" s="1" t="s">
        <v>23130</v>
      </c>
      <c r="Y2110" s="1" t="s">
        <v>91</v>
      </c>
      <c r="Z2110" s="1" t="s">
        <v>92</v>
      </c>
      <c r="AA2110" s="1" t="s">
        <v>23130</v>
      </c>
      <c r="AB2110" s="1" t="s">
        <v>91</v>
      </c>
      <c r="AC2110" s="1" t="s">
        <v>92</v>
      </c>
      <c r="AD2110" s="1">
        <v>7.86</v>
      </c>
      <c r="AE2110" s="1" t="s">
        <v>93</v>
      </c>
      <c r="AF2110" s="1" t="s">
        <v>23131</v>
      </c>
      <c r="AG2110" s="1" t="s">
        <v>160</v>
      </c>
      <c r="AH2110" s="1" t="s">
        <v>161</v>
      </c>
      <c r="AI2110" s="1" t="s">
        <v>1089</v>
      </c>
      <c r="AJ2110" s="1">
        <v>79.4</v>
      </c>
      <c r="AK2110" s="1"/>
      <c r="AL2110" s="1" t="s">
        <v>23132</v>
      </c>
      <c r="AM2110" s="1" t="s">
        <v>160</v>
      </c>
      <c r="AN2110" s="1" t="s">
        <v>165</v>
      </c>
      <c r="AO2110" s="1" t="s">
        <v>1455</v>
      </c>
      <c r="AP2110" s="1">
        <v>75.23</v>
      </c>
      <c r="AQ2110" s="1"/>
      <c r="AR2110" s="1"/>
      <c r="AS2110" s="1"/>
      <c r="AT2110" s="1"/>
      <c r="AU2110" s="1"/>
      <c r="AV2110" s="1"/>
      <c r="AW2110" s="1"/>
      <c r="AX2110" s="1" t="s">
        <v>23133</v>
      </c>
      <c r="AY2110" s="1" t="s">
        <v>4907</v>
      </c>
      <c r="AZ2110" s="1" t="s">
        <v>169</v>
      </c>
      <c r="BA2110" s="1" t="s">
        <v>229</v>
      </c>
      <c r="BB2110" s="1">
        <v>82.2</v>
      </c>
      <c r="BC2110" s="1">
        <v>8.72</v>
      </c>
      <c r="BD2110" s="1"/>
      <c r="BE2110" s="1"/>
      <c r="BF2110" s="1"/>
      <c r="BG2110" s="1"/>
      <c r="BH2110" s="1"/>
      <c r="BI2110" s="1"/>
      <c r="BJ2110" s="1" t="s">
        <v>23134</v>
      </c>
      <c r="BK2110" s="1" t="s">
        <v>23135</v>
      </c>
      <c r="BL2110" s="1" t="s">
        <v>4165</v>
      </c>
      <c r="BM2110" s="1" t="s">
        <v>23136</v>
      </c>
      <c r="BN2110" s="1">
        <v>33</v>
      </c>
      <c r="BO2110" s="1" t="s">
        <v>23137</v>
      </c>
      <c r="BP2110" s="1" t="str">
        <f>HYPERLINK("https://nconnect.nicmar.ac.in/storage/profile/ProfilePhoto_P25701088_378519.jpg","Download")</f>
        <v>0</v>
      </c>
      <c r="BQ2110" s="3"/>
      <c r="BR2110" s="3"/>
    </row>
    <row r="2111" spans="1:70">
      <c r="A2111" s="1" t="s">
        <v>21304</v>
      </c>
      <c r="B2111" s="1" t="s">
        <v>441</v>
      </c>
      <c r="C2111" s="1" t="s">
        <v>23138</v>
      </c>
      <c r="D2111" s="1" t="s">
        <v>920</v>
      </c>
      <c r="E2111" s="1" t="s">
        <v>2071</v>
      </c>
      <c r="F2111" s="1" t="s">
        <v>3237</v>
      </c>
      <c r="G2111" s="1" t="s">
        <v>23139</v>
      </c>
      <c r="H2111" s="1" t="s">
        <v>23140</v>
      </c>
      <c r="I2111" s="1" t="s">
        <v>23141</v>
      </c>
      <c r="J2111" s="1">
        <v>7410544726</v>
      </c>
      <c r="K2111" s="1" t="s">
        <v>79</v>
      </c>
      <c r="L2111" s="1" t="s">
        <v>23142</v>
      </c>
      <c r="M2111" s="1" t="s">
        <v>81</v>
      </c>
      <c r="N2111" s="1" t="s">
        <v>23143</v>
      </c>
      <c r="O2111" s="1"/>
      <c r="P2111" s="1" t="s">
        <v>450</v>
      </c>
      <c r="Q2111" s="1" t="s">
        <v>23144</v>
      </c>
      <c r="R2111" s="1" t="s">
        <v>23145</v>
      </c>
      <c r="S2111" s="1">
        <v>7767889890</v>
      </c>
      <c r="T2111" s="1" t="s">
        <v>216</v>
      </c>
      <c r="U2111" s="1" t="s">
        <v>23146</v>
      </c>
      <c r="V2111" s="1">
        <v>8421622695</v>
      </c>
      <c r="W2111" s="1" t="s">
        <v>156</v>
      </c>
      <c r="X2111" s="1" t="s">
        <v>23147</v>
      </c>
      <c r="Y2111" s="1" t="s">
        <v>191</v>
      </c>
      <c r="Z2111" s="1" t="s">
        <v>92</v>
      </c>
      <c r="AA2111" s="1" t="s">
        <v>23147</v>
      </c>
      <c r="AB2111" s="1" t="s">
        <v>191</v>
      </c>
      <c r="AC2111" s="1" t="s">
        <v>92</v>
      </c>
      <c r="AD2111" s="1">
        <v>7.25</v>
      </c>
      <c r="AE2111" s="1" t="s">
        <v>93</v>
      </c>
      <c r="AF2111" s="1" t="s">
        <v>23148</v>
      </c>
      <c r="AG2111" s="1" t="s">
        <v>307</v>
      </c>
      <c r="AH2111" s="1" t="s">
        <v>481</v>
      </c>
      <c r="AI2111" s="1" t="s">
        <v>308</v>
      </c>
      <c r="AJ2111" s="1">
        <v>82.8</v>
      </c>
      <c r="AK2111" s="1"/>
      <c r="AL2111" s="1" t="s">
        <v>23148</v>
      </c>
      <c r="AM2111" s="1" t="s">
        <v>307</v>
      </c>
      <c r="AN2111" s="1" t="s">
        <v>956</v>
      </c>
      <c r="AO2111" s="1" t="s">
        <v>539</v>
      </c>
      <c r="AP2111" s="1">
        <v>80</v>
      </c>
      <c r="AQ2111" s="1"/>
      <c r="AR2111" s="1"/>
      <c r="AS2111" s="1"/>
      <c r="AT2111" s="1"/>
      <c r="AU2111" s="1"/>
      <c r="AV2111" s="1"/>
      <c r="AW2111" s="1"/>
      <c r="AX2111" s="1" t="s">
        <v>361</v>
      </c>
      <c r="AY2111" s="1" t="s">
        <v>23149</v>
      </c>
      <c r="AZ2111" s="1" t="s">
        <v>852</v>
      </c>
      <c r="BA2111" s="1" t="s">
        <v>829</v>
      </c>
      <c r="BB2111" s="1">
        <v>66.7</v>
      </c>
      <c r="BC2111" s="1">
        <v>7.42</v>
      </c>
      <c r="BD2111" s="1"/>
      <c r="BE2111" s="1"/>
      <c r="BF2111" s="1"/>
      <c r="BG2111" s="1"/>
      <c r="BH2111" s="1"/>
      <c r="BI2111" s="1"/>
      <c r="BJ2111" s="1" t="s">
        <v>567</v>
      </c>
      <c r="BK2111" s="1"/>
      <c r="BL2111" s="1"/>
      <c r="BM2111" s="1" t="s">
        <v>23150</v>
      </c>
      <c r="BN2111" s="1">
        <v>47</v>
      </c>
      <c r="BO2111" s="1"/>
      <c r="BP2111" s="1" t="str">
        <f>HYPERLINK("https://nconnect.nicmar.ac.in/storage/profile/ProfilePhoto_P25701089_251937.jpg","Download")</f>
        <v>0</v>
      </c>
      <c r="BQ2111" s="3"/>
      <c r="BR2111" s="3"/>
    </row>
    <row r="2112" spans="1:70">
      <c r="A2112" s="1" t="s">
        <v>21304</v>
      </c>
      <c r="B2112" s="1" t="s">
        <v>441</v>
      </c>
      <c r="C2112" s="1" t="s">
        <v>23151</v>
      </c>
      <c r="D2112" s="1" t="s">
        <v>23152</v>
      </c>
      <c r="E2112" s="1" t="s">
        <v>574</v>
      </c>
      <c r="F2112" s="1" t="s">
        <v>11405</v>
      </c>
      <c r="G2112" s="1" t="s">
        <v>23153</v>
      </c>
      <c r="H2112" s="1" t="s">
        <v>23154</v>
      </c>
      <c r="I2112" s="1" t="s">
        <v>23155</v>
      </c>
      <c r="J2112" s="1">
        <v>9744966172</v>
      </c>
      <c r="K2112" s="1" t="s">
        <v>79</v>
      </c>
      <c r="L2112" s="1" t="s">
        <v>23156</v>
      </c>
      <c r="M2112" s="1" t="s">
        <v>81</v>
      </c>
      <c r="N2112" s="1" t="s">
        <v>11762</v>
      </c>
      <c r="O2112" s="1"/>
      <c r="P2112" s="1" t="s">
        <v>497</v>
      </c>
      <c r="Q2112" s="1" t="s">
        <v>23157</v>
      </c>
      <c r="R2112" s="1" t="s">
        <v>23158</v>
      </c>
      <c r="S2112" s="1">
        <v>9188391930</v>
      </c>
      <c r="T2112" s="1" t="s">
        <v>120</v>
      </c>
      <c r="U2112" s="1" t="s">
        <v>23159</v>
      </c>
      <c r="V2112" s="1">
        <v>9747870930</v>
      </c>
      <c r="W2112" s="1" t="s">
        <v>156</v>
      </c>
      <c r="X2112" s="1" t="s">
        <v>23160</v>
      </c>
      <c r="Y2112" s="1" t="s">
        <v>22837</v>
      </c>
      <c r="Z2112" s="1" t="s">
        <v>125</v>
      </c>
      <c r="AA2112" s="1" t="s">
        <v>23160</v>
      </c>
      <c r="AB2112" s="1" t="s">
        <v>22837</v>
      </c>
      <c r="AC2112" s="1" t="s">
        <v>125</v>
      </c>
      <c r="AD2112" s="1">
        <v>6.51</v>
      </c>
      <c r="AE2112" s="1" t="s">
        <v>93</v>
      </c>
      <c r="AF2112" s="1" t="s">
        <v>23161</v>
      </c>
      <c r="AG2112" s="1" t="s">
        <v>23162</v>
      </c>
      <c r="AH2112" s="1" t="s">
        <v>1190</v>
      </c>
      <c r="AI2112" s="1" t="s">
        <v>96</v>
      </c>
      <c r="AJ2112" s="1">
        <v>66.5</v>
      </c>
      <c r="AK2112" s="1"/>
      <c r="AL2112" s="1" t="s">
        <v>23163</v>
      </c>
      <c r="AM2112" s="1" t="s">
        <v>23164</v>
      </c>
      <c r="AN2112" s="1" t="s">
        <v>161</v>
      </c>
      <c r="AO2112" s="1" t="s">
        <v>162</v>
      </c>
      <c r="AP2112" s="1">
        <v>68</v>
      </c>
      <c r="AQ2112" s="1"/>
      <c r="AR2112" s="1"/>
      <c r="AS2112" s="1"/>
      <c r="AT2112" s="1"/>
      <c r="AU2112" s="1"/>
      <c r="AV2112" s="1"/>
      <c r="AW2112" s="1"/>
      <c r="AX2112" s="1" t="s">
        <v>23165</v>
      </c>
      <c r="AY2112" s="1" t="s">
        <v>23166</v>
      </c>
      <c r="AZ2112" s="1" t="s">
        <v>1374</v>
      </c>
      <c r="BA2112" s="1" t="s">
        <v>539</v>
      </c>
      <c r="BB2112" s="1">
        <v>74.94</v>
      </c>
      <c r="BC2112" s="1"/>
      <c r="BD2112" s="1"/>
      <c r="BE2112" s="1"/>
      <c r="BF2112" s="1"/>
      <c r="BG2112" s="1"/>
      <c r="BH2112" s="1"/>
      <c r="BI2112" s="1"/>
      <c r="BJ2112" s="1" t="s">
        <v>23167</v>
      </c>
      <c r="BK2112" s="1" t="s">
        <v>23168</v>
      </c>
      <c r="BL2112" s="1" t="s">
        <v>2295</v>
      </c>
      <c r="BM2112" s="1" t="s">
        <v>23169</v>
      </c>
      <c r="BN2112" s="1">
        <v>33</v>
      </c>
      <c r="BO2112" s="1" t="s">
        <v>23170</v>
      </c>
      <c r="BP2112" s="1" t="str">
        <f>HYPERLINK("https://nconnect.nicmar.ac.in/storage/profile/ProfilePhoto_P25701090_859126.jpg","Download")</f>
        <v>0</v>
      </c>
      <c r="BQ2112" s="3"/>
      <c r="BR2112" s="3"/>
    </row>
    <row r="2113" spans="1:70">
      <c r="A2113" s="1" t="s">
        <v>21304</v>
      </c>
      <c r="B2113" s="1" t="s">
        <v>441</v>
      </c>
      <c r="C2113" s="1" t="s">
        <v>23171</v>
      </c>
      <c r="D2113" s="1" t="s">
        <v>3520</v>
      </c>
      <c r="E2113" s="1" t="s">
        <v>23172</v>
      </c>
      <c r="F2113" s="1" t="s">
        <v>23173</v>
      </c>
      <c r="G2113" s="1" t="s">
        <v>23174</v>
      </c>
      <c r="H2113" s="1" t="s">
        <v>23175</v>
      </c>
      <c r="I2113" s="1" t="s">
        <v>23176</v>
      </c>
      <c r="J2113" s="1">
        <v>9348687343</v>
      </c>
      <c r="K2113" s="1" t="s">
        <v>148</v>
      </c>
      <c r="L2113" s="1" t="s">
        <v>23177</v>
      </c>
      <c r="M2113" s="1" t="s">
        <v>81</v>
      </c>
      <c r="N2113" s="1" t="s">
        <v>862</v>
      </c>
      <c r="O2113" s="1"/>
      <c r="P2113" s="1" t="s">
        <v>2035</v>
      </c>
      <c r="Q2113" s="1" t="s">
        <v>23178</v>
      </c>
      <c r="R2113" s="1" t="s">
        <v>23179</v>
      </c>
      <c r="S2113" s="1">
        <v>9556702907</v>
      </c>
      <c r="T2113" s="1" t="s">
        <v>23180</v>
      </c>
      <c r="U2113" s="1" t="s">
        <v>23181</v>
      </c>
      <c r="V2113" s="1">
        <v>7735563982</v>
      </c>
      <c r="W2113" s="1" t="s">
        <v>19563</v>
      </c>
      <c r="X2113" s="1" t="s">
        <v>23182</v>
      </c>
      <c r="Y2113" s="1" t="s">
        <v>20494</v>
      </c>
      <c r="Z2113" s="1" t="s">
        <v>846</v>
      </c>
      <c r="AA2113" s="1" t="s">
        <v>23182</v>
      </c>
      <c r="AB2113" s="1" t="s">
        <v>20494</v>
      </c>
      <c r="AC2113" s="1" t="s">
        <v>846</v>
      </c>
      <c r="AD2113" s="1">
        <v>8.29</v>
      </c>
      <c r="AE2113" s="1" t="s">
        <v>93</v>
      </c>
      <c r="AF2113" s="1" t="s">
        <v>23183</v>
      </c>
      <c r="AG2113" s="1" t="s">
        <v>18102</v>
      </c>
      <c r="AH2113" s="1" t="s">
        <v>1239</v>
      </c>
      <c r="AI2113" s="1" t="s">
        <v>131</v>
      </c>
      <c r="AJ2113" s="1">
        <v>81.33</v>
      </c>
      <c r="AK2113" s="1"/>
      <c r="AL2113" s="1" t="s">
        <v>23184</v>
      </c>
      <c r="AM2113" s="1" t="s">
        <v>1558</v>
      </c>
      <c r="AN2113" s="1" t="s">
        <v>131</v>
      </c>
      <c r="AO2113" s="1" t="s">
        <v>562</v>
      </c>
      <c r="AP2113" s="1">
        <v>64.16</v>
      </c>
      <c r="AQ2113" s="1"/>
      <c r="AR2113" s="1"/>
      <c r="AS2113" s="1"/>
      <c r="AT2113" s="1"/>
      <c r="AU2113" s="1"/>
      <c r="AV2113" s="1"/>
      <c r="AW2113" s="1"/>
      <c r="AX2113" s="1" t="s">
        <v>17698</v>
      </c>
      <c r="AY2113" s="1" t="s">
        <v>22214</v>
      </c>
      <c r="AZ2113" s="1" t="s">
        <v>101</v>
      </c>
      <c r="BA2113" s="1" t="s">
        <v>935</v>
      </c>
      <c r="BB2113" s="1">
        <v>70.6</v>
      </c>
      <c r="BC2113" s="1">
        <v>7.56</v>
      </c>
      <c r="BD2113" s="1"/>
      <c r="BE2113" s="1"/>
      <c r="BF2113" s="1"/>
      <c r="BG2113" s="1"/>
      <c r="BH2113" s="1"/>
      <c r="BI2113" s="1"/>
      <c r="BJ2113" s="1" t="s">
        <v>23185</v>
      </c>
      <c r="BK2113" s="1" t="s">
        <v>23186</v>
      </c>
      <c r="BL2113" s="1" t="s">
        <v>4165</v>
      </c>
      <c r="BM2113" s="1" t="s">
        <v>23187</v>
      </c>
      <c r="BN2113" s="1">
        <v>27</v>
      </c>
      <c r="BO2113" s="1"/>
      <c r="BP2113" s="1" t="str">
        <f>HYPERLINK("https://nconnect.nicmar.ac.in/storage/profile/ProfilePhoto_P25701091_628517.jpg","Download")</f>
        <v>0</v>
      </c>
      <c r="BQ2113" s="3"/>
      <c r="BR2113" s="3"/>
    </row>
    <row r="2114" spans="1:70">
      <c r="A2114" s="1" t="s">
        <v>21304</v>
      </c>
      <c r="B2114" s="1" t="s">
        <v>441</v>
      </c>
      <c r="C2114" s="1" t="s">
        <v>23188</v>
      </c>
      <c r="D2114" s="1" t="s">
        <v>23189</v>
      </c>
      <c r="E2114" s="1"/>
      <c r="F2114" s="1" t="s">
        <v>520</v>
      </c>
      <c r="G2114" s="1" t="s">
        <v>23190</v>
      </c>
      <c r="H2114" s="1" t="s">
        <v>23191</v>
      </c>
      <c r="I2114" s="1" t="s">
        <v>23192</v>
      </c>
      <c r="J2114" s="1">
        <v>9466906697</v>
      </c>
      <c r="K2114" s="1" t="s">
        <v>148</v>
      </c>
      <c r="L2114" s="1" t="s">
        <v>23193</v>
      </c>
      <c r="M2114" s="1" t="s">
        <v>81</v>
      </c>
      <c r="N2114" s="1" t="s">
        <v>13053</v>
      </c>
      <c r="O2114" s="1"/>
      <c r="P2114" s="1" t="s">
        <v>497</v>
      </c>
      <c r="Q2114" s="1" t="s">
        <v>23194</v>
      </c>
      <c r="R2114" s="1" t="s">
        <v>2203</v>
      </c>
      <c r="S2114" s="1">
        <v>9973081111</v>
      </c>
      <c r="T2114" s="1" t="s">
        <v>820</v>
      </c>
      <c r="U2114" s="1" t="s">
        <v>23195</v>
      </c>
      <c r="V2114" s="1">
        <v>9835627621</v>
      </c>
      <c r="W2114" s="1" t="s">
        <v>89</v>
      </c>
      <c r="X2114" s="1" t="s">
        <v>23196</v>
      </c>
      <c r="Y2114" s="1" t="s">
        <v>5223</v>
      </c>
      <c r="Z2114" s="1" t="s">
        <v>3437</v>
      </c>
      <c r="AA2114" s="1" t="s">
        <v>23196</v>
      </c>
      <c r="AB2114" s="1" t="s">
        <v>5223</v>
      </c>
      <c r="AC2114" s="1" t="s">
        <v>3437</v>
      </c>
      <c r="AD2114" s="1">
        <v>7.45</v>
      </c>
      <c r="AE2114" s="1" t="s">
        <v>93</v>
      </c>
      <c r="AF2114" s="1" t="s">
        <v>23197</v>
      </c>
      <c r="AG2114" s="1" t="s">
        <v>307</v>
      </c>
      <c r="AH2114" s="1" t="s">
        <v>3789</v>
      </c>
      <c r="AI2114" s="1" t="s">
        <v>3439</v>
      </c>
      <c r="AJ2114" s="1">
        <v>66.5</v>
      </c>
      <c r="AK2114" s="1">
        <v>7</v>
      </c>
      <c r="AL2114" s="1" t="s">
        <v>23197</v>
      </c>
      <c r="AM2114" s="1" t="s">
        <v>307</v>
      </c>
      <c r="AN2114" s="1" t="s">
        <v>1191</v>
      </c>
      <c r="AO2114" s="1" t="s">
        <v>1088</v>
      </c>
      <c r="AP2114" s="1">
        <v>72.8</v>
      </c>
      <c r="AQ2114" s="1"/>
      <c r="AR2114" s="1"/>
      <c r="AS2114" s="1"/>
      <c r="AT2114" s="1"/>
      <c r="AU2114" s="1"/>
      <c r="AV2114" s="1"/>
      <c r="AW2114" s="1"/>
      <c r="AX2114" s="1" t="s">
        <v>23198</v>
      </c>
      <c r="AY2114" s="1" t="s">
        <v>23199</v>
      </c>
      <c r="AZ2114" s="1" t="s">
        <v>337</v>
      </c>
      <c r="BA2114" s="1" t="s">
        <v>1043</v>
      </c>
      <c r="BB2114" s="1">
        <v>84.2</v>
      </c>
      <c r="BC2114" s="1">
        <v>8.42</v>
      </c>
      <c r="BD2114" s="1"/>
      <c r="BE2114" s="1"/>
      <c r="BF2114" s="1"/>
      <c r="BG2114" s="1"/>
      <c r="BH2114" s="1"/>
      <c r="BI2114" s="1"/>
      <c r="BJ2114" s="1" t="s">
        <v>23200</v>
      </c>
      <c r="BK2114" s="1" t="s">
        <v>23201</v>
      </c>
      <c r="BL2114" s="1" t="s">
        <v>7096</v>
      </c>
      <c r="BM2114" s="1" t="s">
        <v>23202</v>
      </c>
      <c r="BN2114" s="1">
        <v>7</v>
      </c>
      <c r="BO2114" s="1" t="s">
        <v>19279</v>
      </c>
      <c r="BP2114" s="1" t="str">
        <f>HYPERLINK("https://nconnect.nicmar.ac.in/storage/profile/ProfilePhoto_P25701092_936487.jpg","Download")</f>
        <v>0</v>
      </c>
      <c r="BQ2114" s="3"/>
      <c r="BR2114" s="3"/>
    </row>
    <row r="2115" spans="1:70">
      <c r="A2115" s="1" t="s">
        <v>21304</v>
      </c>
      <c r="B2115" s="1" t="s">
        <v>441</v>
      </c>
      <c r="C2115" s="1" t="s">
        <v>23203</v>
      </c>
      <c r="D2115" s="1" t="s">
        <v>23204</v>
      </c>
      <c r="E2115" s="1" t="s">
        <v>2782</v>
      </c>
      <c r="F2115" s="1" t="s">
        <v>1828</v>
      </c>
      <c r="G2115" s="1" t="s">
        <v>23205</v>
      </c>
      <c r="H2115" s="1" t="s">
        <v>23206</v>
      </c>
      <c r="I2115" s="1" t="s">
        <v>23207</v>
      </c>
      <c r="J2115" s="1">
        <v>8086277999</v>
      </c>
      <c r="K2115" s="1" t="s">
        <v>148</v>
      </c>
      <c r="L2115" s="1" t="s">
        <v>23208</v>
      </c>
      <c r="M2115" s="1" t="s">
        <v>81</v>
      </c>
      <c r="N2115" s="1" t="s">
        <v>23209</v>
      </c>
      <c r="O2115" s="1"/>
      <c r="P2115" s="1" t="s">
        <v>497</v>
      </c>
      <c r="Q2115" s="1" t="s">
        <v>23210</v>
      </c>
      <c r="R2115" s="1" t="s">
        <v>23211</v>
      </c>
      <c r="S2115" s="1">
        <v>8086777999</v>
      </c>
      <c r="T2115" s="1" t="s">
        <v>4899</v>
      </c>
      <c r="U2115" s="1" t="s">
        <v>23212</v>
      </c>
      <c r="V2115" s="1">
        <v>9946086565</v>
      </c>
      <c r="W2115" s="1" t="s">
        <v>273</v>
      </c>
      <c r="X2115" s="1" t="s">
        <v>23213</v>
      </c>
      <c r="Y2115" s="1" t="s">
        <v>1261</v>
      </c>
      <c r="Z2115" s="1" t="s">
        <v>125</v>
      </c>
      <c r="AA2115" s="1" t="s">
        <v>23213</v>
      </c>
      <c r="AB2115" s="1" t="s">
        <v>1261</v>
      </c>
      <c r="AC2115" s="1" t="s">
        <v>125</v>
      </c>
      <c r="AD2115" s="1">
        <v>8.97</v>
      </c>
      <c r="AE2115" s="1" t="s">
        <v>93</v>
      </c>
      <c r="AF2115" s="1" t="s">
        <v>23214</v>
      </c>
      <c r="AG2115" s="1" t="s">
        <v>21888</v>
      </c>
      <c r="AH2115" s="1" t="s">
        <v>162</v>
      </c>
      <c r="AI2115" s="1" t="s">
        <v>562</v>
      </c>
      <c r="AJ2115" s="1">
        <v>90.83</v>
      </c>
      <c r="AK2115" s="1"/>
      <c r="AL2115" s="1" t="s">
        <v>23215</v>
      </c>
      <c r="AM2115" s="1" t="s">
        <v>688</v>
      </c>
      <c r="AN2115" s="1" t="s">
        <v>101</v>
      </c>
      <c r="AO2115" s="1" t="s">
        <v>308</v>
      </c>
      <c r="AP2115" s="1">
        <v>81.4</v>
      </c>
      <c r="AQ2115" s="1"/>
      <c r="AR2115" s="1"/>
      <c r="AS2115" s="1"/>
      <c r="AT2115" s="1"/>
      <c r="AU2115" s="1"/>
      <c r="AV2115" s="1"/>
      <c r="AW2115" s="1"/>
      <c r="AX2115" s="1" t="s">
        <v>7195</v>
      </c>
      <c r="AY2115" s="1" t="s">
        <v>23216</v>
      </c>
      <c r="AZ2115" s="1" t="s">
        <v>310</v>
      </c>
      <c r="BA2115" s="1" t="s">
        <v>1067</v>
      </c>
      <c r="BB2115" s="1">
        <v>71.6</v>
      </c>
      <c r="BC2115" s="1">
        <v>7.66</v>
      </c>
      <c r="BD2115" s="1"/>
      <c r="BE2115" s="1"/>
      <c r="BF2115" s="1"/>
      <c r="BG2115" s="1"/>
      <c r="BH2115" s="1"/>
      <c r="BI2115" s="1"/>
      <c r="BJ2115" s="1" t="s">
        <v>23217</v>
      </c>
      <c r="BK2115" s="1" t="s">
        <v>23218</v>
      </c>
      <c r="BL2115" s="1" t="s">
        <v>1335</v>
      </c>
      <c r="BM2115" s="1" t="s">
        <v>23219</v>
      </c>
      <c r="BN2115" s="1">
        <v>23</v>
      </c>
      <c r="BO2115" s="1" t="s">
        <v>23220</v>
      </c>
      <c r="BP2115" s="1" t="str">
        <f>HYPERLINK("https://nconnect.nicmar.ac.in/storage/profile/ProfilePhoto_P25701093_486973.jpg","Download")</f>
        <v>0</v>
      </c>
      <c r="BQ2115" s="3"/>
      <c r="BR2115" s="3"/>
    </row>
    <row r="2116" spans="1:70">
      <c r="A2116" s="1" t="s">
        <v>21304</v>
      </c>
      <c r="B2116" s="1" t="s">
        <v>441</v>
      </c>
      <c r="C2116" s="1" t="s">
        <v>23221</v>
      </c>
      <c r="D2116" s="1" t="s">
        <v>744</v>
      </c>
      <c r="E2116" s="1" t="s">
        <v>6854</v>
      </c>
      <c r="F2116" s="1" t="s">
        <v>23222</v>
      </c>
      <c r="G2116" s="1" t="s">
        <v>23223</v>
      </c>
      <c r="H2116" s="1" t="s">
        <v>23224</v>
      </c>
      <c r="I2116" s="1" t="s">
        <v>23225</v>
      </c>
      <c r="J2116" s="1">
        <v>9730973919</v>
      </c>
      <c r="K2116" s="1" t="s">
        <v>79</v>
      </c>
      <c r="L2116" s="1" t="s">
        <v>18908</v>
      </c>
      <c r="M2116" s="1" t="s">
        <v>81</v>
      </c>
      <c r="N2116" s="1" t="s">
        <v>13390</v>
      </c>
      <c r="O2116" s="1"/>
      <c r="P2116" s="1" t="s">
        <v>497</v>
      </c>
      <c r="Q2116" s="1" t="s">
        <v>23226</v>
      </c>
      <c r="R2116" s="1" t="s">
        <v>6854</v>
      </c>
      <c r="S2116" s="1">
        <v>9096805125</v>
      </c>
      <c r="T2116" s="1" t="s">
        <v>23227</v>
      </c>
      <c r="U2116" s="1" t="s">
        <v>17758</v>
      </c>
      <c r="V2116" s="1">
        <v>8788885048</v>
      </c>
      <c r="W2116" s="1" t="s">
        <v>156</v>
      </c>
      <c r="X2116" s="1" t="s">
        <v>23228</v>
      </c>
      <c r="Y2116" s="1" t="s">
        <v>219</v>
      </c>
      <c r="Z2116" s="1" t="s">
        <v>92</v>
      </c>
      <c r="AA2116" s="1" t="s">
        <v>23228</v>
      </c>
      <c r="AB2116" s="1" t="s">
        <v>219</v>
      </c>
      <c r="AC2116" s="1" t="s">
        <v>92</v>
      </c>
      <c r="AD2116" s="1">
        <v>8.28</v>
      </c>
      <c r="AE2116" s="1" t="s">
        <v>93</v>
      </c>
      <c r="AF2116" s="1" t="s">
        <v>23229</v>
      </c>
      <c r="AG2116" s="1" t="s">
        <v>2680</v>
      </c>
      <c r="AH2116" s="1" t="s">
        <v>161</v>
      </c>
      <c r="AI2116" s="1" t="s">
        <v>614</v>
      </c>
      <c r="AJ2116" s="1">
        <v>83.6</v>
      </c>
      <c r="AK2116" s="1"/>
      <c r="AL2116" s="1" t="s">
        <v>23230</v>
      </c>
      <c r="AM2116" s="1" t="s">
        <v>2680</v>
      </c>
      <c r="AN2116" s="1" t="s">
        <v>165</v>
      </c>
      <c r="AO2116" s="1" t="s">
        <v>166</v>
      </c>
      <c r="AP2116" s="1">
        <v>65.08</v>
      </c>
      <c r="AQ2116" s="1"/>
      <c r="AR2116" s="1"/>
      <c r="AS2116" s="1"/>
      <c r="AT2116" s="1"/>
      <c r="AU2116" s="1"/>
      <c r="AV2116" s="1"/>
      <c r="AW2116" s="1"/>
      <c r="AX2116" s="1" t="s">
        <v>23231</v>
      </c>
      <c r="AY2116" s="1" t="s">
        <v>23232</v>
      </c>
      <c r="AZ2116" s="1" t="s">
        <v>1043</v>
      </c>
      <c r="BA2116" s="1" t="s">
        <v>284</v>
      </c>
      <c r="BB2116" s="1">
        <v>89.58</v>
      </c>
      <c r="BC2116" s="1">
        <v>9.43</v>
      </c>
      <c r="BD2116" s="1"/>
      <c r="BE2116" s="1"/>
      <c r="BF2116" s="1"/>
      <c r="BG2116" s="1"/>
      <c r="BH2116" s="1"/>
      <c r="BI2116" s="1"/>
      <c r="BJ2116" s="1" t="s">
        <v>23233</v>
      </c>
      <c r="BK2116" s="1"/>
      <c r="BL2116" s="1"/>
      <c r="BM2116" s="1" t="s">
        <v>23234</v>
      </c>
      <c r="BN2116" s="1">
        <v>21</v>
      </c>
      <c r="BO2116" s="1" t="s">
        <v>23235</v>
      </c>
      <c r="BP2116" s="1" t="str">
        <f>HYPERLINK("https://nconnect.nicmar.ac.in/storage/profile/ProfilePhoto_P25701094_546218.jpg","Download")</f>
        <v>0</v>
      </c>
      <c r="BQ2116" s="3"/>
      <c r="BR2116" s="3"/>
    </row>
    <row r="2117" spans="1:70">
      <c r="A2117" s="1" t="s">
        <v>21304</v>
      </c>
      <c r="B2117" s="1" t="s">
        <v>441</v>
      </c>
      <c r="C2117" s="1" t="s">
        <v>23236</v>
      </c>
      <c r="D2117" s="1" t="s">
        <v>23237</v>
      </c>
      <c r="E2117" s="1"/>
      <c r="F2117" s="1" t="s">
        <v>999</v>
      </c>
      <c r="G2117" s="1" t="s">
        <v>23238</v>
      </c>
      <c r="H2117" s="1" t="s">
        <v>23239</v>
      </c>
      <c r="I2117" s="1" t="s">
        <v>23240</v>
      </c>
      <c r="J2117" s="1">
        <v>9400878285</v>
      </c>
      <c r="K2117" s="1" t="s">
        <v>79</v>
      </c>
      <c r="L2117" s="1" t="s">
        <v>729</v>
      </c>
      <c r="M2117" s="1" t="s">
        <v>81</v>
      </c>
      <c r="N2117" s="1" t="s">
        <v>116</v>
      </c>
      <c r="O2117" s="1"/>
      <c r="P2117" s="1" t="s">
        <v>450</v>
      </c>
      <c r="Q2117" s="1" t="s">
        <v>23241</v>
      </c>
      <c r="R2117" s="1" t="s">
        <v>23242</v>
      </c>
      <c r="S2117" s="1">
        <v>9495282885</v>
      </c>
      <c r="T2117" s="1" t="s">
        <v>23243</v>
      </c>
      <c r="U2117" s="1" t="s">
        <v>23244</v>
      </c>
      <c r="V2117" s="1">
        <v>9778750339</v>
      </c>
      <c r="W2117" s="1" t="s">
        <v>273</v>
      </c>
      <c r="X2117" s="1" t="s">
        <v>23245</v>
      </c>
      <c r="Y2117" s="1" t="s">
        <v>586</v>
      </c>
      <c r="Z2117" s="1" t="s">
        <v>125</v>
      </c>
      <c r="AA2117" s="1" t="s">
        <v>23245</v>
      </c>
      <c r="AB2117" s="1" t="s">
        <v>586</v>
      </c>
      <c r="AC2117" s="1" t="s">
        <v>125</v>
      </c>
      <c r="AD2117" s="1">
        <v>8.63</v>
      </c>
      <c r="AE2117" s="1" t="s">
        <v>93</v>
      </c>
      <c r="AF2117" s="1" t="s">
        <v>7052</v>
      </c>
      <c r="AG2117" s="1" t="s">
        <v>688</v>
      </c>
      <c r="AH2117" s="1" t="s">
        <v>165</v>
      </c>
      <c r="AI2117" s="1" t="s">
        <v>166</v>
      </c>
      <c r="AJ2117" s="1">
        <v>69.8</v>
      </c>
      <c r="AK2117" s="1"/>
      <c r="AL2117" s="1" t="s">
        <v>23246</v>
      </c>
      <c r="AM2117" s="1" t="s">
        <v>23164</v>
      </c>
      <c r="AN2117" s="1" t="s">
        <v>433</v>
      </c>
      <c r="AO2117" s="1" t="s">
        <v>173</v>
      </c>
      <c r="AP2117" s="1">
        <v>77.1</v>
      </c>
      <c r="AQ2117" s="1"/>
      <c r="AR2117" s="1"/>
      <c r="AS2117" s="1"/>
      <c r="AT2117" s="1"/>
      <c r="AU2117" s="1"/>
      <c r="AV2117" s="1"/>
      <c r="AW2117" s="1"/>
      <c r="AX2117" s="1" t="s">
        <v>23247</v>
      </c>
      <c r="AY2117" s="1" t="s">
        <v>23248</v>
      </c>
      <c r="AZ2117" s="1" t="s">
        <v>1622</v>
      </c>
      <c r="BA2117" s="1" t="s">
        <v>413</v>
      </c>
      <c r="BB2117" s="1">
        <v>69.3</v>
      </c>
      <c r="BC2117" s="1">
        <v>6.93</v>
      </c>
      <c r="BD2117" s="1"/>
      <c r="BE2117" s="1"/>
      <c r="BF2117" s="1"/>
      <c r="BG2117" s="1"/>
      <c r="BH2117" s="1"/>
      <c r="BI2117" s="1"/>
      <c r="BJ2117" s="1" t="s">
        <v>23249</v>
      </c>
      <c r="BK2117" s="1"/>
      <c r="BL2117" s="1"/>
      <c r="BM2117" s="1" t="s">
        <v>23250</v>
      </c>
      <c r="BN2117" s="1">
        <v>56</v>
      </c>
      <c r="BO2117" s="1" t="s">
        <v>23251</v>
      </c>
      <c r="BP2117" s="1" t="str">
        <f>HYPERLINK("https://nconnect.nicmar.ac.in/storage/profile/ProfilePhoto_P25701095_712486.jpg","Download")</f>
        <v>0</v>
      </c>
      <c r="BQ2117" s="3"/>
      <c r="BR2117" s="3"/>
    </row>
    <row r="2118" spans="1:70">
      <c r="A2118" s="1" t="s">
        <v>21304</v>
      </c>
      <c r="B2118" s="1" t="s">
        <v>441</v>
      </c>
      <c r="C2118" s="1" t="s">
        <v>23252</v>
      </c>
      <c r="D2118" s="1" t="s">
        <v>23253</v>
      </c>
      <c r="E2118" s="1" t="s">
        <v>5755</v>
      </c>
      <c r="F2118" s="1" t="s">
        <v>23254</v>
      </c>
      <c r="G2118" s="1" t="s">
        <v>23255</v>
      </c>
      <c r="H2118" s="1" t="s">
        <v>23256</v>
      </c>
      <c r="I2118" s="1" t="s">
        <v>23257</v>
      </c>
      <c r="J2118" s="1">
        <v>9890631803</v>
      </c>
      <c r="K2118" s="1" t="s">
        <v>148</v>
      </c>
      <c r="L2118" s="1" t="s">
        <v>23258</v>
      </c>
      <c r="M2118" s="1" t="s">
        <v>81</v>
      </c>
      <c r="N2118" s="1" t="s">
        <v>3065</v>
      </c>
      <c r="O2118" s="1"/>
      <c r="P2118" s="1" t="s">
        <v>497</v>
      </c>
      <c r="Q2118" s="1" t="s">
        <v>23259</v>
      </c>
      <c r="R2118" s="1" t="s">
        <v>23260</v>
      </c>
      <c r="S2118" s="1">
        <v>9890631803</v>
      </c>
      <c r="T2118" s="1" t="s">
        <v>122</v>
      </c>
      <c r="U2118" s="1" t="s">
        <v>23261</v>
      </c>
      <c r="V2118" s="1">
        <v>9890631803</v>
      </c>
      <c r="W2118" s="1" t="s">
        <v>273</v>
      </c>
      <c r="X2118" s="1" t="s">
        <v>23262</v>
      </c>
      <c r="Y2118" s="1" t="s">
        <v>890</v>
      </c>
      <c r="Z2118" s="1" t="s">
        <v>92</v>
      </c>
      <c r="AA2118" s="1" t="s">
        <v>23262</v>
      </c>
      <c r="AB2118" s="1" t="s">
        <v>890</v>
      </c>
      <c r="AC2118" s="1" t="s">
        <v>92</v>
      </c>
      <c r="AD2118" s="1">
        <v>8.28</v>
      </c>
      <c r="AE2118" s="1" t="s">
        <v>93</v>
      </c>
      <c r="AF2118" s="1" t="s">
        <v>23263</v>
      </c>
      <c r="AG2118" s="1" t="s">
        <v>975</v>
      </c>
      <c r="AH2118" s="1" t="s">
        <v>481</v>
      </c>
      <c r="AI2118" s="1" t="s">
        <v>409</v>
      </c>
      <c r="AJ2118" s="1">
        <v>75.6</v>
      </c>
      <c r="AK2118" s="1">
        <v>0</v>
      </c>
      <c r="AL2118" s="1" t="s">
        <v>23264</v>
      </c>
      <c r="AM2118" s="1" t="s">
        <v>5124</v>
      </c>
      <c r="AN2118" s="1" t="s">
        <v>956</v>
      </c>
      <c r="AO2118" s="1" t="s">
        <v>826</v>
      </c>
      <c r="AP2118" s="1">
        <v>81.83</v>
      </c>
      <c r="AQ2118" s="1">
        <v>0</v>
      </c>
      <c r="AR2118" s="1"/>
      <c r="AS2118" s="1"/>
      <c r="AT2118" s="1"/>
      <c r="AU2118" s="1"/>
      <c r="AV2118" s="1"/>
      <c r="AW2118" s="1"/>
      <c r="AX2118" s="1" t="s">
        <v>361</v>
      </c>
      <c r="AY2118" s="1" t="s">
        <v>23265</v>
      </c>
      <c r="AZ2118" s="1" t="s">
        <v>436</v>
      </c>
      <c r="BA2118" s="1" t="s">
        <v>543</v>
      </c>
      <c r="BB2118" s="1">
        <v>68.7</v>
      </c>
      <c r="BC2118" s="1">
        <v>7.62</v>
      </c>
      <c r="BD2118" s="1"/>
      <c r="BE2118" s="1"/>
      <c r="BF2118" s="1"/>
      <c r="BG2118" s="1"/>
      <c r="BH2118" s="1"/>
      <c r="BI2118" s="1"/>
      <c r="BJ2118" s="1" t="s">
        <v>23266</v>
      </c>
      <c r="BK2118" s="1"/>
      <c r="BL2118" s="1"/>
      <c r="BM2118" s="1" t="s">
        <v>23267</v>
      </c>
      <c r="BN2118" s="1">
        <v>11</v>
      </c>
      <c r="BO2118" s="1"/>
      <c r="BP2118" s="1" t="str">
        <f>HYPERLINK("https://nconnect.nicmar.ac.in/storage/profile/ProfilePhoto_P25701097_691845.jpg","Download")</f>
        <v>0</v>
      </c>
      <c r="BQ2118" s="3"/>
      <c r="BR2118" s="3"/>
    </row>
    <row r="2119" spans="1:70">
      <c r="A2119" s="1" t="s">
        <v>21304</v>
      </c>
      <c r="B2119" s="1" t="s">
        <v>441</v>
      </c>
      <c r="C2119" s="1" t="s">
        <v>23268</v>
      </c>
      <c r="D2119" s="1" t="s">
        <v>23269</v>
      </c>
      <c r="E2119" s="1" t="s">
        <v>5755</v>
      </c>
      <c r="F2119" s="1" t="s">
        <v>23270</v>
      </c>
      <c r="G2119" s="1" t="s">
        <v>23271</v>
      </c>
      <c r="H2119" s="1" t="s">
        <v>23272</v>
      </c>
      <c r="I2119" s="1" t="s">
        <v>23273</v>
      </c>
      <c r="J2119" s="1">
        <v>9152324205</v>
      </c>
      <c r="K2119" s="1" t="s">
        <v>148</v>
      </c>
      <c r="L2119" s="1" t="s">
        <v>23274</v>
      </c>
      <c r="M2119" s="1" t="s">
        <v>81</v>
      </c>
      <c r="N2119" s="1" t="s">
        <v>13053</v>
      </c>
      <c r="O2119" s="1"/>
      <c r="P2119" s="1" t="s">
        <v>1007</v>
      </c>
      <c r="Q2119" s="1" t="s">
        <v>23275</v>
      </c>
      <c r="R2119" s="1" t="s">
        <v>5755</v>
      </c>
      <c r="S2119" s="1">
        <v>9819448052</v>
      </c>
      <c r="T2119" s="1" t="s">
        <v>3915</v>
      </c>
      <c r="U2119" s="1" t="s">
        <v>23276</v>
      </c>
      <c r="V2119" s="1">
        <v>9819448052</v>
      </c>
      <c r="W2119" s="1" t="s">
        <v>156</v>
      </c>
      <c r="X2119" s="1" t="s">
        <v>23277</v>
      </c>
      <c r="Y2119" s="1" t="s">
        <v>1857</v>
      </c>
      <c r="Z2119" s="1" t="s">
        <v>92</v>
      </c>
      <c r="AA2119" s="1" t="s">
        <v>23277</v>
      </c>
      <c r="AB2119" s="1" t="s">
        <v>1857</v>
      </c>
      <c r="AC2119" s="1" t="s">
        <v>92</v>
      </c>
      <c r="AD2119" s="1">
        <v>9.19</v>
      </c>
      <c r="AE2119" s="1" t="s">
        <v>93</v>
      </c>
      <c r="AF2119" s="1" t="s">
        <v>23278</v>
      </c>
      <c r="AG2119" s="1" t="s">
        <v>4335</v>
      </c>
      <c r="AH2119" s="1" t="s">
        <v>1190</v>
      </c>
      <c r="AI2119" s="1" t="s">
        <v>505</v>
      </c>
      <c r="AJ2119" s="1">
        <v>93</v>
      </c>
      <c r="AK2119" s="1">
        <v>0</v>
      </c>
      <c r="AL2119" s="1" t="s">
        <v>23279</v>
      </c>
      <c r="AM2119" s="1" t="s">
        <v>4335</v>
      </c>
      <c r="AN2119" s="1" t="s">
        <v>161</v>
      </c>
      <c r="AO2119" s="1" t="s">
        <v>507</v>
      </c>
      <c r="AP2119" s="1">
        <v>82.31</v>
      </c>
      <c r="AQ2119" s="1">
        <v>0</v>
      </c>
      <c r="AR2119" s="1"/>
      <c r="AS2119" s="1"/>
      <c r="AT2119" s="1"/>
      <c r="AU2119" s="1"/>
      <c r="AV2119" s="1"/>
      <c r="AW2119" s="1"/>
      <c r="AX2119" s="1" t="s">
        <v>666</v>
      </c>
      <c r="AY2119" s="1" t="s">
        <v>23280</v>
      </c>
      <c r="AZ2119" s="1" t="s">
        <v>162</v>
      </c>
      <c r="BA2119" s="1" t="s">
        <v>828</v>
      </c>
      <c r="BB2119" s="1">
        <v>67.72</v>
      </c>
      <c r="BC2119" s="1">
        <v>7.78</v>
      </c>
      <c r="BD2119" s="1"/>
      <c r="BE2119" s="1"/>
      <c r="BF2119" s="1"/>
      <c r="BG2119" s="1"/>
      <c r="BH2119" s="1"/>
      <c r="BI2119" s="1"/>
      <c r="BJ2119" s="1" t="s">
        <v>364</v>
      </c>
      <c r="BK2119" s="1" t="s">
        <v>23281</v>
      </c>
      <c r="BL2119" s="1" t="s">
        <v>3444</v>
      </c>
      <c r="BM2119" s="1" t="s">
        <v>23282</v>
      </c>
      <c r="BN2119" s="1">
        <v>27</v>
      </c>
      <c r="BO2119" s="1" t="s">
        <v>23283</v>
      </c>
      <c r="BP2119" s="1" t="str">
        <f>HYPERLINK("https://nconnect.nicmar.ac.in/storage/profile/ProfilePhoto_P25701098_726394.jpg","Download")</f>
        <v>0</v>
      </c>
      <c r="BQ2119" s="3"/>
      <c r="BR2119" s="3"/>
    </row>
    <row r="2120" spans="1:70">
      <c r="A2120" s="1" t="s">
        <v>21304</v>
      </c>
      <c r="B2120" s="1" t="s">
        <v>441</v>
      </c>
      <c r="C2120" s="1" t="s">
        <v>23284</v>
      </c>
      <c r="D2120" s="1" t="s">
        <v>1502</v>
      </c>
      <c r="E2120" s="1" t="s">
        <v>8021</v>
      </c>
      <c r="F2120" s="1" t="s">
        <v>18545</v>
      </c>
      <c r="G2120" s="1" t="s">
        <v>23285</v>
      </c>
      <c r="H2120" s="1" t="s">
        <v>23286</v>
      </c>
      <c r="I2120" s="1" t="s">
        <v>23287</v>
      </c>
      <c r="J2120" s="1">
        <v>9405938803</v>
      </c>
      <c r="K2120" s="1" t="s">
        <v>79</v>
      </c>
      <c r="L2120" s="1" t="s">
        <v>3241</v>
      </c>
      <c r="M2120" s="1" t="s">
        <v>81</v>
      </c>
      <c r="N2120" s="1" t="s">
        <v>1140</v>
      </c>
      <c r="O2120" s="1"/>
      <c r="P2120" s="1" t="s">
        <v>1007</v>
      </c>
      <c r="Q2120" s="1" t="s">
        <v>23288</v>
      </c>
      <c r="R2120" s="1" t="s">
        <v>23289</v>
      </c>
      <c r="S2120" s="1">
        <v>9822658872</v>
      </c>
      <c r="T2120" s="1" t="s">
        <v>4780</v>
      </c>
      <c r="U2120" s="1" t="s">
        <v>23290</v>
      </c>
      <c r="V2120" s="1">
        <v>9404464961</v>
      </c>
      <c r="W2120" s="1" t="s">
        <v>4780</v>
      </c>
      <c r="X2120" s="1" t="s">
        <v>23291</v>
      </c>
      <c r="Y2120" s="1" t="s">
        <v>191</v>
      </c>
      <c r="Z2120" s="1" t="s">
        <v>92</v>
      </c>
      <c r="AA2120" s="1" t="s">
        <v>23292</v>
      </c>
      <c r="AB2120" s="1" t="s">
        <v>5034</v>
      </c>
      <c r="AC2120" s="1" t="s">
        <v>92</v>
      </c>
      <c r="AD2120" s="1">
        <v>8.43</v>
      </c>
      <c r="AE2120" s="1" t="s">
        <v>93</v>
      </c>
      <c r="AF2120" s="1" t="s">
        <v>23293</v>
      </c>
      <c r="AG2120" s="1" t="s">
        <v>975</v>
      </c>
      <c r="AH2120" s="1" t="s">
        <v>279</v>
      </c>
      <c r="AI2120" s="1" t="s">
        <v>195</v>
      </c>
      <c r="AJ2120" s="1">
        <v>88</v>
      </c>
      <c r="AK2120" s="1"/>
      <c r="AL2120" s="1" t="s">
        <v>23294</v>
      </c>
      <c r="AM2120" s="1" t="s">
        <v>975</v>
      </c>
      <c r="AN2120" s="1" t="s">
        <v>281</v>
      </c>
      <c r="AO2120" s="1" t="s">
        <v>198</v>
      </c>
      <c r="AP2120" s="1">
        <v>60.62</v>
      </c>
      <c r="AQ2120" s="1"/>
      <c r="AR2120" s="1"/>
      <c r="AS2120" s="1"/>
      <c r="AT2120" s="1"/>
      <c r="AU2120" s="1"/>
      <c r="AV2120" s="1"/>
      <c r="AW2120" s="1"/>
      <c r="AX2120" s="1" t="s">
        <v>2255</v>
      </c>
      <c r="AY2120" s="1" t="s">
        <v>23295</v>
      </c>
      <c r="AZ2120" s="1" t="s">
        <v>201</v>
      </c>
      <c r="BA2120" s="1" t="s">
        <v>935</v>
      </c>
      <c r="BB2120" s="1">
        <v>79</v>
      </c>
      <c r="BC2120" s="1">
        <v>8.25</v>
      </c>
      <c r="BD2120" s="1"/>
      <c r="BE2120" s="1"/>
      <c r="BF2120" s="1"/>
      <c r="BG2120" s="1"/>
      <c r="BH2120" s="1"/>
      <c r="BI2120" s="1"/>
      <c r="BJ2120" s="1" t="s">
        <v>23296</v>
      </c>
      <c r="BK2120" s="1" t="s">
        <v>23297</v>
      </c>
      <c r="BL2120" s="1" t="s">
        <v>4165</v>
      </c>
      <c r="BM2120" s="1" t="s">
        <v>23298</v>
      </c>
      <c r="BN2120" s="1">
        <v>8</v>
      </c>
      <c r="BO2120" s="1" t="s">
        <v>23299</v>
      </c>
      <c r="BP2120" s="1" t="str">
        <f>HYPERLINK("https://nconnect.nicmar.ac.in/storage/profile/ProfilePhoto_P25701099_675183.jpg","Download")</f>
        <v>0</v>
      </c>
      <c r="BQ2120" s="3"/>
      <c r="BR2120" s="3"/>
    </row>
    <row r="2121" spans="1:70">
      <c r="A2121" s="1" t="s">
        <v>21304</v>
      </c>
      <c r="B2121" s="1" t="s">
        <v>441</v>
      </c>
      <c r="C2121" s="1" t="s">
        <v>23300</v>
      </c>
      <c r="D2121" s="1" t="s">
        <v>5045</v>
      </c>
      <c r="E2121" s="1"/>
      <c r="F2121" s="1" t="s">
        <v>23301</v>
      </c>
      <c r="G2121" s="1" t="s">
        <v>23302</v>
      </c>
      <c r="H2121" s="1" t="s">
        <v>23303</v>
      </c>
      <c r="I2121" s="1" t="s">
        <v>23304</v>
      </c>
      <c r="J2121" s="1">
        <v>8744008487</v>
      </c>
      <c r="K2121" s="1" t="s">
        <v>148</v>
      </c>
      <c r="L2121" s="1" t="s">
        <v>23305</v>
      </c>
      <c r="M2121" s="1" t="s">
        <v>81</v>
      </c>
      <c r="N2121" s="1" t="s">
        <v>1079</v>
      </c>
      <c r="O2121" s="1" t="s">
        <v>23306</v>
      </c>
      <c r="P2121" s="1" t="s">
        <v>497</v>
      </c>
      <c r="Q2121" s="1" t="s">
        <v>23307</v>
      </c>
      <c r="R2121" s="1" t="s">
        <v>23308</v>
      </c>
      <c r="S2121" s="1">
        <v>8527696836</v>
      </c>
      <c r="T2121" s="1" t="s">
        <v>3915</v>
      </c>
      <c r="U2121" s="1" t="s">
        <v>23309</v>
      </c>
      <c r="V2121" s="1">
        <v>9811513381</v>
      </c>
      <c r="W2121" s="1" t="s">
        <v>89</v>
      </c>
      <c r="X2121" s="1" t="s">
        <v>23310</v>
      </c>
      <c r="Y2121" s="1" t="s">
        <v>22418</v>
      </c>
      <c r="Z2121" s="1" t="s">
        <v>1714</v>
      </c>
      <c r="AA2121" s="1" t="s">
        <v>23310</v>
      </c>
      <c r="AB2121" s="1" t="s">
        <v>22418</v>
      </c>
      <c r="AC2121" s="1" t="s">
        <v>1714</v>
      </c>
      <c r="AD2121" s="1">
        <v>9.11</v>
      </c>
      <c r="AE2121" s="1" t="s">
        <v>93</v>
      </c>
      <c r="AF2121" s="1" t="s">
        <v>23311</v>
      </c>
      <c r="AG2121" s="1" t="s">
        <v>9038</v>
      </c>
      <c r="AH2121" s="1" t="s">
        <v>1088</v>
      </c>
      <c r="AI2121" s="1" t="s">
        <v>1089</v>
      </c>
      <c r="AJ2121" s="1">
        <v>95</v>
      </c>
      <c r="AK2121" s="1">
        <v>10</v>
      </c>
      <c r="AL2121" s="1" t="s">
        <v>23311</v>
      </c>
      <c r="AM2121" s="1" t="s">
        <v>9038</v>
      </c>
      <c r="AN2121" s="1" t="s">
        <v>689</v>
      </c>
      <c r="AO2121" s="1" t="s">
        <v>281</v>
      </c>
      <c r="AP2121" s="1">
        <v>91.2</v>
      </c>
      <c r="AQ2121" s="1">
        <v>0</v>
      </c>
      <c r="AR2121" s="1"/>
      <c r="AS2121" s="1"/>
      <c r="AT2121" s="1"/>
      <c r="AU2121" s="1"/>
      <c r="AV2121" s="1"/>
      <c r="AW2121" s="1"/>
      <c r="AX2121" s="1" t="s">
        <v>2545</v>
      </c>
      <c r="AY2121" s="1" t="s">
        <v>23312</v>
      </c>
      <c r="AZ2121" s="1" t="s">
        <v>1043</v>
      </c>
      <c r="BA2121" s="1" t="s">
        <v>619</v>
      </c>
      <c r="BB2121" s="1">
        <v>84.3</v>
      </c>
      <c r="BC2121" s="1">
        <v>8.43</v>
      </c>
      <c r="BD2121" s="1"/>
      <c r="BE2121" s="1"/>
      <c r="BF2121" s="1"/>
      <c r="BG2121" s="1"/>
      <c r="BH2121" s="1"/>
      <c r="BI2121" s="1"/>
      <c r="BJ2121" s="1" t="s">
        <v>23313</v>
      </c>
      <c r="BK2121" s="1" t="s">
        <v>23314</v>
      </c>
      <c r="BL2121" s="1" t="s">
        <v>340</v>
      </c>
      <c r="BM2121" s="1" t="s">
        <v>23315</v>
      </c>
      <c r="BN2121" s="1">
        <v>10</v>
      </c>
      <c r="BO2121" s="1"/>
      <c r="BP2121" s="1" t="str">
        <f>HYPERLINK("https://nconnect.nicmar.ac.in/storage/profile/ProfilePhoto_P25701100_954627.jpg","Download")</f>
        <v>0</v>
      </c>
      <c r="BQ2121" s="3"/>
      <c r="BR2121" s="3"/>
    </row>
    <row r="2122" spans="1:70">
      <c r="A2122" s="1" t="s">
        <v>21304</v>
      </c>
      <c r="B2122" s="1" t="s">
        <v>441</v>
      </c>
      <c r="C2122" s="1" t="s">
        <v>23316</v>
      </c>
      <c r="D2122" s="1" t="s">
        <v>2374</v>
      </c>
      <c r="E2122" s="1" t="s">
        <v>368</v>
      </c>
      <c r="F2122" s="1" t="s">
        <v>23317</v>
      </c>
      <c r="G2122" s="1" t="s">
        <v>23318</v>
      </c>
      <c r="H2122" s="1" t="s">
        <v>23319</v>
      </c>
      <c r="I2122" s="1" t="s">
        <v>23320</v>
      </c>
      <c r="J2122" s="1">
        <v>8693861231</v>
      </c>
      <c r="K2122" s="1" t="s">
        <v>79</v>
      </c>
      <c r="L2122" s="1" t="s">
        <v>23321</v>
      </c>
      <c r="M2122" s="1" t="s">
        <v>81</v>
      </c>
      <c r="N2122" s="1" t="s">
        <v>751</v>
      </c>
      <c r="O2122" s="1"/>
      <c r="P2122" s="1" t="s">
        <v>497</v>
      </c>
      <c r="Q2122" s="1" t="s">
        <v>23322</v>
      </c>
      <c r="R2122" s="1" t="s">
        <v>23323</v>
      </c>
      <c r="S2122" s="1">
        <v>9833531682</v>
      </c>
      <c r="T2122" s="1" t="s">
        <v>6725</v>
      </c>
      <c r="U2122" s="1" t="s">
        <v>23324</v>
      </c>
      <c r="V2122" s="1">
        <v>9833545101</v>
      </c>
      <c r="W2122" s="1" t="s">
        <v>531</v>
      </c>
      <c r="X2122" s="1" t="s">
        <v>23325</v>
      </c>
      <c r="Y2122" s="1" t="s">
        <v>991</v>
      </c>
      <c r="Z2122" s="1" t="s">
        <v>92</v>
      </c>
      <c r="AA2122" s="1" t="s">
        <v>23325</v>
      </c>
      <c r="AB2122" s="1" t="s">
        <v>991</v>
      </c>
      <c r="AC2122" s="1" t="s">
        <v>92</v>
      </c>
      <c r="AD2122" s="1" t="s">
        <v>93</v>
      </c>
      <c r="AE2122" s="1" t="s">
        <v>93</v>
      </c>
      <c r="AF2122" s="1" t="s">
        <v>23326</v>
      </c>
      <c r="AG2122" s="1" t="s">
        <v>3071</v>
      </c>
      <c r="AH2122" s="1" t="s">
        <v>162</v>
      </c>
      <c r="AI2122" s="1" t="s">
        <v>195</v>
      </c>
      <c r="AJ2122" s="1">
        <v>76.8</v>
      </c>
      <c r="AK2122" s="1">
        <v>0</v>
      </c>
      <c r="AL2122" s="1"/>
      <c r="AM2122" s="1"/>
      <c r="AN2122" s="1"/>
      <c r="AO2122" s="1"/>
      <c r="AP2122" s="1"/>
      <c r="AQ2122" s="1"/>
      <c r="AR2122" s="1" t="s">
        <v>98</v>
      </c>
      <c r="AS2122" s="1" t="s">
        <v>23327</v>
      </c>
      <c r="AT2122" s="1" t="s">
        <v>383</v>
      </c>
      <c r="AU2122" s="1" t="s">
        <v>956</v>
      </c>
      <c r="AV2122" s="1">
        <v>70.68</v>
      </c>
      <c r="AW2122" s="1">
        <v>0</v>
      </c>
      <c r="AX2122" s="1" t="s">
        <v>253</v>
      </c>
      <c r="AY2122" s="1" t="s">
        <v>23328</v>
      </c>
      <c r="AZ2122" s="1" t="s">
        <v>1019</v>
      </c>
      <c r="BA2122" s="1" t="s">
        <v>1219</v>
      </c>
      <c r="BB2122" s="1">
        <v>67.18</v>
      </c>
      <c r="BC2122" s="1">
        <v>7.54</v>
      </c>
      <c r="BD2122" s="1"/>
      <c r="BE2122" s="1"/>
      <c r="BF2122" s="1"/>
      <c r="BG2122" s="1"/>
      <c r="BH2122" s="1"/>
      <c r="BI2122" s="1"/>
      <c r="BJ2122" s="1" t="s">
        <v>1801</v>
      </c>
      <c r="BK2122" s="1" t="s">
        <v>23329</v>
      </c>
      <c r="BL2122" s="1" t="s">
        <v>7635</v>
      </c>
      <c r="BM2122" s="1" t="s">
        <v>23330</v>
      </c>
      <c r="BN2122" s="1">
        <v>14</v>
      </c>
      <c r="BO2122" s="1" t="s">
        <v>23331</v>
      </c>
      <c r="BP2122" s="1" t="str">
        <f>HYPERLINK("https://nconnect.nicmar.ac.in/storage/profile/ProfilePhoto_P25701101_637518.jpg","Download")</f>
        <v>0</v>
      </c>
      <c r="BQ2122" s="3"/>
      <c r="BR2122" s="3"/>
    </row>
    <row r="2123" spans="1:70">
      <c r="A2123" s="1" t="s">
        <v>21304</v>
      </c>
      <c r="B2123" s="1" t="s">
        <v>441</v>
      </c>
      <c r="C2123" s="1" t="s">
        <v>23332</v>
      </c>
      <c r="D2123" s="1" t="s">
        <v>3684</v>
      </c>
      <c r="E2123" s="1" t="s">
        <v>7626</v>
      </c>
      <c r="F2123" s="1" t="s">
        <v>23333</v>
      </c>
      <c r="G2123" s="1" t="s">
        <v>23334</v>
      </c>
      <c r="H2123" s="1" t="s">
        <v>23335</v>
      </c>
      <c r="I2123" s="1" t="s">
        <v>23336</v>
      </c>
      <c r="J2123" s="1">
        <v>7218656369</v>
      </c>
      <c r="K2123" s="1" t="s">
        <v>79</v>
      </c>
      <c r="L2123" s="1" t="s">
        <v>23337</v>
      </c>
      <c r="M2123" s="1" t="s">
        <v>81</v>
      </c>
      <c r="N2123" s="1" t="s">
        <v>23338</v>
      </c>
      <c r="O2123" s="1" t="s">
        <v>23339</v>
      </c>
      <c r="P2123" s="1" t="s">
        <v>1007</v>
      </c>
      <c r="Q2123" s="1" t="s">
        <v>23340</v>
      </c>
      <c r="R2123" s="1" t="s">
        <v>23341</v>
      </c>
      <c r="S2123" s="1">
        <v>9922404837</v>
      </c>
      <c r="T2123" s="1" t="s">
        <v>820</v>
      </c>
      <c r="U2123" s="1" t="s">
        <v>23342</v>
      </c>
      <c r="V2123" s="1">
        <v>8669241127</v>
      </c>
      <c r="W2123" s="1" t="s">
        <v>273</v>
      </c>
      <c r="X2123" s="1" t="s">
        <v>23343</v>
      </c>
      <c r="Y2123" s="1" t="s">
        <v>191</v>
      </c>
      <c r="Z2123" s="1" t="s">
        <v>92</v>
      </c>
      <c r="AA2123" s="1" t="s">
        <v>23343</v>
      </c>
      <c r="AB2123" s="1" t="s">
        <v>191</v>
      </c>
      <c r="AC2123" s="1" t="s">
        <v>92</v>
      </c>
      <c r="AD2123" s="1" t="s">
        <v>93</v>
      </c>
      <c r="AE2123" s="1" t="s">
        <v>93</v>
      </c>
      <c r="AF2123" s="1" t="s">
        <v>23344</v>
      </c>
      <c r="AG2123" s="1" t="s">
        <v>3677</v>
      </c>
      <c r="AH2123" s="1" t="s">
        <v>97</v>
      </c>
      <c r="AI2123" s="1" t="s">
        <v>1089</v>
      </c>
      <c r="AJ2123" s="1">
        <v>80.6</v>
      </c>
      <c r="AK2123" s="1">
        <v>0</v>
      </c>
      <c r="AL2123" s="1" t="s">
        <v>23345</v>
      </c>
      <c r="AM2123" s="1" t="s">
        <v>3677</v>
      </c>
      <c r="AN2123" s="1" t="s">
        <v>134</v>
      </c>
      <c r="AO2123" s="1" t="s">
        <v>166</v>
      </c>
      <c r="AP2123" s="1">
        <v>61.23</v>
      </c>
      <c r="AQ2123" s="1">
        <v>0</v>
      </c>
      <c r="AR2123" s="1"/>
      <c r="AS2123" s="1"/>
      <c r="AT2123" s="1"/>
      <c r="AU2123" s="1"/>
      <c r="AV2123" s="1"/>
      <c r="AW2123" s="1"/>
      <c r="AX2123" s="1" t="s">
        <v>361</v>
      </c>
      <c r="AY2123" s="1" t="s">
        <v>23346</v>
      </c>
      <c r="AZ2123" s="1" t="s">
        <v>101</v>
      </c>
      <c r="BA2123" s="1" t="s">
        <v>566</v>
      </c>
      <c r="BB2123" s="1">
        <v>79.36</v>
      </c>
      <c r="BC2123" s="1">
        <v>8.68</v>
      </c>
      <c r="BD2123" s="1"/>
      <c r="BE2123" s="1"/>
      <c r="BF2123" s="1"/>
      <c r="BG2123" s="1"/>
      <c r="BH2123" s="1"/>
      <c r="BI2123" s="1"/>
      <c r="BJ2123" s="1" t="s">
        <v>23347</v>
      </c>
      <c r="BK2123" s="1" t="s">
        <v>23348</v>
      </c>
      <c r="BL2123" s="1" t="s">
        <v>4165</v>
      </c>
      <c r="BM2123" s="1" t="s">
        <v>23349</v>
      </c>
      <c r="BN2123" s="1">
        <v>38</v>
      </c>
      <c r="BO2123" s="1"/>
      <c r="BP2123" s="1" t="str">
        <f>HYPERLINK("https://nconnect.nicmar.ac.in/storage/profile/ProfilePhoto_P25701102_496235.jpg","Download")</f>
        <v>0</v>
      </c>
      <c r="BQ2123" s="3"/>
      <c r="BR2123" s="3"/>
    </row>
    <row r="2124" spans="1:70">
      <c r="A2124" s="1" t="s">
        <v>21304</v>
      </c>
      <c r="B2124" s="1" t="s">
        <v>441</v>
      </c>
      <c r="C2124" s="1" t="s">
        <v>23350</v>
      </c>
      <c r="D2124" s="1" t="s">
        <v>23351</v>
      </c>
      <c r="E2124" s="1"/>
      <c r="F2124" s="1" t="s">
        <v>9315</v>
      </c>
      <c r="G2124" s="1" t="s">
        <v>23352</v>
      </c>
      <c r="H2124" s="1" t="s">
        <v>23353</v>
      </c>
      <c r="I2124" s="1" t="s">
        <v>23354</v>
      </c>
      <c r="J2124" s="1">
        <v>8075609422</v>
      </c>
      <c r="K2124" s="1" t="s">
        <v>148</v>
      </c>
      <c r="L2124" s="1" t="s">
        <v>6140</v>
      </c>
      <c r="M2124" s="1" t="s">
        <v>81</v>
      </c>
      <c r="N2124" s="1" t="s">
        <v>23355</v>
      </c>
      <c r="O2124" s="1"/>
      <c r="P2124" s="1" t="s">
        <v>497</v>
      </c>
      <c r="Q2124" s="1" t="s">
        <v>23356</v>
      </c>
      <c r="R2124" s="1" t="s">
        <v>23357</v>
      </c>
      <c r="S2124" s="1">
        <v>9895392174</v>
      </c>
      <c r="T2124" s="1" t="s">
        <v>23358</v>
      </c>
      <c r="U2124" s="1" t="s">
        <v>23359</v>
      </c>
      <c r="V2124" s="1">
        <v>9497780012</v>
      </c>
      <c r="W2124" s="1" t="s">
        <v>23360</v>
      </c>
      <c r="X2124" s="1" t="s">
        <v>23361</v>
      </c>
      <c r="Y2124" s="1" t="s">
        <v>5317</v>
      </c>
      <c r="Z2124" s="1" t="s">
        <v>125</v>
      </c>
      <c r="AA2124" s="1" t="s">
        <v>23361</v>
      </c>
      <c r="AB2124" s="1" t="s">
        <v>5317</v>
      </c>
      <c r="AC2124" s="1" t="s">
        <v>125</v>
      </c>
      <c r="AD2124" s="1">
        <v>8.79</v>
      </c>
      <c r="AE2124" s="1" t="s">
        <v>93</v>
      </c>
      <c r="AF2124" s="1" t="s">
        <v>23362</v>
      </c>
      <c r="AG2124" s="1" t="s">
        <v>22384</v>
      </c>
      <c r="AH2124" s="1" t="s">
        <v>829</v>
      </c>
      <c r="AI2124" s="1" t="s">
        <v>308</v>
      </c>
      <c r="AJ2124" s="1">
        <v>93.8</v>
      </c>
      <c r="AK2124" s="1"/>
      <c r="AL2124" s="1" t="s">
        <v>23363</v>
      </c>
      <c r="AM2124" s="1" t="s">
        <v>22384</v>
      </c>
      <c r="AN2124" s="1" t="s">
        <v>460</v>
      </c>
      <c r="AO2124" s="1" t="s">
        <v>539</v>
      </c>
      <c r="AP2124" s="1">
        <v>94.2</v>
      </c>
      <c r="AQ2124" s="1"/>
      <c r="AR2124" s="1"/>
      <c r="AS2124" s="1"/>
      <c r="AT2124" s="1"/>
      <c r="AU2124" s="1"/>
      <c r="AV2124" s="1"/>
      <c r="AW2124" s="1"/>
      <c r="AX2124" s="1" t="s">
        <v>132</v>
      </c>
      <c r="AY2124" s="1" t="s">
        <v>23364</v>
      </c>
      <c r="AZ2124" s="1" t="s">
        <v>135</v>
      </c>
      <c r="BA2124" s="1" t="s">
        <v>594</v>
      </c>
      <c r="BB2124" s="1">
        <v>81</v>
      </c>
      <c r="BC2124" s="1">
        <v>8.1</v>
      </c>
      <c r="BD2124" s="1"/>
      <c r="BE2124" s="1"/>
      <c r="BF2124" s="1"/>
      <c r="BG2124" s="1"/>
      <c r="BH2124" s="1"/>
      <c r="BI2124" s="1"/>
      <c r="BJ2124" s="1" t="s">
        <v>364</v>
      </c>
      <c r="BK2124" s="1"/>
      <c r="BL2124" s="1"/>
      <c r="BM2124" s="1" t="s">
        <v>23365</v>
      </c>
      <c r="BN2124" s="1">
        <v>14</v>
      </c>
      <c r="BO2124" s="1"/>
      <c r="BP2124" s="1" t="str">
        <f>HYPERLINK("https://nconnect.nicmar.ac.in/storage/profile/ProfilePhoto_P25701106_756483.jpg","Download")</f>
        <v>0</v>
      </c>
      <c r="BQ2124" s="3"/>
      <c r="BR2124" s="3"/>
    </row>
    <row r="2125" spans="1:70">
      <c r="A2125" s="1" t="s">
        <v>21304</v>
      </c>
      <c r="B2125" s="1" t="s">
        <v>441</v>
      </c>
      <c r="C2125" s="1" t="s">
        <v>23366</v>
      </c>
      <c r="D2125" s="1" t="s">
        <v>23367</v>
      </c>
      <c r="E2125" s="1"/>
      <c r="F2125" s="1" t="s">
        <v>3256</v>
      </c>
      <c r="G2125" s="1" t="s">
        <v>23368</v>
      </c>
      <c r="H2125" s="1" t="s">
        <v>23369</v>
      </c>
      <c r="I2125" s="1" t="s">
        <v>23370</v>
      </c>
      <c r="J2125" s="1">
        <v>8075544038</v>
      </c>
      <c r="K2125" s="1" t="s">
        <v>148</v>
      </c>
      <c r="L2125" s="1" t="s">
        <v>23371</v>
      </c>
      <c r="M2125" s="1" t="s">
        <v>81</v>
      </c>
      <c r="N2125" s="1" t="s">
        <v>1278</v>
      </c>
      <c r="O2125" s="1"/>
      <c r="P2125" s="1" t="s">
        <v>472</v>
      </c>
      <c r="Q2125" s="1" t="s">
        <v>23372</v>
      </c>
      <c r="R2125" s="1" t="s">
        <v>23373</v>
      </c>
      <c r="S2125" s="1">
        <v>9497002922</v>
      </c>
      <c r="T2125" s="1" t="s">
        <v>23374</v>
      </c>
      <c r="U2125" s="1" t="s">
        <v>23375</v>
      </c>
      <c r="V2125" s="1">
        <v>9497002921</v>
      </c>
      <c r="W2125" s="1" t="s">
        <v>23376</v>
      </c>
      <c r="X2125" s="1" t="s">
        <v>23377</v>
      </c>
      <c r="Y2125" s="1" t="s">
        <v>3209</v>
      </c>
      <c r="Z2125" s="1" t="s">
        <v>125</v>
      </c>
      <c r="AA2125" s="1" t="s">
        <v>23377</v>
      </c>
      <c r="AB2125" s="1" t="s">
        <v>3209</v>
      </c>
      <c r="AC2125" s="1" t="s">
        <v>125</v>
      </c>
      <c r="AD2125" s="1">
        <v>8.43</v>
      </c>
      <c r="AE2125" s="1" t="s">
        <v>93</v>
      </c>
      <c r="AF2125" s="1" t="s">
        <v>23378</v>
      </c>
      <c r="AG2125" s="1" t="s">
        <v>3174</v>
      </c>
      <c r="AH2125" s="1" t="s">
        <v>101</v>
      </c>
      <c r="AI2125" s="1" t="s">
        <v>308</v>
      </c>
      <c r="AJ2125" s="1">
        <v>94</v>
      </c>
      <c r="AK2125" s="1"/>
      <c r="AL2125" s="1" t="s">
        <v>23378</v>
      </c>
      <c r="AM2125" s="1" t="s">
        <v>3174</v>
      </c>
      <c r="AN2125" s="1" t="s">
        <v>460</v>
      </c>
      <c r="AO2125" s="1" t="s">
        <v>539</v>
      </c>
      <c r="AP2125" s="1">
        <v>91.8</v>
      </c>
      <c r="AQ2125" s="1"/>
      <c r="AR2125" s="1"/>
      <c r="AS2125" s="1"/>
      <c r="AT2125" s="1"/>
      <c r="AU2125" s="1"/>
      <c r="AV2125" s="1"/>
      <c r="AW2125" s="1"/>
      <c r="AX2125" s="1" t="s">
        <v>132</v>
      </c>
      <c r="AY2125" s="1" t="s">
        <v>23379</v>
      </c>
      <c r="AZ2125" s="1" t="s">
        <v>135</v>
      </c>
      <c r="BA2125" s="1" t="s">
        <v>594</v>
      </c>
      <c r="BB2125" s="1">
        <v>79</v>
      </c>
      <c r="BC2125" s="1">
        <v>7.9</v>
      </c>
      <c r="BD2125" s="1"/>
      <c r="BE2125" s="1"/>
      <c r="BF2125" s="1"/>
      <c r="BG2125" s="1"/>
      <c r="BH2125" s="1"/>
      <c r="BI2125" s="1"/>
      <c r="BJ2125" s="1" t="s">
        <v>23380</v>
      </c>
      <c r="BK2125" s="1"/>
      <c r="BL2125" s="1"/>
      <c r="BM2125" s="1" t="s">
        <v>23381</v>
      </c>
      <c r="BN2125" s="1">
        <v>15</v>
      </c>
      <c r="BO2125" s="1"/>
      <c r="BP2125" s="1" t="str">
        <f>HYPERLINK("https://nconnect.nicmar.ac.in/storage/profile/ProfilePhoto_P25701107_574683.jpg","Download")</f>
        <v>0</v>
      </c>
      <c r="BQ2125" s="3"/>
      <c r="BR2125" s="3"/>
    </row>
    <row r="2126" spans="1:70">
      <c r="A2126" s="1" t="s">
        <v>21304</v>
      </c>
      <c r="B2126" s="1" t="s">
        <v>441</v>
      </c>
      <c r="C2126" s="1" t="s">
        <v>23382</v>
      </c>
      <c r="D2126" s="1" t="s">
        <v>23383</v>
      </c>
      <c r="E2126" s="1"/>
      <c r="F2126" s="1" t="s">
        <v>8239</v>
      </c>
      <c r="G2126" s="1" t="s">
        <v>23384</v>
      </c>
      <c r="H2126" s="1" t="s">
        <v>23385</v>
      </c>
      <c r="I2126" s="1" t="s">
        <v>23386</v>
      </c>
      <c r="J2126" s="1">
        <v>9032895270</v>
      </c>
      <c r="K2126" s="1" t="s">
        <v>148</v>
      </c>
      <c r="L2126" s="1" t="s">
        <v>23387</v>
      </c>
      <c r="M2126" s="1" t="s">
        <v>81</v>
      </c>
      <c r="N2126" s="1" t="s">
        <v>23388</v>
      </c>
      <c r="O2126" s="1" t="s">
        <v>23389</v>
      </c>
      <c r="P2126" s="1" t="s">
        <v>117</v>
      </c>
      <c r="Q2126" s="1" t="s">
        <v>23390</v>
      </c>
      <c r="R2126" s="1" t="s">
        <v>23391</v>
      </c>
      <c r="S2126" s="1">
        <v>9849296415</v>
      </c>
      <c r="T2126" s="1" t="s">
        <v>632</v>
      </c>
      <c r="U2126" s="1" t="s">
        <v>23392</v>
      </c>
      <c r="V2126" s="1">
        <v>7207850120</v>
      </c>
      <c r="W2126" s="1" t="s">
        <v>89</v>
      </c>
      <c r="X2126" s="1" t="s">
        <v>23393</v>
      </c>
      <c r="Y2126" s="1" t="s">
        <v>3050</v>
      </c>
      <c r="Z2126" s="1" t="s">
        <v>456</v>
      </c>
      <c r="AA2126" s="1" t="s">
        <v>23393</v>
      </c>
      <c r="AB2126" s="1" t="s">
        <v>3050</v>
      </c>
      <c r="AC2126" s="1" t="s">
        <v>456</v>
      </c>
      <c r="AD2126" s="1">
        <v>9.57</v>
      </c>
      <c r="AE2126" s="1" t="s">
        <v>93</v>
      </c>
      <c r="AF2126" s="1" t="s">
        <v>23394</v>
      </c>
      <c r="AG2126" s="1" t="s">
        <v>307</v>
      </c>
      <c r="AH2126" s="1" t="s">
        <v>1089</v>
      </c>
      <c r="AI2126" s="1" t="s">
        <v>562</v>
      </c>
      <c r="AJ2126" s="1">
        <v>93.1</v>
      </c>
      <c r="AK2126" s="1">
        <v>9.8</v>
      </c>
      <c r="AL2126" s="1" t="s">
        <v>23394</v>
      </c>
      <c r="AM2126" s="1" t="s">
        <v>777</v>
      </c>
      <c r="AN2126" s="1" t="s">
        <v>1455</v>
      </c>
      <c r="AO2126" s="1" t="s">
        <v>308</v>
      </c>
      <c r="AP2126" s="1">
        <v>73.6</v>
      </c>
      <c r="AQ2126" s="1">
        <v>7.7</v>
      </c>
      <c r="AR2126" s="1"/>
      <c r="AS2126" s="1"/>
      <c r="AT2126" s="1"/>
      <c r="AU2126" s="1"/>
      <c r="AV2126" s="1"/>
      <c r="AW2126" s="1"/>
      <c r="AX2126" s="1" t="s">
        <v>15544</v>
      </c>
      <c r="AY2126" s="1" t="s">
        <v>15544</v>
      </c>
      <c r="AZ2126" s="1" t="s">
        <v>310</v>
      </c>
      <c r="BA2126" s="1" t="s">
        <v>1246</v>
      </c>
      <c r="BB2126" s="1">
        <v>85.01</v>
      </c>
      <c r="BC2126" s="1">
        <v>8.5</v>
      </c>
      <c r="BD2126" s="1"/>
      <c r="BE2126" s="1"/>
      <c r="BF2126" s="1"/>
      <c r="BG2126" s="1"/>
      <c r="BH2126" s="1"/>
      <c r="BI2126" s="1"/>
      <c r="BJ2126" s="1" t="s">
        <v>23395</v>
      </c>
      <c r="BK2126" s="1"/>
      <c r="BL2126" s="1"/>
      <c r="BM2126" s="1" t="s">
        <v>23396</v>
      </c>
      <c r="BN2126" s="1">
        <v>102</v>
      </c>
      <c r="BO2126" s="1" t="s">
        <v>23397</v>
      </c>
      <c r="BP2126" s="1" t="str">
        <f>HYPERLINK("https://nconnect.nicmar.ac.in/storage/profile/ProfilePhoto_P25701108_691235.jpg","Download")</f>
        <v>0</v>
      </c>
      <c r="BQ2126" s="3"/>
      <c r="BR2126" s="3"/>
    </row>
    <row r="2127" spans="1:70">
      <c r="A2127" s="1" t="s">
        <v>21304</v>
      </c>
      <c r="B2127" s="1" t="s">
        <v>441</v>
      </c>
      <c r="C2127" s="1" t="s">
        <v>23398</v>
      </c>
      <c r="D2127" s="1" t="s">
        <v>13490</v>
      </c>
      <c r="E2127" s="1" t="s">
        <v>4651</v>
      </c>
      <c r="F2127" s="1" t="s">
        <v>23399</v>
      </c>
      <c r="G2127" s="1" t="s">
        <v>23400</v>
      </c>
      <c r="H2127" s="1" t="s">
        <v>23401</v>
      </c>
      <c r="I2127" s="1" t="s">
        <v>23402</v>
      </c>
      <c r="J2127" s="1">
        <v>9175848577</v>
      </c>
      <c r="K2127" s="1" t="s">
        <v>148</v>
      </c>
      <c r="L2127" s="1" t="s">
        <v>7698</v>
      </c>
      <c r="M2127" s="1" t="s">
        <v>81</v>
      </c>
      <c r="N2127" s="1" t="s">
        <v>13053</v>
      </c>
      <c r="O2127" s="1"/>
      <c r="P2127" s="1" t="s">
        <v>497</v>
      </c>
      <c r="Q2127" s="1" t="s">
        <v>23403</v>
      </c>
      <c r="R2127" s="1" t="s">
        <v>4651</v>
      </c>
      <c r="S2127" s="1">
        <v>9850432962</v>
      </c>
      <c r="T2127" s="1" t="s">
        <v>6725</v>
      </c>
      <c r="U2127" s="1" t="s">
        <v>23404</v>
      </c>
      <c r="V2127" s="1">
        <v>9860304093</v>
      </c>
      <c r="W2127" s="1" t="s">
        <v>156</v>
      </c>
      <c r="X2127" s="1" t="s">
        <v>23405</v>
      </c>
      <c r="Y2127" s="1" t="s">
        <v>191</v>
      </c>
      <c r="Z2127" s="1" t="s">
        <v>92</v>
      </c>
      <c r="AA2127" s="1" t="s">
        <v>23405</v>
      </c>
      <c r="AB2127" s="1" t="s">
        <v>191</v>
      </c>
      <c r="AC2127" s="1" t="s">
        <v>92</v>
      </c>
      <c r="AD2127" s="1">
        <v>8.78</v>
      </c>
      <c r="AE2127" s="1" t="s">
        <v>93</v>
      </c>
      <c r="AF2127" s="1" t="s">
        <v>11808</v>
      </c>
      <c r="AG2127" s="1" t="s">
        <v>23406</v>
      </c>
      <c r="AH2127" s="1" t="s">
        <v>101</v>
      </c>
      <c r="AI2127" s="1" t="s">
        <v>409</v>
      </c>
      <c r="AJ2127" s="1">
        <v>85</v>
      </c>
      <c r="AK2127" s="1">
        <v>0</v>
      </c>
      <c r="AL2127" s="1" t="s">
        <v>10890</v>
      </c>
      <c r="AM2127" s="1" t="s">
        <v>197</v>
      </c>
      <c r="AN2127" s="1" t="s">
        <v>310</v>
      </c>
      <c r="AO2127" s="1" t="s">
        <v>1169</v>
      </c>
      <c r="AP2127" s="1">
        <v>89</v>
      </c>
      <c r="AQ2127" s="1">
        <v>0</v>
      </c>
      <c r="AR2127" s="1"/>
      <c r="AS2127" s="1"/>
      <c r="AT2127" s="1"/>
      <c r="AU2127" s="1"/>
      <c r="AV2127" s="1"/>
      <c r="AW2127" s="1"/>
      <c r="AX2127" s="1" t="s">
        <v>23407</v>
      </c>
      <c r="AY2127" s="1" t="s">
        <v>23408</v>
      </c>
      <c r="AZ2127" s="1" t="s">
        <v>436</v>
      </c>
      <c r="BA2127" s="1" t="s">
        <v>543</v>
      </c>
      <c r="BB2127" s="1">
        <v>73.15</v>
      </c>
      <c r="BC2127" s="1">
        <v>7.92</v>
      </c>
      <c r="BD2127" s="1"/>
      <c r="BE2127" s="1"/>
      <c r="BF2127" s="1"/>
      <c r="BG2127" s="1"/>
      <c r="BH2127" s="1"/>
      <c r="BI2127" s="1"/>
      <c r="BJ2127" s="1" t="s">
        <v>23409</v>
      </c>
      <c r="BK2127" s="1"/>
      <c r="BL2127" s="1"/>
      <c r="BM2127" s="1" t="s">
        <v>23410</v>
      </c>
      <c r="BN2127" s="1">
        <v>94</v>
      </c>
      <c r="BO2127" s="1"/>
      <c r="BP2127" s="1" t="str">
        <f>HYPERLINK("https://nconnect.nicmar.ac.in/storage/profile/ProfilePhoto_P25701109_872635.jpg","Download")</f>
        <v>0</v>
      </c>
      <c r="BQ2127" s="3"/>
      <c r="BR2127" s="3"/>
    </row>
    <row r="2128" spans="1:70">
      <c r="A2128" s="1" t="s">
        <v>21304</v>
      </c>
      <c r="B2128" s="1" t="s">
        <v>441</v>
      </c>
      <c r="C2128" s="1" t="s">
        <v>23411</v>
      </c>
      <c r="D2128" s="1" t="s">
        <v>9187</v>
      </c>
      <c r="E2128" s="1" t="s">
        <v>23412</v>
      </c>
      <c r="F2128" s="1" t="s">
        <v>3685</v>
      </c>
      <c r="G2128" s="1" t="s">
        <v>23413</v>
      </c>
      <c r="H2128" s="1" t="s">
        <v>23414</v>
      </c>
      <c r="I2128" s="1" t="s">
        <v>23415</v>
      </c>
      <c r="J2128" s="1">
        <v>9892289489</v>
      </c>
      <c r="K2128" s="1" t="s">
        <v>148</v>
      </c>
      <c r="L2128" s="1" t="s">
        <v>5693</v>
      </c>
      <c r="M2128" s="1" t="s">
        <v>81</v>
      </c>
      <c r="N2128" s="1" t="s">
        <v>1161</v>
      </c>
      <c r="O2128" s="1"/>
      <c r="P2128" s="1" t="s">
        <v>1007</v>
      </c>
      <c r="Q2128" s="1" t="s">
        <v>23416</v>
      </c>
      <c r="R2128" s="1" t="s">
        <v>23417</v>
      </c>
      <c r="S2128" s="1">
        <v>9284816870</v>
      </c>
      <c r="T2128" s="1" t="s">
        <v>632</v>
      </c>
      <c r="U2128" s="1" t="s">
        <v>23418</v>
      </c>
      <c r="V2128" s="1">
        <v>7020503464</v>
      </c>
      <c r="W2128" s="1" t="s">
        <v>156</v>
      </c>
      <c r="X2128" s="1" t="s">
        <v>23419</v>
      </c>
      <c r="Y2128" s="1" t="s">
        <v>1166</v>
      </c>
      <c r="Z2128" s="1" t="s">
        <v>92</v>
      </c>
      <c r="AA2128" s="1" t="s">
        <v>23419</v>
      </c>
      <c r="AB2128" s="1" t="s">
        <v>1166</v>
      </c>
      <c r="AC2128" s="1" t="s">
        <v>92</v>
      </c>
      <c r="AD2128" s="1">
        <v>9.69</v>
      </c>
      <c r="AE2128" s="1" t="s">
        <v>93</v>
      </c>
      <c r="AF2128" s="1" t="s">
        <v>23420</v>
      </c>
      <c r="AG2128" s="1" t="s">
        <v>616</v>
      </c>
      <c r="AH2128" s="1" t="s">
        <v>281</v>
      </c>
      <c r="AI2128" s="1" t="s">
        <v>409</v>
      </c>
      <c r="AJ2128" s="1">
        <v>85.2</v>
      </c>
      <c r="AK2128" s="1"/>
      <c r="AL2128" s="1" t="s">
        <v>23421</v>
      </c>
      <c r="AM2128" s="1" t="s">
        <v>616</v>
      </c>
      <c r="AN2128" s="1" t="s">
        <v>460</v>
      </c>
      <c r="AO2128" s="1" t="s">
        <v>828</v>
      </c>
      <c r="AP2128" s="1">
        <v>88</v>
      </c>
      <c r="AQ2128" s="1"/>
      <c r="AR2128" s="1"/>
      <c r="AS2128" s="1"/>
      <c r="AT2128" s="1"/>
      <c r="AU2128" s="1"/>
      <c r="AV2128" s="1"/>
      <c r="AW2128" s="1"/>
      <c r="AX2128" s="1" t="s">
        <v>253</v>
      </c>
      <c r="AY2128" s="1" t="s">
        <v>23422</v>
      </c>
      <c r="AZ2128" s="1" t="s">
        <v>852</v>
      </c>
      <c r="BA2128" s="1" t="s">
        <v>829</v>
      </c>
      <c r="BB2128" s="1">
        <v>74.4</v>
      </c>
      <c r="BC2128" s="1">
        <v>8.19</v>
      </c>
      <c r="BD2128" s="1"/>
      <c r="BE2128" s="1"/>
      <c r="BF2128" s="1"/>
      <c r="BG2128" s="1"/>
      <c r="BH2128" s="1"/>
      <c r="BI2128" s="1"/>
      <c r="BJ2128" s="1" t="s">
        <v>23423</v>
      </c>
      <c r="BK2128" s="1"/>
      <c r="BL2128" s="1"/>
      <c r="BM2128" s="1" t="s">
        <v>23424</v>
      </c>
      <c r="BN2128" s="1">
        <v>13</v>
      </c>
      <c r="BO2128" s="1"/>
      <c r="BP2128" s="1" t="str">
        <f>HYPERLINK("https://nconnect.nicmar.ac.in/storage/profile/ProfilePhoto_P25701110_927538.jpg","Download")</f>
        <v>0</v>
      </c>
      <c r="BQ2128" s="3"/>
      <c r="BR2128" s="3"/>
    </row>
    <row r="2129" spans="1:70">
      <c r="A2129" s="1" t="s">
        <v>21304</v>
      </c>
      <c r="B2129" s="1" t="s">
        <v>441</v>
      </c>
      <c r="C2129" s="1" t="s">
        <v>23425</v>
      </c>
      <c r="D2129" s="1" t="s">
        <v>23426</v>
      </c>
      <c r="E2129" s="1" t="s">
        <v>2396</v>
      </c>
      <c r="F2129" s="1" t="s">
        <v>1156</v>
      </c>
      <c r="G2129" s="1" t="s">
        <v>23427</v>
      </c>
      <c r="H2129" s="1" t="s">
        <v>23428</v>
      </c>
      <c r="I2129" s="1" t="s">
        <v>23429</v>
      </c>
      <c r="J2129" s="1">
        <v>9082014027</v>
      </c>
      <c r="K2129" s="1" t="s">
        <v>148</v>
      </c>
      <c r="L2129" s="1" t="s">
        <v>2283</v>
      </c>
      <c r="M2129" s="1" t="s">
        <v>81</v>
      </c>
      <c r="N2129" s="1" t="s">
        <v>2424</v>
      </c>
      <c r="O2129" s="1"/>
      <c r="P2129" s="1" t="s">
        <v>450</v>
      </c>
      <c r="Q2129" s="1" t="s">
        <v>23430</v>
      </c>
      <c r="R2129" s="1" t="s">
        <v>23431</v>
      </c>
      <c r="S2129" s="1">
        <v>9967435701</v>
      </c>
      <c r="T2129" s="1" t="s">
        <v>6961</v>
      </c>
      <c r="U2129" s="1" t="s">
        <v>23432</v>
      </c>
      <c r="V2129" s="1">
        <v>9967435703</v>
      </c>
      <c r="W2129" s="1" t="s">
        <v>89</v>
      </c>
      <c r="X2129" s="1" t="s">
        <v>23433</v>
      </c>
      <c r="Y2129" s="1" t="s">
        <v>2229</v>
      </c>
      <c r="Z2129" s="1" t="s">
        <v>92</v>
      </c>
      <c r="AA2129" s="1" t="s">
        <v>23433</v>
      </c>
      <c r="AB2129" s="1" t="s">
        <v>2229</v>
      </c>
      <c r="AC2129" s="1" t="s">
        <v>92</v>
      </c>
      <c r="AD2129" s="1">
        <v>9.81</v>
      </c>
      <c r="AE2129" s="1" t="s">
        <v>93</v>
      </c>
      <c r="AF2129" s="1" t="s">
        <v>23434</v>
      </c>
      <c r="AG2129" s="1" t="s">
        <v>160</v>
      </c>
      <c r="AH2129" s="1" t="s">
        <v>162</v>
      </c>
      <c r="AI2129" s="1" t="s">
        <v>195</v>
      </c>
      <c r="AJ2129" s="1">
        <v>92.8</v>
      </c>
      <c r="AK2129" s="1"/>
      <c r="AL2129" s="1" t="s">
        <v>23435</v>
      </c>
      <c r="AM2129" s="1" t="s">
        <v>160</v>
      </c>
      <c r="AN2129" s="1" t="s">
        <v>101</v>
      </c>
      <c r="AO2129" s="1" t="s">
        <v>198</v>
      </c>
      <c r="AP2129" s="1">
        <v>80.31</v>
      </c>
      <c r="AQ2129" s="1"/>
      <c r="AR2129" s="1"/>
      <c r="AS2129" s="1"/>
      <c r="AT2129" s="1"/>
      <c r="AU2129" s="1"/>
      <c r="AV2129" s="1"/>
      <c r="AW2129" s="1"/>
      <c r="AX2129" s="1" t="s">
        <v>23436</v>
      </c>
      <c r="AY2129" s="1" t="s">
        <v>23437</v>
      </c>
      <c r="AZ2129" s="1" t="s">
        <v>433</v>
      </c>
      <c r="BA2129" s="1" t="s">
        <v>1067</v>
      </c>
      <c r="BB2129" s="1">
        <v>69.28</v>
      </c>
      <c r="BC2129" s="1"/>
      <c r="BD2129" s="1"/>
      <c r="BE2129" s="1"/>
      <c r="BF2129" s="1"/>
      <c r="BG2129" s="1"/>
      <c r="BH2129" s="1"/>
      <c r="BI2129" s="1"/>
      <c r="BJ2129" s="1" t="s">
        <v>23438</v>
      </c>
      <c r="BK2129" s="1" t="s">
        <v>23439</v>
      </c>
      <c r="BL2129" s="1" t="s">
        <v>670</v>
      </c>
      <c r="BM2129" s="1" t="s">
        <v>23440</v>
      </c>
      <c r="BN2129" s="1">
        <v>21</v>
      </c>
      <c r="BO2129" s="1"/>
      <c r="BP2129" s="1" t="str">
        <f>HYPERLINK("https://nconnect.nicmar.ac.in/storage/profile/ProfilePhoto_P25701111_263478.jpg","Download")</f>
        <v>0</v>
      </c>
      <c r="BQ2129" s="3"/>
      <c r="BR2129" s="3"/>
    </row>
    <row r="2130" spans="1:70">
      <c r="A2130" s="1" t="s">
        <v>21304</v>
      </c>
      <c r="B2130" s="1" t="s">
        <v>441</v>
      </c>
      <c r="C2130" s="1" t="s">
        <v>23441</v>
      </c>
      <c r="D2130" s="1" t="s">
        <v>417</v>
      </c>
      <c r="E2130" s="1" t="s">
        <v>7747</v>
      </c>
      <c r="F2130" s="1" t="s">
        <v>4035</v>
      </c>
      <c r="G2130" s="1" t="s">
        <v>23442</v>
      </c>
      <c r="H2130" s="1" t="s">
        <v>23443</v>
      </c>
      <c r="I2130" s="1" t="s">
        <v>23444</v>
      </c>
      <c r="J2130" s="1">
        <v>9820704906</v>
      </c>
      <c r="K2130" s="1" t="s">
        <v>148</v>
      </c>
      <c r="L2130" s="1" t="s">
        <v>7083</v>
      </c>
      <c r="M2130" s="1" t="s">
        <v>81</v>
      </c>
      <c r="N2130" s="1" t="s">
        <v>12354</v>
      </c>
      <c r="O2130" s="1" t="s">
        <v>23445</v>
      </c>
      <c r="P2130" s="1" t="s">
        <v>472</v>
      </c>
      <c r="Q2130" s="1" t="s">
        <v>23446</v>
      </c>
      <c r="R2130" s="1" t="s">
        <v>7747</v>
      </c>
      <c r="S2130" s="1">
        <v>9820704106</v>
      </c>
      <c r="T2130" s="1" t="s">
        <v>906</v>
      </c>
      <c r="U2130" s="1" t="s">
        <v>23447</v>
      </c>
      <c r="V2130" s="1">
        <v>8879295836</v>
      </c>
      <c r="W2130" s="1" t="s">
        <v>23448</v>
      </c>
      <c r="X2130" s="1" t="s">
        <v>23449</v>
      </c>
      <c r="Y2130" s="1" t="s">
        <v>2229</v>
      </c>
      <c r="Z2130" s="1" t="s">
        <v>92</v>
      </c>
      <c r="AA2130" s="1" t="s">
        <v>23449</v>
      </c>
      <c r="AB2130" s="1" t="s">
        <v>2229</v>
      </c>
      <c r="AC2130" s="1" t="s">
        <v>92</v>
      </c>
      <c r="AD2130" s="1">
        <v>7.95</v>
      </c>
      <c r="AE2130" s="1" t="s">
        <v>93</v>
      </c>
      <c r="AF2130" s="1" t="s">
        <v>23450</v>
      </c>
      <c r="AG2130" s="1" t="s">
        <v>160</v>
      </c>
      <c r="AH2130" s="1" t="s">
        <v>161</v>
      </c>
      <c r="AI2130" s="1" t="s">
        <v>1089</v>
      </c>
      <c r="AJ2130" s="1">
        <v>84</v>
      </c>
      <c r="AK2130" s="1"/>
      <c r="AL2130" s="1" t="s">
        <v>23451</v>
      </c>
      <c r="AM2130" s="1" t="s">
        <v>3677</v>
      </c>
      <c r="AN2130" s="1" t="s">
        <v>165</v>
      </c>
      <c r="AO2130" s="1" t="s">
        <v>1455</v>
      </c>
      <c r="AP2130" s="1">
        <v>64.77</v>
      </c>
      <c r="AQ2130" s="1"/>
      <c r="AR2130" s="1"/>
      <c r="AS2130" s="1"/>
      <c r="AT2130" s="1"/>
      <c r="AU2130" s="1"/>
      <c r="AV2130" s="1"/>
      <c r="AW2130" s="1"/>
      <c r="AX2130" s="1" t="s">
        <v>253</v>
      </c>
      <c r="AY2130" s="1" t="s">
        <v>23452</v>
      </c>
      <c r="AZ2130" s="1" t="s">
        <v>169</v>
      </c>
      <c r="BA2130" s="1" t="s">
        <v>566</v>
      </c>
      <c r="BB2130" s="1">
        <v>67.57</v>
      </c>
      <c r="BC2130" s="1"/>
      <c r="BD2130" s="1"/>
      <c r="BE2130" s="1"/>
      <c r="BF2130" s="1"/>
      <c r="BG2130" s="1"/>
      <c r="BH2130" s="1"/>
      <c r="BI2130" s="1"/>
      <c r="BJ2130" s="1" t="s">
        <v>23453</v>
      </c>
      <c r="BK2130" s="1" t="s">
        <v>23454</v>
      </c>
      <c r="BL2130" s="1" t="s">
        <v>4165</v>
      </c>
      <c r="BM2130" s="1" t="s">
        <v>23455</v>
      </c>
      <c r="BN2130" s="1">
        <v>50</v>
      </c>
      <c r="BO2130" s="1" t="s">
        <v>23456</v>
      </c>
      <c r="BP2130" s="1" t="str">
        <f>HYPERLINK("https://nconnect.nicmar.ac.in/storage/profile/ProfilePhoto_P25701112_923457.jpg","Download")</f>
        <v>0</v>
      </c>
      <c r="BQ2130" s="3"/>
      <c r="BR2130" s="3"/>
    </row>
    <row r="2131" spans="1:70">
      <c r="A2131" s="1" t="s">
        <v>21304</v>
      </c>
      <c r="B2131" s="1" t="s">
        <v>441</v>
      </c>
      <c r="C2131" s="1" t="s">
        <v>23457</v>
      </c>
      <c r="D2131" s="1" t="s">
        <v>3179</v>
      </c>
      <c r="E2131" s="1" t="s">
        <v>23458</v>
      </c>
      <c r="F2131" s="1" t="s">
        <v>23459</v>
      </c>
      <c r="G2131" s="1" t="s">
        <v>23460</v>
      </c>
      <c r="H2131" s="1" t="s">
        <v>23461</v>
      </c>
      <c r="I2131" s="1" t="s">
        <v>23462</v>
      </c>
      <c r="J2131" s="1">
        <v>8983922594</v>
      </c>
      <c r="K2131" s="1" t="s">
        <v>148</v>
      </c>
      <c r="L2131" s="1" t="s">
        <v>4793</v>
      </c>
      <c r="M2131" s="1" t="s">
        <v>81</v>
      </c>
      <c r="N2131" s="1" t="s">
        <v>23463</v>
      </c>
      <c r="O2131" s="1"/>
      <c r="P2131" s="1" t="s">
        <v>472</v>
      </c>
      <c r="Q2131" s="1" t="s">
        <v>23464</v>
      </c>
      <c r="R2131" s="1" t="s">
        <v>23458</v>
      </c>
      <c r="S2131" s="1">
        <v>9373247991</v>
      </c>
      <c r="T2131" s="1" t="s">
        <v>14471</v>
      </c>
      <c r="U2131" s="1" t="s">
        <v>23465</v>
      </c>
      <c r="V2131" s="1">
        <v>8767071491</v>
      </c>
      <c r="W2131" s="1" t="s">
        <v>156</v>
      </c>
      <c r="X2131" s="1" t="s">
        <v>23466</v>
      </c>
      <c r="Y2131" s="1" t="s">
        <v>1754</v>
      </c>
      <c r="Z2131" s="1" t="s">
        <v>92</v>
      </c>
      <c r="AA2131" s="1" t="s">
        <v>23466</v>
      </c>
      <c r="AB2131" s="1" t="s">
        <v>1754</v>
      </c>
      <c r="AC2131" s="1" t="s">
        <v>92</v>
      </c>
      <c r="AD2131" s="1" t="s">
        <v>93</v>
      </c>
      <c r="AE2131" s="1" t="s">
        <v>93</v>
      </c>
      <c r="AF2131" s="1" t="s">
        <v>23467</v>
      </c>
      <c r="AG2131" s="1" t="s">
        <v>23468</v>
      </c>
      <c r="AH2131" s="1" t="s">
        <v>165</v>
      </c>
      <c r="AI2131" s="1" t="s">
        <v>166</v>
      </c>
      <c r="AJ2131" s="1">
        <v>86.4</v>
      </c>
      <c r="AK2131" s="1"/>
      <c r="AL2131" s="1" t="s">
        <v>23469</v>
      </c>
      <c r="AM2131" s="1" t="s">
        <v>23470</v>
      </c>
      <c r="AN2131" s="1" t="s">
        <v>433</v>
      </c>
      <c r="AO2131" s="1" t="s">
        <v>412</v>
      </c>
      <c r="AP2131" s="1">
        <v>69.38</v>
      </c>
      <c r="AQ2131" s="1"/>
      <c r="AR2131" s="1"/>
      <c r="AS2131" s="1"/>
      <c r="AT2131" s="1"/>
      <c r="AU2131" s="1"/>
      <c r="AV2131" s="1"/>
      <c r="AW2131" s="1"/>
      <c r="AX2131" s="1" t="s">
        <v>1880</v>
      </c>
      <c r="AY2131" s="1" t="s">
        <v>23471</v>
      </c>
      <c r="AZ2131" s="1" t="s">
        <v>828</v>
      </c>
      <c r="BA2131" s="1" t="s">
        <v>202</v>
      </c>
      <c r="BB2131" s="1">
        <v>72.62</v>
      </c>
      <c r="BC2131" s="1">
        <v>8.16</v>
      </c>
      <c r="BD2131" s="1"/>
      <c r="BE2131" s="1"/>
      <c r="BF2131" s="1"/>
      <c r="BG2131" s="1"/>
      <c r="BH2131" s="1"/>
      <c r="BI2131" s="1"/>
      <c r="BJ2131" s="1" t="s">
        <v>23472</v>
      </c>
      <c r="BK2131" s="1" t="s">
        <v>23473</v>
      </c>
      <c r="BL2131" s="1" t="s">
        <v>9384</v>
      </c>
      <c r="BM2131" s="1" t="s">
        <v>23474</v>
      </c>
      <c r="BN2131" s="1">
        <v>14</v>
      </c>
      <c r="BO2131" s="1" t="s">
        <v>23475</v>
      </c>
      <c r="BP2131" s="1" t="str">
        <f>HYPERLINK("https://nconnect.nicmar.ac.in/storage/profile/ProfilePhoto_P25701113_867329.jpg","Download")</f>
        <v>0</v>
      </c>
      <c r="BQ2131" s="3"/>
      <c r="BR2131" s="3"/>
    </row>
    <row r="2132" spans="1:70">
      <c r="A2132" s="1" t="s">
        <v>21304</v>
      </c>
      <c r="B2132" s="1" t="s">
        <v>441</v>
      </c>
      <c r="C2132" s="1" t="s">
        <v>23476</v>
      </c>
      <c r="D2132" s="1" t="s">
        <v>2241</v>
      </c>
      <c r="E2132" s="1" t="s">
        <v>20315</v>
      </c>
      <c r="F2132" s="1" t="s">
        <v>23477</v>
      </c>
      <c r="G2132" s="1" t="s">
        <v>23478</v>
      </c>
      <c r="H2132" s="1" t="s">
        <v>23479</v>
      </c>
      <c r="I2132" s="1" t="s">
        <v>23480</v>
      </c>
      <c r="J2132" s="1">
        <v>9096671532</v>
      </c>
      <c r="K2132" s="1" t="s">
        <v>79</v>
      </c>
      <c r="L2132" s="1" t="s">
        <v>23481</v>
      </c>
      <c r="M2132" s="1" t="s">
        <v>81</v>
      </c>
      <c r="N2132" s="1" t="s">
        <v>2424</v>
      </c>
      <c r="O2132" s="1"/>
      <c r="P2132" s="1" t="s">
        <v>450</v>
      </c>
      <c r="Q2132" s="1" t="s">
        <v>23482</v>
      </c>
      <c r="R2132" s="1" t="s">
        <v>23483</v>
      </c>
      <c r="S2132" s="1">
        <v>8459962221</v>
      </c>
      <c r="T2132" s="1" t="s">
        <v>906</v>
      </c>
      <c r="U2132" s="1" t="s">
        <v>23484</v>
      </c>
      <c r="V2132" s="1">
        <v>9175309590</v>
      </c>
      <c r="W2132" s="1" t="s">
        <v>1234</v>
      </c>
      <c r="X2132" s="1" t="s">
        <v>23485</v>
      </c>
      <c r="Y2132" s="1" t="s">
        <v>91</v>
      </c>
      <c r="Z2132" s="1" t="s">
        <v>92</v>
      </c>
      <c r="AA2132" s="1" t="s">
        <v>23485</v>
      </c>
      <c r="AB2132" s="1" t="s">
        <v>91</v>
      </c>
      <c r="AC2132" s="1" t="s">
        <v>92</v>
      </c>
      <c r="AD2132" s="1">
        <v>7.83</v>
      </c>
      <c r="AE2132" s="1" t="s">
        <v>93</v>
      </c>
      <c r="AF2132" s="1" t="s">
        <v>20367</v>
      </c>
      <c r="AG2132" s="1" t="s">
        <v>23486</v>
      </c>
      <c r="AH2132" s="1" t="s">
        <v>195</v>
      </c>
      <c r="AI2132" s="1" t="s">
        <v>281</v>
      </c>
      <c r="AJ2132" s="1">
        <v>86</v>
      </c>
      <c r="AK2132" s="1"/>
      <c r="AL2132" s="1" t="s">
        <v>23487</v>
      </c>
      <c r="AM2132" s="1" t="s">
        <v>23486</v>
      </c>
      <c r="AN2132" s="1" t="s">
        <v>433</v>
      </c>
      <c r="AO2132" s="1" t="s">
        <v>173</v>
      </c>
      <c r="AP2132" s="1">
        <v>74.92</v>
      </c>
      <c r="AQ2132" s="1"/>
      <c r="AR2132" s="1"/>
      <c r="AS2132" s="1"/>
      <c r="AT2132" s="1"/>
      <c r="AU2132" s="1"/>
      <c r="AV2132" s="1"/>
      <c r="AW2132" s="1"/>
      <c r="AX2132" s="1" t="s">
        <v>20369</v>
      </c>
      <c r="AY2132" s="1" t="s">
        <v>23488</v>
      </c>
      <c r="AZ2132" s="1" t="s">
        <v>228</v>
      </c>
      <c r="BA2132" s="1" t="s">
        <v>1067</v>
      </c>
      <c r="BB2132" s="1">
        <v>71.7</v>
      </c>
      <c r="BC2132" s="1">
        <v>7.67</v>
      </c>
      <c r="BD2132" s="1"/>
      <c r="BE2132" s="1"/>
      <c r="BF2132" s="1"/>
      <c r="BG2132" s="1"/>
      <c r="BH2132" s="1"/>
      <c r="BI2132" s="1"/>
      <c r="BJ2132" s="1" t="s">
        <v>23489</v>
      </c>
      <c r="BK2132" s="1" t="s">
        <v>23490</v>
      </c>
      <c r="BL2132" s="1" t="s">
        <v>670</v>
      </c>
      <c r="BM2132" s="1" t="s">
        <v>23491</v>
      </c>
      <c r="BN2132" s="1">
        <v>30</v>
      </c>
      <c r="BO2132" s="1" t="s">
        <v>23492</v>
      </c>
      <c r="BP2132" s="1" t="str">
        <f>HYPERLINK("https://nconnect.nicmar.ac.in/storage/profile/ProfilePhoto_P25701114_583712.jpg","Download")</f>
        <v>0</v>
      </c>
      <c r="BQ2132" s="3"/>
      <c r="BR2132" s="3"/>
    </row>
    <row r="2133" spans="1:70">
      <c r="A2133" s="1" t="s">
        <v>21304</v>
      </c>
      <c r="B2133" s="1" t="s">
        <v>441</v>
      </c>
      <c r="C2133" s="1" t="s">
        <v>23493</v>
      </c>
      <c r="D2133" s="1" t="s">
        <v>3273</v>
      </c>
      <c r="E2133" s="1"/>
      <c r="F2133" s="1" t="s">
        <v>490</v>
      </c>
      <c r="G2133" s="1" t="s">
        <v>23494</v>
      </c>
      <c r="H2133" s="1" t="s">
        <v>23495</v>
      </c>
      <c r="I2133" s="1" t="s">
        <v>23496</v>
      </c>
      <c r="J2133" s="1">
        <v>9946022220</v>
      </c>
      <c r="K2133" s="1" t="s">
        <v>148</v>
      </c>
      <c r="L2133" s="1" t="s">
        <v>23497</v>
      </c>
      <c r="M2133" s="1" t="s">
        <v>81</v>
      </c>
      <c r="N2133" s="1" t="s">
        <v>23498</v>
      </c>
      <c r="O2133" s="1"/>
      <c r="P2133" s="1" t="s">
        <v>450</v>
      </c>
      <c r="Q2133" s="1" t="s">
        <v>23499</v>
      </c>
      <c r="R2133" s="1" t="s">
        <v>23500</v>
      </c>
      <c r="S2133" s="1">
        <v>9447056861</v>
      </c>
      <c r="T2133" s="1" t="s">
        <v>820</v>
      </c>
      <c r="U2133" s="1" t="s">
        <v>23501</v>
      </c>
      <c r="V2133" s="1">
        <v>9495956861</v>
      </c>
      <c r="W2133" s="1" t="s">
        <v>2972</v>
      </c>
      <c r="X2133" s="1" t="s">
        <v>23502</v>
      </c>
      <c r="Y2133" s="1" t="s">
        <v>3209</v>
      </c>
      <c r="Z2133" s="1" t="s">
        <v>125</v>
      </c>
      <c r="AA2133" s="1" t="s">
        <v>23502</v>
      </c>
      <c r="AB2133" s="1" t="s">
        <v>3209</v>
      </c>
      <c r="AC2133" s="1" t="s">
        <v>125</v>
      </c>
      <c r="AD2133" s="1">
        <v>8.21</v>
      </c>
      <c r="AE2133" s="1" t="s">
        <v>93</v>
      </c>
      <c r="AF2133" s="1" t="s">
        <v>23503</v>
      </c>
      <c r="AG2133" s="1" t="s">
        <v>2154</v>
      </c>
      <c r="AH2133" s="1" t="s">
        <v>129</v>
      </c>
      <c r="AI2133" s="1" t="s">
        <v>1191</v>
      </c>
      <c r="AJ2133" s="1">
        <v>91.83</v>
      </c>
      <c r="AK2133" s="1"/>
      <c r="AL2133" s="1" t="s">
        <v>23503</v>
      </c>
      <c r="AM2133" s="1" t="s">
        <v>2154</v>
      </c>
      <c r="AN2133" s="1" t="s">
        <v>131</v>
      </c>
      <c r="AO2133" s="1" t="s">
        <v>614</v>
      </c>
      <c r="AP2133" s="1">
        <v>89.2</v>
      </c>
      <c r="AQ2133" s="1"/>
      <c r="AR2133" s="1"/>
      <c r="AS2133" s="1"/>
      <c r="AT2133" s="1"/>
      <c r="AU2133" s="1"/>
      <c r="AV2133" s="1"/>
      <c r="AW2133" s="1"/>
      <c r="AX2133" s="1" t="s">
        <v>132</v>
      </c>
      <c r="AY2133" s="1" t="s">
        <v>23504</v>
      </c>
      <c r="AZ2133" s="1" t="s">
        <v>1374</v>
      </c>
      <c r="BA2133" s="1" t="s">
        <v>828</v>
      </c>
      <c r="BB2133" s="1">
        <v>68.25</v>
      </c>
      <c r="BC2133" s="1">
        <v>7.22</v>
      </c>
      <c r="BD2133" s="1"/>
      <c r="BE2133" s="1"/>
      <c r="BF2133" s="1"/>
      <c r="BG2133" s="1"/>
      <c r="BH2133" s="1"/>
      <c r="BI2133" s="1"/>
      <c r="BJ2133" s="1" t="s">
        <v>23505</v>
      </c>
      <c r="BK2133" s="1" t="s">
        <v>23506</v>
      </c>
      <c r="BL2133" s="1" t="s">
        <v>17904</v>
      </c>
      <c r="BM2133" s="1" t="s">
        <v>23507</v>
      </c>
      <c r="BN2133" s="1">
        <v>32</v>
      </c>
      <c r="BO2133" s="1"/>
      <c r="BP2133" s="1" t="str">
        <f>HYPERLINK("https://nconnect.nicmar.ac.in/storage/profile/ProfilePhoto_P25701115_284369.jpg","Download")</f>
        <v>0</v>
      </c>
      <c r="BQ2133" s="3"/>
      <c r="BR2133" s="3"/>
    </row>
    <row r="2134" spans="1:70">
      <c r="A2134" s="1" t="s">
        <v>21304</v>
      </c>
      <c r="B2134" s="1" t="s">
        <v>441</v>
      </c>
      <c r="C2134" s="1" t="s">
        <v>23508</v>
      </c>
      <c r="D2134" s="1" t="s">
        <v>23509</v>
      </c>
      <c r="E2134" s="1" t="s">
        <v>23510</v>
      </c>
      <c r="F2134" s="1" t="s">
        <v>23511</v>
      </c>
      <c r="G2134" s="1" t="s">
        <v>23512</v>
      </c>
      <c r="H2134" s="1" t="s">
        <v>23513</v>
      </c>
      <c r="I2134" s="1" t="s">
        <v>23514</v>
      </c>
      <c r="J2134" s="1">
        <v>8855054441</v>
      </c>
      <c r="K2134" s="1" t="s">
        <v>148</v>
      </c>
      <c r="L2134" s="1" t="s">
        <v>3586</v>
      </c>
      <c r="M2134" s="1" t="s">
        <v>81</v>
      </c>
      <c r="N2134" s="1" t="s">
        <v>23515</v>
      </c>
      <c r="O2134" s="1"/>
      <c r="P2134" s="1" t="s">
        <v>497</v>
      </c>
      <c r="Q2134" s="1" t="s">
        <v>23516</v>
      </c>
      <c r="R2134" s="1" t="s">
        <v>23517</v>
      </c>
      <c r="S2134" s="1">
        <v>9422569447</v>
      </c>
      <c r="T2134" s="1" t="s">
        <v>632</v>
      </c>
      <c r="U2134" s="1" t="s">
        <v>23518</v>
      </c>
      <c r="V2134" s="1">
        <v>9823782374</v>
      </c>
      <c r="W2134" s="1" t="s">
        <v>122</v>
      </c>
      <c r="X2134" s="1" t="s">
        <v>23519</v>
      </c>
      <c r="Y2134" s="1" t="s">
        <v>191</v>
      </c>
      <c r="Z2134" s="1" t="s">
        <v>92</v>
      </c>
      <c r="AA2134" s="1" t="s">
        <v>23519</v>
      </c>
      <c r="AB2134" s="1" t="s">
        <v>191</v>
      </c>
      <c r="AC2134" s="1" t="s">
        <v>92</v>
      </c>
      <c r="AD2134" s="1">
        <v>7.64</v>
      </c>
      <c r="AE2134" s="1" t="s">
        <v>93</v>
      </c>
      <c r="AF2134" s="1" t="s">
        <v>23520</v>
      </c>
      <c r="AG2134" s="1" t="s">
        <v>23521</v>
      </c>
      <c r="AH2134" s="1" t="s">
        <v>195</v>
      </c>
      <c r="AI2134" s="1" t="s">
        <v>281</v>
      </c>
      <c r="AJ2134" s="1">
        <v>76</v>
      </c>
      <c r="AK2134" s="1"/>
      <c r="AL2134" s="1" t="s">
        <v>23522</v>
      </c>
      <c r="AM2134" s="1" t="s">
        <v>23521</v>
      </c>
      <c r="AN2134" s="1" t="s">
        <v>198</v>
      </c>
      <c r="AO2134" s="1" t="s">
        <v>360</v>
      </c>
      <c r="AP2134" s="1">
        <v>60</v>
      </c>
      <c r="AQ2134" s="1"/>
      <c r="AR2134" s="1"/>
      <c r="AS2134" s="1"/>
      <c r="AT2134" s="1"/>
      <c r="AU2134" s="1"/>
      <c r="AV2134" s="1"/>
      <c r="AW2134" s="1"/>
      <c r="AX2134" s="1" t="s">
        <v>23523</v>
      </c>
      <c r="AY2134" s="1" t="s">
        <v>23521</v>
      </c>
      <c r="AZ2134" s="1" t="s">
        <v>460</v>
      </c>
      <c r="BA2134" s="1" t="s">
        <v>829</v>
      </c>
      <c r="BB2134" s="1">
        <v>60.4</v>
      </c>
      <c r="BC2134" s="1">
        <v>6.79</v>
      </c>
      <c r="BD2134" s="1"/>
      <c r="BE2134" s="1"/>
      <c r="BF2134" s="1"/>
      <c r="BG2134" s="1"/>
      <c r="BH2134" s="1"/>
      <c r="BI2134" s="1"/>
      <c r="BJ2134" s="1" t="s">
        <v>23524</v>
      </c>
      <c r="BK2134" s="1"/>
      <c r="BL2134" s="1"/>
      <c r="BM2134" s="1" t="s">
        <v>23525</v>
      </c>
      <c r="BN2134" s="1">
        <v>19</v>
      </c>
      <c r="BO2134" s="1"/>
      <c r="BP2134" s="1" t="str">
        <f>HYPERLINK("https://nconnect.nicmar.ac.in/storage/profile/ProfilePhoto_P25701116_873219.jpg","Download")</f>
        <v>0</v>
      </c>
      <c r="BQ2134" s="3"/>
      <c r="BR2134" s="3"/>
    </row>
    <row r="2135" spans="1:70">
      <c r="A2135" s="1" t="s">
        <v>21304</v>
      </c>
      <c r="B2135" s="1" t="s">
        <v>441</v>
      </c>
      <c r="C2135" s="1" t="s">
        <v>23526</v>
      </c>
      <c r="D2135" s="1" t="s">
        <v>1297</v>
      </c>
      <c r="E2135" s="1" t="s">
        <v>23527</v>
      </c>
      <c r="F2135" s="1" t="s">
        <v>23528</v>
      </c>
      <c r="G2135" s="1" t="s">
        <v>23529</v>
      </c>
      <c r="H2135" s="1" t="s">
        <v>23530</v>
      </c>
      <c r="I2135" s="1" t="s">
        <v>23531</v>
      </c>
      <c r="J2135" s="1">
        <v>8788412691</v>
      </c>
      <c r="K2135" s="1" t="s">
        <v>79</v>
      </c>
      <c r="L2135" s="1" t="s">
        <v>23532</v>
      </c>
      <c r="M2135" s="1" t="s">
        <v>81</v>
      </c>
      <c r="N2135" s="1" t="s">
        <v>18814</v>
      </c>
      <c r="O2135" s="1"/>
      <c r="P2135" s="1" t="s">
        <v>472</v>
      </c>
      <c r="Q2135" s="1" t="s">
        <v>23533</v>
      </c>
      <c r="R2135" s="1" t="s">
        <v>23527</v>
      </c>
      <c r="S2135" s="1">
        <v>8788410175</v>
      </c>
      <c r="T2135" s="1" t="s">
        <v>154</v>
      </c>
      <c r="U2135" s="1" t="s">
        <v>23534</v>
      </c>
      <c r="V2135" s="1">
        <v>8830240742</v>
      </c>
      <c r="W2135" s="1" t="s">
        <v>156</v>
      </c>
      <c r="X2135" s="1" t="s">
        <v>23535</v>
      </c>
      <c r="Y2135" s="1" t="s">
        <v>191</v>
      </c>
      <c r="Z2135" s="1" t="s">
        <v>92</v>
      </c>
      <c r="AA2135" s="1" t="s">
        <v>23536</v>
      </c>
      <c r="AB2135" s="1" t="s">
        <v>1754</v>
      </c>
      <c r="AC2135" s="1" t="s">
        <v>92</v>
      </c>
      <c r="AD2135" s="1" t="s">
        <v>93</v>
      </c>
      <c r="AE2135" s="1" t="s">
        <v>93</v>
      </c>
      <c r="AF2135" s="1" t="s">
        <v>23537</v>
      </c>
      <c r="AG2135" s="1" t="s">
        <v>3071</v>
      </c>
      <c r="AH2135" s="1" t="s">
        <v>162</v>
      </c>
      <c r="AI2135" s="1" t="s">
        <v>165</v>
      </c>
      <c r="AJ2135" s="1">
        <v>69</v>
      </c>
      <c r="AK2135" s="1">
        <v>7.26</v>
      </c>
      <c r="AL2135" s="1"/>
      <c r="AM2135" s="1"/>
      <c r="AN2135" s="1"/>
      <c r="AO2135" s="1"/>
      <c r="AP2135" s="1"/>
      <c r="AQ2135" s="1"/>
      <c r="AR2135" s="1" t="s">
        <v>434</v>
      </c>
      <c r="AS2135" s="1" t="s">
        <v>23538</v>
      </c>
      <c r="AT2135" s="1" t="s">
        <v>225</v>
      </c>
      <c r="AU2135" s="1" t="s">
        <v>170</v>
      </c>
      <c r="AV2135" s="1">
        <v>75.95</v>
      </c>
      <c r="AW2135" s="1"/>
      <c r="AX2135" s="1" t="s">
        <v>19659</v>
      </c>
      <c r="AY2135" s="1" t="s">
        <v>23539</v>
      </c>
      <c r="AZ2135" s="1" t="s">
        <v>590</v>
      </c>
      <c r="BA2135" s="1" t="s">
        <v>174</v>
      </c>
      <c r="BB2135" s="1">
        <v>73</v>
      </c>
      <c r="BC2135" s="1">
        <v>7.69</v>
      </c>
      <c r="BD2135" s="1"/>
      <c r="BE2135" s="1"/>
      <c r="BF2135" s="1"/>
      <c r="BG2135" s="1"/>
      <c r="BH2135" s="1"/>
      <c r="BI2135" s="1"/>
      <c r="BJ2135" s="1" t="s">
        <v>23540</v>
      </c>
      <c r="BK2135" s="1"/>
      <c r="BL2135" s="1"/>
      <c r="BM2135" s="1"/>
      <c r="BN2135" s="1"/>
      <c r="BO2135" s="1"/>
      <c r="BP2135" s="1" t="str">
        <f>HYPERLINK("https://nconnect.nicmar.ac.in/storage/profile/ProfilePhoto_P25701117_619824.jpg","Download")</f>
        <v>0</v>
      </c>
      <c r="BQ2135" s="3"/>
      <c r="BR2135" s="3"/>
    </row>
    <row r="2136" spans="1:70">
      <c r="A2136" s="1" t="s">
        <v>21304</v>
      </c>
      <c r="B2136" s="1" t="s">
        <v>441</v>
      </c>
      <c r="C2136" s="1" t="s">
        <v>23541</v>
      </c>
      <c r="D2136" s="1" t="s">
        <v>23542</v>
      </c>
      <c r="E2136" s="1"/>
      <c r="F2136" s="1" t="s">
        <v>1358</v>
      </c>
      <c r="G2136" s="1" t="s">
        <v>23543</v>
      </c>
      <c r="H2136" s="1" t="s">
        <v>23544</v>
      </c>
      <c r="I2136" s="1" t="s">
        <v>23545</v>
      </c>
      <c r="J2136" s="1">
        <v>8250495051</v>
      </c>
      <c r="K2136" s="1" t="s">
        <v>79</v>
      </c>
      <c r="L2136" s="1" t="s">
        <v>2821</v>
      </c>
      <c r="M2136" s="1" t="s">
        <v>81</v>
      </c>
      <c r="N2136" s="1" t="s">
        <v>23546</v>
      </c>
      <c r="O2136" s="1"/>
      <c r="P2136" s="1" t="s">
        <v>497</v>
      </c>
      <c r="Q2136" s="1" t="s">
        <v>23547</v>
      </c>
      <c r="R2136" s="1" t="s">
        <v>23548</v>
      </c>
      <c r="S2136" s="1">
        <v>9775056818</v>
      </c>
      <c r="T2136" s="1" t="s">
        <v>23549</v>
      </c>
      <c r="U2136" s="1" t="s">
        <v>23550</v>
      </c>
      <c r="V2136" s="1">
        <v>7001637715</v>
      </c>
      <c r="W2136" s="1" t="s">
        <v>531</v>
      </c>
      <c r="X2136" s="1" t="s">
        <v>23551</v>
      </c>
      <c r="Y2136" s="1" t="s">
        <v>2828</v>
      </c>
      <c r="Z2136" s="1" t="s">
        <v>1211</v>
      </c>
      <c r="AA2136" s="1" t="s">
        <v>23551</v>
      </c>
      <c r="AB2136" s="1" t="s">
        <v>2828</v>
      </c>
      <c r="AC2136" s="1" t="s">
        <v>1211</v>
      </c>
      <c r="AD2136" s="1">
        <v>8.58</v>
      </c>
      <c r="AE2136" s="1" t="s">
        <v>93</v>
      </c>
      <c r="AF2136" s="1" t="s">
        <v>23552</v>
      </c>
      <c r="AG2136" s="1" t="s">
        <v>758</v>
      </c>
      <c r="AH2136" s="1" t="s">
        <v>1239</v>
      </c>
      <c r="AI2136" s="1" t="s">
        <v>131</v>
      </c>
      <c r="AJ2136" s="1">
        <v>83.6</v>
      </c>
      <c r="AK2136" s="1">
        <v>8.8</v>
      </c>
      <c r="AL2136" s="1" t="s">
        <v>23553</v>
      </c>
      <c r="AM2136" s="1" t="s">
        <v>758</v>
      </c>
      <c r="AN2136" s="1" t="s">
        <v>4244</v>
      </c>
      <c r="AO2136" s="1" t="s">
        <v>562</v>
      </c>
      <c r="AP2136" s="1">
        <v>63</v>
      </c>
      <c r="AQ2136" s="1"/>
      <c r="AR2136" s="1"/>
      <c r="AS2136" s="1"/>
      <c r="AT2136" s="1"/>
      <c r="AU2136" s="1"/>
      <c r="AV2136" s="1"/>
      <c r="AW2136" s="1"/>
      <c r="AX2136" s="1" t="s">
        <v>3644</v>
      </c>
      <c r="AY2136" s="1" t="s">
        <v>23554</v>
      </c>
      <c r="AZ2136" s="1" t="s">
        <v>225</v>
      </c>
      <c r="BA2136" s="1" t="s">
        <v>284</v>
      </c>
      <c r="BB2136" s="1">
        <v>73</v>
      </c>
      <c r="BC2136" s="1">
        <v>8.05</v>
      </c>
      <c r="BD2136" s="1"/>
      <c r="BE2136" s="1"/>
      <c r="BF2136" s="1"/>
      <c r="BG2136" s="1"/>
      <c r="BH2136" s="1"/>
      <c r="BI2136" s="1"/>
      <c r="BJ2136" s="1" t="s">
        <v>23555</v>
      </c>
      <c r="BK2136" s="1" t="s">
        <v>23556</v>
      </c>
      <c r="BL2136" s="1" t="s">
        <v>5149</v>
      </c>
      <c r="BM2136" s="1" t="s">
        <v>23557</v>
      </c>
      <c r="BN2136" s="1">
        <v>35</v>
      </c>
      <c r="BO2136" s="1" t="s">
        <v>23558</v>
      </c>
      <c r="BP2136" s="1" t="str">
        <f>HYPERLINK("https://nconnect.nicmar.ac.in/storage/profile/ProfilePhoto_P25701118_392456.jpg","Download")</f>
        <v>0</v>
      </c>
      <c r="BQ2136" s="3"/>
      <c r="BR2136" s="3"/>
    </row>
    <row r="2137" spans="1:70">
      <c r="A2137" s="1" t="s">
        <v>21304</v>
      </c>
      <c r="B2137" s="1" t="s">
        <v>441</v>
      </c>
      <c r="C2137" s="1" t="s">
        <v>23559</v>
      </c>
      <c r="D2137" s="1" t="s">
        <v>23560</v>
      </c>
      <c r="E2137" s="1" t="s">
        <v>5077</v>
      </c>
      <c r="F2137" s="1" t="s">
        <v>23561</v>
      </c>
      <c r="G2137" s="1" t="s">
        <v>23562</v>
      </c>
      <c r="H2137" s="1" t="s">
        <v>23563</v>
      </c>
      <c r="I2137" s="1" t="s">
        <v>23564</v>
      </c>
      <c r="J2137" s="1">
        <v>8484829112</v>
      </c>
      <c r="K2137" s="1" t="s">
        <v>79</v>
      </c>
      <c r="L2137" s="1" t="s">
        <v>2512</v>
      </c>
      <c r="M2137" s="1" t="s">
        <v>81</v>
      </c>
      <c r="N2137" s="1" t="s">
        <v>3518</v>
      </c>
      <c r="O2137" s="1"/>
      <c r="P2137" s="1" t="s">
        <v>497</v>
      </c>
      <c r="Q2137" s="1" t="s">
        <v>23565</v>
      </c>
      <c r="R2137" s="1" t="s">
        <v>23566</v>
      </c>
      <c r="S2137" s="1">
        <v>9075079808</v>
      </c>
      <c r="T2137" s="1" t="s">
        <v>4659</v>
      </c>
      <c r="U2137" s="1" t="s">
        <v>23567</v>
      </c>
      <c r="V2137" s="1">
        <v>8999814029</v>
      </c>
      <c r="W2137" s="1" t="s">
        <v>23448</v>
      </c>
      <c r="X2137" s="1" t="s">
        <v>23568</v>
      </c>
      <c r="Y2137" s="1" t="s">
        <v>405</v>
      </c>
      <c r="Z2137" s="1" t="s">
        <v>92</v>
      </c>
      <c r="AA2137" s="1" t="s">
        <v>23568</v>
      </c>
      <c r="AB2137" s="1" t="s">
        <v>405</v>
      </c>
      <c r="AC2137" s="1" t="s">
        <v>92</v>
      </c>
      <c r="AD2137" s="1">
        <v>8.03</v>
      </c>
      <c r="AE2137" s="1" t="s">
        <v>93</v>
      </c>
      <c r="AF2137" s="1" t="s">
        <v>23569</v>
      </c>
      <c r="AG2137" s="1" t="s">
        <v>307</v>
      </c>
      <c r="AH2137" s="1" t="s">
        <v>481</v>
      </c>
      <c r="AI2137" s="1" t="s">
        <v>537</v>
      </c>
      <c r="AJ2137" s="1">
        <v>86.8</v>
      </c>
      <c r="AK2137" s="1"/>
      <c r="AL2137" s="1" t="s">
        <v>23570</v>
      </c>
      <c r="AM2137" s="1" t="s">
        <v>307</v>
      </c>
      <c r="AN2137" s="1" t="s">
        <v>537</v>
      </c>
      <c r="AO2137" s="1" t="s">
        <v>539</v>
      </c>
      <c r="AP2137" s="1">
        <v>70.4</v>
      </c>
      <c r="AQ2137" s="1"/>
      <c r="AR2137" s="1"/>
      <c r="AS2137" s="1"/>
      <c r="AT2137" s="1"/>
      <c r="AU2137" s="1"/>
      <c r="AV2137" s="1"/>
      <c r="AW2137" s="1"/>
      <c r="AX2137" s="1" t="s">
        <v>23571</v>
      </c>
      <c r="AY2137" s="1" t="s">
        <v>23572</v>
      </c>
      <c r="AZ2137" s="1" t="s">
        <v>852</v>
      </c>
      <c r="BA2137" s="1" t="s">
        <v>594</v>
      </c>
      <c r="BB2137" s="1">
        <v>75</v>
      </c>
      <c r="BC2137" s="1">
        <v>7.5</v>
      </c>
      <c r="BD2137" s="1"/>
      <c r="BE2137" s="1"/>
      <c r="BF2137" s="1"/>
      <c r="BG2137" s="1"/>
      <c r="BH2137" s="1"/>
      <c r="BI2137" s="1"/>
      <c r="BJ2137" s="1" t="s">
        <v>23573</v>
      </c>
      <c r="BK2137" s="1"/>
      <c r="BL2137" s="1"/>
      <c r="BM2137" s="1" t="s">
        <v>23574</v>
      </c>
      <c r="BN2137" s="1">
        <v>16</v>
      </c>
      <c r="BO2137" s="1" t="s">
        <v>23575</v>
      </c>
      <c r="BP2137" s="1" t="str">
        <f>HYPERLINK("https://nconnect.nicmar.ac.in/storage/profile/ProfilePhoto_P25701119_274135.jpg","Download")</f>
        <v>0</v>
      </c>
      <c r="BQ2137" s="3"/>
      <c r="BR2137" s="3"/>
    </row>
    <row r="2138" spans="1:70">
      <c r="A2138" s="1" t="s">
        <v>21304</v>
      </c>
      <c r="B2138" s="1" t="s">
        <v>441</v>
      </c>
      <c r="C2138" s="1" t="s">
        <v>23576</v>
      </c>
      <c r="D2138" s="1" t="s">
        <v>7260</v>
      </c>
      <c r="E2138" s="1" t="s">
        <v>1938</v>
      </c>
      <c r="F2138" s="1" t="s">
        <v>793</v>
      </c>
      <c r="G2138" s="1" t="s">
        <v>23577</v>
      </c>
      <c r="H2138" s="1" t="s">
        <v>23578</v>
      </c>
      <c r="I2138" s="1" t="s">
        <v>23579</v>
      </c>
      <c r="J2138" s="1">
        <v>8248911254</v>
      </c>
      <c r="K2138" s="1" t="s">
        <v>79</v>
      </c>
      <c r="L2138" s="1" t="s">
        <v>23580</v>
      </c>
      <c r="M2138" s="1" t="s">
        <v>81</v>
      </c>
      <c r="N2138" s="1" t="s">
        <v>23581</v>
      </c>
      <c r="O2138" s="1"/>
      <c r="P2138" s="1" t="s">
        <v>656</v>
      </c>
      <c r="Q2138" s="1" t="s">
        <v>23582</v>
      </c>
      <c r="R2138" s="1" t="s">
        <v>23583</v>
      </c>
      <c r="S2138" s="1">
        <v>9842414447</v>
      </c>
      <c r="T2138" s="1" t="s">
        <v>820</v>
      </c>
      <c r="U2138" s="1" t="s">
        <v>23584</v>
      </c>
      <c r="V2138" s="1">
        <v>7695873931</v>
      </c>
      <c r="W2138" s="1" t="s">
        <v>273</v>
      </c>
      <c r="X2138" s="1" t="s">
        <v>23585</v>
      </c>
      <c r="Y2138" s="1" t="s">
        <v>7271</v>
      </c>
      <c r="Z2138" s="1" t="s">
        <v>559</v>
      </c>
      <c r="AA2138" s="1" t="s">
        <v>23585</v>
      </c>
      <c r="AB2138" s="1" t="s">
        <v>7271</v>
      </c>
      <c r="AC2138" s="1" t="s">
        <v>559</v>
      </c>
      <c r="AD2138" s="1">
        <v>8.12</v>
      </c>
      <c r="AE2138" s="1" t="s">
        <v>93</v>
      </c>
      <c r="AF2138" s="1" t="s">
        <v>23586</v>
      </c>
      <c r="AG2138" s="1" t="s">
        <v>8620</v>
      </c>
      <c r="AH2138" s="1" t="s">
        <v>162</v>
      </c>
      <c r="AI2138" s="1" t="s">
        <v>195</v>
      </c>
      <c r="AJ2138" s="1">
        <v>87.8</v>
      </c>
      <c r="AK2138" s="1"/>
      <c r="AL2138" s="1" t="s">
        <v>23587</v>
      </c>
      <c r="AM2138" s="1" t="s">
        <v>8620</v>
      </c>
      <c r="AN2138" s="1" t="s">
        <v>101</v>
      </c>
      <c r="AO2138" s="1" t="s">
        <v>537</v>
      </c>
      <c r="AP2138" s="1">
        <v>73.16</v>
      </c>
      <c r="AQ2138" s="1"/>
      <c r="AR2138" s="1"/>
      <c r="AS2138" s="1"/>
      <c r="AT2138" s="1"/>
      <c r="AU2138" s="1"/>
      <c r="AV2138" s="1"/>
      <c r="AW2138" s="1"/>
      <c r="AX2138" s="1" t="s">
        <v>564</v>
      </c>
      <c r="AY2138" s="1" t="s">
        <v>23588</v>
      </c>
      <c r="AZ2138" s="1" t="s">
        <v>201</v>
      </c>
      <c r="BA2138" s="1" t="s">
        <v>1379</v>
      </c>
      <c r="BB2138" s="1">
        <v>69.6</v>
      </c>
      <c r="BC2138" s="1">
        <v>6.96</v>
      </c>
      <c r="BD2138" s="1"/>
      <c r="BE2138" s="1"/>
      <c r="BF2138" s="1"/>
      <c r="BG2138" s="1"/>
      <c r="BH2138" s="1"/>
      <c r="BI2138" s="1"/>
      <c r="BJ2138" s="1" t="s">
        <v>23589</v>
      </c>
      <c r="BK2138" s="1"/>
      <c r="BL2138" s="1"/>
      <c r="BM2138" s="1" t="s">
        <v>23590</v>
      </c>
      <c r="BN2138" s="1">
        <v>28</v>
      </c>
      <c r="BO2138" s="1" t="s">
        <v>23591</v>
      </c>
      <c r="BP2138" s="1" t="str">
        <f>HYPERLINK("https://nconnect.nicmar.ac.in/storage/profile/ProfilePhoto_P25701120_461395.jpg","Download")</f>
        <v>0</v>
      </c>
      <c r="BQ2138" s="3"/>
      <c r="BR2138" s="3"/>
    </row>
    <row r="2139" spans="1:70">
      <c r="A2139" s="1" t="s">
        <v>21304</v>
      </c>
      <c r="B2139" s="1" t="s">
        <v>441</v>
      </c>
      <c r="C2139" s="1" t="s">
        <v>23592</v>
      </c>
      <c r="D2139" s="1" t="s">
        <v>12161</v>
      </c>
      <c r="E2139" s="1" t="s">
        <v>4970</v>
      </c>
      <c r="F2139" s="1" t="s">
        <v>23593</v>
      </c>
      <c r="G2139" s="1" t="s">
        <v>23594</v>
      </c>
      <c r="H2139" s="1" t="s">
        <v>23595</v>
      </c>
      <c r="I2139" s="1" t="s">
        <v>23596</v>
      </c>
      <c r="J2139" s="1">
        <v>9967731823</v>
      </c>
      <c r="K2139" s="1" t="s">
        <v>79</v>
      </c>
      <c r="L2139" s="1" t="s">
        <v>23597</v>
      </c>
      <c r="M2139" s="1" t="s">
        <v>81</v>
      </c>
      <c r="N2139" s="1" t="s">
        <v>8503</v>
      </c>
      <c r="O2139" s="1"/>
      <c r="P2139" s="1" t="s">
        <v>450</v>
      </c>
      <c r="Q2139" s="1" t="s">
        <v>23598</v>
      </c>
      <c r="R2139" s="1" t="s">
        <v>23599</v>
      </c>
      <c r="S2139" s="1">
        <v>9730899942</v>
      </c>
      <c r="T2139" s="1" t="s">
        <v>632</v>
      </c>
      <c r="U2139" s="1" t="s">
        <v>23600</v>
      </c>
      <c r="V2139" s="1">
        <v>8779004469</v>
      </c>
      <c r="W2139" s="1" t="s">
        <v>632</v>
      </c>
      <c r="X2139" s="1" t="s">
        <v>23601</v>
      </c>
      <c r="Y2139" s="1" t="s">
        <v>991</v>
      </c>
      <c r="Z2139" s="1" t="s">
        <v>92</v>
      </c>
      <c r="AA2139" s="1" t="s">
        <v>23601</v>
      </c>
      <c r="AB2139" s="1" t="s">
        <v>991</v>
      </c>
      <c r="AC2139" s="1" t="s">
        <v>92</v>
      </c>
      <c r="AD2139" s="1">
        <v>8.03</v>
      </c>
      <c r="AE2139" s="1" t="s">
        <v>93</v>
      </c>
      <c r="AF2139" s="1" t="s">
        <v>23602</v>
      </c>
      <c r="AG2139" s="1" t="s">
        <v>23603</v>
      </c>
      <c r="AH2139" s="1" t="s">
        <v>1239</v>
      </c>
      <c r="AI2139" s="1" t="s">
        <v>131</v>
      </c>
      <c r="AJ2139" s="1">
        <v>81.16</v>
      </c>
      <c r="AK2139" s="1"/>
      <c r="AL2139" s="1" t="s">
        <v>23604</v>
      </c>
      <c r="AM2139" s="1" t="s">
        <v>3847</v>
      </c>
      <c r="AN2139" s="1" t="s">
        <v>507</v>
      </c>
      <c r="AO2139" s="1" t="s">
        <v>508</v>
      </c>
      <c r="AP2139" s="1">
        <v>74.61</v>
      </c>
      <c r="AQ2139" s="1"/>
      <c r="AR2139" s="1"/>
      <c r="AS2139" s="1"/>
      <c r="AT2139" s="1"/>
      <c r="AU2139" s="1"/>
      <c r="AV2139" s="1"/>
      <c r="AW2139" s="1"/>
      <c r="AX2139" s="1" t="s">
        <v>361</v>
      </c>
      <c r="AY2139" s="1" t="s">
        <v>23605</v>
      </c>
      <c r="AZ2139" s="1" t="s">
        <v>562</v>
      </c>
      <c r="BA2139" s="1" t="s">
        <v>1378</v>
      </c>
      <c r="BB2139" s="1">
        <v>84.86</v>
      </c>
      <c r="BC2139" s="1">
        <v>9.24</v>
      </c>
      <c r="BD2139" s="1"/>
      <c r="BE2139" s="1"/>
      <c r="BF2139" s="1"/>
      <c r="BG2139" s="1"/>
      <c r="BH2139" s="1"/>
      <c r="BI2139" s="1"/>
      <c r="BJ2139" s="1" t="s">
        <v>23606</v>
      </c>
      <c r="BK2139" s="1" t="s">
        <v>23607</v>
      </c>
      <c r="BL2139" s="1" t="s">
        <v>4887</v>
      </c>
      <c r="BM2139" s="1" t="s">
        <v>23608</v>
      </c>
      <c r="BN2139" s="1">
        <v>49</v>
      </c>
      <c r="BO2139" s="1"/>
      <c r="BP2139" s="1" t="str">
        <f>HYPERLINK("https://nconnect.nicmar.ac.in/storage/profile/ProfilePhoto_P25701121_753814.jpg","Download")</f>
        <v>0</v>
      </c>
      <c r="BQ2139" s="3"/>
      <c r="BR2139" s="3"/>
    </row>
    <row r="2140" spans="1:70">
      <c r="A2140" s="1" t="s">
        <v>21304</v>
      </c>
      <c r="B2140" s="1" t="s">
        <v>441</v>
      </c>
      <c r="C2140" s="1" t="s">
        <v>23609</v>
      </c>
      <c r="D2140" s="1" t="s">
        <v>1762</v>
      </c>
      <c r="E2140" s="1"/>
      <c r="F2140" s="1" t="s">
        <v>4014</v>
      </c>
      <c r="G2140" s="1" t="s">
        <v>23610</v>
      </c>
      <c r="H2140" s="1" t="s">
        <v>23611</v>
      </c>
      <c r="I2140" s="1" t="s">
        <v>23612</v>
      </c>
      <c r="J2140" s="1">
        <v>8660975315</v>
      </c>
      <c r="K2140" s="1" t="s">
        <v>79</v>
      </c>
      <c r="L2140" s="1" t="s">
        <v>2512</v>
      </c>
      <c r="M2140" s="1" t="s">
        <v>81</v>
      </c>
      <c r="N2140" s="1" t="s">
        <v>1180</v>
      </c>
      <c r="O2140" s="1"/>
      <c r="P2140" s="1" t="s">
        <v>2035</v>
      </c>
      <c r="Q2140" s="1" t="s">
        <v>23613</v>
      </c>
      <c r="R2140" s="1" t="s">
        <v>23614</v>
      </c>
      <c r="S2140" s="1">
        <v>9845167495</v>
      </c>
      <c r="T2140" s="1" t="s">
        <v>4698</v>
      </c>
      <c r="U2140" s="1" t="s">
        <v>23615</v>
      </c>
      <c r="V2140" s="1">
        <v>9019924093</v>
      </c>
      <c r="W2140" s="1" t="s">
        <v>89</v>
      </c>
      <c r="X2140" s="1" t="s">
        <v>23616</v>
      </c>
      <c r="Y2140" s="1" t="s">
        <v>3151</v>
      </c>
      <c r="Z2140" s="1" t="s">
        <v>1187</v>
      </c>
      <c r="AA2140" s="1" t="s">
        <v>23616</v>
      </c>
      <c r="AB2140" s="1" t="s">
        <v>3151</v>
      </c>
      <c r="AC2140" s="1" t="s">
        <v>1187</v>
      </c>
      <c r="AD2140" s="1">
        <v>8.19</v>
      </c>
      <c r="AE2140" s="1" t="s">
        <v>93</v>
      </c>
      <c r="AF2140" s="1" t="s">
        <v>23617</v>
      </c>
      <c r="AG2140" s="1" t="s">
        <v>23618</v>
      </c>
      <c r="AH2140" s="1" t="s">
        <v>165</v>
      </c>
      <c r="AI2140" s="1" t="s">
        <v>101</v>
      </c>
      <c r="AJ2140" s="1">
        <v>85.34</v>
      </c>
      <c r="AK2140" s="1"/>
      <c r="AL2140" s="1" t="s">
        <v>23619</v>
      </c>
      <c r="AM2140" s="1" t="s">
        <v>23620</v>
      </c>
      <c r="AN2140" s="1" t="s">
        <v>101</v>
      </c>
      <c r="AO2140" s="1" t="s">
        <v>460</v>
      </c>
      <c r="AP2140" s="1">
        <v>73.5</v>
      </c>
      <c r="AQ2140" s="1"/>
      <c r="AR2140" s="1"/>
      <c r="AS2140" s="1"/>
      <c r="AT2140" s="1"/>
      <c r="AU2140" s="1"/>
      <c r="AV2140" s="1"/>
      <c r="AW2140" s="1"/>
      <c r="AX2140" s="1" t="s">
        <v>1194</v>
      </c>
      <c r="AY2140" s="1" t="s">
        <v>23621</v>
      </c>
      <c r="AZ2140" s="1" t="s">
        <v>228</v>
      </c>
      <c r="BA2140" s="1" t="s">
        <v>202</v>
      </c>
      <c r="BB2140" s="1">
        <v>69.4</v>
      </c>
      <c r="BC2140" s="1">
        <v>7.69</v>
      </c>
      <c r="BD2140" s="1"/>
      <c r="BE2140" s="1"/>
      <c r="BF2140" s="1"/>
      <c r="BG2140" s="1"/>
      <c r="BH2140" s="1"/>
      <c r="BI2140" s="1"/>
      <c r="BJ2140" s="1" t="s">
        <v>567</v>
      </c>
      <c r="BK2140" s="1" t="s">
        <v>23622</v>
      </c>
      <c r="BL2140" s="1" t="s">
        <v>2089</v>
      </c>
      <c r="BM2140" s="1" t="s">
        <v>23623</v>
      </c>
      <c r="BN2140" s="1">
        <v>30</v>
      </c>
      <c r="BO2140" s="1"/>
      <c r="BP2140" s="1" t="str">
        <f>HYPERLINK("https://nconnect.nicmar.ac.in/storage/profile/ProfilePhoto_P25701122_936541.jpg","Download")</f>
        <v>0</v>
      </c>
      <c r="BQ2140" s="3"/>
      <c r="BR2140" s="3"/>
    </row>
    <row r="2141" spans="1:70">
      <c r="A2141" s="1" t="s">
        <v>21304</v>
      </c>
      <c r="B2141" s="1" t="s">
        <v>441</v>
      </c>
      <c r="C2141" s="1" t="s">
        <v>23624</v>
      </c>
      <c r="D2141" s="1" t="s">
        <v>2838</v>
      </c>
      <c r="E2141" s="1" t="s">
        <v>2242</v>
      </c>
      <c r="F2141" s="1" t="s">
        <v>23625</v>
      </c>
      <c r="G2141" s="1" t="s">
        <v>23626</v>
      </c>
      <c r="H2141" s="1" t="s">
        <v>23627</v>
      </c>
      <c r="I2141" s="1" t="s">
        <v>23628</v>
      </c>
      <c r="J2141" s="1">
        <v>8208789217</v>
      </c>
      <c r="K2141" s="1" t="s">
        <v>79</v>
      </c>
      <c r="L2141" s="1" t="s">
        <v>2380</v>
      </c>
      <c r="M2141" s="1" t="s">
        <v>81</v>
      </c>
      <c r="N2141" s="1" t="s">
        <v>13102</v>
      </c>
      <c r="O2141" s="1"/>
      <c r="P2141" s="1" t="s">
        <v>2035</v>
      </c>
      <c r="Q2141" s="1" t="s">
        <v>23629</v>
      </c>
      <c r="R2141" s="1" t="s">
        <v>23630</v>
      </c>
      <c r="S2141" s="1">
        <v>9420304648</v>
      </c>
      <c r="T2141" s="1" t="s">
        <v>122</v>
      </c>
      <c r="U2141" s="1" t="s">
        <v>23631</v>
      </c>
      <c r="V2141" s="1">
        <v>9011395779</v>
      </c>
      <c r="W2141" s="1" t="s">
        <v>9101</v>
      </c>
      <c r="X2141" s="1" t="s">
        <v>23632</v>
      </c>
      <c r="Y2141" s="1" t="s">
        <v>611</v>
      </c>
      <c r="Z2141" s="1" t="s">
        <v>92</v>
      </c>
      <c r="AA2141" s="1" t="s">
        <v>23632</v>
      </c>
      <c r="AB2141" s="1" t="s">
        <v>611</v>
      </c>
      <c r="AC2141" s="1" t="s">
        <v>92</v>
      </c>
      <c r="AD2141" s="1">
        <v>7.61</v>
      </c>
      <c r="AE2141" s="1" t="s">
        <v>93</v>
      </c>
      <c r="AF2141" s="1" t="s">
        <v>23633</v>
      </c>
      <c r="AG2141" s="1" t="s">
        <v>160</v>
      </c>
      <c r="AH2141" s="1" t="s">
        <v>161</v>
      </c>
      <c r="AI2141" s="1" t="s">
        <v>614</v>
      </c>
      <c r="AJ2141" s="1">
        <v>81.4</v>
      </c>
      <c r="AK2141" s="1"/>
      <c r="AL2141" s="1" t="s">
        <v>23634</v>
      </c>
      <c r="AM2141" s="1" t="s">
        <v>160</v>
      </c>
      <c r="AN2141" s="1" t="s">
        <v>165</v>
      </c>
      <c r="AO2141" s="1" t="s">
        <v>481</v>
      </c>
      <c r="AP2141" s="1">
        <v>60</v>
      </c>
      <c r="AQ2141" s="1"/>
      <c r="AR2141" s="1"/>
      <c r="AS2141" s="1"/>
      <c r="AT2141" s="1"/>
      <c r="AU2141" s="1"/>
      <c r="AV2141" s="1"/>
      <c r="AW2141" s="1"/>
      <c r="AX2141" s="1" t="s">
        <v>976</v>
      </c>
      <c r="AY2141" s="1" t="s">
        <v>23635</v>
      </c>
      <c r="AZ2141" s="1" t="s">
        <v>101</v>
      </c>
      <c r="BA2141" s="1" t="s">
        <v>1378</v>
      </c>
      <c r="BB2141" s="1">
        <v>85.2</v>
      </c>
      <c r="BC2141" s="1">
        <v>9.27</v>
      </c>
      <c r="BD2141" s="1"/>
      <c r="BE2141" s="1"/>
      <c r="BF2141" s="1"/>
      <c r="BG2141" s="1"/>
      <c r="BH2141" s="1"/>
      <c r="BI2141" s="1"/>
      <c r="BJ2141" s="1" t="s">
        <v>23636</v>
      </c>
      <c r="BK2141" s="1"/>
      <c r="BL2141" s="1"/>
      <c r="BM2141" s="1" t="s">
        <v>23637</v>
      </c>
      <c r="BN2141" s="1">
        <v>16</v>
      </c>
      <c r="BO2141" s="1" t="s">
        <v>23638</v>
      </c>
      <c r="BP2141" s="1" t="str">
        <f>HYPERLINK("https://nconnect.nicmar.ac.in/storage/profile/ProfilePhoto_P25701123_957821.jpg","Download")</f>
        <v>0</v>
      </c>
      <c r="BQ2141" s="3"/>
      <c r="BR2141" s="3"/>
    </row>
    <row r="2142" spans="1:70">
      <c r="A2142" s="1" t="s">
        <v>21304</v>
      </c>
      <c r="B2142" s="1" t="s">
        <v>441</v>
      </c>
      <c r="C2142" s="1" t="s">
        <v>23639</v>
      </c>
      <c r="D2142" s="1" t="s">
        <v>5864</v>
      </c>
      <c r="E2142" s="1"/>
      <c r="F2142" s="1" t="s">
        <v>23640</v>
      </c>
      <c r="G2142" s="1" t="s">
        <v>23641</v>
      </c>
      <c r="H2142" s="1" t="s">
        <v>23642</v>
      </c>
      <c r="I2142" s="1" t="s">
        <v>23643</v>
      </c>
      <c r="J2142" s="1">
        <v>8590312588</v>
      </c>
      <c r="K2142" s="1" t="s">
        <v>79</v>
      </c>
      <c r="L2142" s="1" t="s">
        <v>23644</v>
      </c>
      <c r="M2142" s="1" t="s">
        <v>81</v>
      </c>
      <c r="N2142" s="1" t="s">
        <v>5198</v>
      </c>
      <c r="O2142" s="1" t="s">
        <v>23645</v>
      </c>
      <c r="P2142" s="1" t="s">
        <v>117</v>
      </c>
      <c r="Q2142" s="1" t="s">
        <v>23646</v>
      </c>
      <c r="R2142" s="1" t="s">
        <v>23647</v>
      </c>
      <c r="S2142" s="1">
        <v>9447601528</v>
      </c>
      <c r="T2142" s="1" t="s">
        <v>820</v>
      </c>
      <c r="U2142" s="1" t="s">
        <v>23648</v>
      </c>
      <c r="V2142" s="1">
        <v>9446015158</v>
      </c>
      <c r="W2142" s="1" t="s">
        <v>23649</v>
      </c>
      <c r="X2142" s="1" t="s">
        <v>23650</v>
      </c>
      <c r="Y2142" s="1" t="s">
        <v>2518</v>
      </c>
      <c r="Z2142" s="1" t="s">
        <v>125</v>
      </c>
      <c r="AA2142" s="1" t="s">
        <v>23651</v>
      </c>
      <c r="AB2142" s="1" t="s">
        <v>2518</v>
      </c>
      <c r="AC2142" s="1" t="s">
        <v>125</v>
      </c>
      <c r="AD2142" s="1">
        <v>8.82</v>
      </c>
      <c r="AE2142" s="1" t="s">
        <v>93</v>
      </c>
      <c r="AF2142" s="1" t="s">
        <v>23652</v>
      </c>
      <c r="AG2142" s="1" t="s">
        <v>758</v>
      </c>
      <c r="AH2142" s="1" t="s">
        <v>162</v>
      </c>
      <c r="AI2142" s="1" t="s">
        <v>165</v>
      </c>
      <c r="AJ2142" s="1">
        <v>95</v>
      </c>
      <c r="AK2142" s="1">
        <v>10</v>
      </c>
      <c r="AL2142" s="1" t="s">
        <v>23652</v>
      </c>
      <c r="AM2142" s="1" t="s">
        <v>758</v>
      </c>
      <c r="AN2142" s="1" t="s">
        <v>166</v>
      </c>
      <c r="AO2142" s="1" t="s">
        <v>308</v>
      </c>
      <c r="AP2142" s="1">
        <v>77</v>
      </c>
      <c r="AQ2142" s="1"/>
      <c r="AR2142" s="1"/>
      <c r="AS2142" s="1"/>
      <c r="AT2142" s="1"/>
      <c r="AU2142" s="1"/>
      <c r="AV2142" s="1"/>
      <c r="AW2142" s="1"/>
      <c r="AX2142" s="1" t="s">
        <v>132</v>
      </c>
      <c r="AY2142" s="1" t="s">
        <v>23653</v>
      </c>
      <c r="AZ2142" s="1" t="s">
        <v>871</v>
      </c>
      <c r="BA2142" s="1" t="s">
        <v>1109</v>
      </c>
      <c r="BB2142" s="1">
        <v>71.7</v>
      </c>
      <c r="BC2142" s="1">
        <v>7.17</v>
      </c>
      <c r="BD2142" s="1"/>
      <c r="BE2142" s="1"/>
      <c r="BF2142" s="1"/>
      <c r="BG2142" s="1"/>
      <c r="BH2142" s="1"/>
      <c r="BI2142" s="1"/>
      <c r="BJ2142" s="1" t="s">
        <v>23654</v>
      </c>
      <c r="BK2142" s="1"/>
      <c r="BL2142" s="1"/>
      <c r="BM2142" s="1" t="s">
        <v>23655</v>
      </c>
      <c r="BN2142" s="1">
        <v>39</v>
      </c>
      <c r="BO2142" s="1" t="s">
        <v>23656</v>
      </c>
      <c r="BP2142" s="1" t="str">
        <f>HYPERLINK("https://nconnect.nicmar.ac.in/storage/profile/ProfilePhoto_P25701124_429365.jpg","Download")</f>
        <v>0</v>
      </c>
      <c r="BQ2142" s="3"/>
      <c r="BR2142" s="3"/>
    </row>
    <row r="2143" spans="1:70">
      <c r="A2143" s="1" t="s">
        <v>21304</v>
      </c>
      <c r="B2143" s="1" t="s">
        <v>441</v>
      </c>
      <c r="C2143" s="1" t="s">
        <v>23657</v>
      </c>
      <c r="D2143" s="1" t="s">
        <v>3011</v>
      </c>
      <c r="E2143" s="1" t="s">
        <v>3061</v>
      </c>
      <c r="F2143" s="1" t="s">
        <v>23658</v>
      </c>
      <c r="G2143" s="1" t="s">
        <v>23659</v>
      </c>
      <c r="H2143" s="1" t="s">
        <v>23660</v>
      </c>
      <c r="I2143" s="1" t="s">
        <v>23661</v>
      </c>
      <c r="J2143" s="1">
        <v>8850501926</v>
      </c>
      <c r="K2143" s="1" t="s">
        <v>148</v>
      </c>
      <c r="L2143" s="1" t="s">
        <v>3143</v>
      </c>
      <c r="M2143" s="1" t="s">
        <v>81</v>
      </c>
      <c r="N2143" s="1" t="s">
        <v>1140</v>
      </c>
      <c r="O2143" s="1"/>
      <c r="P2143" s="1" t="s">
        <v>497</v>
      </c>
      <c r="Q2143" s="1" t="s">
        <v>23662</v>
      </c>
      <c r="R2143" s="1" t="s">
        <v>23663</v>
      </c>
      <c r="S2143" s="1">
        <v>9323194754</v>
      </c>
      <c r="T2143" s="1" t="s">
        <v>632</v>
      </c>
      <c r="U2143" s="1" t="s">
        <v>23664</v>
      </c>
      <c r="V2143" s="1">
        <v>9322609892</v>
      </c>
      <c r="W2143" s="1" t="s">
        <v>632</v>
      </c>
      <c r="X2143" s="1" t="s">
        <v>23665</v>
      </c>
      <c r="Y2143" s="1" t="s">
        <v>991</v>
      </c>
      <c r="Z2143" s="1" t="s">
        <v>92</v>
      </c>
      <c r="AA2143" s="1" t="s">
        <v>23665</v>
      </c>
      <c r="AB2143" s="1" t="s">
        <v>991</v>
      </c>
      <c r="AC2143" s="1" t="s">
        <v>92</v>
      </c>
      <c r="AD2143" s="1">
        <v>9.49</v>
      </c>
      <c r="AE2143" s="1" t="s">
        <v>93</v>
      </c>
      <c r="AF2143" s="1" t="s">
        <v>23666</v>
      </c>
      <c r="AG2143" s="1" t="s">
        <v>160</v>
      </c>
      <c r="AH2143" s="1" t="s">
        <v>161</v>
      </c>
      <c r="AI2143" s="1" t="s">
        <v>1089</v>
      </c>
      <c r="AJ2143" s="1">
        <v>74.2</v>
      </c>
      <c r="AK2143" s="1"/>
      <c r="AL2143" s="1" t="s">
        <v>23667</v>
      </c>
      <c r="AM2143" s="1" t="s">
        <v>160</v>
      </c>
      <c r="AN2143" s="1" t="s">
        <v>165</v>
      </c>
      <c r="AO2143" s="1" t="s">
        <v>1455</v>
      </c>
      <c r="AP2143" s="1">
        <v>68.92</v>
      </c>
      <c r="AQ2143" s="1"/>
      <c r="AR2143" s="1"/>
      <c r="AS2143" s="1"/>
      <c r="AT2143" s="1"/>
      <c r="AU2143" s="1"/>
      <c r="AV2143" s="1"/>
      <c r="AW2143" s="1"/>
      <c r="AX2143" s="1" t="s">
        <v>666</v>
      </c>
      <c r="AY2143" s="1" t="s">
        <v>23668</v>
      </c>
      <c r="AZ2143" s="1" t="s">
        <v>101</v>
      </c>
      <c r="BA2143" s="1" t="s">
        <v>566</v>
      </c>
      <c r="BB2143" s="1">
        <v>68.53</v>
      </c>
      <c r="BC2143" s="1"/>
      <c r="BD2143" s="1"/>
      <c r="BE2143" s="1"/>
      <c r="BF2143" s="1"/>
      <c r="BG2143" s="1"/>
      <c r="BH2143" s="1"/>
      <c r="BI2143" s="1"/>
      <c r="BJ2143" s="1" t="s">
        <v>23669</v>
      </c>
      <c r="BK2143" s="1" t="s">
        <v>23670</v>
      </c>
      <c r="BL2143" s="1" t="s">
        <v>1335</v>
      </c>
      <c r="BM2143" s="1" t="s">
        <v>23671</v>
      </c>
      <c r="BN2143" s="1">
        <v>24</v>
      </c>
      <c r="BO2143" s="1" t="s">
        <v>23672</v>
      </c>
      <c r="BP2143" s="1" t="str">
        <f>HYPERLINK("https://nconnect.nicmar.ac.in/storage/profile/ProfilePhoto_P25701125_465728.jpg","Download")</f>
        <v>0</v>
      </c>
      <c r="BQ2143" s="3"/>
      <c r="BR2143" s="3"/>
    </row>
    <row r="2144" spans="1:70">
      <c r="A2144" s="1" t="s">
        <v>21304</v>
      </c>
      <c r="B2144" s="1" t="s">
        <v>441</v>
      </c>
      <c r="C2144" s="1" t="s">
        <v>23673</v>
      </c>
      <c r="D2144" s="1" t="s">
        <v>659</v>
      </c>
      <c r="E2144" s="1" t="s">
        <v>999</v>
      </c>
      <c r="F2144" s="1" t="s">
        <v>17685</v>
      </c>
      <c r="G2144" s="1" t="s">
        <v>23674</v>
      </c>
      <c r="H2144" s="1" t="s">
        <v>23675</v>
      </c>
      <c r="I2144" s="1" t="s">
        <v>23676</v>
      </c>
      <c r="J2144" s="1">
        <v>9082686887</v>
      </c>
      <c r="K2144" s="1" t="s">
        <v>148</v>
      </c>
      <c r="L2144" s="1" t="s">
        <v>8546</v>
      </c>
      <c r="M2144" s="1" t="s">
        <v>81</v>
      </c>
      <c r="N2144" s="1" t="s">
        <v>605</v>
      </c>
      <c r="O2144" s="1"/>
      <c r="P2144" s="1" t="s">
        <v>450</v>
      </c>
      <c r="Q2144" s="1" t="s">
        <v>23677</v>
      </c>
      <c r="R2144" s="1" t="s">
        <v>999</v>
      </c>
      <c r="S2144" s="1">
        <v>9821478286</v>
      </c>
      <c r="T2144" s="1" t="s">
        <v>377</v>
      </c>
      <c r="U2144" s="1" t="s">
        <v>18828</v>
      </c>
      <c r="V2144" s="1">
        <v>9167117909</v>
      </c>
      <c r="W2144" s="1" t="s">
        <v>531</v>
      </c>
      <c r="X2144" s="1" t="s">
        <v>23678</v>
      </c>
      <c r="Y2144" s="1" t="s">
        <v>1857</v>
      </c>
      <c r="Z2144" s="1" t="s">
        <v>92</v>
      </c>
      <c r="AA2144" s="1" t="s">
        <v>23678</v>
      </c>
      <c r="AB2144" s="1" t="s">
        <v>1857</v>
      </c>
      <c r="AC2144" s="1" t="s">
        <v>92</v>
      </c>
      <c r="AD2144" s="1">
        <v>9.79</v>
      </c>
      <c r="AE2144" s="1" t="s">
        <v>93</v>
      </c>
      <c r="AF2144" s="1" t="s">
        <v>23679</v>
      </c>
      <c r="AG2144" s="1" t="s">
        <v>160</v>
      </c>
      <c r="AH2144" s="1" t="s">
        <v>162</v>
      </c>
      <c r="AI2144" s="1" t="s">
        <v>195</v>
      </c>
      <c r="AJ2144" s="1">
        <v>91.2</v>
      </c>
      <c r="AK2144" s="1"/>
      <c r="AL2144" s="1" t="s">
        <v>23680</v>
      </c>
      <c r="AM2144" s="1" t="s">
        <v>160</v>
      </c>
      <c r="AN2144" s="1" t="s">
        <v>101</v>
      </c>
      <c r="AO2144" s="1" t="s">
        <v>198</v>
      </c>
      <c r="AP2144" s="1">
        <v>73.85</v>
      </c>
      <c r="AQ2144" s="1"/>
      <c r="AR2144" s="1"/>
      <c r="AS2144" s="1"/>
      <c r="AT2144" s="1"/>
      <c r="AU2144" s="1"/>
      <c r="AV2144" s="1"/>
      <c r="AW2144" s="1"/>
      <c r="AX2144" s="1" t="s">
        <v>253</v>
      </c>
      <c r="AY2144" s="1" t="s">
        <v>667</v>
      </c>
      <c r="AZ2144" s="1" t="s">
        <v>201</v>
      </c>
      <c r="BA2144" s="1" t="s">
        <v>413</v>
      </c>
      <c r="BB2144" s="1">
        <v>74.23</v>
      </c>
      <c r="BC2144" s="1">
        <v>8.41</v>
      </c>
      <c r="BD2144" s="1"/>
      <c r="BE2144" s="1"/>
      <c r="BF2144" s="1"/>
      <c r="BG2144" s="1"/>
      <c r="BH2144" s="1"/>
      <c r="BI2144" s="1"/>
      <c r="BJ2144" s="1" t="s">
        <v>23681</v>
      </c>
      <c r="BK2144" s="1"/>
      <c r="BL2144" s="1"/>
      <c r="BM2144" s="1" t="s">
        <v>23682</v>
      </c>
      <c r="BN2144" s="1">
        <v>77</v>
      </c>
      <c r="BO2144" s="1"/>
      <c r="BP2144" s="1" t="str">
        <f>HYPERLINK("https://nconnect.nicmar.ac.in/storage/profile/ProfilePhoto_P25701126_826341.jpg","Download")</f>
        <v>0</v>
      </c>
      <c r="BQ2144" s="3"/>
      <c r="BR2144" s="3"/>
    </row>
    <row r="2145" spans="1:70">
      <c r="A2145" s="1" t="s">
        <v>21304</v>
      </c>
      <c r="B2145" s="1" t="s">
        <v>441</v>
      </c>
      <c r="C2145" s="1" t="s">
        <v>23683</v>
      </c>
      <c r="D2145" s="1" t="s">
        <v>23684</v>
      </c>
      <c r="E2145" s="1" t="s">
        <v>1382</v>
      </c>
      <c r="F2145" s="1" t="s">
        <v>8309</v>
      </c>
      <c r="G2145" s="1" t="s">
        <v>23685</v>
      </c>
      <c r="H2145" s="1" t="s">
        <v>23686</v>
      </c>
      <c r="I2145" s="1" t="s">
        <v>23687</v>
      </c>
      <c r="J2145" s="1">
        <v>7991021702</v>
      </c>
      <c r="K2145" s="1" t="s">
        <v>79</v>
      </c>
      <c r="L2145" s="1" t="s">
        <v>23688</v>
      </c>
      <c r="M2145" s="1" t="s">
        <v>81</v>
      </c>
      <c r="N2145" s="1" t="s">
        <v>23689</v>
      </c>
      <c r="O2145" s="1"/>
      <c r="P2145" s="1" t="s">
        <v>450</v>
      </c>
      <c r="Q2145" s="1" t="s">
        <v>23690</v>
      </c>
      <c r="R2145" s="1" t="s">
        <v>23691</v>
      </c>
      <c r="S2145" s="1">
        <v>9437003236</v>
      </c>
      <c r="T2145" s="1" t="s">
        <v>906</v>
      </c>
      <c r="U2145" s="1" t="s">
        <v>23692</v>
      </c>
      <c r="V2145" s="1">
        <v>7008466585</v>
      </c>
      <c r="W2145" s="1" t="s">
        <v>156</v>
      </c>
      <c r="X2145" s="1" t="s">
        <v>23693</v>
      </c>
      <c r="Y2145" s="1" t="s">
        <v>23694</v>
      </c>
      <c r="Z2145" s="1" t="s">
        <v>846</v>
      </c>
      <c r="AA2145" s="1" t="s">
        <v>23693</v>
      </c>
      <c r="AB2145" s="1" t="s">
        <v>23694</v>
      </c>
      <c r="AC2145" s="1" t="s">
        <v>846</v>
      </c>
      <c r="AD2145" s="1">
        <v>8.08</v>
      </c>
      <c r="AE2145" s="1" t="s">
        <v>93</v>
      </c>
      <c r="AF2145" s="1" t="s">
        <v>11295</v>
      </c>
      <c r="AG2145" s="1" t="s">
        <v>23695</v>
      </c>
      <c r="AH2145" s="1" t="s">
        <v>281</v>
      </c>
      <c r="AI2145" s="1" t="s">
        <v>308</v>
      </c>
      <c r="AJ2145" s="1">
        <v>92.3</v>
      </c>
      <c r="AK2145" s="1">
        <v>0</v>
      </c>
      <c r="AL2145" s="1" t="s">
        <v>11295</v>
      </c>
      <c r="AM2145" s="1" t="s">
        <v>23695</v>
      </c>
      <c r="AN2145" s="1" t="s">
        <v>590</v>
      </c>
      <c r="AO2145" s="1" t="s">
        <v>1169</v>
      </c>
      <c r="AP2145" s="1">
        <v>95.6</v>
      </c>
      <c r="AQ2145" s="1">
        <v>0</v>
      </c>
      <c r="AR2145" s="1"/>
      <c r="AS2145" s="1"/>
      <c r="AT2145" s="1"/>
      <c r="AU2145" s="1"/>
      <c r="AV2145" s="1"/>
      <c r="AW2145" s="1"/>
      <c r="AX2145" s="1" t="s">
        <v>23696</v>
      </c>
      <c r="AY2145" s="1" t="s">
        <v>23697</v>
      </c>
      <c r="AZ2145" s="1" t="s">
        <v>593</v>
      </c>
      <c r="BA2145" s="1" t="s">
        <v>829</v>
      </c>
      <c r="BB2145" s="1">
        <v>81.9</v>
      </c>
      <c r="BC2145" s="1">
        <v>8.19</v>
      </c>
      <c r="BD2145" s="1"/>
      <c r="BE2145" s="1"/>
      <c r="BF2145" s="1"/>
      <c r="BG2145" s="1"/>
      <c r="BH2145" s="1"/>
      <c r="BI2145" s="1"/>
      <c r="BJ2145" s="1" t="s">
        <v>23698</v>
      </c>
      <c r="BK2145" s="1"/>
      <c r="BL2145" s="1"/>
      <c r="BM2145" s="1" t="s">
        <v>23699</v>
      </c>
      <c r="BN2145" s="1">
        <v>10</v>
      </c>
      <c r="BO2145" s="1"/>
      <c r="BP2145" s="1" t="str">
        <f>HYPERLINK("https://nconnect.nicmar.ac.in/storage/profile/ProfilePhoto_P25701127_942376.jpg","Download")</f>
        <v>0</v>
      </c>
      <c r="BQ2145" s="3"/>
      <c r="BR2145" s="3"/>
    </row>
    <row r="2146" spans="1:70">
      <c r="A2146" s="1" t="s">
        <v>21304</v>
      </c>
      <c r="B2146" s="1" t="s">
        <v>441</v>
      </c>
      <c r="C2146" s="1" t="s">
        <v>23700</v>
      </c>
      <c r="D2146" s="1" t="s">
        <v>23701</v>
      </c>
      <c r="E2146" s="1"/>
      <c r="F2146" s="1" t="s">
        <v>4014</v>
      </c>
      <c r="G2146" s="1" t="s">
        <v>23702</v>
      </c>
      <c r="H2146" s="1" t="s">
        <v>23703</v>
      </c>
      <c r="I2146" s="1" t="s">
        <v>23704</v>
      </c>
      <c r="J2146" s="1">
        <v>6382383935</v>
      </c>
      <c r="K2146" s="1" t="s">
        <v>148</v>
      </c>
      <c r="L2146" s="1" t="s">
        <v>22077</v>
      </c>
      <c r="M2146" s="1" t="s">
        <v>150</v>
      </c>
      <c r="N2146" s="1" t="s">
        <v>21899</v>
      </c>
      <c r="O2146" s="1"/>
      <c r="P2146" s="1" t="s">
        <v>497</v>
      </c>
      <c r="Q2146" s="1" t="s">
        <v>23705</v>
      </c>
      <c r="R2146" s="1" t="s">
        <v>23706</v>
      </c>
      <c r="S2146" s="1">
        <v>9443618484</v>
      </c>
      <c r="T2146" s="1" t="s">
        <v>16789</v>
      </c>
      <c r="U2146" s="1" t="s">
        <v>23707</v>
      </c>
      <c r="V2146" s="1">
        <v>9443617819</v>
      </c>
      <c r="W2146" s="1" t="s">
        <v>531</v>
      </c>
      <c r="X2146" s="1" t="s">
        <v>23708</v>
      </c>
      <c r="Y2146" s="1" t="s">
        <v>9681</v>
      </c>
      <c r="Z2146" s="1" t="s">
        <v>559</v>
      </c>
      <c r="AA2146" s="1" t="s">
        <v>23708</v>
      </c>
      <c r="AB2146" s="1" t="s">
        <v>9681</v>
      </c>
      <c r="AC2146" s="1" t="s">
        <v>559</v>
      </c>
      <c r="AD2146" s="1">
        <v>8.72</v>
      </c>
      <c r="AE2146" s="1" t="s">
        <v>93</v>
      </c>
      <c r="AF2146" s="1" t="s">
        <v>23709</v>
      </c>
      <c r="AG2146" s="1" t="s">
        <v>23710</v>
      </c>
      <c r="AH2146" s="1" t="s">
        <v>131</v>
      </c>
      <c r="AI2146" s="1" t="s">
        <v>614</v>
      </c>
      <c r="AJ2146" s="1">
        <v>95</v>
      </c>
      <c r="AK2146" s="1">
        <v>10</v>
      </c>
      <c r="AL2146" s="1" t="s">
        <v>23709</v>
      </c>
      <c r="AM2146" s="1" t="s">
        <v>23710</v>
      </c>
      <c r="AN2146" s="1" t="s">
        <v>562</v>
      </c>
      <c r="AO2146" s="1" t="s">
        <v>166</v>
      </c>
      <c r="AP2146" s="1">
        <v>90.2</v>
      </c>
      <c r="AQ2146" s="1"/>
      <c r="AR2146" s="1"/>
      <c r="AS2146" s="1"/>
      <c r="AT2146" s="1"/>
      <c r="AU2146" s="1"/>
      <c r="AV2146" s="1"/>
      <c r="AW2146" s="1"/>
      <c r="AX2146" s="1" t="s">
        <v>564</v>
      </c>
      <c r="AY2146" s="1" t="s">
        <v>23711</v>
      </c>
      <c r="AZ2146" s="1" t="s">
        <v>169</v>
      </c>
      <c r="BA2146" s="1" t="s">
        <v>566</v>
      </c>
      <c r="BB2146" s="1">
        <v>76.6</v>
      </c>
      <c r="BC2146" s="1">
        <v>7.66</v>
      </c>
      <c r="BD2146" s="1"/>
      <c r="BE2146" s="1"/>
      <c r="BF2146" s="1"/>
      <c r="BG2146" s="1"/>
      <c r="BH2146" s="1"/>
      <c r="BI2146" s="1"/>
      <c r="BJ2146" s="1" t="s">
        <v>23712</v>
      </c>
      <c r="BK2146" s="1" t="s">
        <v>23713</v>
      </c>
      <c r="BL2146" s="1" t="s">
        <v>645</v>
      </c>
      <c r="BM2146" s="1" t="s">
        <v>23714</v>
      </c>
      <c r="BN2146" s="1">
        <v>78</v>
      </c>
      <c r="BO2146" s="1"/>
      <c r="BP2146" s="1" t="str">
        <f>HYPERLINK("https://nconnect.nicmar.ac.in/storage/profile/ProfilePhoto_P25701128_269574.jpg","Download")</f>
        <v>0</v>
      </c>
      <c r="BQ2146" s="3"/>
      <c r="BR2146" s="3"/>
    </row>
    <row r="2147" spans="1:70">
      <c r="A2147" s="1" t="s">
        <v>21304</v>
      </c>
      <c r="B2147" s="1" t="s">
        <v>441</v>
      </c>
      <c r="C2147" s="1" t="s">
        <v>23715</v>
      </c>
      <c r="D2147" s="1" t="s">
        <v>14816</v>
      </c>
      <c r="E2147" s="1" t="s">
        <v>7626</v>
      </c>
      <c r="F2147" s="1" t="s">
        <v>1156</v>
      </c>
      <c r="G2147" s="1" t="s">
        <v>23716</v>
      </c>
      <c r="H2147" s="1" t="s">
        <v>23717</v>
      </c>
      <c r="I2147" s="1" t="s">
        <v>23718</v>
      </c>
      <c r="J2147" s="1">
        <v>8591865773</v>
      </c>
      <c r="K2147" s="1" t="s">
        <v>148</v>
      </c>
      <c r="L2147" s="1" t="s">
        <v>16656</v>
      </c>
      <c r="M2147" s="1" t="s">
        <v>81</v>
      </c>
      <c r="N2147" s="1" t="s">
        <v>1448</v>
      </c>
      <c r="O2147" s="1"/>
      <c r="P2147" s="1" t="s">
        <v>497</v>
      </c>
      <c r="Q2147" s="1" t="s">
        <v>23719</v>
      </c>
      <c r="R2147" s="1" t="s">
        <v>23720</v>
      </c>
      <c r="S2147" s="1">
        <v>9833895560</v>
      </c>
      <c r="T2147" s="1" t="s">
        <v>87</v>
      </c>
      <c r="U2147" s="1" t="s">
        <v>23721</v>
      </c>
      <c r="V2147" s="1">
        <v>9920975560</v>
      </c>
      <c r="W2147" s="1" t="s">
        <v>89</v>
      </c>
      <c r="X2147" s="1" t="s">
        <v>23722</v>
      </c>
      <c r="Y2147" s="1" t="s">
        <v>991</v>
      </c>
      <c r="Z2147" s="1" t="s">
        <v>92</v>
      </c>
      <c r="AA2147" s="1" t="s">
        <v>23722</v>
      </c>
      <c r="AB2147" s="1" t="s">
        <v>991</v>
      </c>
      <c r="AC2147" s="1" t="s">
        <v>92</v>
      </c>
      <c r="AD2147" s="1">
        <v>9.19</v>
      </c>
      <c r="AE2147" s="1" t="s">
        <v>93</v>
      </c>
      <c r="AF2147" s="1" t="s">
        <v>23723</v>
      </c>
      <c r="AG2147" s="1" t="s">
        <v>23724</v>
      </c>
      <c r="AH2147" s="1" t="s">
        <v>1088</v>
      </c>
      <c r="AI2147" s="1" t="s">
        <v>614</v>
      </c>
      <c r="AJ2147" s="1">
        <v>90</v>
      </c>
      <c r="AK2147" s="1"/>
      <c r="AL2147" s="1" t="s">
        <v>23725</v>
      </c>
      <c r="AM2147" s="1" t="s">
        <v>23726</v>
      </c>
      <c r="AN2147" s="1" t="s">
        <v>689</v>
      </c>
      <c r="AO2147" s="1" t="s">
        <v>1455</v>
      </c>
      <c r="AP2147" s="1">
        <v>79.69</v>
      </c>
      <c r="AQ2147" s="1"/>
      <c r="AR2147" s="1"/>
      <c r="AS2147" s="1"/>
      <c r="AT2147" s="1"/>
      <c r="AU2147" s="1"/>
      <c r="AV2147" s="1"/>
      <c r="AW2147" s="1"/>
      <c r="AX2147" s="1" t="s">
        <v>253</v>
      </c>
      <c r="AY2147" s="1" t="s">
        <v>20567</v>
      </c>
      <c r="AZ2147" s="1" t="s">
        <v>166</v>
      </c>
      <c r="BA2147" s="1" t="s">
        <v>566</v>
      </c>
      <c r="BB2147" s="1">
        <v>72.01</v>
      </c>
      <c r="BC2147" s="1">
        <v>8.11</v>
      </c>
      <c r="BD2147" s="1"/>
      <c r="BE2147" s="1"/>
      <c r="BF2147" s="1"/>
      <c r="BG2147" s="1"/>
      <c r="BH2147" s="1"/>
      <c r="BI2147" s="1"/>
      <c r="BJ2147" s="1" t="s">
        <v>23727</v>
      </c>
      <c r="BK2147" s="1" t="s">
        <v>23728</v>
      </c>
      <c r="BL2147" s="1" t="s">
        <v>762</v>
      </c>
      <c r="BM2147" s="1" t="s">
        <v>23729</v>
      </c>
      <c r="BN2147" s="1">
        <v>31</v>
      </c>
      <c r="BO2147" s="1"/>
      <c r="BP2147" s="1" t="str">
        <f>HYPERLINK("https://nconnect.nicmar.ac.in/storage/profile/ProfilePhoto_P25701129_129463.jpg","Download")</f>
        <v>0</v>
      </c>
      <c r="BQ2147" s="3"/>
      <c r="BR2147" s="3"/>
    </row>
    <row r="2148" spans="1:70">
      <c r="A2148" s="1" t="s">
        <v>21304</v>
      </c>
      <c r="B2148" s="1" t="s">
        <v>441</v>
      </c>
      <c r="C2148" s="1" t="s">
        <v>23730</v>
      </c>
      <c r="D2148" s="1" t="s">
        <v>23731</v>
      </c>
      <c r="E2148" s="1"/>
      <c r="F2148" s="1" t="s">
        <v>7747</v>
      </c>
      <c r="G2148" s="1" t="s">
        <v>23732</v>
      </c>
      <c r="H2148" s="1" t="s">
        <v>23733</v>
      </c>
      <c r="I2148" s="1" t="s">
        <v>23734</v>
      </c>
      <c r="J2148" s="1">
        <v>8977175493</v>
      </c>
      <c r="K2148" s="1" t="s">
        <v>79</v>
      </c>
      <c r="L2148" s="1" t="s">
        <v>23735</v>
      </c>
      <c r="M2148" s="1" t="s">
        <v>81</v>
      </c>
      <c r="N2148" s="1" t="s">
        <v>19745</v>
      </c>
      <c r="O2148" s="1" t="s">
        <v>23736</v>
      </c>
      <c r="P2148" s="1" t="s">
        <v>497</v>
      </c>
      <c r="Q2148" s="1" t="s">
        <v>23737</v>
      </c>
      <c r="R2148" s="1" t="s">
        <v>23738</v>
      </c>
      <c r="S2148" s="1">
        <v>8121205217</v>
      </c>
      <c r="T2148" s="1" t="s">
        <v>23739</v>
      </c>
      <c r="U2148" s="1" t="s">
        <v>23740</v>
      </c>
      <c r="V2148" s="1">
        <v>8121205217</v>
      </c>
      <c r="W2148" s="1" t="s">
        <v>273</v>
      </c>
      <c r="X2148" s="1" t="s">
        <v>23741</v>
      </c>
      <c r="Y2148" s="1" t="s">
        <v>12800</v>
      </c>
      <c r="Z2148" s="1" t="s">
        <v>276</v>
      </c>
      <c r="AA2148" s="1" t="s">
        <v>23741</v>
      </c>
      <c r="AB2148" s="1" t="s">
        <v>12800</v>
      </c>
      <c r="AC2148" s="1" t="s">
        <v>276</v>
      </c>
      <c r="AD2148" s="1" t="s">
        <v>93</v>
      </c>
      <c r="AE2148" s="1" t="s">
        <v>93</v>
      </c>
      <c r="AF2148" s="1" t="s">
        <v>1415</v>
      </c>
      <c r="AG2148" s="1" t="s">
        <v>2310</v>
      </c>
      <c r="AH2148" s="1" t="s">
        <v>165</v>
      </c>
      <c r="AI2148" s="1" t="s">
        <v>281</v>
      </c>
      <c r="AJ2148" s="1">
        <v>97</v>
      </c>
      <c r="AK2148" s="1">
        <v>9.7</v>
      </c>
      <c r="AL2148" s="1" t="s">
        <v>3052</v>
      </c>
      <c r="AM2148" s="1" t="s">
        <v>2312</v>
      </c>
      <c r="AN2148" s="1" t="s">
        <v>433</v>
      </c>
      <c r="AO2148" s="1" t="s">
        <v>173</v>
      </c>
      <c r="AP2148" s="1">
        <v>71.53</v>
      </c>
      <c r="AQ2148" s="1">
        <v>7.53</v>
      </c>
      <c r="AR2148" s="1"/>
      <c r="AS2148" s="1"/>
      <c r="AT2148" s="1"/>
      <c r="AU2148" s="1"/>
      <c r="AV2148" s="1"/>
      <c r="AW2148" s="1"/>
      <c r="AX2148" s="1" t="s">
        <v>484</v>
      </c>
      <c r="AY2148" s="1" t="s">
        <v>23742</v>
      </c>
      <c r="AZ2148" s="1" t="s">
        <v>1148</v>
      </c>
      <c r="BA2148" s="1" t="s">
        <v>1292</v>
      </c>
      <c r="BB2148" s="1">
        <v>66.7</v>
      </c>
      <c r="BC2148" s="1">
        <v>7.17</v>
      </c>
      <c r="BD2148" s="1"/>
      <c r="BE2148" s="1"/>
      <c r="BF2148" s="1"/>
      <c r="BG2148" s="1"/>
      <c r="BH2148" s="1"/>
      <c r="BI2148" s="1"/>
      <c r="BJ2148" s="1" t="s">
        <v>567</v>
      </c>
      <c r="BK2148" s="1"/>
      <c r="BL2148" s="1"/>
      <c r="BM2148" s="1" t="s">
        <v>23743</v>
      </c>
      <c r="BN2148" s="1">
        <v>21</v>
      </c>
      <c r="BO2148" s="1"/>
      <c r="BP2148" s="1" t="str">
        <f>HYPERLINK("https://nconnect.nicmar.ac.in/storage/profile/ProfilePhoto_P25701130_516472.jpg","Download")</f>
        <v>0</v>
      </c>
      <c r="BQ2148" s="3"/>
      <c r="BR2148" s="3"/>
    </row>
    <row r="2149" spans="1:70">
      <c r="A2149" s="1" t="s">
        <v>21304</v>
      </c>
      <c r="B2149" s="1" t="s">
        <v>441</v>
      </c>
      <c r="C2149" s="1" t="s">
        <v>23744</v>
      </c>
      <c r="D2149" s="1" t="s">
        <v>23745</v>
      </c>
      <c r="E2149" s="1"/>
      <c r="F2149" s="1" t="s">
        <v>6440</v>
      </c>
      <c r="G2149" s="1" t="s">
        <v>23746</v>
      </c>
      <c r="H2149" s="1" t="s">
        <v>23747</v>
      </c>
      <c r="I2149" s="1" t="s">
        <v>23748</v>
      </c>
      <c r="J2149" s="1">
        <v>9894282616</v>
      </c>
      <c r="K2149" s="1" t="s">
        <v>79</v>
      </c>
      <c r="L2149" s="1" t="s">
        <v>9134</v>
      </c>
      <c r="M2149" s="1" t="s">
        <v>81</v>
      </c>
      <c r="N2149" s="1" t="s">
        <v>2325</v>
      </c>
      <c r="O2149" s="1" t="s">
        <v>23749</v>
      </c>
      <c r="P2149" s="1" t="s">
        <v>5905</v>
      </c>
      <c r="Q2149" s="1" t="s">
        <v>23750</v>
      </c>
      <c r="R2149" s="1" t="s">
        <v>23751</v>
      </c>
      <c r="S2149" s="1">
        <v>9443133856</v>
      </c>
      <c r="T2149" s="1" t="s">
        <v>87</v>
      </c>
      <c r="U2149" s="1" t="s">
        <v>23752</v>
      </c>
      <c r="V2149" s="1">
        <v>9486686717</v>
      </c>
      <c r="W2149" s="1" t="s">
        <v>23753</v>
      </c>
      <c r="X2149" s="1" t="s">
        <v>23754</v>
      </c>
      <c r="Y2149" s="1" t="s">
        <v>9001</v>
      </c>
      <c r="Z2149" s="1" t="s">
        <v>559</v>
      </c>
      <c r="AA2149" s="1" t="s">
        <v>23754</v>
      </c>
      <c r="AB2149" s="1" t="s">
        <v>9001</v>
      </c>
      <c r="AC2149" s="1" t="s">
        <v>559</v>
      </c>
      <c r="AD2149" s="1">
        <v>7.89</v>
      </c>
      <c r="AE2149" s="1" t="s">
        <v>93</v>
      </c>
      <c r="AF2149" s="1" t="s">
        <v>23755</v>
      </c>
      <c r="AG2149" s="1" t="s">
        <v>23756</v>
      </c>
      <c r="AH2149" s="1" t="s">
        <v>165</v>
      </c>
      <c r="AI2149" s="1" t="s">
        <v>281</v>
      </c>
      <c r="AJ2149" s="1">
        <v>75.4</v>
      </c>
      <c r="AK2149" s="1">
        <v>0</v>
      </c>
      <c r="AL2149" s="1" t="s">
        <v>23755</v>
      </c>
      <c r="AM2149" s="1" t="s">
        <v>23756</v>
      </c>
      <c r="AN2149" s="1" t="s">
        <v>433</v>
      </c>
      <c r="AO2149" s="1" t="s">
        <v>590</v>
      </c>
      <c r="AP2149" s="1">
        <v>63.16</v>
      </c>
      <c r="AQ2149" s="1">
        <v>0</v>
      </c>
      <c r="AR2149" s="1"/>
      <c r="AS2149" s="1"/>
      <c r="AT2149" s="1"/>
      <c r="AU2149" s="1"/>
      <c r="AV2149" s="1"/>
      <c r="AW2149" s="1"/>
      <c r="AX2149" s="1" t="s">
        <v>23757</v>
      </c>
      <c r="AY2149" s="1" t="s">
        <v>23756</v>
      </c>
      <c r="AZ2149" s="1" t="s">
        <v>173</v>
      </c>
      <c r="BA2149" s="1" t="s">
        <v>202</v>
      </c>
      <c r="BB2149" s="1">
        <v>69.43</v>
      </c>
      <c r="BC2149" s="1">
        <v>6.94</v>
      </c>
      <c r="BD2149" s="1"/>
      <c r="BE2149" s="1"/>
      <c r="BF2149" s="1"/>
      <c r="BG2149" s="1"/>
      <c r="BH2149" s="1"/>
      <c r="BI2149" s="1"/>
      <c r="BJ2149" s="1" t="s">
        <v>23758</v>
      </c>
      <c r="BK2149" s="1" t="s">
        <v>23759</v>
      </c>
      <c r="BL2149" s="1" t="s">
        <v>670</v>
      </c>
      <c r="BM2149" s="1" t="s">
        <v>23760</v>
      </c>
      <c r="BN2149" s="1">
        <v>10</v>
      </c>
      <c r="BO2149" s="1"/>
      <c r="BP2149" s="1" t="str">
        <f>HYPERLINK("https://nconnect.nicmar.ac.in/storage/profile/ProfilePhoto_P25701131_359184.jpg","Download")</f>
        <v>0</v>
      </c>
      <c r="BQ2149" s="3"/>
      <c r="BR2149" s="3"/>
    </row>
    <row r="2150" spans="1:70">
      <c r="A2150" s="1" t="s">
        <v>21304</v>
      </c>
      <c r="B2150" s="1" t="s">
        <v>441</v>
      </c>
      <c r="C2150" s="1" t="s">
        <v>23761</v>
      </c>
      <c r="D2150" s="1" t="s">
        <v>23762</v>
      </c>
      <c r="E2150" s="1" t="s">
        <v>7498</v>
      </c>
      <c r="F2150" s="1" t="s">
        <v>23763</v>
      </c>
      <c r="G2150" s="1" t="s">
        <v>23764</v>
      </c>
      <c r="H2150" s="1" t="s">
        <v>23765</v>
      </c>
      <c r="I2150" s="1" t="s">
        <v>23766</v>
      </c>
      <c r="J2150" s="1">
        <v>9890351124</v>
      </c>
      <c r="K2150" s="1" t="s">
        <v>79</v>
      </c>
      <c r="L2150" s="1" t="s">
        <v>23767</v>
      </c>
      <c r="M2150" s="1" t="s">
        <v>81</v>
      </c>
      <c r="N2150" s="1" t="s">
        <v>4976</v>
      </c>
      <c r="O2150" s="1" t="s">
        <v>23768</v>
      </c>
      <c r="P2150" s="1" t="s">
        <v>1007</v>
      </c>
      <c r="Q2150" s="1" t="s">
        <v>23769</v>
      </c>
      <c r="R2150" s="1" t="s">
        <v>7498</v>
      </c>
      <c r="S2150" s="1">
        <v>8208822498</v>
      </c>
      <c r="T2150" s="1" t="s">
        <v>87</v>
      </c>
      <c r="U2150" s="1" t="s">
        <v>23770</v>
      </c>
      <c r="V2150" s="1">
        <v>9890351124</v>
      </c>
      <c r="W2150" s="1" t="s">
        <v>273</v>
      </c>
      <c r="X2150" s="1" t="s">
        <v>23771</v>
      </c>
      <c r="Y2150" s="1" t="s">
        <v>405</v>
      </c>
      <c r="Z2150" s="1" t="s">
        <v>92</v>
      </c>
      <c r="AA2150" s="1" t="s">
        <v>23771</v>
      </c>
      <c r="AB2150" s="1" t="s">
        <v>405</v>
      </c>
      <c r="AC2150" s="1" t="s">
        <v>92</v>
      </c>
      <c r="AD2150" s="1">
        <v>8.84</v>
      </c>
      <c r="AE2150" s="1" t="s">
        <v>93</v>
      </c>
      <c r="AF2150" s="1" t="s">
        <v>23772</v>
      </c>
      <c r="AG2150" s="1" t="s">
        <v>23773</v>
      </c>
      <c r="AH2150" s="1" t="s">
        <v>161</v>
      </c>
      <c r="AI2150" s="1" t="s">
        <v>614</v>
      </c>
      <c r="AJ2150" s="1">
        <v>91.2</v>
      </c>
      <c r="AK2150" s="1">
        <v>9.6</v>
      </c>
      <c r="AL2150" s="1" t="s">
        <v>23772</v>
      </c>
      <c r="AM2150" s="1" t="s">
        <v>23773</v>
      </c>
      <c r="AN2150" s="1" t="s">
        <v>165</v>
      </c>
      <c r="AO2150" s="1" t="s">
        <v>101</v>
      </c>
      <c r="AP2150" s="1">
        <v>78.2</v>
      </c>
      <c r="AQ2150" s="1"/>
      <c r="AR2150" s="1"/>
      <c r="AS2150" s="1"/>
      <c r="AT2150" s="1"/>
      <c r="AU2150" s="1"/>
      <c r="AV2150" s="1"/>
      <c r="AW2150" s="1"/>
      <c r="AX2150" s="1" t="s">
        <v>4281</v>
      </c>
      <c r="AY2150" s="1" t="s">
        <v>23774</v>
      </c>
      <c r="AZ2150" s="1" t="s">
        <v>169</v>
      </c>
      <c r="BA2150" s="1" t="s">
        <v>1378</v>
      </c>
      <c r="BB2150" s="1">
        <v>79.15</v>
      </c>
      <c r="BC2150" s="1">
        <v>7.91</v>
      </c>
      <c r="BD2150" s="1"/>
      <c r="BE2150" s="1"/>
      <c r="BF2150" s="1"/>
      <c r="BG2150" s="1"/>
      <c r="BH2150" s="1"/>
      <c r="BI2150" s="1"/>
      <c r="BJ2150" s="1" t="s">
        <v>23775</v>
      </c>
      <c r="BK2150" s="1" t="s">
        <v>23776</v>
      </c>
      <c r="BL2150" s="1" t="s">
        <v>2434</v>
      </c>
      <c r="BM2150" s="1" t="s">
        <v>23777</v>
      </c>
      <c r="BN2150" s="1">
        <v>8</v>
      </c>
      <c r="BO2150" s="1" t="s">
        <v>23778</v>
      </c>
      <c r="BP2150" s="1" t="str">
        <f>HYPERLINK("https://nconnect.nicmar.ac.in/storage/profile/ProfilePhoto_P25701132_857361.jpg","Download")</f>
        <v>0</v>
      </c>
      <c r="BQ2150" s="3"/>
      <c r="BR2150" s="3"/>
    </row>
    <row r="2151" spans="1:70">
      <c r="A2151" s="1" t="s">
        <v>21304</v>
      </c>
      <c r="B2151" s="1" t="s">
        <v>441</v>
      </c>
      <c r="C2151" s="1" t="s">
        <v>23779</v>
      </c>
      <c r="D2151" s="1" t="s">
        <v>6734</v>
      </c>
      <c r="E2151" s="1" t="s">
        <v>4321</v>
      </c>
      <c r="F2151" s="1" t="s">
        <v>1156</v>
      </c>
      <c r="G2151" s="1" t="s">
        <v>23780</v>
      </c>
      <c r="H2151" s="1" t="s">
        <v>23781</v>
      </c>
      <c r="I2151" s="1" t="s">
        <v>23782</v>
      </c>
      <c r="J2151" s="1">
        <v>6360045973</v>
      </c>
      <c r="K2151" s="1" t="s">
        <v>79</v>
      </c>
      <c r="L2151" s="1" t="s">
        <v>23783</v>
      </c>
      <c r="M2151" s="1" t="s">
        <v>81</v>
      </c>
      <c r="N2151" s="1" t="s">
        <v>23784</v>
      </c>
      <c r="O2151" s="1"/>
      <c r="P2151" s="1" t="s">
        <v>472</v>
      </c>
      <c r="Q2151" s="1" t="s">
        <v>23785</v>
      </c>
      <c r="R2151" s="1" t="s">
        <v>23786</v>
      </c>
      <c r="S2151" s="1">
        <v>9448141076</v>
      </c>
      <c r="T2151" s="1" t="s">
        <v>23787</v>
      </c>
      <c r="U2151" s="1" t="s">
        <v>5292</v>
      </c>
      <c r="V2151" s="1">
        <v>9449280278</v>
      </c>
      <c r="W2151" s="1" t="s">
        <v>156</v>
      </c>
      <c r="X2151" s="1" t="s">
        <v>23788</v>
      </c>
      <c r="Y2151" s="1" t="s">
        <v>6863</v>
      </c>
      <c r="Z2151" s="1" t="s">
        <v>1187</v>
      </c>
      <c r="AA2151" s="1" t="s">
        <v>23788</v>
      </c>
      <c r="AB2151" s="1" t="s">
        <v>6863</v>
      </c>
      <c r="AC2151" s="1" t="s">
        <v>1187</v>
      </c>
      <c r="AD2151" s="1">
        <v>8.24</v>
      </c>
      <c r="AE2151" s="1" t="s">
        <v>93</v>
      </c>
      <c r="AF2151" s="1" t="s">
        <v>23789</v>
      </c>
      <c r="AG2151" s="1" t="s">
        <v>23790</v>
      </c>
      <c r="AH2151" s="1" t="s">
        <v>169</v>
      </c>
      <c r="AI2151" s="1" t="s">
        <v>409</v>
      </c>
      <c r="AJ2151" s="1">
        <v>78</v>
      </c>
      <c r="AK2151" s="1"/>
      <c r="AL2151" s="1" t="s">
        <v>23789</v>
      </c>
      <c r="AM2151" s="1" t="s">
        <v>23791</v>
      </c>
      <c r="AN2151" s="1" t="s">
        <v>433</v>
      </c>
      <c r="AO2151" s="1" t="s">
        <v>826</v>
      </c>
      <c r="AP2151" s="1">
        <v>84.4</v>
      </c>
      <c r="AQ2151" s="1"/>
      <c r="AR2151" s="1"/>
      <c r="AS2151" s="1"/>
      <c r="AT2151" s="1"/>
      <c r="AU2151" s="1"/>
      <c r="AV2151" s="1"/>
      <c r="AW2151" s="1"/>
      <c r="AX2151" s="1" t="s">
        <v>23792</v>
      </c>
      <c r="AY2151" s="1" t="s">
        <v>23793</v>
      </c>
      <c r="AZ2151" s="1" t="s">
        <v>539</v>
      </c>
      <c r="BA2151" s="1" t="s">
        <v>4109</v>
      </c>
      <c r="BB2151" s="1">
        <v>75.84</v>
      </c>
      <c r="BC2151" s="1">
        <v>3.32</v>
      </c>
      <c r="BD2151" s="1"/>
      <c r="BE2151" s="1"/>
      <c r="BF2151" s="1"/>
      <c r="BG2151" s="1"/>
      <c r="BH2151" s="1"/>
      <c r="BI2151" s="1"/>
      <c r="BJ2151" s="1" t="s">
        <v>23794</v>
      </c>
      <c r="BK2151" s="1" t="s">
        <v>23795</v>
      </c>
      <c r="BL2151" s="1" t="s">
        <v>2215</v>
      </c>
      <c r="BM2151" s="1" t="s">
        <v>23796</v>
      </c>
      <c r="BN2151" s="1">
        <v>38</v>
      </c>
      <c r="BO2151" s="1"/>
      <c r="BP2151" s="1" t="str">
        <f>HYPERLINK("https://nconnect.nicmar.ac.in/storage/profile/ProfilePhoto_P25701133_312596.jpg","Download")</f>
        <v>0</v>
      </c>
      <c r="BQ2151" s="3"/>
      <c r="BR2151" s="3"/>
    </row>
    <row r="2152" spans="1:70">
      <c r="A2152" s="1" t="s">
        <v>21304</v>
      </c>
      <c r="B2152" s="1" t="s">
        <v>441</v>
      </c>
      <c r="C2152" s="1" t="s">
        <v>23797</v>
      </c>
      <c r="D2152" s="1" t="s">
        <v>21399</v>
      </c>
      <c r="E2152" s="1" t="s">
        <v>23798</v>
      </c>
      <c r="F2152" s="1" t="s">
        <v>23799</v>
      </c>
      <c r="G2152" s="1" t="s">
        <v>23800</v>
      </c>
      <c r="H2152" s="1" t="s">
        <v>23801</v>
      </c>
      <c r="I2152" s="1" t="s">
        <v>23802</v>
      </c>
      <c r="J2152" s="1">
        <v>7620624332</v>
      </c>
      <c r="K2152" s="1" t="s">
        <v>148</v>
      </c>
      <c r="L2152" s="1" t="s">
        <v>9831</v>
      </c>
      <c r="M2152" s="1" t="s">
        <v>81</v>
      </c>
      <c r="N2152" s="1" t="s">
        <v>17090</v>
      </c>
      <c r="O2152" s="1"/>
      <c r="P2152" s="1" t="s">
        <v>497</v>
      </c>
      <c r="Q2152" s="1" t="s">
        <v>23803</v>
      </c>
      <c r="R2152" s="1" t="s">
        <v>23798</v>
      </c>
      <c r="S2152" s="1">
        <v>9420584437</v>
      </c>
      <c r="T2152" s="1" t="s">
        <v>23804</v>
      </c>
      <c r="U2152" s="1" t="s">
        <v>23805</v>
      </c>
      <c r="V2152" s="1">
        <v>7757064437</v>
      </c>
      <c r="W2152" s="1" t="s">
        <v>273</v>
      </c>
      <c r="X2152" s="1" t="s">
        <v>23806</v>
      </c>
      <c r="Y2152" s="1" t="s">
        <v>1963</v>
      </c>
      <c r="Z2152" s="1" t="s">
        <v>92</v>
      </c>
      <c r="AA2152" s="1" t="s">
        <v>23806</v>
      </c>
      <c r="AB2152" s="1" t="s">
        <v>1963</v>
      </c>
      <c r="AC2152" s="1" t="s">
        <v>92</v>
      </c>
      <c r="AD2152" s="1">
        <v>9.16</v>
      </c>
      <c r="AE2152" s="1" t="s">
        <v>93</v>
      </c>
      <c r="AF2152" s="1" t="s">
        <v>23807</v>
      </c>
      <c r="AG2152" s="1" t="s">
        <v>23808</v>
      </c>
      <c r="AH2152" s="1" t="s">
        <v>165</v>
      </c>
      <c r="AI2152" s="1" t="s">
        <v>101</v>
      </c>
      <c r="AJ2152" s="1">
        <v>94.2</v>
      </c>
      <c r="AK2152" s="1"/>
      <c r="AL2152" s="1"/>
      <c r="AM2152" s="1"/>
      <c r="AN2152" s="1"/>
      <c r="AO2152" s="1"/>
      <c r="AP2152" s="1"/>
      <c r="AQ2152" s="1"/>
      <c r="AR2152" s="1" t="s">
        <v>434</v>
      </c>
      <c r="AS2152" s="1" t="s">
        <v>23809</v>
      </c>
      <c r="AT2152" s="1" t="s">
        <v>101</v>
      </c>
      <c r="AU2152" s="1" t="s">
        <v>828</v>
      </c>
      <c r="AV2152" s="1">
        <v>95.16</v>
      </c>
      <c r="AW2152" s="1"/>
      <c r="AX2152" s="1" t="s">
        <v>1017</v>
      </c>
      <c r="AY2152" s="1" t="s">
        <v>23810</v>
      </c>
      <c r="AZ2152" s="1" t="s">
        <v>828</v>
      </c>
      <c r="BA2152" s="1" t="s">
        <v>202</v>
      </c>
      <c r="BB2152" s="1">
        <v>84.1</v>
      </c>
      <c r="BC2152" s="1">
        <v>9.16</v>
      </c>
      <c r="BD2152" s="1"/>
      <c r="BE2152" s="1"/>
      <c r="BF2152" s="1"/>
      <c r="BG2152" s="1"/>
      <c r="BH2152" s="1"/>
      <c r="BI2152" s="1"/>
      <c r="BJ2152" s="1" t="s">
        <v>23811</v>
      </c>
      <c r="BK2152" s="1" t="s">
        <v>23812</v>
      </c>
      <c r="BL2152" s="1" t="s">
        <v>2215</v>
      </c>
      <c r="BM2152" s="1" t="s">
        <v>23813</v>
      </c>
      <c r="BN2152" s="1">
        <v>21</v>
      </c>
      <c r="BO2152" s="1"/>
      <c r="BP2152" s="1" t="str">
        <f>HYPERLINK("https://nconnect.nicmar.ac.in/storage/profile/ProfilePhoto_P25701134_183274.jpg","Download")</f>
        <v>0</v>
      </c>
      <c r="BQ2152" s="3"/>
      <c r="BR2152" s="3"/>
    </row>
    <row r="2153" spans="1:70">
      <c r="A2153" s="1" t="s">
        <v>21304</v>
      </c>
      <c r="B2153" s="1" t="s">
        <v>441</v>
      </c>
      <c r="C2153" s="1" t="s">
        <v>23814</v>
      </c>
      <c r="D2153" s="1" t="s">
        <v>9798</v>
      </c>
      <c r="E2153" s="1" t="s">
        <v>2203</v>
      </c>
      <c r="F2153" s="1" t="s">
        <v>23815</v>
      </c>
      <c r="G2153" s="1" t="s">
        <v>23816</v>
      </c>
      <c r="H2153" s="1" t="s">
        <v>23817</v>
      </c>
      <c r="I2153" s="1" t="s">
        <v>23818</v>
      </c>
      <c r="J2153" s="1">
        <v>7977649274</v>
      </c>
      <c r="K2153" s="1" t="s">
        <v>79</v>
      </c>
      <c r="L2153" s="1" t="s">
        <v>23819</v>
      </c>
      <c r="M2153" s="1" t="s">
        <v>81</v>
      </c>
      <c r="N2153" s="1" t="s">
        <v>23820</v>
      </c>
      <c r="O2153" s="1"/>
      <c r="P2153" s="1" t="s">
        <v>450</v>
      </c>
      <c r="Q2153" s="1" t="s">
        <v>23821</v>
      </c>
      <c r="R2153" s="1" t="s">
        <v>23822</v>
      </c>
      <c r="S2153" s="1">
        <v>9820284959</v>
      </c>
      <c r="T2153" s="1" t="s">
        <v>6725</v>
      </c>
      <c r="U2153" s="1" t="s">
        <v>23823</v>
      </c>
      <c r="V2153" s="1">
        <v>9322850563</v>
      </c>
      <c r="W2153" s="1" t="s">
        <v>156</v>
      </c>
      <c r="X2153" s="1" t="s">
        <v>23824</v>
      </c>
      <c r="Y2153" s="1" t="s">
        <v>991</v>
      </c>
      <c r="Z2153" s="1" t="s">
        <v>92</v>
      </c>
      <c r="AA2153" s="1" t="s">
        <v>23824</v>
      </c>
      <c r="AB2153" s="1" t="s">
        <v>991</v>
      </c>
      <c r="AC2153" s="1" t="s">
        <v>92</v>
      </c>
      <c r="AD2153" s="1">
        <v>8.54</v>
      </c>
      <c r="AE2153" s="1" t="s">
        <v>93</v>
      </c>
      <c r="AF2153" s="1" t="s">
        <v>10285</v>
      </c>
      <c r="AG2153" s="1" t="s">
        <v>160</v>
      </c>
      <c r="AH2153" s="1" t="s">
        <v>23825</v>
      </c>
      <c r="AI2153" s="1" t="s">
        <v>1089</v>
      </c>
      <c r="AJ2153" s="1">
        <v>77.4</v>
      </c>
      <c r="AK2153" s="1">
        <v>0</v>
      </c>
      <c r="AL2153" s="1" t="s">
        <v>23826</v>
      </c>
      <c r="AM2153" s="1" t="s">
        <v>160</v>
      </c>
      <c r="AN2153" s="1" t="s">
        <v>1374</v>
      </c>
      <c r="AO2153" s="1" t="s">
        <v>281</v>
      </c>
      <c r="AP2153" s="1">
        <v>62.62</v>
      </c>
      <c r="AQ2153" s="1">
        <v>0</v>
      </c>
      <c r="AR2153" s="1"/>
      <c r="AS2153" s="1"/>
      <c r="AT2153" s="1"/>
      <c r="AU2153" s="1"/>
      <c r="AV2153" s="1"/>
      <c r="AW2153" s="1"/>
      <c r="AX2153" s="1" t="s">
        <v>666</v>
      </c>
      <c r="AY2153" s="1" t="s">
        <v>23827</v>
      </c>
      <c r="AZ2153" s="1" t="s">
        <v>169</v>
      </c>
      <c r="BA2153" s="1" t="s">
        <v>566</v>
      </c>
      <c r="BB2153" s="1">
        <v>58.78</v>
      </c>
      <c r="BC2153" s="1">
        <v>6.59</v>
      </c>
      <c r="BD2153" s="1"/>
      <c r="BE2153" s="1"/>
      <c r="BF2153" s="1"/>
      <c r="BG2153" s="1"/>
      <c r="BH2153" s="1"/>
      <c r="BI2153" s="1"/>
      <c r="BJ2153" s="1" t="s">
        <v>23828</v>
      </c>
      <c r="BK2153" s="1" t="s">
        <v>23829</v>
      </c>
      <c r="BL2153" s="1" t="s">
        <v>569</v>
      </c>
      <c r="BM2153" s="1" t="s">
        <v>23830</v>
      </c>
      <c r="BN2153" s="1">
        <v>27</v>
      </c>
      <c r="BO2153" s="1"/>
      <c r="BP2153" s="1" t="str">
        <f>HYPERLINK("https://nconnect.nicmar.ac.in/storage/profile/ProfilePhoto_P25701135_748916.jpg","Download")</f>
        <v>0</v>
      </c>
      <c r="BQ2153" s="3"/>
      <c r="BR2153" s="3"/>
    </row>
    <row r="2154" spans="1:70">
      <c r="A2154" s="1" t="s">
        <v>21304</v>
      </c>
      <c r="B2154" s="1" t="s">
        <v>441</v>
      </c>
      <c r="C2154" s="1" t="s">
        <v>23831</v>
      </c>
      <c r="D2154" s="1" t="s">
        <v>23832</v>
      </c>
      <c r="E2154" s="1" t="s">
        <v>6871</v>
      </c>
      <c r="F2154" s="1" t="s">
        <v>5155</v>
      </c>
      <c r="G2154" s="1" t="s">
        <v>23833</v>
      </c>
      <c r="H2154" s="1" t="s">
        <v>23834</v>
      </c>
      <c r="I2154" s="1" t="s">
        <v>23835</v>
      </c>
      <c r="J2154" s="1">
        <v>9167756977</v>
      </c>
      <c r="K2154" s="1" t="s">
        <v>148</v>
      </c>
      <c r="L2154" s="1" t="s">
        <v>17064</v>
      </c>
      <c r="M2154" s="1" t="s">
        <v>81</v>
      </c>
      <c r="N2154" s="1" t="s">
        <v>23836</v>
      </c>
      <c r="O2154" s="1"/>
      <c r="P2154" s="1" t="s">
        <v>497</v>
      </c>
      <c r="Q2154" s="1" t="s">
        <v>23837</v>
      </c>
      <c r="R2154" s="1" t="s">
        <v>23838</v>
      </c>
      <c r="S2154" s="1">
        <v>9819844128</v>
      </c>
      <c r="T2154" s="1" t="s">
        <v>820</v>
      </c>
      <c r="U2154" s="1" t="s">
        <v>23839</v>
      </c>
      <c r="V2154" s="1">
        <v>9819575594</v>
      </c>
      <c r="W2154" s="1" t="s">
        <v>531</v>
      </c>
      <c r="X2154" s="1" t="s">
        <v>23840</v>
      </c>
      <c r="Y2154" s="1" t="s">
        <v>2229</v>
      </c>
      <c r="Z2154" s="1" t="s">
        <v>92</v>
      </c>
      <c r="AA2154" s="1" t="s">
        <v>23840</v>
      </c>
      <c r="AB2154" s="1" t="s">
        <v>2229</v>
      </c>
      <c r="AC2154" s="1" t="s">
        <v>92</v>
      </c>
      <c r="AD2154" s="1">
        <v>9.54</v>
      </c>
      <c r="AE2154" s="1" t="s">
        <v>93</v>
      </c>
      <c r="AF2154" s="1" t="s">
        <v>2231</v>
      </c>
      <c r="AG2154" s="1" t="s">
        <v>160</v>
      </c>
      <c r="AH2154" s="1" t="s">
        <v>97</v>
      </c>
      <c r="AI2154" s="1" t="s">
        <v>1089</v>
      </c>
      <c r="AJ2154" s="1">
        <v>86.8</v>
      </c>
      <c r="AK2154" s="1"/>
      <c r="AL2154" s="1" t="s">
        <v>15349</v>
      </c>
      <c r="AM2154" s="1" t="s">
        <v>160</v>
      </c>
      <c r="AN2154" s="1" t="s">
        <v>162</v>
      </c>
      <c r="AO2154" s="1" t="s">
        <v>1455</v>
      </c>
      <c r="AP2154" s="1">
        <v>72.31</v>
      </c>
      <c r="AQ2154" s="1"/>
      <c r="AR2154" s="1"/>
      <c r="AS2154" s="1"/>
      <c r="AT2154" s="1"/>
      <c r="AU2154" s="1"/>
      <c r="AV2154" s="1"/>
      <c r="AW2154" s="1"/>
      <c r="AX2154" s="1" t="s">
        <v>253</v>
      </c>
      <c r="AY2154" s="1" t="s">
        <v>23280</v>
      </c>
      <c r="AZ2154" s="1" t="s">
        <v>169</v>
      </c>
      <c r="BA2154" s="1" t="s">
        <v>566</v>
      </c>
      <c r="BB2154" s="1">
        <v>77.86</v>
      </c>
      <c r="BC2154" s="1"/>
      <c r="BD2154" s="1"/>
      <c r="BE2154" s="1"/>
      <c r="BF2154" s="1"/>
      <c r="BG2154" s="1"/>
      <c r="BH2154" s="1"/>
      <c r="BI2154" s="1"/>
      <c r="BJ2154" s="1" t="s">
        <v>23841</v>
      </c>
      <c r="BK2154" s="1" t="s">
        <v>23842</v>
      </c>
      <c r="BL2154" s="1" t="s">
        <v>569</v>
      </c>
      <c r="BM2154" s="1" t="s">
        <v>23843</v>
      </c>
      <c r="BN2154" s="1">
        <v>27</v>
      </c>
      <c r="BO2154" s="1" t="s">
        <v>23844</v>
      </c>
      <c r="BP2154" s="1" t="str">
        <f>HYPERLINK("https://nconnect.nicmar.ac.in/storage/profile/ProfilePhoto_P25701136_172468.jpg","Download")</f>
        <v>0</v>
      </c>
      <c r="BQ2154" s="3"/>
      <c r="BR2154" s="3"/>
    </row>
    <row r="2155" spans="1:70">
      <c r="A2155" s="1" t="s">
        <v>21304</v>
      </c>
      <c r="B2155" s="1" t="s">
        <v>441</v>
      </c>
      <c r="C2155" s="1" t="s">
        <v>23845</v>
      </c>
      <c r="D2155" s="1" t="s">
        <v>23510</v>
      </c>
      <c r="E2155" s="1" t="s">
        <v>11121</v>
      </c>
      <c r="F2155" s="1" t="s">
        <v>23846</v>
      </c>
      <c r="G2155" s="1" t="s">
        <v>23847</v>
      </c>
      <c r="H2155" s="1" t="s">
        <v>23848</v>
      </c>
      <c r="I2155" s="1" t="s">
        <v>23849</v>
      </c>
      <c r="J2155" s="1">
        <v>8806600943</v>
      </c>
      <c r="K2155" s="1" t="s">
        <v>148</v>
      </c>
      <c r="L2155" s="1" t="s">
        <v>5401</v>
      </c>
      <c r="M2155" s="1" t="s">
        <v>81</v>
      </c>
      <c r="N2155" s="1" t="s">
        <v>1448</v>
      </c>
      <c r="O2155" s="1" t="s">
        <v>23850</v>
      </c>
      <c r="P2155" s="1" t="s">
        <v>497</v>
      </c>
      <c r="Q2155" s="1" t="s">
        <v>23851</v>
      </c>
      <c r="R2155" s="1" t="s">
        <v>11121</v>
      </c>
      <c r="S2155" s="1">
        <v>9511821507</v>
      </c>
      <c r="T2155" s="1" t="s">
        <v>820</v>
      </c>
      <c r="U2155" s="1" t="s">
        <v>23852</v>
      </c>
      <c r="V2155" s="1">
        <v>8806223092</v>
      </c>
      <c r="W2155" s="1" t="s">
        <v>531</v>
      </c>
      <c r="X2155" s="1" t="s">
        <v>23853</v>
      </c>
      <c r="Y2155" s="1" t="s">
        <v>5087</v>
      </c>
      <c r="Z2155" s="1" t="s">
        <v>92</v>
      </c>
      <c r="AA2155" s="1" t="s">
        <v>23853</v>
      </c>
      <c r="AB2155" s="1" t="s">
        <v>5087</v>
      </c>
      <c r="AC2155" s="1" t="s">
        <v>92</v>
      </c>
      <c r="AD2155" s="1">
        <v>7.91</v>
      </c>
      <c r="AE2155" s="1" t="s">
        <v>93</v>
      </c>
      <c r="AF2155" s="1" t="s">
        <v>23854</v>
      </c>
      <c r="AG2155" s="1" t="s">
        <v>4866</v>
      </c>
      <c r="AH2155" s="1" t="s">
        <v>1089</v>
      </c>
      <c r="AI2155" s="1" t="s">
        <v>195</v>
      </c>
      <c r="AJ2155" s="1">
        <v>89.3</v>
      </c>
      <c r="AK2155" s="1">
        <v>9.4</v>
      </c>
      <c r="AL2155" s="1" t="s">
        <v>23855</v>
      </c>
      <c r="AM2155" s="1" t="s">
        <v>23856</v>
      </c>
      <c r="AN2155" s="1" t="s">
        <v>281</v>
      </c>
      <c r="AO2155" s="1" t="s">
        <v>198</v>
      </c>
      <c r="AP2155" s="1">
        <v>69.23</v>
      </c>
      <c r="AQ2155" s="1"/>
      <c r="AR2155" s="1"/>
      <c r="AS2155" s="1"/>
      <c r="AT2155" s="1"/>
      <c r="AU2155" s="1"/>
      <c r="AV2155" s="1"/>
      <c r="AW2155" s="1"/>
      <c r="AX2155" s="1" t="s">
        <v>361</v>
      </c>
      <c r="AY2155" s="1" t="s">
        <v>23857</v>
      </c>
      <c r="AZ2155" s="1" t="s">
        <v>433</v>
      </c>
      <c r="BA2155" s="1" t="s">
        <v>1292</v>
      </c>
      <c r="BB2155" s="1">
        <v>66.48</v>
      </c>
      <c r="BC2155" s="1">
        <v>7.47</v>
      </c>
      <c r="BD2155" s="1"/>
      <c r="BE2155" s="1"/>
      <c r="BF2155" s="1"/>
      <c r="BG2155" s="1"/>
      <c r="BH2155" s="1"/>
      <c r="BI2155" s="1"/>
      <c r="BJ2155" s="1" t="s">
        <v>23858</v>
      </c>
      <c r="BK2155" s="1" t="s">
        <v>23859</v>
      </c>
      <c r="BL2155" s="1" t="s">
        <v>670</v>
      </c>
      <c r="BM2155" s="1" t="s">
        <v>23860</v>
      </c>
      <c r="BN2155" s="1">
        <v>28</v>
      </c>
      <c r="BO2155" s="1"/>
      <c r="BP2155" s="1" t="str">
        <f>HYPERLINK("https://nconnect.nicmar.ac.in/storage/profile/ProfilePhoto_P25701137_312786.jpg","Download")</f>
        <v>0</v>
      </c>
      <c r="BQ2155" s="3"/>
      <c r="BR2155" s="3"/>
    </row>
    <row r="2156" spans="1:70">
      <c r="A2156" s="1" t="s">
        <v>21304</v>
      </c>
      <c r="B2156" s="1" t="s">
        <v>441</v>
      </c>
      <c r="C2156" s="1" t="s">
        <v>23861</v>
      </c>
      <c r="D2156" s="1" t="s">
        <v>23862</v>
      </c>
      <c r="E2156" s="1" t="s">
        <v>1000</v>
      </c>
      <c r="F2156" s="1" t="s">
        <v>23863</v>
      </c>
      <c r="G2156" s="1" t="s">
        <v>23864</v>
      </c>
      <c r="H2156" s="1" t="s">
        <v>23865</v>
      </c>
      <c r="I2156" s="1" t="s">
        <v>23866</v>
      </c>
      <c r="J2156" s="1">
        <v>7020585299</v>
      </c>
      <c r="K2156" s="1" t="s">
        <v>148</v>
      </c>
      <c r="L2156" s="1" t="s">
        <v>9592</v>
      </c>
      <c r="M2156" s="1" t="s">
        <v>81</v>
      </c>
      <c r="N2156" s="1" t="s">
        <v>605</v>
      </c>
      <c r="O2156" s="1"/>
      <c r="P2156" s="1" t="s">
        <v>1007</v>
      </c>
      <c r="Q2156" s="1" t="s">
        <v>23867</v>
      </c>
      <c r="R2156" s="1" t="s">
        <v>1000</v>
      </c>
      <c r="S2156" s="1">
        <v>9822303569</v>
      </c>
      <c r="T2156" s="1" t="s">
        <v>906</v>
      </c>
      <c r="U2156" s="1" t="s">
        <v>23868</v>
      </c>
      <c r="V2156" s="1">
        <v>9822899620</v>
      </c>
      <c r="W2156" s="1" t="s">
        <v>156</v>
      </c>
      <c r="X2156" s="1" t="s">
        <v>23869</v>
      </c>
      <c r="Y2156" s="1" t="s">
        <v>1754</v>
      </c>
      <c r="Z2156" s="1" t="s">
        <v>92</v>
      </c>
      <c r="AA2156" s="1" t="s">
        <v>23869</v>
      </c>
      <c r="AB2156" s="1" t="s">
        <v>1754</v>
      </c>
      <c r="AC2156" s="1" t="s">
        <v>92</v>
      </c>
      <c r="AD2156" s="1">
        <v>9.86</v>
      </c>
      <c r="AE2156" s="1" t="s">
        <v>93</v>
      </c>
      <c r="AF2156" s="1" t="s">
        <v>23870</v>
      </c>
      <c r="AG2156" s="1" t="s">
        <v>758</v>
      </c>
      <c r="AH2156" s="1" t="s">
        <v>162</v>
      </c>
      <c r="AI2156" s="1" t="s">
        <v>165</v>
      </c>
      <c r="AJ2156" s="1">
        <v>95</v>
      </c>
      <c r="AK2156" s="1">
        <v>10</v>
      </c>
      <c r="AL2156" s="1" t="s">
        <v>23870</v>
      </c>
      <c r="AM2156" s="1" t="s">
        <v>758</v>
      </c>
      <c r="AN2156" s="1" t="s">
        <v>101</v>
      </c>
      <c r="AO2156" s="1" t="s">
        <v>308</v>
      </c>
      <c r="AP2156" s="1">
        <v>90.2</v>
      </c>
      <c r="AQ2156" s="1">
        <v>0</v>
      </c>
      <c r="AR2156" s="1"/>
      <c r="AS2156" s="1"/>
      <c r="AT2156" s="1"/>
      <c r="AU2156" s="1"/>
      <c r="AV2156" s="1"/>
      <c r="AW2156" s="1"/>
      <c r="AX2156" s="1" t="s">
        <v>253</v>
      </c>
      <c r="AY2156" s="1" t="s">
        <v>23871</v>
      </c>
      <c r="AZ2156" s="1" t="s">
        <v>310</v>
      </c>
      <c r="BA2156" s="1" t="s">
        <v>1292</v>
      </c>
      <c r="BB2156" s="1">
        <v>71.2</v>
      </c>
      <c r="BC2156" s="1">
        <v>8</v>
      </c>
      <c r="BD2156" s="1"/>
      <c r="BE2156" s="1"/>
      <c r="BF2156" s="1"/>
      <c r="BG2156" s="1"/>
      <c r="BH2156" s="1"/>
      <c r="BI2156" s="1"/>
      <c r="BJ2156" s="1" t="s">
        <v>23872</v>
      </c>
      <c r="BK2156" s="1" t="s">
        <v>23873</v>
      </c>
      <c r="BL2156" s="1" t="s">
        <v>9384</v>
      </c>
      <c r="BM2156" s="1" t="s">
        <v>23874</v>
      </c>
      <c r="BN2156" s="1">
        <v>29</v>
      </c>
      <c r="BO2156" s="1"/>
      <c r="BP2156" s="1" t="str">
        <f>HYPERLINK("https://nconnect.nicmar.ac.in/storage/profile/ProfilePhoto_P25701138_614237.jpg","Download")</f>
        <v>0</v>
      </c>
      <c r="BQ2156" s="3"/>
      <c r="BR2156" s="3"/>
    </row>
    <row r="2157" spans="1:70">
      <c r="A2157" s="1" t="s">
        <v>21304</v>
      </c>
      <c r="B2157" s="1" t="s">
        <v>441</v>
      </c>
      <c r="C2157" s="1" t="s">
        <v>23875</v>
      </c>
      <c r="D2157" s="1" t="s">
        <v>23876</v>
      </c>
      <c r="E2157" s="1" t="s">
        <v>1938</v>
      </c>
      <c r="F2157" s="1" t="s">
        <v>23877</v>
      </c>
      <c r="G2157" s="1" t="s">
        <v>23878</v>
      </c>
      <c r="H2157" s="1" t="s">
        <v>23879</v>
      </c>
      <c r="I2157" s="1" t="s">
        <v>23880</v>
      </c>
      <c r="J2157" s="1">
        <v>9167170423</v>
      </c>
      <c r="K2157" s="1" t="s">
        <v>148</v>
      </c>
      <c r="L2157" s="1" t="s">
        <v>23881</v>
      </c>
      <c r="M2157" s="1" t="s">
        <v>81</v>
      </c>
      <c r="N2157" s="1" t="s">
        <v>23882</v>
      </c>
      <c r="O2157" s="1"/>
      <c r="P2157" s="1" t="s">
        <v>1007</v>
      </c>
      <c r="Q2157" s="1" t="s">
        <v>23883</v>
      </c>
      <c r="R2157" s="1" t="s">
        <v>23877</v>
      </c>
      <c r="S2157" s="1">
        <v>9833703789</v>
      </c>
      <c r="T2157" s="1" t="s">
        <v>23884</v>
      </c>
      <c r="U2157" s="1" t="s">
        <v>23885</v>
      </c>
      <c r="V2157" s="1">
        <v>9769014918</v>
      </c>
      <c r="W2157" s="1" t="s">
        <v>273</v>
      </c>
      <c r="X2157" s="1" t="s">
        <v>23886</v>
      </c>
      <c r="Y2157" s="1" t="s">
        <v>1166</v>
      </c>
      <c r="Z2157" s="1" t="s">
        <v>92</v>
      </c>
      <c r="AA2157" s="1" t="s">
        <v>23887</v>
      </c>
      <c r="AB2157" s="1" t="s">
        <v>1857</v>
      </c>
      <c r="AC2157" s="1" t="s">
        <v>92</v>
      </c>
      <c r="AD2157" s="1">
        <v>7.65</v>
      </c>
      <c r="AE2157" s="1" t="s">
        <v>93</v>
      </c>
      <c r="AF2157" s="1" t="s">
        <v>23888</v>
      </c>
      <c r="AG2157" s="1" t="s">
        <v>1942</v>
      </c>
      <c r="AH2157" s="1" t="s">
        <v>161</v>
      </c>
      <c r="AI2157" s="1" t="s">
        <v>162</v>
      </c>
      <c r="AJ2157" s="1">
        <v>72.2</v>
      </c>
      <c r="AK2157" s="1"/>
      <c r="AL2157" s="1"/>
      <c r="AM2157" s="1"/>
      <c r="AN2157" s="1"/>
      <c r="AO2157" s="1"/>
      <c r="AP2157" s="1"/>
      <c r="AQ2157" s="1"/>
      <c r="AR2157" s="1" t="s">
        <v>98</v>
      </c>
      <c r="AS2157" s="1" t="s">
        <v>23889</v>
      </c>
      <c r="AT2157" s="1" t="s">
        <v>134</v>
      </c>
      <c r="AU2157" s="1" t="s">
        <v>433</v>
      </c>
      <c r="AV2157" s="1">
        <v>70.06</v>
      </c>
      <c r="AW2157" s="1"/>
      <c r="AX2157" s="1" t="s">
        <v>666</v>
      </c>
      <c r="AY2157" s="1" t="s">
        <v>23890</v>
      </c>
      <c r="AZ2157" s="1" t="s">
        <v>201</v>
      </c>
      <c r="BA2157" s="1" t="s">
        <v>105</v>
      </c>
      <c r="BB2157" s="1">
        <v>71.01</v>
      </c>
      <c r="BC2157" s="1"/>
      <c r="BD2157" s="1"/>
      <c r="BE2157" s="1" t="s">
        <v>6026</v>
      </c>
      <c r="BF2157" s="1" t="s">
        <v>1379</v>
      </c>
      <c r="BG2157" s="1" t="s">
        <v>23891</v>
      </c>
      <c r="BH2157" s="1">
        <v>0</v>
      </c>
      <c r="BI2157" s="1"/>
      <c r="BJ2157" s="1" t="s">
        <v>23892</v>
      </c>
      <c r="BK2157" s="1" t="s">
        <v>23893</v>
      </c>
      <c r="BL2157" s="1" t="s">
        <v>2215</v>
      </c>
      <c r="BM2157" s="1" t="s">
        <v>23894</v>
      </c>
      <c r="BN2157" s="1">
        <v>8</v>
      </c>
      <c r="BO2157" s="1" t="s">
        <v>23895</v>
      </c>
      <c r="BP2157" s="1" t="str">
        <f>HYPERLINK("https://nconnect.nicmar.ac.in/storage/profile/ProfilePhoto_P25701139_685329.jpg","Download")</f>
        <v>0</v>
      </c>
      <c r="BQ2157" s="3"/>
      <c r="BR2157" s="3"/>
    </row>
    <row r="2158" spans="1:70">
      <c r="A2158" s="1" t="s">
        <v>21304</v>
      </c>
      <c r="B2158" s="1" t="s">
        <v>441</v>
      </c>
      <c r="C2158" s="1" t="s">
        <v>23896</v>
      </c>
      <c r="D2158" s="1" t="s">
        <v>3060</v>
      </c>
      <c r="E2158" s="1" t="s">
        <v>1113</v>
      </c>
      <c r="F2158" s="1" t="s">
        <v>1156</v>
      </c>
      <c r="G2158" s="1" t="s">
        <v>23897</v>
      </c>
      <c r="H2158" s="1" t="s">
        <v>23898</v>
      </c>
      <c r="I2158" s="1" t="s">
        <v>23899</v>
      </c>
      <c r="J2158" s="1">
        <v>9850059829</v>
      </c>
      <c r="K2158" s="1" t="s">
        <v>148</v>
      </c>
      <c r="L2158" s="1" t="s">
        <v>23900</v>
      </c>
      <c r="M2158" s="1" t="s">
        <v>81</v>
      </c>
      <c r="N2158" s="1" t="s">
        <v>6087</v>
      </c>
      <c r="O2158" s="1"/>
      <c r="P2158" s="1" t="s">
        <v>472</v>
      </c>
      <c r="Q2158" s="1" t="s">
        <v>23901</v>
      </c>
      <c r="R2158" s="1" t="s">
        <v>1113</v>
      </c>
      <c r="S2158" s="1">
        <v>9272630873</v>
      </c>
      <c r="T2158" s="1" t="s">
        <v>632</v>
      </c>
      <c r="U2158" s="1" t="s">
        <v>23902</v>
      </c>
      <c r="V2158" s="1">
        <v>9822553515</v>
      </c>
      <c r="W2158" s="1" t="s">
        <v>273</v>
      </c>
      <c r="X2158" s="1" t="s">
        <v>23903</v>
      </c>
      <c r="Y2158" s="1" t="s">
        <v>5185</v>
      </c>
      <c r="Z2158" s="1" t="s">
        <v>92</v>
      </c>
      <c r="AA2158" s="1" t="s">
        <v>23903</v>
      </c>
      <c r="AB2158" s="1" t="s">
        <v>5185</v>
      </c>
      <c r="AC2158" s="1" t="s">
        <v>92</v>
      </c>
      <c r="AD2158" s="1">
        <v>7.89</v>
      </c>
      <c r="AE2158" s="1" t="s">
        <v>93</v>
      </c>
      <c r="AF2158" s="1" t="s">
        <v>23904</v>
      </c>
      <c r="AG2158" s="1" t="s">
        <v>160</v>
      </c>
      <c r="AH2158" s="1" t="s">
        <v>165</v>
      </c>
      <c r="AI2158" s="1" t="s">
        <v>101</v>
      </c>
      <c r="AJ2158" s="1">
        <v>84.2</v>
      </c>
      <c r="AK2158" s="1"/>
      <c r="AL2158" s="1" t="s">
        <v>23905</v>
      </c>
      <c r="AM2158" s="1" t="s">
        <v>160</v>
      </c>
      <c r="AN2158" s="1" t="s">
        <v>433</v>
      </c>
      <c r="AO2158" s="1" t="s">
        <v>1019</v>
      </c>
      <c r="AP2158" s="1">
        <v>63.85</v>
      </c>
      <c r="AQ2158" s="1"/>
      <c r="AR2158" s="1"/>
      <c r="AS2158" s="1"/>
      <c r="AT2158" s="1"/>
      <c r="AU2158" s="1"/>
      <c r="AV2158" s="1"/>
      <c r="AW2158" s="1"/>
      <c r="AX2158" s="1" t="s">
        <v>361</v>
      </c>
      <c r="AY2158" s="1" t="s">
        <v>23906</v>
      </c>
      <c r="AZ2158" s="1" t="s">
        <v>363</v>
      </c>
      <c r="BA2158" s="1" t="s">
        <v>829</v>
      </c>
      <c r="BB2158" s="1">
        <v>59.5</v>
      </c>
      <c r="BC2158" s="1">
        <v>6.69</v>
      </c>
      <c r="BD2158" s="1"/>
      <c r="BE2158" s="1"/>
      <c r="BF2158" s="1"/>
      <c r="BG2158" s="1"/>
      <c r="BH2158" s="1"/>
      <c r="BI2158" s="1"/>
      <c r="BJ2158" s="1" t="s">
        <v>23907</v>
      </c>
      <c r="BK2158" s="1"/>
      <c r="BL2158" s="1"/>
      <c r="BM2158" s="1" t="s">
        <v>23908</v>
      </c>
      <c r="BN2158" s="1">
        <v>24</v>
      </c>
      <c r="BO2158" s="1" t="s">
        <v>23909</v>
      </c>
      <c r="BP2158" s="1" t="str">
        <f>HYPERLINK("https://nconnect.nicmar.ac.in/storage/profile/ProfilePhoto_P25701140_987256.jpg","Download")</f>
        <v>0</v>
      </c>
      <c r="BQ2158" s="3"/>
      <c r="BR2158" s="3"/>
    </row>
    <row r="2159" spans="1:70">
      <c r="A2159" s="1" t="s">
        <v>21304</v>
      </c>
      <c r="B2159" s="1" t="s">
        <v>441</v>
      </c>
      <c r="C2159" s="1" t="s">
        <v>23910</v>
      </c>
      <c r="D2159" s="1" t="s">
        <v>23911</v>
      </c>
      <c r="E2159" s="1" t="s">
        <v>490</v>
      </c>
      <c r="F2159" s="1" t="s">
        <v>23912</v>
      </c>
      <c r="G2159" s="1" t="s">
        <v>23913</v>
      </c>
      <c r="H2159" s="1" t="s">
        <v>23914</v>
      </c>
      <c r="I2159" s="1" t="s">
        <v>23915</v>
      </c>
      <c r="J2159" s="1">
        <v>9922911601</v>
      </c>
      <c r="K2159" s="1" t="s">
        <v>79</v>
      </c>
      <c r="L2159" s="1" t="s">
        <v>23916</v>
      </c>
      <c r="M2159" s="1" t="s">
        <v>81</v>
      </c>
      <c r="N2159" s="1" t="s">
        <v>4657</v>
      </c>
      <c r="O2159" s="1"/>
      <c r="P2159" s="1" t="s">
        <v>497</v>
      </c>
      <c r="Q2159" s="1" t="s">
        <v>23917</v>
      </c>
      <c r="R2159" s="1" t="s">
        <v>23918</v>
      </c>
      <c r="S2159" s="1">
        <v>9527601601</v>
      </c>
      <c r="T2159" s="1" t="s">
        <v>4698</v>
      </c>
      <c r="U2159" s="1" t="s">
        <v>23919</v>
      </c>
      <c r="V2159" s="1">
        <v>9850881601</v>
      </c>
      <c r="W2159" s="1" t="s">
        <v>122</v>
      </c>
      <c r="X2159" s="1" t="s">
        <v>23920</v>
      </c>
      <c r="Y2159" s="1" t="s">
        <v>158</v>
      </c>
      <c r="Z2159" s="1" t="s">
        <v>92</v>
      </c>
      <c r="AA2159" s="1" t="s">
        <v>23920</v>
      </c>
      <c r="AB2159" s="1" t="s">
        <v>158</v>
      </c>
      <c r="AC2159" s="1" t="s">
        <v>92</v>
      </c>
      <c r="AD2159" s="1">
        <v>8.8</v>
      </c>
      <c r="AE2159" s="1" t="s">
        <v>93</v>
      </c>
      <c r="AF2159" s="1" t="s">
        <v>23921</v>
      </c>
      <c r="AG2159" s="1" t="s">
        <v>1942</v>
      </c>
      <c r="AH2159" s="1" t="s">
        <v>162</v>
      </c>
      <c r="AI2159" s="1" t="s">
        <v>195</v>
      </c>
      <c r="AJ2159" s="1">
        <v>86</v>
      </c>
      <c r="AK2159" s="1"/>
      <c r="AL2159" s="1" t="s">
        <v>23922</v>
      </c>
      <c r="AM2159" s="1" t="s">
        <v>1942</v>
      </c>
      <c r="AN2159" s="1" t="s">
        <v>101</v>
      </c>
      <c r="AO2159" s="1" t="s">
        <v>198</v>
      </c>
      <c r="AP2159" s="1">
        <v>65.08</v>
      </c>
      <c r="AQ2159" s="1"/>
      <c r="AR2159" s="1"/>
      <c r="AS2159" s="1"/>
      <c r="AT2159" s="1"/>
      <c r="AU2159" s="1"/>
      <c r="AV2159" s="1"/>
      <c r="AW2159" s="1"/>
      <c r="AX2159" s="1" t="s">
        <v>361</v>
      </c>
      <c r="AY2159" s="1" t="s">
        <v>23923</v>
      </c>
      <c r="AZ2159" s="1" t="s">
        <v>201</v>
      </c>
      <c r="BA2159" s="1" t="s">
        <v>566</v>
      </c>
      <c r="BB2159" s="1">
        <v>72</v>
      </c>
      <c r="BC2159" s="1">
        <v>8.09</v>
      </c>
      <c r="BD2159" s="1"/>
      <c r="BE2159" s="1"/>
      <c r="BF2159" s="1"/>
      <c r="BG2159" s="1"/>
      <c r="BH2159" s="1"/>
      <c r="BI2159" s="1"/>
      <c r="BJ2159" s="1" t="s">
        <v>23924</v>
      </c>
      <c r="BK2159" s="1" t="s">
        <v>23925</v>
      </c>
      <c r="BL2159" s="1" t="s">
        <v>1129</v>
      </c>
      <c r="BM2159" s="1" t="s">
        <v>23926</v>
      </c>
      <c r="BN2159" s="1">
        <v>47</v>
      </c>
      <c r="BO2159" s="1"/>
      <c r="BP2159" s="1" t="str">
        <f>HYPERLINK("https://nconnect.nicmar.ac.in/storage/profile/ProfilePhoto_P25701141_658723.jpg","Download")</f>
        <v>0</v>
      </c>
      <c r="BQ2159" s="3"/>
      <c r="BR2159" s="3"/>
    </row>
    <row r="2160" spans="1:70">
      <c r="A2160" s="1" t="s">
        <v>21304</v>
      </c>
      <c r="B2160" s="1" t="s">
        <v>441</v>
      </c>
      <c r="C2160" s="1" t="s">
        <v>23927</v>
      </c>
      <c r="D2160" s="1" t="s">
        <v>3564</v>
      </c>
      <c r="E2160" s="1" t="s">
        <v>23928</v>
      </c>
      <c r="F2160" s="1" t="s">
        <v>13696</v>
      </c>
      <c r="G2160" s="1" t="s">
        <v>23929</v>
      </c>
      <c r="H2160" s="1" t="s">
        <v>23930</v>
      </c>
      <c r="I2160" s="1" t="s">
        <v>23931</v>
      </c>
      <c r="J2160" s="1">
        <v>7249631292</v>
      </c>
      <c r="K2160" s="1" t="s">
        <v>79</v>
      </c>
      <c r="L2160" s="1" t="s">
        <v>12333</v>
      </c>
      <c r="M2160" s="1" t="s">
        <v>81</v>
      </c>
      <c r="N2160" s="1" t="s">
        <v>605</v>
      </c>
      <c r="O2160" s="1"/>
      <c r="P2160" s="1" t="s">
        <v>5905</v>
      </c>
      <c r="Q2160" s="1" t="s">
        <v>23932</v>
      </c>
      <c r="R2160" s="1" t="s">
        <v>23928</v>
      </c>
      <c r="S2160" s="1">
        <v>9552929250</v>
      </c>
      <c r="T2160" s="1" t="s">
        <v>154</v>
      </c>
      <c r="U2160" s="1" t="s">
        <v>23933</v>
      </c>
      <c r="V2160" s="1">
        <v>7249831292</v>
      </c>
      <c r="W2160" s="1" t="s">
        <v>154</v>
      </c>
      <c r="X2160" s="1" t="s">
        <v>23934</v>
      </c>
      <c r="Y2160" s="1" t="s">
        <v>5185</v>
      </c>
      <c r="Z2160" s="1" t="s">
        <v>92</v>
      </c>
      <c r="AA2160" s="1" t="s">
        <v>23934</v>
      </c>
      <c r="AB2160" s="1" t="s">
        <v>5185</v>
      </c>
      <c r="AC2160" s="1" t="s">
        <v>92</v>
      </c>
      <c r="AD2160" s="1">
        <v>7.88</v>
      </c>
      <c r="AE2160" s="1" t="s">
        <v>93</v>
      </c>
      <c r="AF2160" s="1" t="s">
        <v>23935</v>
      </c>
      <c r="AG2160" s="1" t="s">
        <v>1288</v>
      </c>
      <c r="AH2160" s="1" t="s">
        <v>562</v>
      </c>
      <c r="AI2160" s="1" t="s">
        <v>166</v>
      </c>
      <c r="AJ2160" s="1">
        <v>61.17</v>
      </c>
      <c r="AK2160" s="1"/>
      <c r="AL2160" s="1" t="s">
        <v>23936</v>
      </c>
      <c r="AM2160" s="1" t="s">
        <v>22594</v>
      </c>
      <c r="AN2160" s="1" t="s">
        <v>433</v>
      </c>
      <c r="AO2160" s="1" t="s">
        <v>173</v>
      </c>
      <c r="AP2160" s="1">
        <v>70.46</v>
      </c>
      <c r="AQ2160" s="1"/>
      <c r="AR2160" s="1"/>
      <c r="AS2160" s="1"/>
      <c r="AT2160" s="1"/>
      <c r="AU2160" s="1"/>
      <c r="AV2160" s="1"/>
      <c r="AW2160" s="1"/>
      <c r="AX2160" s="1" t="s">
        <v>23937</v>
      </c>
      <c r="AY2160" s="1" t="s">
        <v>2680</v>
      </c>
      <c r="AZ2160" s="1" t="s">
        <v>1148</v>
      </c>
      <c r="BA2160" s="1" t="s">
        <v>1067</v>
      </c>
      <c r="BB2160" s="1">
        <v>79.3</v>
      </c>
      <c r="BC2160" s="1">
        <v>7.93</v>
      </c>
      <c r="BD2160" s="1"/>
      <c r="BE2160" s="1"/>
      <c r="BF2160" s="1"/>
      <c r="BG2160" s="1"/>
      <c r="BH2160" s="1"/>
      <c r="BI2160" s="1"/>
      <c r="BJ2160" s="1" t="s">
        <v>23938</v>
      </c>
      <c r="BK2160" s="1"/>
      <c r="BL2160" s="1"/>
      <c r="BM2160" s="1" t="s">
        <v>23939</v>
      </c>
      <c r="BN2160" s="1">
        <v>8</v>
      </c>
      <c r="BO2160" s="1"/>
      <c r="BP2160" s="1" t="str">
        <f>HYPERLINK("https://nconnect.nicmar.ac.in/storage/profile/ProfilePhoto_P25701142_867349.jpg","Download")</f>
        <v>0</v>
      </c>
      <c r="BQ2160" s="3"/>
      <c r="BR2160" s="3"/>
    </row>
    <row r="2161" spans="1:70">
      <c r="A2161" s="1" t="s">
        <v>21304</v>
      </c>
      <c r="B2161" s="1" t="s">
        <v>441</v>
      </c>
      <c r="C2161" s="1" t="s">
        <v>23940</v>
      </c>
      <c r="D2161" s="1" t="s">
        <v>1297</v>
      </c>
      <c r="E2161" s="1" t="s">
        <v>144</v>
      </c>
      <c r="F2161" s="1" t="s">
        <v>23941</v>
      </c>
      <c r="G2161" s="1" t="s">
        <v>23942</v>
      </c>
      <c r="H2161" s="1" t="s">
        <v>23943</v>
      </c>
      <c r="I2161" s="1" t="s">
        <v>23944</v>
      </c>
      <c r="J2161" s="1">
        <v>7843092944</v>
      </c>
      <c r="K2161" s="1" t="s">
        <v>79</v>
      </c>
      <c r="L2161" s="1" t="s">
        <v>23945</v>
      </c>
      <c r="M2161" s="1" t="s">
        <v>81</v>
      </c>
      <c r="N2161" s="1" t="s">
        <v>605</v>
      </c>
      <c r="O2161" s="1"/>
      <c r="P2161" s="1" t="s">
        <v>497</v>
      </c>
      <c r="Q2161" s="1" t="s">
        <v>23946</v>
      </c>
      <c r="R2161" s="1" t="s">
        <v>144</v>
      </c>
      <c r="S2161" s="1">
        <v>9922811058</v>
      </c>
      <c r="T2161" s="1" t="s">
        <v>7156</v>
      </c>
      <c r="U2161" s="1" t="s">
        <v>6757</v>
      </c>
      <c r="V2161" s="1">
        <v>9730166806</v>
      </c>
      <c r="W2161" s="1" t="s">
        <v>156</v>
      </c>
      <c r="X2161" s="1" t="s">
        <v>23947</v>
      </c>
      <c r="Y2161" s="1" t="s">
        <v>1963</v>
      </c>
      <c r="Z2161" s="1" t="s">
        <v>92</v>
      </c>
      <c r="AA2161" s="1" t="s">
        <v>23947</v>
      </c>
      <c r="AB2161" s="1" t="s">
        <v>1963</v>
      </c>
      <c r="AC2161" s="1" t="s">
        <v>92</v>
      </c>
      <c r="AD2161" s="1">
        <v>7.46</v>
      </c>
      <c r="AE2161" s="1" t="s">
        <v>93</v>
      </c>
      <c r="AF2161" s="1" t="s">
        <v>23948</v>
      </c>
      <c r="AG2161" s="1" t="s">
        <v>160</v>
      </c>
      <c r="AH2161" s="1" t="s">
        <v>96</v>
      </c>
      <c r="AI2161" s="1" t="s">
        <v>97</v>
      </c>
      <c r="AJ2161" s="1">
        <v>77.4</v>
      </c>
      <c r="AK2161" s="1"/>
      <c r="AL2161" s="1" t="s">
        <v>23948</v>
      </c>
      <c r="AM2161" s="1" t="s">
        <v>160</v>
      </c>
      <c r="AN2161" s="1" t="s">
        <v>162</v>
      </c>
      <c r="AO2161" s="1" t="s">
        <v>508</v>
      </c>
      <c r="AP2161" s="1">
        <v>63.54</v>
      </c>
      <c r="AQ2161" s="1"/>
      <c r="AR2161" s="1" t="s">
        <v>98</v>
      </c>
      <c r="AS2161" s="1" t="s">
        <v>23949</v>
      </c>
      <c r="AT2161" s="1" t="s">
        <v>383</v>
      </c>
      <c r="AU2161" s="1" t="s">
        <v>433</v>
      </c>
      <c r="AV2161" s="1">
        <v>65.45</v>
      </c>
      <c r="AW2161" s="1"/>
      <c r="AX2161" s="1" t="s">
        <v>1017</v>
      </c>
      <c r="AY2161" s="1" t="s">
        <v>23950</v>
      </c>
      <c r="AZ2161" s="1" t="s">
        <v>310</v>
      </c>
      <c r="BA2161" s="1" t="s">
        <v>1861</v>
      </c>
      <c r="BB2161" s="1">
        <v>77.77</v>
      </c>
      <c r="BC2161" s="1">
        <v>8.41</v>
      </c>
      <c r="BD2161" s="1"/>
      <c r="BE2161" s="1"/>
      <c r="BF2161" s="1"/>
      <c r="BG2161" s="1"/>
      <c r="BH2161" s="1"/>
      <c r="BI2161" s="1"/>
      <c r="BJ2161" s="1" t="s">
        <v>255</v>
      </c>
      <c r="BK2161" s="1" t="s">
        <v>23951</v>
      </c>
      <c r="BL2161" s="1" t="s">
        <v>569</v>
      </c>
      <c r="BM2161" s="1" t="s">
        <v>23952</v>
      </c>
      <c r="BN2161" s="1">
        <v>8</v>
      </c>
      <c r="BO2161" s="1"/>
      <c r="BP2161" s="1" t="str">
        <f>HYPERLINK("https://nconnect.nicmar.ac.in/storage/profile/ProfilePhoto_P25701143_256148.jpg","Download")</f>
        <v>0</v>
      </c>
      <c r="BQ2161" s="3"/>
      <c r="BR2161" s="3"/>
    </row>
    <row r="2162" spans="1:70">
      <c r="A2162" s="1" t="s">
        <v>21304</v>
      </c>
      <c r="B2162" s="1" t="s">
        <v>441</v>
      </c>
      <c r="C2162" s="1" t="s">
        <v>23953</v>
      </c>
      <c r="D2162" s="1" t="s">
        <v>7800</v>
      </c>
      <c r="E2162" s="1" t="s">
        <v>23954</v>
      </c>
      <c r="F2162" s="1" t="s">
        <v>23955</v>
      </c>
      <c r="G2162" s="1" t="s">
        <v>23956</v>
      </c>
      <c r="H2162" s="1" t="s">
        <v>23957</v>
      </c>
      <c r="I2162" s="1" t="s">
        <v>23958</v>
      </c>
      <c r="J2162" s="1">
        <v>8767022422</v>
      </c>
      <c r="K2162" s="1" t="s">
        <v>79</v>
      </c>
      <c r="L2162" s="1" t="s">
        <v>12183</v>
      </c>
      <c r="M2162" s="1" t="s">
        <v>81</v>
      </c>
      <c r="N2162" s="1" t="s">
        <v>1006</v>
      </c>
      <c r="O2162" s="1"/>
      <c r="P2162" s="1" t="s">
        <v>450</v>
      </c>
      <c r="Q2162" s="1" t="s">
        <v>23959</v>
      </c>
      <c r="R2162" s="1" t="s">
        <v>23960</v>
      </c>
      <c r="S2162" s="1">
        <v>9420081217</v>
      </c>
      <c r="T2162" s="1" t="s">
        <v>820</v>
      </c>
      <c r="U2162" s="1" t="s">
        <v>23961</v>
      </c>
      <c r="V2162" s="1">
        <v>9422207681</v>
      </c>
      <c r="W2162" s="1" t="s">
        <v>156</v>
      </c>
      <c r="X2162" s="1" t="s">
        <v>23962</v>
      </c>
      <c r="Y2162" s="1" t="s">
        <v>191</v>
      </c>
      <c r="Z2162" s="1" t="s">
        <v>92</v>
      </c>
      <c r="AA2162" s="1" t="s">
        <v>23962</v>
      </c>
      <c r="AB2162" s="1" t="s">
        <v>191</v>
      </c>
      <c r="AC2162" s="1" t="s">
        <v>92</v>
      </c>
      <c r="AD2162" s="1">
        <v>8.19</v>
      </c>
      <c r="AE2162" s="1" t="s">
        <v>93</v>
      </c>
      <c r="AF2162" s="1" t="s">
        <v>23963</v>
      </c>
      <c r="AG2162" s="1" t="s">
        <v>1942</v>
      </c>
      <c r="AH2162" s="1" t="s">
        <v>165</v>
      </c>
      <c r="AI2162" s="1" t="s">
        <v>281</v>
      </c>
      <c r="AJ2162" s="1">
        <v>79.8</v>
      </c>
      <c r="AK2162" s="1"/>
      <c r="AL2162" s="1" t="s">
        <v>23964</v>
      </c>
      <c r="AM2162" s="1" t="s">
        <v>1942</v>
      </c>
      <c r="AN2162" s="1" t="s">
        <v>433</v>
      </c>
      <c r="AO2162" s="1" t="s">
        <v>360</v>
      </c>
      <c r="AP2162" s="1">
        <v>61.08</v>
      </c>
      <c r="AQ2162" s="1"/>
      <c r="AR2162" s="1"/>
      <c r="AS2162" s="1"/>
      <c r="AT2162" s="1"/>
      <c r="AU2162" s="1"/>
      <c r="AV2162" s="1"/>
      <c r="AW2162" s="1"/>
      <c r="AX2162" s="1" t="s">
        <v>19659</v>
      </c>
      <c r="AY2162" s="1" t="s">
        <v>23965</v>
      </c>
      <c r="AZ2162" s="1" t="s">
        <v>360</v>
      </c>
      <c r="BA2162" s="1" t="s">
        <v>829</v>
      </c>
      <c r="BB2162" s="1">
        <v>65.32</v>
      </c>
      <c r="BC2162" s="1">
        <v>7.34</v>
      </c>
      <c r="BD2162" s="1"/>
      <c r="BE2162" s="1"/>
      <c r="BF2162" s="1"/>
      <c r="BG2162" s="1"/>
      <c r="BH2162" s="1"/>
      <c r="BI2162" s="1"/>
      <c r="BJ2162" s="1" t="s">
        <v>23966</v>
      </c>
      <c r="BK2162" s="1"/>
      <c r="BL2162" s="1"/>
      <c r="BM2162" s="1" t="s">
        <v>23967</v>
      </c>
      <c r="BN2162" s="1">
        <v>34</v>
      </c>
      <c r="BO2162" s="1" t="s">
        <v>23968</v>
      </c>
      <c r="BP2162" s="1" t="str">
        <f>HYPERLINK("https://nconnect.nicmar.ac.in/storage/profile/ProfilePhoto_P25701144_961284.jpg","Download")</f>
        <v>0</v>
      </c>
      <c r="BQ2162" s="3"/>
      <c r="BR2162" s="3"/>
    </row>
    <row r="2163" spans="1:70">
      <c r="A2163" s="1" t="s">
        <v>21304</v>
      </c>
      <c r="B2163" s="1" t="s">
        <v>441</v>
      </c>
      <c r="C2163" s="1" t="s">
        <v>23969</v>
      </c>
      <c r="D2163" s="1" t="s">
        <v>23970</v>
      </c>
      <c r="E2163" s="1"/>
      <c r="F2163" s="1" t="s">
        <v>23971</v>
      </c>
      <c r="G2163" s="1" t="s">
        <v>23972</v>
      </c>
      <c r="H2163" s="1" t="s">
        <v>23973</v>
      </c>
      <c r="I2163" s="1" t="s">
        <v>23974</v>
      </c>
      <c r="J2163" s="1">
        <v>9123170638</v>
      </c>
      <c r="K2163" s="1" t="s">
        <v>79</v>
      </c>
      <c r="L2163" s="1" t="s">
        <v>23975</v>
      </c>
      <c r="M2163" s="1" t="s">
        <v>81</v>
      </c>
      <c r="N2163" s="1" t="s">
        <v>23976</v>
      </c>
      <c r="O2163" s="1"/>
      <c r="P2163" s="1" t="s">
        <v>1007</v>
      </c>
      <c r="Q2163" s="1" t="s">
        <v>23977</v>
      </c>
      <c r="R2163" s="1" t="s">
        <v>23978</v>
      </c>
      <c r="S2163" s="1">
        <v>7004176990</v>
      </c>
      <c r="T2163" s="1" t="s">
        <v>120</v>
      </c>
      <c r="U2163" s="1" t="s">
        <v>23979</v>
      </c>
      <c r="V2163" s="1">
        <v>7004176990</v>
      </c>
      <c r="W2163" s="1" t="s">
        <v>531</v>
      </c>
      <c r="X2163" s="1" t="s">
        <v>23980</v>
      </c>
      <c r="Y2163" s="1" t="s">
        <v>8284</v>
      </c>
      <c r="Z2163" s="1" t="s">
        <v>2977</v>
      </c>
      <c r="AA2163" s="1" t="s">
        <v>23980</v>
      </c>
      <c r="AB2163" s="1" t="s">
        <v>8284</v>
      </c>
      <c r="AC2163" s="1" t="s">
        <v>2977</v>
      </c>
      <c r="AD2163" s="1">
        <v>8.07</v>
      </c>
      <c r="AE2163" s="1" t="s">
        <v>93</v>
      </c>
      <c r="AF2163" s="1" t="s">
        <v>23981</v>
      </c>
      <c r="AG2163" s="1" t="s">
        <v>23982</v>
      </c>
      <c r="AH2163" s="1" t="s">
        <v>19168</v>
      </c>
      <c r="AI2163" s="1" t="s">
        <v>1239</v>
      </c>
      <c r="AJ2163" s="1">
        <v>68.4</v>
      </c>
      <c r="AK2163" s="1">
        <v>7.2</v>
      </c>
      <c r="AL2163" s="1" t="s">
        <v>23983</v>
      </c>
      <c r="AM2163" s="1" t="s">
        <v>23984</v>
      </c>
      <c r="AN2163" s="1" t="s">
        <v>1191</v>
      </c>
      <c r="AO2163" s="1" t="s">
        <v>4944</v>
      </c>
      <c r="AP2163" s="1">
        <v>60.19</v>
      </c>
      <c r="AQ2163" s="1"/>
      <c r="AR2163" s="1"/>
      <c r="AS2163" s="1"/>
      <c r="AT2163" s="1"/>
      <c r="AU2163" s="1"/>
      <c r="AV2163" s="1"/>
      <c r="AW2163" s="1"/>
      <c r="AX2163" s="1" t="s">
        <v>1217</v>
      </c>
      <c r="AY2163" s="1" t="s">
        <v>23985</v>
      </c>
      <c r="AZ2163" s="1" t="s">
        <v>383</v>
      </c>
      <c r="BA2163" s="1" t="s">
        <v>539</v>
      </c>
      <c r="BB2163" s="1">
        <v>65.4</v>
      </c>
      <c r="BC2163" s="1">
        <v>7.26</v>
      </c>
      <c r="BD2163" s="1"/>
      <c r="BE2163" s="1"/>
      <c r="BF2163" s="1"/>
      <c r="BG2163" s="1"/>
      <c r="BH2163" s="1"/>
      <c r="BI2163" s="1"/>
      <c r="BJ2163" s="1" t="s">
        <v>23986</v>
      </c>
      <c r="BK2163" s="1"/>
      <c r="BL2163" s="1"/>
      <c r="BM2163" s="1" t="s">
        <v>23987</v>
      </c>
      <c r="BN2163" s="1">
        <v>9</v>
      </c>
      <c r="BO2163" s="1" t="s">
        <v>23988</v>
      </c>
      <c r="BP2163" s="1" t="str">
        <f>HYPERLINK("https://nconnect.nicmar.ac.in/storage/profile/ProfilePhoto_P25701145_172436.jpg","Download")</f>
        <v>0</v>
      </c>
      <c r="BQ2163" s="3"/>
      <c r="BR2163" s="3"/>
    </row>
    <row r="2164" spans="1:70">
      <c r="A2164" s="1" t="s">
        <v>21304</v>
      </c>
      <c r="B2164" s="1" t="s">
        <v>441</v>
      </c>
      <c r="C2164" s="1" t="s">
        <v>23989</v>
      </c>
      <c r="D2164" s="1" t="s">
        <v>6030</v>
      </c>
      <c r="E2164" s="1" t="s">
        <v>5470</v>
      </c>
      <c r="F2164" s="1" t="s">
        <v>745</v>
      </c>
      <c r="G2164" s="1" t="s">
        <v>23990</v>
      </c>
      <c r="H2164" s="1" t="s">
        <v>23991</v>
      </c>
      <c r="I2164" s="1" t="s">
        <v>23992</v>
      </c>
      <c r="J2164" s="1">
        <v>9326542755</v>
      </c>
      <c r="K2164" s="1" t="s">
        <v>79</v>
      </c>
      <c r="L2164" s="1" t="s">
        <v>15398</v>
      </c>
      <c r="M2164" s="1" t="s">
        <v>81</v>
      </c>
      <c r="N2164" s="1" t="s">
        <v>4976</v>
      </c>
      <c r="O2164" s="1"/>
      <c r="P2164" s="1" t="s">
        <v>472</v>
      </c>
      <c r="Q2164" s="1" t="s">
        <v>23993</v>
      </c>
      <c r="R2164" s="1" t="s">
        <v>745</v>
      </c>
      <c r="S2164" s="1">
        <v>9223394330</v>
      </c>
      <c r="T2164" s="1" t="s">
        <v>632</v>
      </c>
      <c r="U2164" s="1" t="s">
        <v>2250</v>
      </c>
      <c r="V2164" s="1">
        <v>9833954330</v>
      </c>
      <c r="W2164" s="1" t="s">
        <v>4700</v>
      </c>
      <c r="X2164" s="1" t="s">
        <v>23994</v>
      </c>
      <c r="Y2164" s="1" t="s">
        <v>991</v>
      </c>
      <c r="Z2164" s="1" t="s">
        <v>92</v>
      </c>
      <c r="AA2164" s="1" t="s">
        <v>23994</v>
      </c>
      <c r="AB2164" s="1" t="s">
        <v>991</v>
      </c>
      <c r="AC2164" s="1" t="s">
        <v>92</v>
      </c>
      <c r="AD2164" s="1">
        <v>8.27</v>
      </c>
      <c r="AE2164" s="1" t="s">
        <v>93</v>
      </c>
      <c r="AF2164" s="1" t="s">
        <v>23995</v>
      </c>
      <c r="AG2164" s="1" t="s">
        <v>160</v>
      </c>
      <c r="AH2164" s="1" t="s">
        <v>165</v>
      </c>
      <c r="AI2164" s="1" t="s">
        <v>101</v>
      </c>
      <c r="AJ2164" s="1">
        <v>92.6</v>
      </c>
      <c r="AK2164" s="1"/>
      <c r="AL2164" s="1" t="s">
        <v>23996</v>
      </c>
      <c r="AM2164" s="1" t="s">
        <v>160</v>
      </c>
      <c r="AN2164" s="1" t="s">
        <v>433</v>
      </c>
      <c r="AO2164" s="1" t="s">
        <v>412</v>
      </c>
      <c r="AP2164" s="1">
        <v>81.38</v>
      </c>
      <c r="AQ2164" s="1"/>
      <c r="AR2164" s="1"/>
      <c r="AS2164" s="1"/>
      <c r="AT2164" s="1"/>
      <c r="AU2164" s="1"/>
      <c r="AV2164" s="1"/>
      <c r="AW2164" s="1"/>
      <c r="AX2164" s="1" t="s">
        <v>253</v>
      </c>
      <c r="AY2164" s="1" t="s">
        <v>23997</v>
      </c>
      <c r="AZ2164" s="1" t="s">
        <v>173</v>
      </c>
      <c r="BA2164" s="1" t="s">
        <v>1067</v>
      </c>
      <c r="BB2164" s="1">
        <v>73.65</v>
      </c>
      <c r="BC2164" s="1">
        <v>8.15</v>
      </c>
      <c r="BD2164" s="1"/>
      <c r="BE2164" s="1"/>
      <c r="BF2164" s="1"/>
      <c r="BG2164" s="1"/>
      <c r="BH2164" s="1"/>
      <c r="BI2164" s="1"/>
      <c r="BJ2164" s="1" t="s">
        <v>23998</v>
      </c>
      <c r="BK2164" s="1" t="s">
        <v>23999</v>
      </c>
      <c r="BL2164" s="1" t="s">
        <v>873</v>
      </c>
      <c r="BM2164" s="1" t="s">
        <v>24000</v>
      </c>
      <c r="BN2164" s="1">
        <v>14</v>
      </c>
      <c r="BO2164" s="1" t="s">
        <v>24001</v>
      </c>
      <c r="BP2164" s="1" t="str">
        <f>HYPERLINK("https://nconnect.nicmar.ac.in/storage/profile/ProfilePhoto_P25701147_438629.jpg","Download")</f>
        <v>0</v>
      </c>
      <c r="BQ2164" s="3"/>
      <c r="BR2164" s="3"/>
    </row>
    <row r="2165" spans="1:70">
      <c r="A2165" s="1" t="s">
        <v>21304</v>
      </c>
      <c r="B2165" s="1" t="s">
        <v>441</v>
      </c>
      <c r="C2165" s="1" t="s">
        <v>24002</v>
      </c>
      <c r="D2165" s="1" t="s">
        <v>2070</v>
      </c>
      <c r="E2165" s="1"/>
      <c r="F2165" s="1" t="s">
        <v>234</v>
      </c>
      <c r="G2165" s="1" t="s">
        <v>24003</v>
      </c>
      <c r="H2165" s="1" t="s">
        <v>24004</v>
      </c>
      <c r="I2165" s="1" t="s">
        <v>24005</v>
      </c>
      <c r="J2165" s="1">
        <v>9304045767</v>
      </c>
      <c r="K2165" s="1" t="s">
        <v>79</v>
      </c>
      <c r="L2165" s="1" t="s">
        <v>24006</v>
      </c>
      <c r="M2165" s="1" t="s">
        <v>81</v>
      </c>
      <c r="N2165" s="1" t="s">
        <v>82</v>
      </c>
      <c r="O2165" s="1" t="s">
        <v>24007</v>
      </c>
      <c r="P2165" s="1" t="s">
        <v>450</v>
      </c>
      <c r="Q2165" s="1" t="s">
        <v>24008</v>
      </c>
      <c r="R2165" s="1" t="s">
        <v>24009</v>
      </c>
      <c r="S2165" s="1">
        <v>9431720013</v>
      </c>
      <c r="T2165" s="1" t="s">
        <v>120</v>
      </c>
      <c r="U2165" s="1" t="s">
        <v>5390</v>
      </c>
      <c r="V2165" s="1">
        <v>7979755542</v>
      </c>
      <c r="W2165" s="1" t="s">
        <v>273</v>
      </c>
      <c r="X2165" s="1" t="s">
        <v>24010</v>
      </c>
      <c r="Y2165" s="1" t="s">
        <v>191</v>
      </c>
      <c r="Z2165" s="1" t="s">
        <v>92</v>
      </c>
      <c r="AA2165" s="1" t="s">
        <v>24011</v>
      </c>
      <c r="AB2165" s="1" t="s">
        <v>8284</v>
      </c>
      <c r="AC2165" s="1" t="s">
        <v>2977</v>
      </c>
      <c r="AD2165" s="1">
        <v>7.64</v>
      </c>
      <c r="AE2165" s="1" t="s">
        <v>93</v>
      </c>
      <c r="AF2165" s="1" t="s">
        <v>23981</v>
      </c>
      <c r="AG2165" s="1" t="s">
        <v>758</v>
      </c>
      <c r="AH2165" s="1" t="s">
        <v>3439</v>
      </c>
      <c r="AI2165" s="1" t="s">
        <v>1239</v>
      </c>
      <c r="AJ2165" s="1">
        <v>64.6</v>
      </c>
      <c r="AK2165" s="1">
        <v>6.8</v>
      </c>
      <c r="AL2165" s="1" t="s">
        <v>23981</v>
      </c>
      <c r="AM2165" s="1" t="s">
        <v>307</v>
      </c>
      <c r="AN2165" s="1" t="s">
        <v>1088</v>
      </c>
      <c r="AO2165" s="1" t="s">
        <v>614</v>
      </c>
      <c r="AP2165" s="1">
        <v>65</v>
      </c>
      <c r="AQ2165" s="1">
        <v>6.9</v>
      </c>
      <c r="AR2165" s="1"/>
      <c r="AS2165" s="1"/>
      <c r="AT2165" s="1"/>
      <c r="AU2165" s="1"/>
      <c r="AV2165" s="1"/>
      <c r="AW2165" s="1"/>
      <c r="AX2165" s="1" t="s">
        <v>24012</v>
      </c>
      <c r="AY2165" s="1" t="s">
        <v>24013</v>
      </c>
      <c r="AZ2165" s="1" t="s">
        <v>225</v>
      </c>
      <c r="BA2165" s="1" t="s">
        <v>539</v>
      </c>
      <c r="BB2165" s="1">
        <v>70</v>
      </c>
      <c r="BC2165" s="1">
        <v>7.82</v>
      </c>
      <c r="BD2165" s="1"/>
      <c r="BE2165" s="1"/>
      <c r="BF2165" s="1"/>
      <c r="BG2165" s="1"/>
      <c r="BH2165" s="1"/>
      <c r="BI2165" s="1"/>
      <c r="BJ2165" s="1" t="s">
        <v>14605</v>
      </c>
      <c r="BK2165" s="1"/>
      <c r="BL2165" s="1"/>
      <c r="BM2165" s="1" t="s">
        <v>24014</v>
      </c>
      <c r="BN2165" s="1">
        <v>16</v>
      </c>
      <c r="BO2165" s="1" t="s">
        <v>24015</v>
      </c>
      <c r="BP2165" s="1" t="str">
        <f>HYPERLINK("https://nconnect.nicmar.ac.in/storage/profile/ProfilePhoto_P25701148_372981.jpg","Download")</f>
        <v>0</v>
      </c>
      <c r="BQ2165" s="3"/>
      <c r="BR2165" s="3"/>
    </row>
    <row r="2166" spans="1:70">
      <c r="A2166" s="1" t="s">
        <v>21304</v>
      </c>
      <c r="B2166" s="1" t="s">
        <v>441</v>
      </c>
      <c r="C2166" s="1" t="s">
        <v>24016</v>
      </c>
      <c r="D2166" s="1" t="s">
        <v>24017</v>
      </c>
      <c r="E2166" s="1"/>
      <c r="F2166" s="1" t="s">
        <v>24018</v>
      </c>
      <c r="G2166" s="1" t="s">
        <v>24019</v>
      </c>
      <c r="H2166" s="1" t="s">
        <v>24020</v>
      </c>
      <c r="I2166" s="1" t="s">
        <v>24021</v>
      </c>
      <c r="J2166" s="1">
        <v>7207535559</v>
      </c>
      <c r="K2166" s="1" t="s">
        <v>148</v>
      </c>
      <c r="L2166" s="1" t="s">
        <v>24022</v>
      </c>
      <c r="M2166" s="1" t="s">
        <v>81</v>
      </c>
      <c r="N2166" s="1" t="s">
        <v>24023</v>
      </c>
      <c r="O2166" s="1" t="s">
        <v>24024</v>
      </c>
      <c r="P2166" s="1" t="s">
        <v>1007</v>
      </c>
      <c r="Q2166" s="1" t="s">
        <v>24025</v>
      </c>
      <c r="R2166" s="1" t="s">
        <v>24026</v>
      </c>
      <c r="S2166" s="1">
        <v>7702615999</v>
      </c>
      <c r="T2166" s="1" t="s">
        <v>154</v>
      </c>
      <c r="U2166" s="1" t="s">
        <v>24027</v>
      </c>
      <c r="V2166" s="1">
        <v>9030888805</v>
      </c>
      <c r="W2166" s="1" t="s">
        <v>156</v>
      </c>
      <c r="X2166" s="1" t="s">
        <v>24028</v>
      </c>
      <c r="Y2166" s="1" t="s">
        <v>1394</v>
      </c>
      <c r="Z2166" s="1" t="s">
        <v>276</v>
      </c>
      <c r="AA2166" s="1" t="s">
        <v>24028</v>
      </c>
      <c r="AB2166" s="1" t="s">
        <v>1394</v>
      </c>
      <c r="AC2166" s="1" t="s">
        <v>276</v>
      </c>
      <c r="AD2166" s="1">
        <v>8.14</v>
      </c>
      <c r="AE2166" s="1" t="s">
        <v>93</v>
      </c>
      <c r="AF2166" s="1" t="s">
        <v>24029</v>
      </c>
      <c r="AG2166" s="1" t="s">
        <v>24030</v>
      </c>
      <c r="AH2166" s="1" t="s">
        <v>165</v>
      </c>
      <c r="AI2166" s="1" t="s">
        <v>281</v>
      </c>
      <c r="AJ2166" s="1">
        <v>92</v>
      </c>
      <c r="AK2166" s="1">
        <v>9.2</v>
      </c>
      <c r="AL2166" s="1" t="s">
        <v>280</v>
      </c>
      <c r="AM2166" s="1" t="s">
        <v>24030</v>
      </c>
      <c r="AN2166" s="1" t="s">
        <v>433</v>
      </c>
      <c r="AO2166" s="1" t="s">
        <v>590</v>
      </c>
      <c r="AP2166" s="1">
        <v>71.6</v>
      </c>
      <c r="AQ2166" s="1">
        <v>7.69</v>
      </c>
      <c r="AR2166" s="1"/>
      <c r="AS2166" s="1"/>
      <c r="AT2166" s="1"/>
      <c r="AU2166" s="1"/>
      <c r="AV2166" s="1"/>
      <c r="AW2166" s="1"/>
      <c r="AX2166" s="1" t="s">
        <v>24031</v>
      </c>
      <c r="AY2166" s="1" t="s">
        <v>24031</v>
      </c>
      <c r="AZ2166" s="1" t="s">
        <v>173</v>
      </c>
      <c r="BA2166" s="1" t="s">
        <v>1292</v>
      </c>
      <c r="BB2166" s="1">
        <v>77.9</v>
      </c>
      <c r="BC2166" s="1">
        <v>8.54</v>
      </c>
      <c r="BD2166" s="1"/>
      <c r="BE2166" s="1"/>
      <c r="BF2166" s="1"/>
      <c r="BG2166" s="1"/>
      <c r="BH2166" s="1"/>
      <c r="BI2166" s="1"/>
      <c r="BJ2166" s="1" t="s">
        <v>567</v>
      </c>
      <c r="BK2166" s="1"/>
      <c r="BL2166" s="1"/>
      <c r="BM2166" s="1" t="s">
        <v>24032</v>
      </c>
      <c r="BN2166" s="1">
        <v>15</v>
      </c>
      <c r="BO2166" s="1" t="s">
        <v>24033</v>
      </c>
      <c r="BP2166" s="1" t="str">
        <f>HYPERLINK("https://nconnect.nicmar.ac.in/storage/profile/ProfilePhoto_P25701149_837291.jpg","Download")</f>
        <v>0</v>
      </c>
      <c r="BQ2166" s="3"/>
      <c r="BR2166" s="3"/>
    </row>
    <row r="2167" spans="1:70">
      <c r="A2167" s="1" t="s">
        <v>21304</v>
      </c>
      <c r="B2167" s="1" t="s">
        <v>441</v>
      </c>
      <c r="C2167" s="1" t="s">
        <v>24034</v>
      </c>
      <c r="D2167" s="1" t="s">
        <v>24035</v>
      </c>
      <c r="E2167" s="1"/>
      <c r="F2167" s="1" t="s">
        <v>24036</v>
      </c>
      <c r="G2167" s="1" t="s">
        <v>24037</v>
      </c>
      <c r="H2167" s="1" t="s">
        <v>24038</v>
      </c>
      <c r="I2167" s="1" t="s">
        <v>24039</v>
      </c>
      <c r="J2167" s="1">
        <v>9322215902</v>
      </c>
      <c r="K2167" s="1" t="s">
        <v>148</v>
      </c>
      <c r="L2167" s="1" t="s">
        <v>22191</v>
      </c>
      <c r="M2167" s="1" t="s">
        <v>81</v>
      </c>
      <c r="N2167" s="1" t="s">
        <v>24040</v>
      </c>
      <c r="O2167" s="1"/>
      <c r="P2167" s="1" t="s">
        <v>472</v>
      </c>
      <c r="Q2167" s="1" t="s">
        <v>24041</v>
      </c>
      <c r="R2167" s="1" t="s">
        <v>24042</v>
      </c>
      <c r="S2167" s="1">
        <v>9987085902</v>
      </c>
      <c r="T2167" s="1" t="s">
        <v>632</v>
      </c>
      <c r="U2167" s="1" t="s">
        <v>24043</v>
      </c>
      <c r="V2167" s="1">
        <v>7021805690</v>
      </c>
      <c r="W2167" s="1" t="s">
        <v>156</v>
      </c>
      <c r="X2167" s="1" t="s">
        <v>24044</v>
      </c>
      <c r="Y2167" s="1" t="s">
        <v>991</v>
      </c>
      <c r="Z2167" s="1" t="s">
        <v>92</v>
      </c>
      <c r="AA2167" s="1" t="s">
        <v>24044</v>
      </c>
      <c r="AB2167" s="1" t="s">
        <v>991</v>
      </c>
      <c r="AC2167" s="1" t="s">
        <v>92</v>
      </c>
      <c r="AD2167" s="1">
        <v>8.7</v>
      </c>
      <c r="AE2167" s="1" t="s">
        <v>93</v>
      </c>
      <c r="AF2167" s="1" t="s">
        <v>24045</v>
      </c>
      <c r="AG2167" s="1" t="s">
        <v>307</v>
      </c>
      <c r="AH2167" s="1" t="s">
        <v>162</v>
      </c>
      <c r="AI2167" s="1" t="s">
        <v>165</v>
      </c>
      <c r="AJ2167" s="1">
        <v>91.2</v>
      </c>
      <c r="AK2167" s="1">
        <v>9.6</v>
      </c>
      <c r="AL2167" s="1" t="s">
        <v>24045</v>
      </c>
      <c r="AM2167" s="1" t="s">
        <v>307</v>
      </c>
      <c r="AN2167" s="1" t="s">
        <v>166</v>
      </c>
      <c r="AO2167" s="1" t="s">
        <v>308</v>
      </c>
      <c r="AP2167" s="1">
        <v>87.4</v>
      </c>
      <c r="AQ2167" s="1"/>
      <c r="AR2167" s="1"/>
      <c r="AS2167" s="1"/>
      <c r="AT2167" s="1"/>
      <c r="AU2167" s="1"/>
      <c r="AV2167" s="1"/>
      <c r="AW2167" s="1"/>
      <c r="AX2167" s="1" t="s">
        <v>666</v>
      </c>
      <c r="AY2167" s="1" t="s">
        <v>24046</v>
      </c>
      <c r="AZ2167" s="1" t="s">
        <v>310</v>
      </c>
      <c r="BA2167" s="1" t="s">
        <v>1292</v>
      </c>
      <c r="BB2167" s="1">
        <v>73.79</v>
      </c>
      <c r="BC2167" s="1">
        <v>8.35</v>
      </c>
      <c r="BD2167" s="1"/>
      <c r="BE2167" s="1"/>
      <c r="BF2167" s="1"/>
      <c r="BG2167" s="1"/>
      <c r="BH2167" s="1"/>
      <c r="BI2167" s="1"/>
      <c r="BJ2167" s="1" t="s">
        <v>24047</v>
      </c>
      <c r="BK2167" s="1" t="s">
        <v>24048</v>
      </c>
      <c r="BL2167" s="1" t="s">
        <v>2569</v>
      </c>
      <c r="BM2167" s="1" t="s">
        <v>24049</v>
      </c>
      <c r="BN2167" s="1">
        <v>36</v>
      </c>
      <c r="BO2167" s="1" t="s">
        <v>24050</v>
      </c>
      <c r="BP2167" s="1" t="str">
        <f>HYPERLINK("https://nconnect.nicmar.ac.in/storage/profile/ProfilePhoto_P25701151_132857.jpg","Download")</f>
        <v>0</v>
      </c>
      <c r="BQ2167" s="3"/>
      <c r="BR2167" s="3"/>
    </row>
    <row r="2168" spans="1:70">
      <c r="A2168" s="1" t="s">
        <v>21304</v>
      </c>
      <c r="B2168" s="1" t="s">
        <v>441</v>
      </c>
      <c r="C2168" s="1" t="s">
        <v>24051</v>
      </c>
      <c r="D2168" s="1" t="s">
        <v>7800</v>
      </c>
      <c r="E2168" s="1"/>
      <c r="F2168" s="1" t="s">
        <v>6630</v>
      </c>
      <c r="G2168" s="1" t="s">
        <v>24052</v>
      </c>
      <c r="H2168" s="1" t="s">
        <v>24053</v>
      </c>
      <c r="I2168" s="1" t="s">
        <v>24054</v>
      </c>
      <c r="J2168" s="1">
        <v>9773336261</v>
      </c>
      <c r="K2168" s="1" t="s">
        <v>79</v>
      </c>
      <c r="L2168" s="1" t="s">
        <v>1057</v>
      </c>
      <c r="M2168" s="1" t="s">
        <v>81</v>
      </c>
      <c r="N2168" s="1" t="s">
        <v>4289</v>
      </c>
      <c r="O2168" s="1"/>
      <c r="P2168" s="1" t="s">
        <v>450</v>
      </c>
      <c r="Q2168" s="1" t="s">
        <v>24055</v>
      </c>
      <c r="R2168" s="1" t="s">
        <v>24056</v>
      </c>
      <c r="S2168" s="1">
        <v>9001992323</v>
      </c>
      <c r="T2168" s="1" t="s">
        <v>820</v>
      </c>
      <c r="U2168" s="1" t="s">
        <v>24057</v>
      </c>
      <c r="V2168" s="1">
        <v>7878100252</v>
      </c>
      <c r="W2168" s="1" t="s">
        <v>156</v>
      </c>
      <c r="X2168" s="1" t="s">
        <v>24058</v>
      </c>
      <c r="Y2168" s="1" t="s">
        <v>21976</v>
      </c>
      <c r="Z2168" s="1" t="s">
        <v>2126</v>
      </c>
      <c r="AA2168" s="1" t="s">
        <v>24058</v>
      </c>
      <c r="AB2168" s="1" t="s">
        <v>21976</v>
      </c>
      <c r="AC2168" s="1" t="s">
        <v>2126</v>
      </c>
      <c r="AD2168" s="1">
        <v>7.44</v>
      </c>
      <c r="AE2168" s="1" t="s">
        <v>93</v>
      </c>
      <c r="AF2168" s="1" t="s">
        <v>24059</v>
      </c>
      <c r="AG2168" s="1" t="s">
        <v>24060</v>
      </c>
      <c r="AH2168" s="1" t="s">
        <v>689</v>
      </c>
      <c r="AI2168" s="1" t="s">
        <v>281</v>
      </c>
      <c r="AJ2168" s="1">
        <v>82</v>
      </c>
      <c r="AK2168" s="1"/>
      <c r="AL2168" s="1" t="s">
        <v>24059</v>
      </c>
      <c r="AM2168" s="1" t="s">
        <v>24060</v>
      </c>
      <c r="AN2168" s="1" t="s">
        <v>537</v>
      </c>
      <c r="AO2168" s="1" t="s">
        <v>590</v>
      </c>
      <c r="AP2168" s="1">
        <v>72</v>
      </c>
      <c r="AQ2168" s="1"/>
      <c r="AR2168" s="1"/>
      <c r="AS2168" s="1"/>
      <c r="AT2168" s="1"/>
      <c r="AU2168" s="1"/>
      <c r="AV2168" s="1"/>
      <c r="AW2168" s="1"/>
      <c r="AX2168" s="1" t="s">
        <v>9524</v>
      </c>
      <c r="AY2168" s="1" t="s">
        <v>24061</v>
      </c>
      <c r="AZ2168" s="1" t="s">
        <v>1622</v>
      </c>
      <c r="BA2168" s="1" t="s">
        <v>413</v>
      </c>
      <c r="BB2168" s="1">
        <v>66.48</v>
      </c>
      <c r="BC2168" s="1">
        <v>7.45</v>
      </c>
      <c r="BD2168" s="1"/>
      <c r="BE2168" s="1"/>
      <c r="BF2168" s="1"/>
      <c r="BG2168" s="1"/>
      <c r="BH2168" s="1"/>
      <c r="BI2168" s="1"/>
      <c r="BJ2168" s="1" t="s">
        <v>24062</v>
      </c>
      <c r="BK2168" s="1" t="s">
        <v>24063</v>
      </c>
      <c r="BL2168" s="1" t="s">
        <v>670</v>
      </c>
      <c r="BM2168" s="1" t="s">
        <v>24064</v>
      </c>
      <c r="BN2168" s="1">
        <v>8</v>
      </c>
      <c r="BO2168" s="1" t="s">
        <v>24065</v>
      </c>
      <c r="BP2168" s="1" t="str">
        <f>HYPERLINK("https://nconnect.nicmar.ac.in/storage/profile/ProfilePhoto_P25701152_148367.jpg","Download")</f>
        <v>0</v>
      </c>
      <c r="BQ2168" s="3"/>
      <c r="BR2168" s="3"/>
    </row>
    <row r="2169" spans="1:70">
      <c r="A2169" s="1" t="s">
        <v>21304</v>
      </c>
      <c r="B2169" s="1" t="s">
        <v>441</v>
      </c>
      <c r="C2169" s="1" t="s">
        <v>24066</v>
      </c>
      <c r="D2169" s="1" t="s">
        <v>24067</v>
      </c>
      <c r="E2169" s="1" t="s">
        <v>24068</v>
      </c>
      <c r="F2169" s="1" t="s">
        <v>3237</v>
      </c>
      <c r="G2169" s="1" t="s">
        <v>24069</v>
      </c>
      <c r="H2169" s="1" t="s">
        <v>24070</v>
      </c>
      <c r="I2169" s="1" t="s">
        <v>24071</v>
      </c>
      <c r="J2169" s="1">
        <v>8669796805</v>
      </c>
      <c r="K2169" s="1" t="s">
        <v>79</v>
      </c>
      <c r="L2169" s="1" t="s">
        <v>24072</v>
      </c>
      <c r="M2169" s="1" t="s">
        <v>81</v>
      </c>
      <c r="N2169" s="1" t="s">
        <v>1140</v>
      </c>
      <c r="O2169" s="1" t="s">
        <v>24073</v>
      </c>
      <c r="P2169" s="1" t="s">
        <v>472</v>
      </c>
      <c r="Q2169" s="1" t="s">
        <v>24074</v>
      </c>
      <c r="R2169" s="1" t="s">
        <v>24075</v>
      </c>
      <c r="S2169" s="1">
        <v>9637282922</v>
      </c>
      <c r="T2169" s="1" t="s">
        <v>529</v>
      </c>
      <c r="U2169" s="1" t="s">
        <v>24076</v>
      </c>
      <c r="V2169" s="1">
        <v>7385223090</v>
      </c>
      <c r="W2169" s="1" t="s">
        <v>529</v>
      </c>
      <c r="X2169" s="1" t="s">
        <v>24077</v>
      </c>
      <c r="Y2169" s="1" t="s">
        <v>158</v>
      </c>
      <c r="Z2169" s="1" t="s">
        <v>92</v>
      </c>
      <c r="AA2169" s="1" t="s">
        <v>24077</v>
      </c>
      <c r="AB2169" s="1" t="s">
        <v>158</v>
      </c>
      <c r="AC2169" s="1" t="s">
        <v>92</v>
      </c>
      <c r="AD2169" s="1">
        <v>7.52</v>
      </c>
      <c r="AE2169" s="1" t="s">
        <v>93</v>
      </c>
      <c r="AF2169" s="1" t="s">
        <v>24078</v>
      </c>
      <c r="AG2169" s="1" t="s">
        <v>160</v>
      </c>
      <c r="AH2169" s="1" t="s">
        <v>195</v>
      </c>
      <c r="AI2169" s="1" t="s">
        <v>281</v>
      </c>
      <c r="AJ2169" s="1">
        <v>84.6</v>
      </c>
      <c r="AK2169" s="1"/>
      <c r="AL2169" s="1" t="s">
        <v>24079</v>
      </c>
      <c r="AM2169" s="1" t="s">
        <v>160</v>
      </c>
      <c r="AN2169" s="1" t="s">
        <v>198</v>
      </c>
      <c r="AO2169" s="1" t="s">
        <v>360</v>
      </c>
      <c r="AP2169" s="1">
        <v>68</v>
      </c>
      <c r="AQ2169" s="1"/>
      <c r="AR2169" s="1"/>
      <c r="AS2169" s="1"/>
      <c r="AT2169" s="1"/>
      <c r="AU2169" s="1"/>
      <c r="AV2169" s="1"/>
      <c r="AW2169" s="1"/>
      <c r="AX2169" s="1" t="s">
        <v>102</v>
      </c>
      <c r="AY2169" s="1" t="s">
        <v>24080</v>
      </c>
      <c r="AZ2169" s="1" t="s">
        <v>363</v>
      </c>
      <c r="BA2169" s="1" t="s">
        <v>1067</v>
      </c>
      <c r="BB2169" s="1">
        <v>70.2</v>
      </c>
      <c r="BC2169" s="1">
        <v>7.52</v>
      </c>
      <c r="BD2169" s="1"/>
      <c r="BE2169" s="1"/>
      <c r="BF2169" s="1"/>
      <c r="BG2169" s="1"/>
      <c r="BH2169" s="1"/>
      <c r="BI2169" s="1"/>
      <c r="BJ2169" s="1" t="s">
        <v>24081</v>
      </c>
      <c r="BK2169" s="1"/>
      <c r="BL2169" s="1"/>
      <c r="BM2169" s="1" t="s">
        <v>24082</v>
      </c>
      <c r="BN2169" s="1">
        <v>61</v>
      </c>
      <c r="BO2169" s="1" t="s">
        <v>24083</v>
      </c>
      <c r="BP2169" s="1" t="str">
        <f>HYPERLINK("https://nconnect.nicmar.ac.in/storage/profile/ProfilePhoto_P25701103_576182.jpg","Download")</f>
        <v>0</v>
      </c>
      <c r="BQ2169" s="3"/>
      <c r="BR2169" s="3"/>
    </row>
    <row r="2170" spans="1:70">
      <c r="A2170" s="1" t="s">
        <v>21304</v>
      </c>
      <c r="B2170" s="1" t="s">
        <v>441</v>
      </c>
      <c r="C2170" s="1" t="s">
        <v>24084</v>
      </c>
      <c r="D2170" s="1" t="s">
        <v>856</v>
      </c>
      <c r="E2170" s="1"/>
      <c r="F2170" s="1" t="s">
        <v>6630</v>
      </c>
      <c r="G2170" s="1" t="s">
        <v>24085</v>
      </c>
      <c r="H2170" s="1" t="s">
        <v>24086</v>
      </c>
      <c r="I2170" s="1" t="s">
        <v>24087</v>
      </c>
      <c r="J2170" s="1">
        <v>6392907773</v>
      </c>
      <c r="K2170" s="1" t="s">
        <v>79</v>
      </c>
      <c r="L2170" s="1" t="s">
        <v>2882</v>
      </c>
      <c r="M2170" s="1" t="s">
        <v>81</v>
      </c>
      <c r="N2170" s="1" t="s">
        <v>241</v>
      </c>
      <c r="O2170" s="1" t="s">
        <v>24088</v>
      </c>
      <c r="P2170" s="1" t="s">
        <v>450</v>
      </c>
      <c r="Q2170" s="1" t="s">
        <v>24089</v>
      </c>
      <c r="R2170" s="1" t="s">
        <v>24090</v>
      </c>
      <c r="S2170" s="1">
        <v>9450314853</v>
      </c>
      <c r="T2170" s="1" t="s">
        <v>122</v>
      </c>
      <c r="U2170" s="1" t="s">
        <v>24091</v>
      </c>
      <c r="V2170" s="1">
        <v>9219661019</v>
      </c>
      <c r="W2170" s="1" t="s">
        <v>156</v>
      </c>
      <c r="X2170" s="1" t="s">
        <v>24092</v>
      </c>
      <c r="Y2170" s="1" t="s">
        <v>19498</v>
      </c>
      <c r="Z2170" s="1" t="s">
        <v>534</v>
      </c>
      <c r="AA2170" s="1" t="s">
        <v>24093</v>
      </c>
      <c r="AB2170" s="1" t="s">
        <v>24094</v>
      </c>
      <c r="AC2170" s="1" t="s">
        <v>534</v>
      </c>
      <c r="AD2170" s="1">
        <v>8.89</v>
      </c>
      <c r="AE2170" s="1" t="s">
        <v>93</v>
      </c>
      <c r="AF2170" s="1" t="s">
        <v>24095</v>
      </c>
      <c r="AG2170" s="1" t="s">
        <v>24096</v>
      </c>
      <c r="AH2170" s="1" t="s">
        <v>562</v>
      </c>
      <c r="AI2170" s="1" t="s">
        <v>166</v>
      </c>
      <c r="AJ2170" s="1">
        <v>63.2</v>
      </c>
      <c r="AK2170" s="1"/>
      <c r="AL2170" s="1" t="s">
        <v>24097</v>
      </c>
      <c r="AM2170" s="1" t="s">
        <v>24098</v>
      </c>
      <c r="AN2170" s="1" t="s">
        <v>173</v>
      </c>
      <c r="AO2170" s="1" t="s">
        <v>539</v>
      </c>
      <c r="AP2170" s="1">
        <v>86.54</v>
      </c>
      <c r="AQ2170" s="1"/>
      <c r="AR2170" s="1"/>
      <c r="AS2170" s="1"/>
      <c r="AT2170" s="1"/>
      <c r="AU2170" s="1"/>
      <c r="AV2170" s="1"/>
      <c r="AW2170" s="1"/>
      <c r="AX2170" s="1" t="s">
        <v>24099</v>
      </c>
      <c r="AY2170" s="1" t="s">
        <v>24100</v>
      </c>
      <c r="AZ2170" s="1" t="s">
        <v>539</v>
      </c>
      <c r="BA2170" s="1" t="s">
        <v>829</v>
      </c>
      <c r="BB2170" s="1">
        <v>80.3</v>
      </c>
      <c r="BC2170" s="1">
        <v>8.03</v>
      </c>
      <c r="BD2170" s="1"/>
      <c r="BE2170" s="1"/>
      <c r="BF2170" s="1"/>
      <c r="BG2170" s="1"/>
      <c r="BH2170" s="1"/>
      <c r="BI2170" s="1"/>
      <c r="BJ2170" s="1" t="s">
        <v>24101</v>
      </c>
      <c r="BK2170" s="1"/>
      <c r="BL2170" s="1"/>
      <c r="BM2170" s="1" t="s">
        <v>24102</v>
      </c>
      <c r="BN2170" s="1">
        <v>15</v>
      </c>
      <c r="BO2170" s="1" t="s">
        <v>24103</v>
      </c>
      <c r="BP2170" s="1" t="str">
        <f>HYPERLINK("https://nconnect.nicmar.ac.in/storage/profile/ProfilePhoto_P25701104_261935.jpg","Download")</f>
        <v>0</v>
      </c>
      <c r="BQ2170" s="3"/>
      <c r="BR2170" s="3"/>
    </row>
    <row r="2171" spans="1:70">
      <c r="A2171" s="1" t="s">
        <v>24104</v>
      </c>
      <c r="B2171" s="1" t="s">
        <v>13846</v>
      </c>
      <c r="C2171" s="1" t="s">
        <v>24105</v>
      </c>
      <c r="D2171" s="1" t="s">
        <v>24106</v>
      </c>
      <c r="E2171" s="1"/>
      <c r="F2171" s="1" t="s">
        <v>24107</v>
      </c>
      <c r="G2171" s="1" t="s">
        <v>24108</v>
      </c>
      <c r="H2171" s="1" t="s">
        <v>24109</v>
      </c>
      <c r="I2171" s="1" t="s">
        <v>24109</v>
      </c>
      <c r="J2171" s="1">
        <v>9418876711</v>
      </c>
      <c r="K2171" s="1" t="s">
        <v>79</v>
      </c>
      <c r="L2171" s="1" t="s">
        <v>24110</v>
      </c>
      <c r="M2171" s="1" t="s">
        <v>150</v>
      </c>
      <c r="N2171" s="1" t="s">
        <v>17204</v>
      </c>
      <c r="O2171" s="1" t="s">
        <v>152</v>
      </c>
      <c r="P2171" s="1" t="s">
        <v>117</v>
      </c>
      <c r="Q2171" s="1" t="s">
        <v>970</v>
      </c>
      <c r="R2171" s="1" t="s">
        <v>24111</v>
      </c>
      <c r="S2171" s="1">
        <v>9418876712</v>
      </c>
      <c r="T2171" s="1" t="s">
        <v>24112</v>
      </c>
      <c r="U2171" s="1" t="s">
        <v>24113</v>
      </c>
      <c r="V2171" s="1">
        <v>9418876713</v>
      </c>
      <c r="W2171" s="1" t="s">
        <v>24114</v>
      </c>
      <c r="X2171" s="1" t="s">
        <v>24115</v>
      </c>
      <c r="Y2171" s="1" t="s">
        <v>24116</v>
      </c>
      <c r="Z2171" s="1" t="s">
        <v>662</v>
      </c>
      <c r="AA2171" s="1" t="s">
        <v>24115</v>
      </c>
      <c r="AB2171" s="1" t="s">
        <v>24116</v>
      </c>
      <c r="AC2171" s="1" t="s">
        <v>662</v>
      </c>
      <c r="AD2171" s="1" t="s">
        <v>93</v>
      </c>
      <c r="AE2171" s="1" t="s">
        <v>93</v>
      </c>
      <c r="AF2171" s="1" t="s">
        <v>24117</v>
      </c>
      <c r="AG2171" s="1" t="s">
        <v>24117</v>
      </c>
      <c r="AH2171" s="1" t="s">
        <v>829</v>
      </c>
      <c r="AI2171" s="1" t="s">
        <v>24118</v>
      </c>
      <c r="AJ2171" s="1">
        <v>89</v>
      </c>
      <c r="AK2171" s="1">
        <v>8</v>
      </c>
      <c r="AL2171" s="1"/>
      <c r="AM2171" s="1"/>
      <c r="AN2171" s="1"/>
      <c r="AO2171" s="1"/>
      <c r="AP2171" s="1"/>
      <c r="AQ2171" s="1"/>
      <c r="AR2171" s="1"/>
      <c r="AS2171" s="1"/>
      <c r="AT2171" s="1"/>
      <c r="AU2171" s="1"/>
      <c r="AV2171" s="1"/>
      <c r="AW2171" s="1"/>
      <c r="AX2171" s="1"/>
      <c r="AY2171" s="1"/>
      <c r="AZ2171" s="1"/>
      <c r="BA2171" s="1"/>
      <c r="BB2171" s="1"/>
      <c r="BC2171" s="1"/>
      <c r="BD2171" s="1"/>
      <c r="BE2171" s="1"/>
      <c r="BF2171" s="1"/>
      <c r="BG2171" s="1"/>
      <c r="BH2171" s="1"/>
      <c r="BI2171" s="1"/>
      <c r="BJ2171" s="1" t="s">
        <v>24117</v>
      </c>
      <c r="BK2171" s="1"/>
      <c r="BL2171" s="1"/>
      <c r="BM2171" s="1"/>
      <c r="BN2171" s="1"/>
      <c r="BO2171" s="1"/>
      <c r="BP2171" s="1" t="str">
        <f>HYPERLINK("https://nconnect.nicmar.ac.in/storage/profile/6a7047586c45a.png","Download")</f>
        <v>0</v>
      </c>
      <c r="BQ2171" s="3"/>
      <c r="BR2171" s="3"/>
    </row>
    <row r="2172" spans="1:70">
      <c r="A2172" s="1" t="s">
        <v>24104</v>
      </c>
      <c r="B2172" s="1" t="s">
        <v>13846</v>
      </c>
      <c r="C2172" s="1" t="s">
        <v>24119</v>
      </c>
      <c r="D2172" s="1" t="s">
        <v>24120</v>
      </c>
      <c r="E2172" s="1"/>
      <c r="F2172" s="1" t="s">
        <v>24121</v>
      </c>
      <c r="G2172" s="1" t="s">
        <v>24122</v>
      </c>
      <c r="H2172" s="1" t="s">
        <v>24123</v>
      </c>
      <c r="I2172" s="1" t="s">
        <v>24123</v>
      </c>
      <c r="J2172" s="1"/>
      <c r="K2172" s="1"/>
      <c r="L2172" s="1"/>
      <c r="M2172" s="1"/>
      <c r="N2172" s="1"/>
      <c r="O2172" s="1"/>
      <c r="P2172" s="1"/>
      <c r="Q2172" s="1"/>
      <c r="R2172" s="1"/>
      <c r="S2172" s="1"/>
      <c r="T2172" s="1"/>
      <c r="U2172" s="1"/>
      <c r="V2172" s="1"/>
      <c r="W2172" s="1"/>
      <c r="X2172" s="1"/>
      <c r="Y2172" s="1"/>
      <c r="Z2172" s="1"/>
      <c r="AA2172" s="1"/>
      <c r="AB2172" s="1"/>
      <c r="AC2172" s="1"/>
      <c r="AD2172" s="1" t="s">
        <v>93</v>
      </c>
      <c r="AE2172" s="1" t="s">
        <v>93</v>
      </c>
      <c r="AF2172" s="1"/>
      <c r="AG2172" s="1"/>
      <c r="AH2172" s="1"/>
      <c r="AI2172" s="1"/>
      <c r="AJ2172" s="1"/>
      <c r="AK2172" s="1"/>
      <c r="AL2172" s="1"/>
      <c r="AM2172" s="1"/>
      <c r="AN2172" s="1"/>
      <c r="AO2172" s="1"/>
      <c r="AP2172" s="1"/>
      <c r="AQ2172" s="1"/>
      <c r="AR2172" s="1"/>
      <c r="AS2172" s="1"/>
      <c r="AT2172" s="1"/>
      <c r="AU2172" s="1"/>
      <c r="AV2172" s="1"/>
      <c r="AW2172" s="1"/>
      <c r="AX2172" s="1"/>
      <c r="AY2172" s="1"/>
      <c r="AZ2172" s="1"/>
      <c r="BA2172" s="1"/>
      <c r="BB2172" s="1"/>
      <c r="BC2172" s="1"/>
      <c r="BD2172" s="1"/>
      <c r="BE2172" s="1"/>
      <c r="BF2172" s="1"/>
      <c r="BG2172" s="1"/>
      <c r="BH2172" s="1"/>
      <c r="BI2172" s="1"/>
      <c r="BJ2172" s="1"/>
      <c r="BK2172" s="1"/>
      <c r="BL2172" s="1"/>
      <c r="BM2172" s="1"/>
      <c r="BN2172" s="1"/>
      <c r="BO2172" s="1"/>
      <c r="BP2172" s="1" t="s">
        <v>9609</v>
      </c>
      <c r="BQ2172" s="3"/>
      <c r="BR2172" s="3"/>
    </row>
    <row r="2173" spans="1:70">
      <c r="A2173" s="1" t="s">
        <v>24104</v>
      </c>
      <c r="B2173" s="1" t="s">
        <v>13846</v>
      </c>
      <c r="C2173" s="1" t="s">
        <v>24124</v>
      </c>
      <c r="D2173" s="1" t="s">
        <v>24125</v>
      </c>
      <c r="E2173" s="1"/>
      <c r="F2173" s="1" t="s">
        <v>24126</v>
      </c>
      <c r="G2173" s="1" t="s">
        <v>24127</v>
      </c>
      <c r="H2173" s="1" t="s">
        <v>24128</v>
      </c>
      <c r="I2173" s="1" t="s">
        <v>24128</v>
      </c>
      <c r="J2173" s="1"/>
      <c r="K2173" s="1"/>
      <c r="L2173" s="1"/>
      <c r="M2173" s="1"/>
      <c r="N2173" s="1"/>
      <c r="O2173" s="1"/>
      <c r="P2173" s="1"/>
      <c r="Q2173" s="1"/>
      <c r="R2173" s="1"/>
      <c r="S2173" s="1"/>
      <c r="T2173" s="1"/>
      <c r="U2173" s="1"/>
      <c r="V2173" s="1"/>
      <c r="W2173" s="1"/>
      <c r="X2173" s="1"/>
      <c r="Y2173" s="1"/>
      <c r="Z2173" s="1"/>
      <c r="AA2173" s="1"/>
      <c r="AB2173" s="1"/>
      <c r="AC2173" s="1"/>
      <c r="AD2173" s="1" t="s">
        <v>93</v>
      </c>
      <c r="AE2173" s="1" t="s">
        <v>93</v>
      </c>
      <c r="AF2173" s="1"/>
      <c r="AG2173" s="1"/>
      <c r="AH2173" s="1"/>
      <c r="AI2173" s="1"/>
      <c r="AJ2173" s="1"/>
      <c r="AK2173" s="1"/>
      <c r="AL2173" s="1"/>
      <c r="AM2173" s="1"/>
      <c r="AN2173" s="1"/>
      <c r="AO2173" s="1"/>
      <c r="AP2173" s="1"/>
      <c r="AQ2173" s="1"/>
      <c r="AR2173" s="1"/>
      <c r="AS2173" s="1"/>
      <c r="AT2173" s="1"/>
      <c r="AU2173" s="1"/>
      <c r="AV2173" s="1"/>
      <c r="AW2173" s="1"/>
      <c r="AX2173" s="1"/>
      <c r="AY2173" s="1"/>
      <c r="AZ2173" s="1"/>
      <c r="BA2173" s="1"/>
      <c r="BB2173" s="1"/>
      <c r="BC2173" s="1"/>
      <c r="BD2173" s="1"/>
      <c r="BE2173" s="1"/>
      <c r="BF2173" s="1"/>
      <c r="BG2173" s="1"/>
      <c r="BH2173" s="1"/>
      <c r="BI2173" s="1"/>
      <c r="BJ2173" s="1"/>
      <c r="BK2173" s="1"/>
      <c r="BL2173" s="1"/>
      <c r="BM2173" s="1"/>
      <c r="BN2173" s="1"/>
      <c r="BO2173" s="1"/>
      <c r="BP2173" s="1" t="s">
        <v>9609</v>
      </c>
      <c r="BQ2173" s="3"/>
      <c r="BR2173" s="3"/>
    </row>
    <row r="2174" spans="1:70">
      <c r="A2174" s="1" t="s">
        <v>24104</v>
      </c>
      <c r="B2174" s="1" t="s">
        <v>13846</v>
      </c>
      <c r="C2174" s="1" t="s">
        <v>24129</v>
      </c>
      <c r="D2174" s="1" t="s">
        <v>24130</v>
      </c>
      <c r="E2174" s="1"/>
      <c r="F2174" s="1" t="s">
        <v>24131</v>
      </c>
      <c r="G2174" s="1" t="s">
        <v>24132</v>
      </c>
      <c r="H2174" s="1" t="s">
        <v>24133</v>
      </c>
      <c r="I2174" s="1" t="s">
        <v>24133</v>
      </c>
      <c r="J2174" s="1"/>
      <c r="K2174" s="1"/>
      <c r="L2174" s="1"/>
      <c r="M2174" s="1"/>
      <c r="N2174" s="1"/>
      <c r="O2174" s="1"/>
      <c r="P2174" s="1"/>
      <c r="Q2174" s="1"/>
      <c r="R2174" s="1"/>
      <c r="S2174" s="1"/>
      <c r="T2174" s="1"/>
      <c r="U2174" s="1"/>
      <c r="V2174" s="1"/>
      <c r="W2174" s="1"/>
      <c r="X2174" s="1"/>
      <c r="Y2174" s="1"/>
      <c r="Z2174" s="1"/>
      <c r="AA2174" s="1"/>
      <c r="AB2174" s="1"/>
      <c r="AC2174" s="1"/>
      <c r="AD2174" s="1" t="s">
        <v>93</v>
      </c>
      <c r="AE2174" s="1" t="s">
        <v>93</v>
      </c>
      <c r="AF2174" s="1"/>
      <c r="AG2174" s="1"/>
      <c r="AH2174" s="1"/>
      <c r="AI2174" s="1"/>
      <c r="AJ2174" s="1"/>
      <c r="AK2174" s="1"/>
      <c r="AL2174" s="1"/>
      <c r="AM2174" s="1"/>
      <c r="AN2174" s="1"/>
      <c r="AO2174" s="1"/>
      <c r="AP2174" s="1"/>
      <c r="AQ2174" s="1"/>
      <c r="AR2174" s="1"/>
      <c r="AS2174" s="1"/>
      <c r="AT2174" s="1"/>
      <c r="AU2174" s="1"/>
      <c r="AV2174" s="1"/>
      <c r="AW2174" s="1"/>
      <c r="AX2174" s="1"/>
      <c r="AY2174" s="1"/>
      <c r="AZ2174" s="1"/>
      <c r="BA2174" s="1"/>
      <c r="BB2174" s="1"/>
      <c r="BC2174" s="1"/>
      <c r="BD2174" s="1"/>
      <c r="BE2174" s="1"/>
      <c r="BF2174" s="1"/>
      <c r="BG2174" s="1"/>
      <c r="BH2174" s="1"/>
      <c r="BI2174" s="1"/>
      <c r="BJ2174" s="1"/>
      <c r="BK2174" s="1"/>
      <c r="BL2174" s="1"/>
      <c r="BM2174" s="1"/>
      <c r="BN2174" s="1"/>
      <c r="BO2174" s="1"/>
      <c r="BP2174" s="1" t="s">
        <v>9609</v>
      </c>
      <c r="BQ2174" s="3"/>
      <c r="BR2174" s="3"/>
    </row>
    <row r="2175" spans="1:70">
      <c r="A2175" s="1" t="s">
        <v>24104</v>
      </c>
      <c r="B2175" s="1" t="s">
        <v>13846</v>
      </c>
      <c r="C2175" s="1" t="s">
        <v>24134</v>
      </c>
      <c r="D2175" s="1" t="s">
        <v>24135</v>
      </c>
      <c r="E2175" s="1"/>
      <c r="F2175" s="1" t="s">
        <v>24136</v>
      </c>
      <c r="G2175" s="1" t="s">
        <v>24137</v>
      </c>
      <c r="H2175" s="1" t="s">
        <v>24138</v>
      </c>
      <c r="I2175" s="1" t="s">
        <v>24138</v>
      </c>
      <c r="J2175" s="1"/>
      <c r="K2175" s="1"/>
      <c r="L2175" s="1"/>
      <c r="M2175" s="1"/>
      <c r="N2175" s="1"/>
      <c r="O2175" s="1"/>
      <c r="P2175" s="1"/>
      <c r="Q2175" s="1"/>
      <c r="R2175" s="1"/>
      <c r="S2175" s="1"/>
      <c r="T2175" s="1"/>
      <c r="U2175" s="1"/>
      <c r="V2175" s="1"/>
      <c r="W2175" s="1"/>
      <c r="X2175" s="1"/>
      <c r="Y2175" s="1"/>
      <c r="Z2175" s="1"/>
      <c r="AA2175" s="1"/>
      <c r="AB2175" s="1"/>
      <c r="AC2175" s="1"/>
      <c r="AD2175" s="1" t="s">
        <v>93</v>
      </c>
      <c r="AE2175" s="1" t="s">
        <v>93</v>
      </c>
      <c r="AF2175" s="1"/>
      <c r="AG2175" s="1"/>
      <c r="AH2175" s="1"/>
      <c r="AI2175" s="1"/>
      <c r="AJ2175" s="1"/>
      <c r="AK2175" s="1"/>
      <c r="AL2175" s="1"/>
      <c r="AM2175" s="1"/>
      <c r="AN2175" s="1"/>
      <c r="AO2175" s="1"/>
      <c r="AP2175" s="1"/>
      <c r="AQ2175" s="1"/>
      <c r="AR2175" s="1"/>
      <c r="AS2175" s="1"/>
      <c r="AT2175" s="1"/>
      <c r="AU2175" s="1"/>
      <c r="AV2175" s="1"/>
      <c r="AW2175" s="1"/>
      <c r="AX2175" s="1"/>
      <c r="AY2175" s="1"/>
      <c r="AZ2175" s="1"/>
      <c r="BA2175" s="1"/>
      <c r="BB2175" s="1"/>
      <c r="BC2175" s="1"/>
      <c r="BD2175" s="1"/>
      <c r="BE2175" s="1"/>
      <c r="BF2175" s="1"/>
      <c r="BG2175" s="1"/>
      <c r="BH2175" s="1"/>
      <c r="BI2175" s="1"/>
      <c r="BJ2175" s="1"/>
      <c r="BK2175" s="1"/>
      <c r="BL2175" s="1"/>
      <c r="BM2175" s="1"/>
      <c r="BN2175" s="1"/>
      <c r="BO2175" s="1"/>
      <c r="BP2175" s="1" t="s">
        <v>9609</v>
      </c>
      <c r="BQ2175" s="3"/>
      <c r="BR2175" s="3"/>
    </row>
    <row r="2176" spans="1:70">
      <c r="A2176" s="1" t="s">
        <v>21266</v>
      </c>
      <c r="B2176" s="1" t="s">
        <v>24139</v>
      </c>
      <c r="C2176" s="1" t="s">
        <v>24140</v>
      </c>
      <c r="D2176" s="1" t="s">
        <v>24141</v>
      </c>
      <c r="E2176" s="1" t="s">
        <v>24142</v>
      </c>
      <c r="F2176" s="1" t="s">
        <v>24143</v>
      </c>
      <c r="G2176" s="1" t="s">
        <v>24144</v>
      </c>
      <c r="H2176" s="1" t="s">
        <v>24145</v>
      </c>
      <c r="I2176" s="1" t="s">
        <v>24146</v>
      </c>
      <c r="J2176" s="1">
        <v>7767961989</v>
      </c>
      <c r="K2176" s="1" t="s">
        <v>79</v>
      </c>
      <c r="L2176" s="1" t="s">
        <v>24147</v>
      </c>
      <c r="M2176" s="1" t="s">
        <v>81</v>
      </c>
      <c r="N2176" s="1" t="s">
        <v>24148</v>
      </c>
      <c r="O2176" s="1" t="s">
        <v>24149</v>
      </c>
      <c r="P2176" s="1" t="s">
        <v>84</v>
      </c>
      <c r="Q2176" s="1">
        <v>981820510399</v>
      </c>
      <c r="R2176" s="1" t="s">
        <v>24150</v>
      </c>
      <c r="S2176" s="1">
        <v>9922019483</v>
      </c>
      <c r="T2176" s="1" t="s">
        <v>24151</v>
      </c>
      <c r="U2176" s="1" t="s">
        <v>24152</v>
      </c>
      <c r="V2176" s="1">
        <v>9356805259</v>
      </c>
      <c r="W2176" s="1" t="s">
        <v>16314</v>
      </c>
      <c r="X2176" s="1" t="s">
        <v>24153</v>
      </c>
      <c r="Y2176" s="1" t="s">
        <v>1122</v>
      </c>
      <c r="Z2176" s="1" t="s">
        <v>92</v>
      </c>
      <c r="AA2176" s="1" t="s">
        <v>24154</v>
      </c>
      <c r="AB2176" s="1" t="s">
        <v>191</v>
      </c>
      <c r="AC2176" s="1" t="s">
        <v>92</v>
      </c>
      <c r="AD2176" s="1" t="s">
        <v>93</v>
      </c>
      <c r="AE2176" s="1" t="s">
        <v>93</v>
      </c>
      <c r="AF2176" s="1"/>
      <c r="AG2176" s="1"/>
      <c r="AH2176" s="1"/>
      <c r="AI2176" s="1"/>
      <c r="AJ2176" s="1"/>
      <c r="AK2176" s="1"/>
      <c r="AL2176" s="1"/>
      <c r="AM2176" s="1"/>
      <c r="AN2176" s="1"/>
      <c r="AO2176" s="1"/>
      <c r="AP2176" s="1"/>
      <c r="AQ2176" s="1"/>
      <c r="AR2176" s="1"/>
      <c r="AS2176" s="1"/>
      <c r="AT2176" s="1"/>
      <c r="AU2176" s="1"/>
      <c r="AV2176" s="1"/>
      <c r="AW2176" s="1"/>
      <c r="AX2176" s="1"/>
      <c r="AY2176" s="1"/>
      <c r="AZ2176" s="1"/>
      <c r="BA2176" s="1"/>
      <c r="BB2176" s="1"/>
      <c r="BC2176" s="1"/>
      <c r="BD2176" s="1"/>
      <c r="BE2176" s="1"/>
      <c r="BF2176" s="1"/>
      <c r="BG2176" s="1"/>
      <c r="BH2176" s="1"/>
      <c r="BI2176" s="1"/>
      <c r="BJ2176" s="1"/>
      <c r="BK2176" s="1"/>
      <c r="BL2176" s="1"/>
      <c r="BM2176" s="1"/>
      <c r="BN2176" s="1"/>
      <c r="BO2176" s="1"/>
      <c r="BP2176" s="1" t="str">
        <f>HYPERLINK("https://nconnect.nicmar.ac.in/storage/profile/6a7b534d07582.png","Download")</f>
        <v>0</v>
      </c>
      <c r="BQ2176" s="3"/>
      <c r="BR2176" s="3"/>
    </row>
    <row r="2177" spans="1:70">
      <c r="A2177" s="1" t="s">
        <v>21266</v>
      </c>
      <c r="B2177" s="1" t="s">
        <v>24139</v>
      </c>
      <c r="C2177" s="1" t="s">
        <v>24155</v>
      </c>
      <c r="D2177" s="1" t="s">
        <v>24156</v>
      </c>
      <c r="E2177" s="1"/>
      <c r="F2177" s="1" t="s">
        <v>574</v>
      </c>
      <c r="G2177" s="1" t="s">
        <v>24157</v>
      </c>
      <c r="H2177" s="1" t="s">
        <v>24158</v>
      </c>
      <c r="I2177" s="1" t="s">
        <v>24158</v>
      </c>
      <c r="J2177" s="1">
        <v>8355832192</v>
      </c>
      <c r="K2177" s="1" t="s">
        <v>148</v>
      </c>
      <c r="L2177" s="1" t="s">
        <v>24159</v>
      </c>
      <c r="M2177" s="1" t="s">
        <v>150</v>
      </c>
      <c r="N2177" s="1" t="s">
        <v>24160</v>
      </c>
      <c r="O2177" s="1" t="s">
        <v>24161</v>
      </c>
      <c r="P2177" s="1" t="s">
        <v>214</v>
      </c>
      <c r="Q2177" s="1">
        <v>987502601432</v>
      </c>
      <c r="R2177" s="1" t="s">
        <v>24162</v>
      </c>
      <c r="S2177" s="1">
        <v>9496131962</v>
      </c>
      <c r="T2177" s="1" t="s">
        <v>24163</v>
      </c>
      <c r="U2177" s="1" t="s">
        <v>24164</v>
      </c>
      <c r="V2177" s="1">
        <v>9497389962</v>
      </c>
      <c r="W2177" s="1" t="s">
        <v>24114</v>
      </c>
      <c r="X2177" s="1" t="s">
        <v>24165</v>
      </c>
      <c r="Y2177" s="1" t="s">
        <v>24166</v>
      </c>
      <c r="Z2177" s="1" t="s">
        <v>125</v>
      </c>
      <c r="AA2177" s="1" t="s">
        <v>24167</v>
      </c>
      <c r="AB2177" s="1" t="s">
        <v>1166</v>
      </c>
      <c r="AC2177" s="1" t="s">
        <v>92</v>
      </c>
      <c r="AD2177" s="1" t="s">
        <v>93</v>
      </c>
      <c r="AE2177" s="1" t="s">
        <v>93</v>
      </c>
      <c r="AF2177" s="1" t="s">
        <v>24168</v>
      </c>
      <c r="AG2177" s="1" t="s">
        <v>24169</v>
      </c>
      <c r="AH2177" s="1" t="s">
        <v>3131</v>
      </c>
      <c r="AI2177" s="1" t="s">
        <v>778</v>
      </c>
      <c r="AJ2177" s="1">
        <v>90</v>
      </c>
      <c r="AK2177" s="1"/>
      <c r="AL2177" s="1" t="s">
        <v>24170</v>
      </c>
      <c r="AM2177" s="1" t="s">
        <v>24171</v>
      </c>
      <c r="AN2177" s="1" t="s">
        <v>7319</v>
      </c>
      <c r="AO2177" s="1" t="s">
        <v>780</v>
      </c>
      <c r="AP2177" s="1">
        <v>82.33</v>
      </c>
      <c r="AQ2177" s="1"/>
      <c r="AR2177" s="1" t="s">
        <v>16034</v>
      </c>
      <c r="AS2177" s="1" t="s">
        <v>24172</v>
      </c>
      <c r="AT2177" s="1" t="s">
        <v>4602</v>
      </c>
      <c r="AU2177" s="1" t="s">
        <v>3439</v>
      </c>
      <c r="AV2177" s="1">
        <v>80.0</v>
      </c>
      <c r="AW2177" s="1">
        <v>8.54</v>
      </c>
      <c r="AX2177" s="1" t="s">
        <v>24173</v>
      </c>
      <c r="AY2177" s="1" t="s">
        <v>24174</v>
      </c>
      <c r="AZ2177" s="1" t="s">
        <v>1559</v>
      </c>
      <c r="BA2177" s="1" t="s">
        <v>162</v>
      </c>
      <c r="BB2177" s="1">
        <v>72.47</v>
      </c>
      <c r="BC2177" s="1">
        <v>7.7</v>
      </c>
      <c r="BD2177" s="1"/>
      <c r="BE2177" s="1"/>
      <c r="BF2177" s="1"/>
      <c r="BG2177" s="1"/>
      <c r="BH2177" s="1"/>
      <c r="BI2177" s="1"/>
      <c r="BJ2177" s="1" t="s">
        <v>24175</v>
      </c>
      <c r="BK2177" s="1" t="s">
        <v>24176</v>
      </c>
      <c r="BL2177" s="1" t="s">
        <v>3309</v>
      </c>
      <c r="BM2177" s="1" t="s">
        <v>24177</v>
      </c>
      <c r="BN2177" s="1">
        <v>58</v>
      </c>
      <c r="BO2177" s="1"/>
      <c r="BP2177" s="1" t="str">
        <f>HYPERLINK("https://nconnect.nicmar.ac.in/storage/profile/6a7b3ff33e174.png","Download")</f>
        <v>0</v>
      </c>
      <c r="BQ2177" s="3"/>
      <c r="BR2177" s="3"/>
    </row>
    <row r="2178" spans="1:70">
      <c r="A2178" s="1" t="s">
        <v>21266</v>
      </c>
      <c r="B2178" s="1" t="s">
        <v>24139</v>
      </c>
      <c r="C2178" s="1" t="s">
        <v>24178</v>
      </c>
      <c r="D2178" s="1" t="s">
        <v>24179</v>
      </c>
      <c r="E2178" s="1" t="s">
        <v>24180</v>
      </c>
      <c r="F2178" s="1" t="s">
        <v>24181</v>
      </c>
      <c r="G2178" s="1" t="s">
        <v>24182</v>
      </c>
      <c r="H2178" s="1" t="s">
        <v>24183</v>
      </c>
      <c r="I2178" s="1" t="s">
        <v>24184</v>
      </c>
      <c r="J2178" s="1">
        <v>8390074104</v>
      </c>
      <c r="K2178" s="1" t="s">
        <v>79</v>
      </c>
      <c r="L2178" s="1" t="s">
        <v>19560</v>
      </c>
      <c r="M2178" s="1" t="s">
        <v>81</v>
      </c>
      <c r="N2178" s="1" t="s">
        <v>751</v>
      </c>
      <c r="O2178" s="1" t="s">
        <v>24185</v>
      </c>
      <c r="P2178" s="1" t="s">
        <v>214</v>
      </c>
      <c r="Q2178" s="1">
        <v>474560779022</v>
      </c>
      <c r="R2178" s="1" t="s">
        <v>24186</v>
      </c>
      <c r="S2178" s="1">
        <v>9049458548</v>
      </c>
      <c r="T2178" s="1" t="s">
        <v>24151</v>
      </c>
      <c r="U2178" s="1" t="s">
        <v>24187</v>
      </c>
      <c r="V2178" s="1">
        <v>7249358548</v>
      </c>
      <c r="W2178" s="1" t="s">
        <v>16314</v>
      </c>
      <c r="X2178" s="1" t="s">
        <v>24188</v>
      </c>
      <c r="Y2178" s="1" t="s">
        <v>1122</v>
      </c>
      <c r="Z2178" s="1" t="s">
        <v>92</v>
      </c>
      <c r="AA2178" s="1" t="s">
        <v>24189</v>
      </c>
      <c r="AB2178" s="1" t="s">
        <v>191</v>
      </c>
      <c r="AC2178" s="1" t="s">
        <v>92</v>
      </c>
      <c r="AD2178" s="1" t="s">
        <v>93</v>
      </c>
      <c r="AE2178" s="1" t="s">
        <v>93</v>
      </c>
      <c r="AF2178" s="1" t="s">
        <v>24190</v>
      </c>
      <c r="AG2178" s="1" t="s">
        <v>24191</v>
      </c>
      <c r="AH2178" s="1" t="s">
        <v>162</v>
      </c>
      <c r="AI2178" s="1" t="s">
        <v>195</v>
      </c>
      <c r="AJ2178" s="1">
        <v>79.4</v>
      </c>
      <c r="AK2178" s="1"/>
      <c r="AL2178" s="1"/>
      <c r="AM2178" s="1"/>
      <c r="AN2178" s="1"/>
      <c r="AO2178" s="1"/>
      <c r="AP2178" s="1"/>
      <c r="AQ2178" s="1"/>
      <c r="AR2178" s="1" t="s">
        <v>24192</v>
      </c>
      <c r="AS2178" s="1" t="s">
        <v>24193</v>
      </c>
      <c r="AT2178" s="1" t="s">
        <v>165</v>
      </c>
      <c r="AU2178" s="1" t="s">
        <v>460</v>
      </c>
      <c r="AV2178" s="1">
        <v>92.84</v>
      </c>
      <c r="AW2178" s="1"/>
      <c r="AX2178" s="1" t="s">
        <v>24194</v>
      </c>
      <c r="AY2178" s="1" t="s">
        <v>24195</v>
      </c>
      <c r="AZ2178" s="1" t="s">
        <v>1019</v>
      </c>
      <c r="BA2178" s="1" t="s">
        <v>229</v>
      </c>
      <c r="BB2178" s="1">
        <v>85.7</v>
      </c>
      <c r="BC2178" s="1">
        <v>9.32</v>
      </c>
      <c r="BD2178" s="1"/>
      <c r="BE2178" s="1"/>
      <c r="BF2178" s="1"/>
      <c r="BG2178" s="1"/>
      <c r="BH2178" s="1"/>
      <c r="BI2178" s="1"/>
      <c r="BJ2178" s="1" t="s">
        <v>24196</v>
      </c>
      <c r="BK2178" s="1" t="s">
        <v>24197</v>
      </c>
      <c r="BL2178" s="1" t="s">
        <v>1824</v>
      </c>
      <c r="BM2178" s="1" t="s">
        <v>24198</v>
      </c>
      <c r="BN2178" s="1">
        <v>26</v>
      </c>
      <c r="BO2178" s="1"/>
      <c r="BP2178" s="1" t="str">
        <f>HYPERLINK("https://nconnect.nicmar.ac.in/storage/profile/6a783d68f314b.png","Download")</f>
        <v>0</v>
      </c>
      <c r="BQ2178" s="3"/>
      <c r="BR2178" s="3"/>
    </row>
    <row r="2179" spans="1:70">
      <c r="A2179" s="1" t="s">
        <v>21266</v>
      </c>
      <c r="B2179" s="1" t="s">
        <v>24139</v>
      </c>
      <c r="C2179" s="1" t="s">
        <v>24199</v>
      </c>
      <c r="D2179" s="1" t="s">
        <v>24200</v>
      </c>
      <c r="E2179" s="1"/>
      <c r="F2179" s="1" t="s">
        <v>24201</v>
      </c>
      <c r="G2179" s="1" t="s">
        <v>24202</v>
      </c>
      <c r="H2179" s="1" t="s">
        <v>24203</v>
      </c>
      <c r="I2179" s="1" t="s">
        <v>24204</v>
      </c>
      <c r="J2179" s="1">
        <v>9047533615</v>
      </c>
      <c r="K2179" s="1" t="s">
        <v>79</v>
      </c>
      <c r="L2179" s="1" t="s">
        <v>24205</v>
      </c>
      <c r="M2179" s="1" t="s">
        <v>81</v>
      </c>
      <c r="N2179" s="1" t="s">
        <v>24206</v>
      </c>
      <c r="O2179" s="1" t="s">
        <v>24207</v>
      </c>
      <c r="P2179" s="1" t="s">
        <v>214</v>
      </c>
      <c r="Q2179" s="1">
        <v>506548587203</v>
      </c>
      <c r="R2179" s="1" t="s">
        <v>24208</v>
      </c>
      <c r="S2179" s="1">
        <v>8903799251</v>
      </c>
      <c r="T2179" s="1" t="s">
        <v>24209</v>
      </c>
      <c r="U2179" s="1" t="s">
        <v>24210</v>
      </c>
      <c r="V2179" s="1">
        <v>6383106489</v>
      </c>
      <c r="W2179" s="1" t="s">
        <v>10212</v>
      </c>
      <c r="X2179" s="1" t="s">
        <v>24211</v>
      </c>
      <c r="Y2179" s="1" t="s">
        <v>15385</v>
      </c>
      <c r="Z2179" s="1" t="s">
        <v>559</v>
      </c>
      <c r="AA2179" s="1" t="s">
        <v>24211</v>
      </c>
      <c r="AB2179" s="1" t="s">
        <v>15385</v>
      </c>
      <c r="AC2179" s="1" t="s">
        <v>559</v>
      </c>
      <c r="AD2179" s="1" t="s">
        <v>93</v>
      </c>
      <c r="AE2179" s="1" t="s">
        <v>93</v>
      </c>
      <c r="AF2179" s="1" t="s">
        <v>24212</v>
      </c>
      <c r="AG2179" s="1" t="s">
        <v>8620</v>
      </c>
      <c r="AH2179" s="1" t="s">
        <v>161</v>
      </c>
      <c r="AI2179" s="1" t="s">
        <v>1089</v>
      </c>
      <c r="AJ2179" s="1">
        <v>97.2</v>
      </c>
      <c r="AK2179" s="1">
        <v>9.72</v>
      </c>
      <c r="AL2179" s="1" t="s">
        <v>24212</v>
      </c>
      <c r="AM2179" s="1" t="s">
        <v>8620</v>
      </c>
      <c r="AN2179" s="1" t="s">
        <v>162</v>
      </c>
      <c r="AO2179" s="1" t="s">
        <v>281</v>
      </c>
      <c r="AP2179" s="1">
        <v>75</v>
      </c>
      <c r="AQ2179" s="1">
        <v>7.5</v>
      </c>
      <c r="AR2179" s="1"/>
      <c r="AS2179" s="1"/>
      <c r="AT2179" s="1"/>
      <c r="AU2179" s="1"/>
      <c r="AV2179" s="1"/>
      <c r="AW2179" s="1"/>
      <c r="AX2179" s="1" t="s">
        <v>24213</v>
      </c>
      <c r="AY2179" s="1" t="s">
        <v>24214</v>
      </c>
      <c r="AZ2179" s="1" t="s">
        <v>169</v>
      </c>
      <c r="BA2179" s="1" t="s">
        <v>619</v>
      </c>
      <c r="BB2179" s="1">
        <v>73.07</v>
      </c>
      <c r="BC2179" s="1">
        <v>7.69</v>
      </c>
      <c r="BD2179" s="1"/>
      <c r="BE2179" s="1"/>
      <c r="BF2179" s="1"/>
      <c r="BG2179" s="1"/>
      <c r="BH2179" s="1"/>
      <c r="BI2179" s="1"/>
      <c r="BJ2179" s="1" t="s">
        <v>24215</v>
      </c>
      <c r="BK2179" s="1" t="s">
        <v>24216</v>
      </c>
      <c r="BL2179" s="1" t="s">
        <v>721</v>
      </c>
      <c r="BM2179" s="1"/>
      <c r="BN2179" s="1"/>
      <c r="BO2179" s="1" t="s">
        <v>24217</v>
      </c>
      <c r="BP2179" s="1" t="str">
        <f>HYPERLINK("https://nconnect.nicmar.ac.in/storage/profile/6a7894a493d41.png","Download")</f>
        <v>0</v>
      </c>
      <c r="BQ2179" s="3"/>
      <c r="BR2179" s="3"/>
    </row>
    <row r="2180" spans="1:70">
      <c r="A2180" s="1" t="s">
        <v>21266</v>
      </c>
      <c r="B2180" s="1" t="s">
        <v>24139</v>
      </c>
      <c r="C2180" s="1" t="s">
        <v>24218</v>
      </c>
      <c r="D2180" s="1" t="s">
        <v>8325</v>
      </c>
      <c r="E2180" s="1"/>
      <c r="F2180" s="1" t="s">
        <v>24219</v>
      </c>
      <c r="G2180" s="1" t="s">
        <v>24220</v>
      </c>
      <c r="H2180" s="1" t="s">
        <v>24221</v>
      </c>
      <c r="I2180" s="1" t="s">
        <v>24221</v>
      </c>
      <c r="J2180" s="1">
        <v>8547303768</v>
      </c>
      <c r="K2180" s="1" t="s">
        <v>79</v>
      </c>
      <c r="L2180" s="1" t="s">
        <v>24222</v>
      </c>
      <c r="M2180" s="1" t="s">
        <v>81</v>
      </c>
      <c r="N2180" s="1" t="s">
        <v>24223</v>
      </c>
      <c r="O2180" s="1" t="s">
        <v>24224</v>
      </c>
      <c r="P2180" s="1" t="s">
        <v>214</v>
      </c>
      <c r="Q2180" s="1">
        <v>593550078191</v>
      </c>
      <c r="R2180" s="1" t="s">
        <v>24225</v>
      </c>
      <c r="S2180" s="1">
        <v>9744727861</v>
      </c>
      <c r="T2180" s="1" t="s">
        <v>24226</v>
      </c>
      <c r="U2180" s="1" t="s">
        <v>24227</v>
      </c>
      <c r="V2180" s="1">
        <v>6282708883</v>
      </c>
      <c r="W2180" s="1" t="s">
        <v>156</v>
      </c>
      <c r="X2180" s="1" t="s">
        <v>24228</v>
      </c>
      <c r="Y2180" s="1" t="s">
        <v>4921</v>
      </c>
      <c r="Z2180" s="1" t="s">
        <v>125</v>
      </c>
      <c r="AA2180" s="1" t="s">
        <v>24228</v>
      </c>
      <c r="AB2180" s="1" t="s">
        <v>4921</v>
      </c>
      <c r="AC2180" s="1" t="s">
        <v>125</v>
      </c>
      <c r="AD2180" s="1" t="s">
        <v>93</v>
      </c>
      <c r="AE2180" s="1" t="s">
        <v>93</v>
      </c>
      <c r="AF2180" s="1" t="s">
        <v>24229</v>
      </c>
      <c r="AG2180" s="1" t="s">
        <v>777</v>
      </c>
      <c r="AH2180" s="1" t="s">
        <v>162</v>
      </c>
      <c r="AI2180" s="1" t="s">
        <v>195</v>
      </c>
      <c r="AJ2180" s="1">
        <v>87.4</v>
      </c>
      <c r="AK2180" s="1">
        <v>9.2</v>
      </c>
      <c r="AL2180" s="1" t="s">
        <v>24230</v>
      </c>
      <c r="AM2180" s="1" t="s">
        <v>24231</v>
      </c>
      <c r="AN2180" s="1" t="s">
        <v>165</v>
      </c>
      <c r="AO2180" s="1" t="s">
        <v>409</v>
      </c>
      <c r="AP2180" s="1">
        <v>70.0</v>
      </c>
      <c r="AQ2180" s="1"/>
      <c r="AR2180" s="1"/>
      <c r="AS2180" s="1"/>
      <c r="AT2180" s="1"/>
      <c r="AU2180" s="1"/>
      <c r="AV2180" s="1"/>
      <c r="AW2180" s="1"/>
      <c r="AX2180" s="1" t="s">
        <v>564</v>
      </c>
      <c r="AY2180" s="1" t="s">
        <v>24232</v>
      </c>
      <c r="AZ2180" s="1" t="s">
        <v>201</v>
      </c>
      <c r="BA2180" s="1" t="s">
        <v>174</v>
      </c>
      <c r="BB2180" s="1">
        <v>76.1</v>
      </c>
      <c r="BC2180" s="1">
        <v>7.61</v>
      </c>
      <c r="BD2180" s="1"/>
      <c r="BE2180" s="1"/>
      <c r="BF2180" s="1"/>
      <c r="BG2180" s="1"/>
      <c r="BH2180" s="1"/>
      <c r="BI2180" s="1"/>
      <c r="BJ2180" s="1" t="s">
        <v>24233</v>
      </c>
      <c r="BK2180" s="1" t="s">
        <v>24234</v>
      </c>
      <c r="BL2180" s="1" t="s">
        <v>762</v>
      </c>
      <c r="BM2180" s="1" t="s">
        <v>24235</v>
      </c>
      <c r="BN2180" s="1">
        <v>2</v>
      </c>
      <c r="BO2180" s="1"/>
      <c r="BP2180" s="1" t="str">
        <f>HYPERLINK("https://nconnect.nicmar.ac.in/storage/profile/6a7719338e3dd.png","Download")</f>
        <v>0</v>
      </c>
      <c r="BQ2180" s="3"/>
      <c r="BR2180" s="3"/>
    </row>
    <row r="2181" spans="1:70">
      <c r="A2181" s="1" t="s">
        <v>21266</v>
      </c>
      <c r="B2181" s="1" t="s">
        <v>24139</v>
      </c>
      <c r="C2181" s="1" t="s">
        <v>24236</v>
      </c>
      <c r="D2181" s="1" t="s">
        <v>24237</v>
      </c>
      <c r="E2181" s="1" t="s">
        <v>24238</v>
      </c>
      <c r="F2181" s="1" t="s">
        <v>24239</v>
      </c>
      <c r="G2181" s="1" t="s">
        <v>24240</v>
      </c>
      <c r="H2181" s="1" t="s">
        <v>24241</v>
      </c>
      <c r="I2181" s="1" t="s">
        <v>24241</v>
      </c>
      <c r="J2181" s="1">
        <v>8459556713</v>
      </c>
      <c r="K2181" s="1" t="s">
        <v>79</v>
      </c>
      <c r="L2181" s="1" t="s">
        <v>3803</v>
      </c>
      <c r="M2181" s="1" t="s">
        <v>81</v>
      </c>
      <c r="N2181" s="1" t="s">
        <v>6387</v>
      </c>
      <c r="O2181" s="1" t="s">
        <v>24242</v>
      </c>
      <c r="P2181" s="1" t="s">
        <v>117</v>
      </c>
      <c r="Q2181" s="1" t="s">
        <v>24243</v>
      </c>
      <c r="R2181" s="1" t="s">
        <v>24238</v>
      </c>
      <c r="S2181" s="1">
        <v>8087136654</v>
      </c>
      <c r="T2181" s="1" t="s">
        <v>24151</v>
      </c>
      <c r="U2181" s="1" t="s">
        <v>24244</v>
      </c>
      <c r="V2181" s="1">
        <v>9975066811</v>
      </c>
      <c r="W2181" s="1" t="s">
        <v>24245</v>
      </c>
      <c r="X2181" s="1" t="s">
        <v>24246</v>
      </c>
      <c r="Y2181" s="1" t="s">
        <v>890</v>
      </c>
      <c r="Z2181" s="1" t="s">
        <v>92</v>
      </c>
      <c r="AA2181" s="1" t="s">
        <v>24246</v>
      </c>
      <c r="AB2181" s="1" t="s">
        <v>890</v>
      </c>
      <c r="AC2181" s="1" t="s">
        <v>92</v>
      </c>
      <c r="AD2181" s="1" t="s">
        <v>93</v>
      </c>
      <c r="AE2181" s="1" t="s">
        <v>93</v>
      </c>
      <c r="AF2181" s="1" t="s">
        <v>24247</v>
      </c>
      <c r="AG2181" s="1" t="s">
        <v>24248</v>
      </c>
      <c r="AH2181" s="1" t="s">
        <v>165</v>
      </c>
      <c r="AI2181" s="1" t="s">
        <v>101</v>
      </c>
      <c r="AJ2181" s="1">
        <v>91.2</v>
      </c>
      <c r="AK2181" s="1"/>
      <c r="AL2181" s="1" t="s">
        <v>24247</v>
      </c>
      <c r="AM2181" s="1" t="s">
        <v>24248</v>
      </c>
      <c r="AN2181" s="1" t="s">
        <v>433</v>
      </c>
      <c r="AO2181" s="1" t="s">
        <v>173</v>
      </c>
      <c r="AP2181" s="1">
        <v>70.31</v>
      </c>
      <c r="AQ2181" s="1"/>
      <c r="AR2181" s="1"/>
      <c r="AS2181" s="1"/>
      <c r="AT2181" s="1"/>
      <c r="AU2181" s="1"/>
      <c r="AV2181" s="1"/>
      <c r="AW2181" s="1"/>
      <c r="AX2181" s="1" t="s">
        <v>24194</v>
      </c>
      <c r="AY2181" s="1" t="s">
        <v>24249</v>
      </c>
      <c r="AZ2181" s="1" t="s">
        <v>1019</v>
      </c>
      <c r="BA2181" s="1" t="s">
        <v>202</v>
      </c>
      <c r="BB2181" s="1">
        <v>73.6</v>
      </c>
      <c r="BC2181" s="1">
        <v>8.11</v>
      </c>
      <c r="BD2181" s="1"/>
      <c r="BE2181" s="1"/>
      <c r="BF2181" s="1"/>
      <c r="BG2181" s="1"/>
      <c r="BH2181" s="1"/>
      <c r="BI2181" s="1"/>
      <c r="BJ2181" s="1" t="s">
        <v>24250</v>
      </c>
      <c r="BK2181" s="1"/>
      <c r="BL2181" s="1"/>
      <c r="BM2181" s="1" t="s">
        <v>24251</v>
      </c>
      <c r="BN2181" s="1">
        <v>7</v>
      </c>
      <c r="BO2181" s="1"/>
      <c r="BP2181" s="1" t="str">
        <f>HYPERLINK("https://nconnect.nicmar.ac.in/storage/profile/6a773ef581cb9.png","Download")</f>
        <v>0</v>
      </c>
      <c r="BQ2181" s="3"/>
      <c r="BR2181" s="3"/>
    </row>
    <row r="2182" spans="1:70">
      <c r="A2182" s="1" t="s">
        <v>21266</v>
      </c>
      <c r="B2182" s="1" t="s">
        <v>24139</v>
      </c>
      <c r="C2182" s="1" t="s">
        <v>24252</v>
      </c>
      <c r="D2182" s="1" t="s">
        <v>24253</v>
      </c>
      <c r="E2182" s="1" t="s">
        <v>24254</v>
      </c>
      <c r="F2182" s="1" t="s">
        <v>24255</v>
      </c>
      <c r="G2182" s="1" t="s">
        <v>24256</v>
      </c>
      <c r="H2182" s="1" t="s">
        <v>24257</v>
      </c>
      <c r="I2182" s="1" t="s">
        <v>24258</v>
      </c>
      <c r="J2182" s="1">
        <v>8698695085</v>
      </c>
      <c r="K2182" s="1" t="s">
        <v>79</v>
      </c>
      <c r="L2182" s="1" t="s">
        <v>6226</v>
      </c>
      <c r="M2182" s="1" t="s">
        <v>81</v>
      </c>
      <c r="N2182" s="1" t="s">
        <v>350</v>
      </c>
      <c r="O2182" s="1" t="s">
        <v>24259</v>
      </c>
      <c r="P2182" s="1" t="s">
        <v>214</v>
      </c>
      <c r="Q2182" s="1">
        <v>843640006231</v>
      </c>
      <c r="R2182" s="1" t="s">
        <v>24254</v>
      </c>
      <c r="S2182" s="1">
        <v>9890599100</v>
      </c>
      <c r="T2182" s="1" t="s">
        <v>24260</v>
      </c>
      <c r="U2182" s="1" t="s">
        <v>24261</v>
      </c>
      <c r="V2182" s="1">
        <v>8668902961</v>
      </c>
      <c r="W2182" s="1" t="s">
        <v>10212</v>
      </c>
      <c r="X2182" s="1" t="s">
        <v>24262</v>
      </c>
      <c r="Y2182" s="1" t="s">
        <v>5034</v>
      </c>
      <c r="Z2182" s="1" t="s">
        <v>92</v>
      </c>
      <c r="AA2182" s="1" t="s">
        <v>24262</v>
      </c>
      <c r="AB2182" s="1" t="s">
        <v>5034</v>
      </c>
      <c r="AC2182" s="1" t="s">
        <v>92</v>
      </c>
      <c r="AD2182" s="1" t="s">
        <v>93</v>
      </c>
      <c r="AE2182" s="1" t="s">
        <v>93</v>
      </c>
      <c r="AF2182" s="1" t="s">
        <v>24263</v>
      </c>
      <c r="AG2182" s="1" t="s">
        <v>24264</v>
      </c>
      <c r="AH2182" s="1" t="s">
        <v>101</v>
      </c>
      <c r="AI2182" s="1" t="s">
        <v>308</v>
      </c>
      <c r="AJ2182" s="1">
        <v>88.4</v>
      </c>
      <c r="AK2182" s="1"/>
      <c r="AL2182" s="1"/>
      <c r="AM2182" s="1"/>
      <c r="AN2182" s="1"/>
      <c r="AO2182" s="1"/>
      <c r="AP2182" s="1"/>
      <c r="AQ2182" s="1"/>
      <c r="AR2182" s="1" t="s">
        <v>16034</v>
      </c>
      <c r="AS2182" s="1" t="s">
        <v>24265</v>
      </c>
      <c r="AT2182" s="1" t="s">
        <v>201</v>
      </c>
      <c r="AU2182" s="1" t="s">
        <v>24266</v>
      </c>
      <c r="AV2182" s="1">
        <v>86.63</v>
      </c>
      <c r="AW2182" s="1"/>
      <c r="AX2182" s="1" t="s">
        <v>24267</v>
      </c>
      <c r="AY2182" s="1" t="s">
        <v>24268</v>
      </c>
      <c r="AZ2182" s="1" t="s">
        <v>2775</v>
      </c>
      <c r="BA2182" s="1" t="s">
        <v>543</v>
      </c>
      <c r="BB2182" s="1">
        <v>73.15</v>
      </c>
      <c r="BC2182" s="1">
        <v>8.64</v>
      </c>
      <c r="BD2182" s="1"/>
      <c r="BE2182" s="1"/>
      <c r="BF2182" s="1"/>
      <c r="BG2182" s="1"/>
      <c r="BH2182" s="1"/>
      <c r="BI2182" s="1"/>
      <c r="BJ2182" s="1" t="s">
        <v>255</v>
      </c>
      <c r="BK2182" s="1" t="s">
        <v>24269</v>
      </c>
      <c r="BL2182" s="1" t="s">
        <v>645</v>
      </c>
      <c r="BM2182" s="1"/>
      <c r="BN2182" s="1"/>
      <c r="BO2182" s="1"/>
      <c r="BP2182" s="1" t="str">
        <f>HYPERLINK("https://nconnect.nicmar.ac.in/storage/profile/6a7786aa7f2a9.png","Download")</f>
        <v>0</v>
      </c>
      <c r="BQ2182" s="3"/>
      <c r="BR2182" s="3"/>
    </row>
    <row r="2183" spans="1:70">
      <c r="A2183" s="1" t="s">
        <v>21266</v>
      </c>
      <c r="B2183" s="1" t="s">
        <v>24139</v>
      </c>
      <c r="C2183" s="1" t="s">
        <v>24270</v>
      </c>
      <c r="D2183" s="1" t="s">
        <v>24271</v>
      </c>
      <c r="E2183" s="1" t="s">
        <v>24272</v>
      </c>
      <c r="F2183" s="1" t="s">
        <v>24273</v>
      </c>
      <c r="G2183" s="1" t="s">
        <v>24274</v>
      </c>
      <c r="H2183" s="1" t="s">
        <v>24275</v>
      </c>
      <c r="I2183" s="1" t="s">
        <v>24276</v>
      </c>
      <c r="J2183" s="1">
        <v>9763819311</v>
      </c>
      <c r="K2183" s="1" t="s">
        <v>79</v>
      </c>
      <c r="L2183" s="1" t="s">
        <v>15131</v>
      </c>
      <c r="M2183" s="1" t="s">
        <v>81</v>
      </c>
      <c r="N2183" s="1" t="s">
        <v>24277</v>
      </c>
      <c r="O2183" s="1" t="s">
        <v>24278</v>
      </c>
      <c r="P2183" s="1" t="s">
        <v>214</v>
      </c>
      <c r="Q2183" s="1">
        <v>316777895017</v>
      </c>
      <c r="R2183" s="1" t="s">
        <v>24272</v>
      </c>
      <c r="S2183" s="1">
        <v>8412040134</v>
      </c>
      <c r="T2183" s="1" t="s">
        <v>24279</v>
      </c>
      <c r="U2183" s="1" t="s">
        <v>24280</v>
      </c>
      <c r="V2183" s="1">
        <v>9421508180</v>
      </c>
      <c r="W2183" s="1" t="s">
        <v>16314</v>
      </c>
      <c r="X2183" s="1" t="s">
        <v>24281</v>
      </c>
      <c r="Y2183" s="1" t="s">
        <v>5185</v>
      </c>
      <c r="Z2183" s="1" t="s">
        <v>92</v>
      </c>
      <c r="AA2183" s="1" t="s">
        <v>24282</v>
      </c>
      <c r="AB2183" s="1" t="s">
        <v>191</v>
      </c>
      <c r="AC2183" s="1" t="s">
        <v>92</v>
      </c>
      <c r="AD2183" s="1" t="s">
        <v>93</v>
      </c>
      <c r="AE2183" s="1" t="s">
        <v>93</v>
      </c>
      <c r="AF2183" s="1" t="s">
        <v>24283</v>
      </c>
      <c r="AG2183" s="1" t="s">
        <v>24284</v>
      </c>
      <c r="AH2183" s="1" t="s">
        <v>96</v>
      </c>
      <c r="AI2183" s="1" t="s">
        <v>590</v>
      </c>
      <c r="AJ2183" s="1">
        <v>89.4</v>
      </c>
      <c r="AK2183" s="1"/>
      <c r="AL2183" s="1"/>
      <c r="AM2183" s="1"/>
      <c r="AN2183" s="1"/>
      <c r="AO2183" s="1"/>
      <c r="AP2183" s="1"/>
      <c r="AQ2183" s="1"/>
      <c r="AR2183" s="1" t="s">
        <v>16034</v>
      </c>
      <c r="AS2183" s="1" t="s">
        <v>24285</v>
      </c>
      <c r="AT2183" s="1" t="s">
        <v>363</v>
      </c>
      <c r="AU2183" s="1" t="s">
        <v>174</v>
      </c>
      <c r="AV2183" s="1">
        <v>78.29</v>
      </c>
      <c r="AW2183" s="1"/>
      <c r="AX2183" s="1" t="s">
        <v>24194</v>
      </c>
      <c r="AY2183" s="1" t="s">
        <v>24286</v>
      </c>
      <c r="AZ2183" s="1" t="s">
        <v>1245</v>
      </c>
      <c r="BA2183" s="1" t="s">
        <v>20917</v>
      </c>
      <c r="BB2183" s="1">
        <v>75</v>
      </c>
      <c r="BC2183" s="1">
        <v>8.25</v>
      </c>
      <c r="BD2183" s="1"/>
      <c r="BE2183" s="1"/>
      <c r="BF2183" s="1"/>
      <c r="BG2183" s="1"/>
      <c r="BH2183" s="1"/>
      <c r="BI2183" s="1"/>
      <c r="BJ2183" s="1" t="s">
        <v>24287</v>
      </c>
      <c r="BK2183" s="1"/>
      <c r="BL2183" s="1"/>
      <c r="BM2183" s="1"/>
      <c r="BN2183" s="1"/>
      <c r="BO2183" s="1" t="s">
        <v>24288</v>
      </c>
      <c r="BP2183" s="1" t="str">
        <f>HYPERLINK("https://nconnect.nicmar.ac.in/storage/profile/6a79dc1a863d9.png","Download")</f>
        <v>0</v>
      </c>
      <c r="BQ2183" s="3"/>
      <c r="BR2183" s="3"/>
    </row>
    <row r="2184" spans="1:70">
      <c r="A2184" s="1" t="s">
        <v>21266</v>
      </c>
      <c r="B2184" s="1" t="s">
        <v>24139</v>
      </c>
      <c r="C2184" s="1" t="s">
        <v>24289</v>
      </c>
      <c r="D2184" s="1" t="s">
        <v>24290</v>
      </c>
      <c r="E2184" s="1" t="s">
        <v>24291</v>
      </c>
      <c r="F2184" s="1" t="s">
        <v>24292</v>
      </c>
      <c r="G2184" s="1" t="s">
        <v>24293</v>
      </c>
      <c r="H2184" s="1" t="s">
        <v>24294</v>
      </c>
      <c r="I2184" s="1" t="s">
        <v>24295</v>
      </c>
      <c r="J2184" s="1">
        <v>7083606348</v>
      </c>
      <c r="K2184" s="1" t="s">
        <v>79</v>
      </c>
      <c r="L2184" s="1" t="s">
        <v>9097</v>
      </c>
      <c r="M2184" s="1" t="s">
        <v>81</v>
      </c>
      <c r="N2184" s="1" t="s">
        <v>4274</v>
      </c>
      <c r="O2184" s="1" t="s">
        <v>24296</v>
      </c>
      <c r="P2184" s="1" t="s">
        <v>117</v>
      </c>
      <c r="Q2184" s="1">
        <v>670502660600</v>
      </c>
      <c r="R2184" s="1" t="s">
        <v>24291</v>
      </c>
      <c r="S2184" s="1">
        <v>9850535390</v>
      </c>
      <c r="T2184" s="1" t="s">
        <v>3457</v>
      </c>
      <c r="U2184" s="1" t="s">
        <v>23085</v>
      </c>
      <c r="V2184" s="1">
        <v>9834113798</v>
      </c>
      <c r="W2184" s="1" t="s">
        <v>16314</v>
      </c>
      <c r="X2184" s="1" t="s">
        <v>24297</v>
      </c>
      <c r="Y2184" s="1" t="s">
        <v>1963</v>
      </c>
      <c r="Z2184" s="1" t="s">
        <v>92</v>
      </c>
      <c r="AA2184" s="1" t="s">
        <v>24297</v>
      </c>
      <c r="AB2184" s="1" t="s">
        <v>1963</v>
      </c>
      <c r="AC2184" s="1" t="s">
        <v>92</v>
      </c>
      <c r="AD2184" s="1" t="s">
        <v>93</v>
      </c>
      <c r="AE2184" s="1" t="s">
        <v>93</v>
      </c>
      <c r="AF2184" s="1" t="s">
        <v>24298</v>
      </c>
      <c r="AG2184" s="1" t="s">
        <v>24191</v>
      </c>
      <c r="AH2184" s="1" t="s">
        <v>162</v>
      </c>
      <c r="AI2184" s="1" t="s">
        <v>195</v>
      </c>
      <c r="AJ2184" s="1">
        <v>78.2</v>
      </c>
      <c r="AK2184" s="1"/>
      <c r="AL2184" s="1"/>
      <c r="AM2184" s="1"/>
      <c r="AN2184" s="1"/>
      <c r="AO2184" s="1"/>
      <c r="AP2184" s="1"/>
      <c r="AQ2184" s="1"/>
      <c r="AR2184" s="1" t="s">
        <v>24299</v>
      </c>
      <c r="AS2184" s="1" t="s">
        <v>24285</v>
      </c>
      <c r="AT2184" s="1" t="s">
        <v>383</v>
      </c>
      <c r="AU2184" s="1" t="s">
        <v>412</v>
      </c>
      <c r="AV2184" s="1">
        <v>71.69</v>
      </c>
      <c r="AW2184" s="1"/>
      <c r="AX2184" s="1" t="s">
        <v>24300</v>
      </c>
      <c r="AY2184" s="1" t="s">
        <v>24301</v>
      </c>
      <c r="AZ2184" s="1" t="s">
        <v>1019</v>
      </c>
      <c r="BA2184" s="1" t="s">
        <v>935</v>
      </c>
      <c r="BB2184" s="1">
        <v>71.5</v>
      </c>
      <c r="BC2184" s="1">
        <v>7.65</v>
      </c>
      <c r="BD2184" s="1"/>
      <c r="BE2184" s="1"/>
      <c r="BF2184" s="1"/>
      <c r="BG2184" s="1"/>
      <c r="BH2184" s="1"/>
      <c r="BI2184" s="1"/>
      <c r="BJ2184" s="1" t="s">
        <v>24302</v>
      </c>
      <c r="BK2184" s="1" t="s">
        <v>24303</v>
      </c>
      <c r="BL2184" s="1" t="s">
        <v>9090</v>
      </c>
      <c r="BM2184" s="1"/>
      <c r="BN2184" s="1"/>
      <c r="BO2184" s="1"/>
      <c r="BP2184" s="1" t="str">
        <f>HYPERLINK("https://nconnect.nicmar.ac.in/storage/profile/6a78592cde9a4.png","Download")</f>
        <v>0</v>
      </c>
      <c r="BQ2184" s="3"/>
      <c r="BR2184" s="3"/>
    </row>
    <row r="2185" spans="1:70">
      <c r="A2185" s="1" t="s">
        <v>21266</v>
      </c>
      <c r="B2185" s="1" t="s">
        <v>24139</v>
      </c>
      <c r="C2185" s="1" t="s">
        <v>24304</v>
      </c>
      <c r="D2185" s="1" t="s">
        <v>24305</v>
      </c>
      <c r="E2185" s="1" t="s">
        <v>24306</v>
      </c>
      <c r="F2185" s="1" t="s">
        <v>24307</v>
      </c>
      <c r="G2185" s="1" t="s">
        <v>24308</v>
      </c>
      <c r="H2185" s="1" t="s">
        <v>24309</v>
      </c>
      <c r="I2185" s="1" t="s">
        <v>24310</v>
      </c>
      <c r="J2185" s="1">
        <v>8421230665</v>
      </c>
      <c r="K2185" s="1" t="s">
        <v>148</v>
      </c>
      <c r="L2185" s="1" t="s">
        <v>17982</v>
      </c>
      <c r="M2185" s="1" t="s">
        <v>81</v>
      </c>
      <c r="N2185" s="1" t="s">
        <v>13036</v>
      </c>
      <c r="O2185" s="1" t="s">
        <v>24311</v>
      </c>
      <c r="P2185" s="1" t="s">
        <v>117</v>
      </c>
      <c r="Q2185" s="1">
        <v>527069697053</v>
      </c>
      <c r="R2185" s="1" t="s">
        <v>24306</v>
      </c>
      <c r="S2185" s="1">
        <v>9156885297</v>
      </c>
      <c r="T2185" s="1" t="s">
        <v>24312</v>
      </c>
      <c r="U2185" s="1" t="s">
        <v>24313</v>
      </c>
      <c r="V2185" s="1">
        <v>8600096961</v>
      </c>
      <c r="W2185" s="1" t="s">
        <v>3459</v>
      </c>
      <c r="X2185" s="1" t="s">
        <v>24314</v>
      </c>
      <c r="Y2185" s="1" t="s">
        <v>304</v>
      </c>
      <c r="Z2185" s="1" t="s">
        <v>92</v>
      </c>
      <c r="AA2185" s="1" t="s">
        <v>24314</v>
      </c>
      <c r="AB2185" s="1" t="s">
        <v>304</v>
      </c>
      <c r="AC2185" s="1" t="s">
        <v>92</v>
      </c>
      <c r="AD2185" s="1" t="s">
        <v>93</v>
      </c>
      <c r="AE2185" s="1" t="s">
        <v>93</v>
      </c>
      <c r="AF2185" s="1" t="s">
        <v>24315</v>
      </c>
      <c r="AG2185" s="1" t="s">
        <v>24191</v>
      </c>
      <c r="AH2185" s="1" t="s">
        <v>162</v>
      </c>
      <c r="AI2185" s="1" t="s">
        <v>562</v>
      </c>
      <c r="AJ2185" s="1">
        <v>93</v>
      </c>
      <c r="AK2185" s="1"/>
      <c r="AL2185" s="1"/>
      <c r="AM2185" s="1"/>
      <c r="AN2185" s="1"/>
      <c r="AO2185" s="1"/>
      <c r="AP2185" s="1"/>
      <c r="AQ2185" s="1"/>
      <c r="AR2185" s="1" t="s">
        <v>16034</v>
      </c>
      <c r="AS2185" s="1" t="s">
        <v>24316</v>
      </c>
      <c r="AT2185" s="1" t="s">
        <v>383</v>
      </c>
      <c r="AU2185" s="1" t="s">
        <v>170</v>
      </c>
      <c r="AV2185" s="1">
        <v>85.84</v>
      </c>
      <c r="AW2185" s="1"/>
      <c r="AX2185" s="1" t="s">
        <v>24317</v>
      </c>
      <c r="AY2185" s="1" t="s">
        <v>24318</v>
      </c>
      <c r="AZ2185" s="1" t="s">
        <v>363</v>
      </c>
      <c r="BA2185" s="1" t="s">
        <v>229</v>
      </c>
      <c r="BB2185" s="1">
        <v>84.74</v>
      </c>
      <c r="BC2185" s="1"/>
      <c r="BD2185" s="1"/>
      <c r="BE2185" s="1"/>
      <c r="BF2185" s="1"/>
      <c r="BG2185" s="1"/>
      <c r="BH2185" s="1"/>
      <c r="BI2185" s="1"/>
      <c r="BJ2185" s="1" t="s">
        <v>24319</v>
      </c>
      <c r="BK2185" s="1" t="s">
        <v>24320</v>
      </c>
      <c r="BL2185" s="1" t="s">
        <v>741</v>
      </c>
      <c r="BM2185" s="1"/>
      <c r="BN2185" s="1"/>
      <c r="BO2185" s="1"/>
      <c r="BP2185" s="1" t="str">
        <f>HYPERLINK("https://nconnect.nicmar.ac.in/storage/profile/6a7889384e4dd.png","Download")</f>
        <v>0</v>
      </c>
      <c r="BQ2185" s="3"/>
      <c r="BR2185" s="3"/>
    </row>
    <row r="2186" spans="1:70">
      <c r="A2186" s="1" t="s">
        <v>21266</v>
      </c>
      <c r="B2186" s="1" t="s">
        <v>24139</v>
      </c>
      <c r="C2186" s="1" t="s">
        <v>24321</v>
      </c>
      <c r="D2186" s="1" t="s">
        <v>24322</v>
      </c>
      <c r="E2186" s="1" t="s">
        <v>24323</v>
      </c>
      <c r="F2186" s="1" t="s">
        <v>24324</v>
      </c>
      <c r="G2186" s="1" t="s">
        <v>24325</v>
      </c>
      <c r="H2186" s="1" t="s">
        <v>24326</v>
      </c>
      <c r="I2186" s="1" t="s">
        <v>24327</v>
      </c>
      <c r="J2186" s="1">
        <v>9370049656</v>
      </c>
      <c r="K2186" s="1" t="s">
        <v>79</v>
      </c>
      <c r="L2186" s="1" t="s">
        <v>24328</v>
      </c>
      <c r="M2186" s="1" t="s">
        <v>81</v>
      </c>
      <c r="N2186" s="1" t="s">
        <v>751</v>
      </c>
      <c r="O2186" s="1" t="s">
        <v>24329</v>
      </c>
      <c r="P2186" s="1" t="s">
        <v>117</v>
      </c>
      <c r="Q2186" s="1">
        <v>820868112156</v>
      </c>
      <c r="R2186" s="1" t="s">
        <v>24323</v>
      </c>
      <c r="S2186" s="1">
        <v>9175972697</v>
      </c>
      <c r="T2186" s="1" t="s">
        <v>24330</v>
      </c>
      <c r="U2186" s="1" t="s">
        <v>24331</v>
      </c>
      <c r="V2186" s="1">
        <v>7263821341</v>
      </c>
      <c r="W2186" s="1" t="s">
        <v>24330</v>
      </c>
      <c r="X2186" s="1" t="s">
        <v>24332</v>
      </c>
      <c r="Y2186" s="1" t="s">
        <v>1963</v>
      </c>
      <c r="Z2186" s="1" t="s">
        <v>92</v>
      </c>
      <c r="AA2186" s="1" t="s">
        <v>24332</v>
      </c>
      <c r="AB2186" s="1" t="s">
        <v>1963</v>
      </c>
      <c r="AC2186" s="1" t="s">
        <v>92</v>
      </c>
      <c r="AD2186" s="1" t="s">
        <v>93</v>
      </c>
      <c r="AE2186" s="1" t="s">
        <v>93</v>
      </c>
      <c r="AF2186" s="1" t="s">
        <v>24333</v>
      </c>
      <c r="AG2186" s="1" t="s">
        <v>13984</v>
      </c>
      <c r="AH2186" s="1" t="s">
        <v>162</v>
      </c>
      <c r="AI2186" s="1" t="s">
        <v>165</v>
      </c>
      <c r="AJ2186" s="1">
        <v>92.4</v>
      </c>
      <c r="AK2186" s="1"/>
      <c r="AL2186" s="1"/>
      <c r="AM2186" s="1"/>
      <c r="AN2186" s="1"/>
      <c r="AO2186" s="1"/>
      <c r="AP2186" s="1"/>
      <c r="AQ2186" s="1"/>
      <c r="AR2186" s="1" t="s">
        <v>24334</v>
      </c>
      <c r="AS2186" s="1" t="s">
        <v>24335</v>
      </c>
      <c r="AT2186" s="1" t="s">
        <v>225</v>
      </c>
      <c r="AU2186" s="1" t="s">
        <v>173</v>
      </c>
      <c r="AV2186" s="1">
        <v>92.63</v>
      </c>
      <c r="AW2186" s="1"/>
      <c r="AX2186" s="1" t="s">
        <v>24336</v>
      </c>
      <c r="AY2186" s="1" t="s">
        <v>24337</v>
      </c>
      <c r="AZ2186" s="1" t="s">
        <v>1019</v>
      </c>
      <c r="BA2186" s="1" t="s">
        <v>386</v>
      </c>
      <c r="BB2186" s="1">
        <v>75.97</v>
      </c>
      <c r="BC2186" s="1">
        <v>8.09</v>
      </c>
      <c r="BD2186" s="1"/>
      <c r="BE2186" s="1"/>
      <c r="BF2186" s="1"/>
      <c r="BG2186" s="1"/>
      <c r="BH2186" s="1"/>
      <c r="BI2186" s="1"/>
      <c r="BJ2186" s="1" t="s">
        <v>24338</v>
      </c>
      <c r="BK2186" s="1" t="s">
        <v>24339</v>
      </c>
      <c r="BL2186" s="1" t="s">
        <v>8843</v>
      </c>
      <c r="BM2186" s="1"/>
      <c r="BN2186" s="1"/>
      <c r="BO2186" s="1" t="s">
        <v>24340</v>
      </c>
      <c r="BP2186" s="1" t="str">
        <f>HYPERLINK("https://nconnect.nicmar.ac.in/storage/profile/6a761cd47898b.png","Download")</f>
        <v>0</v>
      </c>
      <c r="BQ2186" s="3"/>
      <c r="BR2186" s="3"/>
    </row>
    <row r="2187" spans="1:70">
      <c r="A2187" s="1" t="s">
        <v>21266</v>
      </c>
      <c r="B2187" s="1" t="s">
        <v>24139</v>
      </c>
      <c r="C2187" s="1" t="s">
        <v>24341</v>
      </c>
      <c r="D2187" s="1" t="s">
        <v>24342</v>
      </c>
      <c r="E2187" s="1" t="s">
        <v>1339</v>
      </c>
      <c r="F2187" s="1" t="s">
        <v>1828</v>
      </c>
      <c r="G2187" s="1" t="s">
        <v>24343</v>
      </c>
      <c r="H2187" s="1" t="s">
        <v>24344</v>
      </c>
      <c r="I2187" s="1" t="s">
        <v>24344</v>
      </c>
      <c r="J2187" s="1">
        <v>9901490835</v>
      </c>
      <c r="K2187" s="1" t="s">
        <v>148</v>
      </c>
      <c r="L2187" s="1" t="s">
        <v>24345</v>
      </c>
      <c r="M2187" s="1" t="s">
        <v>81</v>
      </c>
      <c r="N2187" s="1" t="s">
        <v>24346</v>
      </c>
      <c r="O2187" s="1" t="s">
        <v>24347</v>
      </c>
      <c r="P2187" s="1" t="s">
        <v>117</v>
      </c>
      <c r="Q2187" s="1" t="s">
        <v>24348</v>
      </c>
      <c r="R2187" s="1" t="s">
        <v>24349</v>
      </c>
      <c r="S2187" s="1">
        <v>8105688725</v>
      </c>
      <c r="T2187" s="1" t="s">
        <v>24350</v>
      </c>
      <c r="U2187" s="1" t="s">
        <v>24351</v>
      </c>
      <c r="V2187" s="1">
        <v>7676977358</v>
      </c>
      <c r="W2187" s="1" t="s">
        <v>24352</v>
      </c>
      <c r="X2187" s="1" t="s">
        <v>24353</v>
      </c>
      <c r="Y2187" s="1" t="s">
        <v>9838</v>
      </c>
      <c r="Z2187" s="1" t="s">
        <v>1187</v>
      </c>
      <c r="AA2187" s="1" t="s">
        <v>24353</v>
      </c>
      <c r="AB2187" s="1" t="s">
        <v>9838</v>
      </c>
      <c r="AC2187" s="1" t="s">
        <v>1187</v>
      </c>
      <c r="AD2187" s="1" t="s">
        <v>93</v>
      </c>
      <c r="AE2187" s="1" t="s">
        <v>93</v>
      </c>
      <c r="AF2187" s="1" t="s">
        <v>24354</v>
      </c>
      <c r="AG2187" s="1" t="s">
        <v>1920</v>
      </c>
      <c r="AH2187" s="1" t="s">
        <v>165</v>
      </c>
      <c r="AI2187" s="1" t="s">
        <v>481</v>
      </c>
      <c r="AJ2187" s="1">
        <v>89.12</v>
      </c>
      <c r="AK2187" s="1"/>
      <c r="AL2187" s="1" t="s">
        <v>24355</v>
      </c>
      <c r="AM2187" s="1" t="s">
        <v>24356</v>
      </c>
      <c r="AN2187" s="1" t="s">
        <v>101</v>
      </c>
      <c r="AO2187" s="1" t="s">
        <v>590</v>
      </c>
      <c r="AP2187" s="1">
        <v>86.33</v>
      </c>
      <c r="AQ2187" s="1"/>
      <c r="AR2187" s="1"/>
      <c r="AS2187" s="1"/>
      <c r="AT2187" s="1"/>
      <c r="AU2187" s="1"/>
      <c r="AV2187" s="1"/>
      <c r="AW2187" s="1"/>
      <c r="AX2187" s="1" t="s">
        <v>24357</v>
      </c>
      <c r="AY2187" s="1" t="s">
        <v>24358</v>
      </c>
      <c r="AZ2187" s="1" t="s">
        <v>170</v>
      </c>
      <c r="BA2187" s="1" t="s">
        <v>1067</v>
      </c>
      <c r="BB2187" s="1">
        <v>81.8</v>
      </c>
      <c r="BC2187" s="1">
        <v>8.93</v>
      </c>
      <c r="BD2187" s="1"/>
      <c r="BE2187" s="1"/>
      <c r="BF2187" s="1"/>
      <c r="BG2187" s="1"/>
      <c r="BH2187" s="1"/>
      <c r="BI2187" s="1"/>
      <c r="BJ2187" s="1" t="s">
        <v>24359</v>
      </c>
      <c r="BK2187" s="1" t="s">
        <v>24360</v>
      </c>
      <c r="BL2187" s="1" t="s">
        <v>741</v>
      </c>
      <c r="BM2187" s="1" t="s">
        <v>24361</v>
      </c>
      <c r="BN2187" s="1">
        <v>4</v>
      </c>
      <c r="BO2187" s="1" t="s">
        <v>24362</v>
      </c>
      <c r="BP2187" s="1" t="str">
        <f>HYPERLINK("https://nconnect.nicmar.ac.in/storage/profile/6a775781845f6.png","Download")</f>
        <v>0</v>
      </c>
      <c r="BQ2187" s="3"/>
      <c r="BR2187" s="3"/>
    </row>
    <row r="2188" spans="1:70">
      <c r="A2188" s="1" t="s">
        <v>21266</v>
      </c>
      <c r="B2188" s="1" t="s">
        <v>24139</v>
      </c>
      <c r="C2188" s="1" t="s">
        <v>24363</v>
      </c>
      <c r="D2188" s="1" t="s">
        <v>24364</v>
      </c>
      <c r="E2188" s="1" t="s">
        <v>24365</v>
      </c>
      <c r="F2188" s="1" t="s">
        <v>24366</v>
      </c>
      <c r="G2188" s="1" t="s">
        <v>24367</v>
      </c>
      <c r="H2188" s="1" t="s">
        <v>24368</v>
      </c>
      <c r="I2188" s="1" t="s">
        <v>24368</v>
      </c>
      <c r="J2188" s="1">
        <v>9673073102</v>
      </c>
      <c r="K2188" s="1" t="s">
        <v>79</v>
      </c>
      <c r="L2188" s="1" t="s">
        <v>24369</v>
      </c>
      <c r="M2188" s="1" t="s">
        <v>81</v>
      </c>
      <c r="N2188" s="1" t="s">
        <v>350</v>
      </c>
      <c r="O2188" s="1" t="s">
        <v>24370</v>
      </c>
      <c r="P2188" s="1" t="s">
        <v>214</v>
      </c>
      <c r="Q2188" s="1">
        <v>410027681323</v>
      </c>
      <c r="R2188" s="1" t="s">
        <v>24371</v>
      </c>
      <c r="S2188" s="1">
        <v>8605461132</v>
      </c>
      <c r="T2188" s="1" t="s">
        <v>2150</v>
      </c>
      <c r="U2188" s="1" t="s">
        <v>24372</v>
      </c>
      <c r="V2188" s="1">
        <v>9822480303</v>
      </c>
      <c r="W2188" s="1" t="s">
        <v>2150</v>
      </c>
      <c r="X2188" s="1" t="s">
        <v>24373</v>
      </c>
      <c r="Y2188" s="1" t="s">
        <v>6543</v>
      </c>
      <c r="Z2188" s="1" t="s">
        <v>6544</v>
      </c>
      <c r="AA2188" s="1" t="s">
        <v>24373</v>
      </c>
      <c r="AB2188" s="1" t="s">
        <v>6543</v>
      </c>
      <c r="AC2188" s="1" t="s">
        <v>6544</v>
      </c>
      <c r="AD2188" s="1" t="s">
        <v>93</v>
      </c>
      <c r="AE2188" s="1" t="s">
        <v>93</v>
      </c>
      <c r="AF2188" s="1" t="s">
        <v>24374</v>
      </c>
      <c r="AG2188" s="1" t="s">
        <v>24375</v>
      </c>
      <c r="AH2188" s="1" t="s">
        <v>1190</v>
      </c>
      <c r="AI2188" s="1" t="s">
        <v>505</v>
      </c>
      <c r="AJ2188" s="1">
        <v>78.0</v>
      </c>
      <c r="AK2188" s="1"/>
      <c r="AL2188" s="1" t="s">
        <v>24376</v>
      </c>
      <c r="AM2188" s="1" t="s">
        <v>24375</v>
      </c>
      <c r="AN2188" s="1" t="s">
        <v>337</v>
      </c>
      <c r="AO2188" s="1" t="s">
        <v>1089</v>
      </c>
      <c r="AP2188" s="1">
        <v>72.0</v>
      </c>
      <c r="AQ2188" s="1"/>
      <c r="AR2188" s="1"/>
      <c r="AS2188" s="1"/>
      <c r="AT2188" s="1"/>
      <c r="AU2188" s="1"/>
      <c r="AV2188" s="1"/>
      <c r="AW2188" s="1"/>
      <c r="AX2188" s="1" t="s">
        <v>24377</v>
      </c>
      <c r="AY2188" s="1" t="s">
        <v>24378</v>
      </c>
      <c r="AZ2188" s="1" t="s">
        <v>162</v>
      </c>
      <c r="BA2188" s="1" t="s">
        <v>1019</v>
      </c>
      <c r="BB2188" s="1">
        <v>66.83</v>
      </c>
      <c r="BC2188" s="1"/>
      <c r="BD2188" s="1"/>
      <c r="BE2188" s="1"/>
      <c r="BF2188" s="1"/>
      <c r="BG2188" s="1"/>
      <c r="BH2188" s="1"/>
      <c r="BI2188" s="1"/>
      <c r="BJ2188" s="1" t="s">
        <v>24379</v>
      </c>
      <c r="BK2188" s="1" t="s">
        <v>24380</v>
      </c>
      <c r="BL2188" s="1" t="s">
        <v>22460</v>
      </c>
      <c r="BM2188" s="1"/>
      <c r="BN2188" s="1"/>
      <c r="BO2188" s="1" t="s">
        <v>24381</v>
      </c>
      <c r="BP2188" s="1" t="str">
        <f>HYPERLINK("https://nconnect.nicmar.ac.in/storage/profile/6a7898fedd86c.png","Download")</f>
        <v>0</v>
      </c>
      <c r="BQ2188" s="3"/>
      <c r="BR2188" s="3"/>
    </row>
    <row r="2189" spans="1:70">
      <c r="A2189" s="1" t="s">
        <v>21266</v>
      </c>
      <c r="B2189" s="1" t="s">
        <v>24139</v>
      </c>
      <c r="C2189" s="1" t="s">
        <v>24382</v>
      </c>
      <c r="D2189" s="1" t="s">
        <v>24383</v>
      </c>
      <c r="E2189" s="1" t="s">
        <v>24384</v>
      </c>
      <c r="F2189" s="1" t="s">
        <v>24385</v>
      </c>
      <c r="G2189" s="1" t="s">
        <v>24386</v>
      </c>
      <c r="H2189" s="1" t="s">
        <v>24387</v>
      </c>
      <c r="I2189" s="1" t="s">
        <v>24387</v>
      </c>
      <c r="J2189" s="1">
        <v>7350521741</v>
      </c>
      <c r="K2189" s="1" t="s">
        <v>79</v>
      </c>
      <c r="L2189" s="1" t="s">
        <v>24388</v>
      </c>
      <c r="M2189" s="1" t="s">
        <v>81</v>
      </c>
      <c r="N2189" s="1" t="s">
        <v>4274</v>
      </c>
      <c r="O2189" s="1" t="s">
        <v>24389</v>
      </c>
      <c r="P2189" s="1" t="s">
        <v>214</v>
      </c>
      <c r="Q2189" s="1">
        <v>891959965319</v>
      </c>
      <c r="R2189" s="1" t="s">
        <v>24384</v>
      </c>
      <c r="S2189" s="1">
        <v>8830555741</v>
      </c>
      <c r="T2189" s="1" t="s">
        <v>24390</v>
      </c>
      <c r="U2189" s="1" t="s">
        <v>24391</v>
      </c>
      <c r="V2189" s="1">
        <v>7499122752</v>
      </c>
      <c r="W2189" s="1" t="s">
        <v>24392</v>
      </c>
      <c r="X2189" s="1" t="s">
        <v>24393</v>
      </c>
      <c r="Y2189" s="1" t="s">
        <v>890</v>
      </c>
      <c r="Z2189" s="1" t="s">
        <v>92</v>
      </c>
      <c r="AA2189" s="1" t="s">
        <v>24394</v>
      </c>
      <c r="AB2189" s="1" t="s">
        <v>191</v>
      </c>
      <c r="AC2189" s="1" t="s">
        <v>92</v>
      </c>
      <c r="AD2189" s="1" t="s">
        <v>93</v>
      </c>
      <c r="AE2189" s="1" t="s">
        <v>93</v>
      </c>
      <c r="AF2189" s="1" t="s">
        <v>24395</v>
      </c>
      <c r="AG2189" s="1" t="s">
        <v>13984</v>
      </c>
      <c r="AH2189" s="1" t="s">
        <v>96</v>
      </c>
      <c r="AI2189" s="1" t="s">
        <v>97</v>
      </c>
      <c r="AJ2189" s="1">
        <v>83.2</v>
      </c>
      <c r="AK2189" s="1"/>
      <c r="AL2189" s="1" t="s">
        <v>24396</v>
      </c>
      <c r="AM2189" s="1" t="s">
        <v>13984</v>
      </c>
      <c r="AN2189" s="1" t="s">
        <v>162</v>
      </c>
      <c r="AO2189" s="1" t="s">
        <v>508</v>
      </c>
      <c r="AP2189" s="1">
        <v>60.15</v>
      </c>
      <c r="AQ2189" s="1"/>
      <c r="AR2189" s="1"/>
      <c r="AS2189" s="1"/>
      <c r="AT2189" s="1"/>
      <c r="AU2189" s="1"/>
      <c r="AV2189" s="1"/>
      <c r="AW2189" s="1"/>
      <c r="AX2189" s="1" t="s">
        <v>24397</v>
      </c>
      <c r="AY2189" s="1" t="s">
        <v>24398</v>
      </c>
      <c r="AZ2189" s="1" t="s">
        <v>225</v>
      </c>
      <c r="BA2189" s="1" t="s">
        <v>105</v>
      </c>
      <c r="BB2189" s="1">
        <v>65.85</v>
      </c>
      <c r="BC2189" s="1">
        <v>7.17</v>
      </c>
      <c r="BD2189" s="1"/>
      <c r="BE2189" s="1"/>
      <c r="BF2189" s="1"/>
      <c r="BG2189" s="1"/>
      <c r="BH2189" s="1"/>
      <c r="BI2189" s="1"/>
      <c r="BJ2189" s="1" t="s">
        <v>24399</v>
      </c>
      <c r="BK2189" s="1" t="s">
        <v>24400</v>
      </c>
      <c r="BL2189" s="1" t="s">
        <v>2295</v>
      </c>
      <c r="BM2189" s="1"/>
      <c r="BN2189" s="1"/>
      <c r="BO2189" s="1"/>
      <c r="BP2189" s="1" t="str">
        <f>HYPERLINK("https://nconnect.nicmar.ac.in/storage/profile/6a784bfc39662.png","Download")</f>
        <v>0</v>
      </c>
      <c r="BQ2189" s="3"/>
      <c r="BR2189" s="3"/>
    </row>
    <row r="2190" spans="1:70">
      <c r="A2190" s="1" t="s">
        <v>21266</v>
      </c>
      <c r="B2190" s="1" t="s">
        <v>24139</v>
      </c>
      <c r="C2190" s="1" t="s">
        <v>24401</v>
      </c>
      <c r="D2190" s="1" t="s">
        <v>24402</v>
      </c>
      <c r="E2190" s="1"/>
      <c r="F2190" s="1" t="s">
        <v>24403</v>
      </c>
      <c r="G2190" s="1" t="s">
        <v>24404</v>
      </c>
      <c r="H2190" s="1" t="s">
        <v>24405</v>
      </c>
      <c r="I2190" s="1" t="s">
        <v>24405</v>
      </c>
      <c r="J2190" s="1">
        <v>8466906759</v>
      </c>
      <c r="K2190" s="1" t="s">
        <v>79</v>
      </c>
      <c r="L2190" s="1" t="s">
        <v>24406</v>
      </c>
      <c r="M2190" s="1" t="s">
        <v>81</v>
      </c>
      <c r="N2190" s="1" t="s">
        <v>22534</v>
      </c>
      <c r="O2190" s="1" t="s">
        <v>24407</v>
      </c>
      <c r="P2190" s="1" t="s">
        <v>84</v>
      </c>
      <c r="Q2190" s="1">
        <v>532157386920</v>
      </c>
      <c r="R2190" s="1" t="s">
        <v>24408</v>
      </c>
      <c r="S2190" s="1">
        <v>9618119559</v>
      </c>
      <c r="T2190" s="1" t="s">
        <v>24151</v>
      </c>
      <c r="U2190" s="1" t="s">
        <v>24409</v>
      </c>
      <c r="V2190" s="1">
        <v>9618119559</v>
      </c>
      <c r="W2190" s="1" t="s">
        <v>10212</v>
      </c>
      <c r="X2190" s="1" t="s">
        <v>24410</v>
      </c>
      <c r="Y2190" s="1" t="s">
        <v>3541</v>
      </c>
      <c r="Z2190" s="1" t="s">
        <v>276</v>
      </c>
      <c r="AA2190" s="1" t="s">
        <v>24411</v>
      </c>
      <c r="AB2190" s="1" t="s">
        <v>3541</v>
      </c>
      <c r="AC2190" s="1" t="s">
        <v>276</v>
      </c>
      <c r="AD2190" s="1" t="s">
        <v>93</v>
      </c>
      <c r="AE2190" s="1" t="s">
        <v>93</v>
      </c>
      <c r="AF2190" s="1" t="s">
        <v>24412</v>
      </c>
      <c r="AG2190" s="1" t="s">
        <v>24413</v>
      </c>
      <c r="AH2190" s="1" t="s">
        <v>165</v>
      </c>
      <c r="AI2190" s="1" t="s">
        <v>481</v>
      </c>
      <c r="AJ2190" s="1">
        <v>83.0</v>
      </c>
      <c r="AK2190" s="1">
        <v>8.3</v>
      </c>
      <c r="AL2190" s="1"/>
      <c r="AM2190" s="1"/>
      <c r="AN2190" s="1"/>
      <c r="AO2190" s="1"/>
      <c r="AP2190" s="1"/>
      <c r="AQ2190" s="1"/>
      <c r="AR2190" s="1" t="s">
        <v>434</v>
      </c>
      <c r="AS2190" s="1" t="s">
        <v>24414</v>
      </c>
      <c r="AT2190" s="1" t="s">
        <v>101</v>
      </c>
      <c r="AU2190" s="1" t="s">
        <v>2273</v>
      </c>
      <c r="AV2190" s="1">
        <v>85.51</v>
      </c>
      <c r="AW2190" s="1"/>
      <c r="AX2190" s="1" t="s">
        <v>24415</v>
      </c>
      <c r="AY2190" s="1" t="s">
        <v>24416</v>
      </c>
      <c r="AZ2190" s="1" t="s">
        <v>1777</v>
      </c>
      <c r="BA2190" s="1" t="s">
        <v>1292</v>
      </c>
      <c r="BB2190" s="1">
        <v>69.7</v>
      </c>
      <c r="BC2190" s="1">
        <v>7.72</v>
      </c>
      <c r="BD2190" s="1"/>
      <c r="BE2190" s="1"/>
      <c r="BF2190" s="1"/>
      <c r="BG2190" s="1"/>
      <c r="BH2190" s="1"/>
      <c r="BI2190" s="1"/>
      <c r="BJ2190" s="1" t="s">
        <v>24417</v>
      </c>
      <c r="BK2190" s="1" t="s">
        <v>24418</v>
      </c>
      <c r="BL2190" s="1" t="s">
        <v>4887</v>
      </c>
      <c r="BM2190" s="1" t="s">
        <v>24419</v>
      </c>
      <c r="BN2190" s="1">
        <v>55</v>
      </c>
      <c r="BO2190" s="1"/>
      <c r="BP2190" s="1" t="str">
        <f>HYPERLINK("https://nconnect.nicmar.ac.in/storage/profile/6a7756d9c95a3.png","Download")</f>
        <v>0</v>
      </c>
      <c r="BQ2190" s="3"/>
      <c r="BR2190" s="3"/>
    </row>
    <row r="2191" spans="1:70">
      <c r="A2191" s="1" t="s">
        <v>21266</v>
      </c>
      <c r="B2191" s="1" t="s">
        <v>24139</v>
      </c>
      <c r="C2191" s="1" t="s">
        <v>24420</v>
      </c>
      <c r="D2191" s="1" t="s">
        <v>24421</v>
      </c>
      <c r="E2191" s="1" t="s">
        <v>24272</v>
      </c>
      <c r="F2191" s="1" t="s">
        <v>24422</v>
      </c>
      <c r="G2191" s="1" t="s">
        <v>24423</v>
      </c>
      <c r="H2191" s="1" t="s">
        <v>24424</v>
      </c>
      <c r="I2191" s="1" t="s">
        <v>24424</v>
      </c>
      <c r="J2191" s="1">
        <v>8483911332</v>
      </c>
      <c r="K2191" s="1" t="s">
        <v>79</v>
      </c>
      <c r="L2191" s="1" t="s">
        <v>19560</v>
      </c>
      <c r="M2191" s="1" t="s">
        <v>81</v>
      </c>
      <c r="N2191" s="1" t="s">
        <v>9247</v>
      </c>
      <c r="O2191" s="1" t="s">
        <v>24425</v>
      </c>
      <c r="P2191" s="1" t="s">
        <v>214</v>
      </c>
      <c r="Q2191" s="1">
        <v>204564860073</v>
      </c>
      <c r="R2191" s="1" t="s">
        <v>24272</v>
      </c>
      <c r="S2191" s="1">
        <v>8378866743</v>
      </c>
      <c r="T2191" s="1" t="s">
        <v>24151</v>
      </c>
      <c r="U2191" s="1" t="s">
        <v>24426</v>
      </c>
      <c r="V2191" s="1">
        <v>8793644133</v>
      </c>
      <c r="W2191" s="1" t="s">
        <v>13981</v>
      </c>
      <c r="X2191" s="1" t="s">
        <v>24427</v>
      </c>
      <c r="Y2191" s="1" t="s">
        <v>379</v>
      </c>
      <c r="Z2191" s="1" t="s">
        <v>92</v>
      </c>
      <c r="AA2191" s="1" t="s">
        <v>24427</v>
      </c>
      <c r="AB2191" s="1" t="s">
        <v>379</v>
      </c>
      <c r="AC2191" s="1" t="s">
        <v>92</v>
      </c>
      <c r="AD2191" s="1" t="s">
        <v>93</v>
      </c>
      <c r="AE2191" s="1" t="s">
        <v>93</v>
      </c>
      <c r="AF2191" s="1"/>
      <c r="AG2191" s="1"/>
      <c r="AH2191" s="1"/>
      <c r="AI2191" s="1"/>
      <c r="AJ2191" s="1"/>
      <c r="AK2191" s="1"/>
      <c r="AL2191" s="1"/>
      <c r="AM2191" s="1"/>
      <c r="AN2191" s="1"/>
      <c r="AO2191" s="1"/>
      <c r="AP2191" s="1"/>
      <c r="AQ2191" s="1"/>
      <c r="AR2191" s="1"/>
      <c r="AS2191" s="1"/>
      <c r="AT2191" s="1"/>
      <c r="AU2191" s="1"/>
      <c r="AV2191" s="1"/>
      <c r="AW2191" s="1"/>
      <c r="AX2191" s="1"/>
      <c r="AY2191" s="1"/>
      <c r="AZ2191" s="1"/>
      <c r="BA2191" s="1"/>
      <c r="BB2191" s="1"/>
      <c r="BC2191" s="1"/>
      <c r="BD2191" s="1"/>
      <c r="BE2191" s="1"/>
      <c r="BF2191" s="1"/>
      <c r="BG2191" s="1"/>
      <c r="BH2191" s="1"/>
      <c r="BI2191" s="1"/>
      <c r="BJ2191" s="1"/>
      <c r="BK2191" s="1" t="s">
        <v>24428</v>
      </c>
      <c r="BL2191" s="1" t="s">
        <v>873</v>
      </c>
      <c r="BM2191" s="1"/>
      <c r="BN2191" s="1"/>
      <c r="BO2191" s="1"/>
      <c r="BP2191" s="1" t="str">
        <f>HYPERLINK("https://nconnect.nicmar.ac.in/storage/profile/6a7a255d2c7c9.png","Download")</f>
        <v>0</v>
      </c>
      <c r="BQ2191" s="3"/>
      <c r="BR2191" s="3"/>
    </row>
    <row r="2192" spans="1:70">
      <c r="A2192" s="1" t="s">
        <v>21266</v>
      </c>
      <c r="B2192" s="1" t="s">
        <v>24139</v>
      </c>
      <c r="C2192" s="1" t="s">
        <v>24429</v>
      </c>
      <c r="D2192" s="1" t="s">
        <v>24430</v>
      </c>
      <c r="E2192" s="1" t="s">
        <v>24431</v>
      </c>
      <c r="F2192" s="1" t="s">
        <v>24432</v>
      </c>
      <c r="G2192" s="1" t="s">
        <v>24433</v>
      </c>
      <c r="H2192" s="1" t="s">
        <v>24434</v>
      </c>
      <c r="I2192" s="1" t="s">
        <v>24434</v>
      </c>
      <c r="J2192" s="1">
        <v>7447238137</v>
      </c>
      <c r="K2192" s="1" t="s">
        <v>79</v>
      </c>
      <c r="L2192" s="1" t="s">
        <v>1630</v>
      </c>
      <c r="M2192" s="1" t="s">
        <v>81</v>
      </c>
      <c r="N2192" s="1" t="s">
        <v>4274</v>
      </c>
      <c r="O2192" s="1" t="s">
        <v>24435</v>
      </c>
      <c r="P2192" s="1" t="s">
        <v>214</v>
      </c>
      <c r="Q2192" s="1">
        <v>810109280467</v>
      </c>
      <c r="R2192" s="1" t="s">
        <v>24436</v>
      </c>
      <c r="S2192" s="1">
        <v>8698138581</v>
      </c>
      <c r="T2192" s="1" t="s">
        <v>24437</v>
      </c>
      <c r="U2192" s="1" t="s">
        <v>24438</v>
      </c>
      <c r="V2192" s="1">
        <v>7709078351</v>
      </c>
      <c r="W2192" s="1" t="s">
        <v>16314</v>
      </c>
      <c r="X2192" s="1" t="s">
        <v>24439</v>
      </c>
      <c r="Y2192" s="1" t="s">
        <v>379</v>
      </c>
      <c r="Z2192" s="1" t="s">
        <v>92</v>
      </c>
      <c r="AA2192" s="1" t="s">
        <v>24439</v>
      </c>
      <c r="AB2192" s="1" t="s">
        <v>379</v>
      </c>
      <c r="AC2192" s="1" t="s">
        <v>92</v>
      </c>
      <c r="AD2192" s="1" t="s">
        <v>93</v>
      </c>
      <c r="AE2192" s="1" t="s">
        <v>93</v>
      </c>
      <c r="AF2192" s="1" t="s">
        <v>24440</v>
      </c>
      <c r="AG2192" s="1" t="s">
        <v>24441</v>
      </c>
      <c r="AH2192" s="1" t="s">
        <v>161</v>
      </c>
      <c r="AI2192" s="1" t="s">
        <v>1089</v>
      </c>
      <c r="AJ2192" s="1">
        <v>84.0</v>
      </c>
      <c r="AK2192" s="1"/>
      <c r="AL2192" s="1" t="s">
        <v>24442</v>
      </c>
      <c r="AM2192" s="1" t="s">
        <v>24441</v>
      </c>
      <c r="AN2192" s="1" t="s">
        <v>165</v>
      </c>
      <c r="AO2192" s="1" t="s">
        <v>281</v>
      </c>
      <c r="AP2192" s="1">
        <v>70.15</v>
      </c>
      <c r="AQ2192" s="1"/>
      <c r="AR2192" s="1"/>
      <c r="AS2192" s="1"/>
      <c r="AT2192" s="1"/>
      <c r="AU2192" s="1"/>
      <c r="AV2192" s="1"/>
      <c r="AW2192" s="1"/>
      <c r="AX2192" s="1" t="s">
        <v>24443</v>
      </c>
      <c r="AY2192" s="1" t="s">
        <v>24444</v>
      </c>
      <c r="AZ2192" s="1" t="s">
        <v>1043</v>
      </c>
      <c r="BA2192" s="1" t="s">
        <v>1800</v>
      </c>
      <c r="BB2192" s="1">
        <v>76.3</v>
      </c>
      <c r="BC2192" s="1">
        <v>8.13</v>
      </c>
      <c r="BD2192" s="1"/>
      <c r="BE2192" s="1"/>
      <c r="BF2192" s="1"/>
      <c r="BG2192" s="1"/>
      <c r="BH2192" s="1"/>
      <c r="BI2192" s="1"/>
      <c r="BJ2192" s="1" t="s">
        <v>830</v>
      </c>
      <c r="BK2192" s="1" t="s">
        <v>24445</v>
      </c>
      <c r="BL2192" s="1" t="s">
        <v>4165</v>
      </c>
      <c r="BM2192" s="1" t="s">
        <v>24446</v>
      </c>
      <c r="BN2192" s="1">
        <v>25</v>
      </c>
      <c r="BO2192" s="1"/>
      <c r="BP2192" s="1" t="str">
        <f>HYPERLINK("https://nconnect.nicmar.ac.in/storage/profile/6a78ada4397c1.png","Download")</f>
        <v>0</v>
      </c>
      <c r="BQ2192" s="3"/>
      <c r="BR2192" s="3"/>
    </row>
    <row r="2193" spans="1:70">
      <c r="A2193" s="1" t="s">
        <v>21266</v>
      </c>
      <c r="B2193" s="1" t="s">
        <v>24139</v>
      </c>
      <c r="C2193" s="1" t="s">
        <v>24447</v>
      </c>
      <c r="D2193" s="1" t="s">
        <v>24448</v>
      </c>
      <c r="E2193" s="1" t="s">
        <v>24449</v>
      </c>
      <c r="F2193" s="1" t="s">
        <v>24450</v>
      </c>
      <c r="G2193" s="1" t="s">
        <v>24451</v>
      </c>
      <c r="H2193" s="1" t="s">
        <v>24452</v>
      </c>
      <c r="I2193" s="1" t="s">
        <v>24452</v>
      </c>
      <c r="J2193" s="1">
        <v>8149689807</v>
      </c>
      <c r="K2193" s="1" t="s">
        <v>79</v>
      </c>
      <c r="L2193" s="1" t="s">
        <v>24453</v>
      </c>
      <c r="M2193" s="1" t="s">
        <v>81</v>
      </c>
      <c r="N2193" s="1" t="s">
        <v>24277</v>
      </c>
      <c r="O2193" s="1" t="s">
        <v>24454</v>
      </c>
      <c r="P2193" s="1" t="s">
        <v>117</v>
      </c>
      <c r="Q2193" s="1">
        <v>730785537404</v>
      </c>
      <c r="R2193" s="1" t="s">
        <v>24449</v>
      </c>
      <c r="S2193" s="1">
        <v>9421321402</v>
      </c>
      <c r="T2193" s="1" t="s">
        <v>24455</v>
      </c>
      <c r="U2193" s="1" t="s">
        <v>24456</v>
      </c>
      <c r="V2193" s="1">
        <v>7447676580</v>
      </c>
      <c r="W2193" s="1" t="s">
        <v>10212</v>
      </c>
      <c r="X2193" s="1" t="s">
        <v>24457</v>
      </c>
      <c r="Y2193" s="1" t="s">
        <v>1122</v>
      </c>
      <c r="Z2193" s="1" t="s">
        <v>92</v>
      </c>
      <c r="AA2193" s="1" t="s">
        <v>24458</v>
      </c>
      <c r="AB2193" s="1" t="s">
        <v>191</v>
      </c>
      <c r="AC2193" s="1" t="s">
        <v>92</v>
      </c>
      <c r="AD2193" s="1" t="s">
        <v>93</v>
      </c>
      <c r="AE2193" s="1" t="s">
        <v>93</v>
      </c>
      <c r="AF2193" s="1" t="s">
        <v>24459</v>
      </c>
      <c r="AG2193" s="1" t="s">
        <v>24460</v>
      </c>
      <c r="AH2193" s="1" t="s">
        <v>3981</v>
      </c>
      <c r="AI2193" s="1" t="s">
        <v>1435</v>
      </c>
      <c r="AJ2193" s="1">
        <v>83.4</v>
      </c>
      <c r="AK2193" s="1"/>
      <c r="AL2193" s="1" t="s">
        <v>24461</v>
      </c>
      <c r="AM2193" s="1" t="s">
        <v>24460</v>
      </c>
      <c r="AN2193" s="1" t="s">
        <v>1190</v>
      </c>
      <c r="AO2193" s="1" t="s">
        <v>11466</v>
      </c>
      <c r="AP2193" s="1">
        <v>53.54</v>
      </c>
      <c r="AQ2193" s="1"/>
      <c r="AR2193" s="1" t="s">
        <v>16034</v>
      </c>
      <c r="AS2193" s="1" t="s">
        <v>24462</v>
      </c>
      <c r="AT2193" s="1" t="s">
        <v>337</v>
      </c>
      <c r="AU2193" s="1" t="s">
        <v>165</v>
      </c>
      <c r="AV2193" s="1">
        <v>75.82</v>
      </c>
      <c r="AW2193" s="1"/>
      <c r="AX2193" s="1" t="s">
        <v>24194</v>
      </c>
      <c r="AY2193" s="1" t="s">
        <v>24463</v>
      </c>
      <c r="AZ2193" s="1" t="s">
        <v>225</v>
      </c>
      <c r="BA2193" s="1" t="s">
        <v>539</v>
      </c>
      <c r="BB2193" s="1">
        <v>58</v>
      </c>
      <c r="BC2193" s="1">
        <v>7.6</v>
      </c>
      <c r="BD2193" s="1"/>
      <c r="BE2193" s="1"/>
      <c r="BF2193" s="1"/>
      <c r="BG2193" s="1"/>
      <c r="BH2193" s="1"/>
      <c r="BI2193" s="1"/>
      <c r="BJ2193" s="1" t="s">
        <v>830</v>
      </c>
      <c r="BK2193" s="1"/>
      <c r="BL2193" s="1"/>
      <c r="BM2193" s="1"/>
      <c r="BN2193" s="1"/>
      <c r="BO2193" s="1" t="s">
        <v>24464</v>
      </c>
      <c r="BP2193" s="1" t="str">
        <f>HYPERLINK("https://nconnect.nicmar.ac.in/storage/profile/6a774f476974f.png","Download")</f>
        <v>0</v>
      </c>
      <c r="BQ2193" s="3"/>
      <c r="BR2193" s="3"/>
    </row>
    <row r="2194" spans="1:70">
      <c r="A2194" s="1" t="s">
        <v>21266</v>
      </c>
      <c r="B2194" s="1" t="s">
        <v>24139</v>
      </c>
      <c r="C2194" s="1" t="s">
        <v>24465</v>
      </c>
      <c r="D2194" s="1" t="s">
        <v>22634</v>
      </c>
      <c r="E2194" s="1" t="s">
        <v>4712</v>
      </c>
      <c r="F2194" s="1" t="s">
        <v>24466</v>
      </c>
      <c r="G2194" s="1" t="s">
        <v>24467</v>
      </c>
      <c r="H2194" s="1" t="s">
        <v>24468</v>
      </c>
      <c r="I2194" s="1" t="s">
        <v>24469</v>
      </c>
      <c r="J2194" s="1">
        <v>9137961422</v>
      </c>
      <c r="K2194" s="1" t="s">
        <v>148</v>
      </c>
      <c r="L2194" s="1" t="s">
        <v>19444</v>
      </c>
      <c r="M2194" s="1" t="s">
        <v>81</v>
      </c>
      <c r="N2194" s="1" t="s">
        <v>24470</v>
      </c>
      <c r="O2194" s="1" t="s">
        <v>24471</v>
      </c>
      <c r="P2194" s="1" t="s">
        <v>117</v>
      </c>
      <c r="Q2194" s="1">
        <v>631214712946</v>
      </c>
      <c r="R2194" s="1" t="s">
        <v>4712</v>
      </c>
      <c r="S2194" s="1">
        <v>8693022201</v>
      </c>
      <c r="T2194" s="1" t="s">
        <v>632</v>
      </c>
      <c r="U2194" s="1" t="s">
        <v>24472</v>
      </c>
      <c r="V2194" s="1">
        <v>9930794861</v>
      </c>
      <c r="W2194" s="1" t="s">
        <v>273</v>
      </c>
      <c r="X2194" s="1" t="s">
        <v>24473</v>
      </c>
      <c r="Y2194" s="1" t="s">
        <v>1857</v>
      </c>
      <c r="Z2194" s="1" t="s">
        <v>92</v>
      </c>
      <c r="AA2194" s="1" t="s">
        <v>24473</v>
      </c>
      <c r="AB2194" s="1" t="s">
        <v>1857</v>
      </c>
      <c r="AC2194" s="1" t="s">
        <v>92</v>
      </c>
      <c r="AD2194" s="1" t="s">
        <v>93</v>
      </c>
      <c r="AE2194" s="1" t="s">
        <v>93</v>
      </c>
      <c r="AF2194" s="1" t="s">
        <v>24474</v>
      </c>
      <c r="AG2194" s="1" t="s">
        <v>24475</v>
      </c>
      <c r="AH2194" s="1" t="s">
        <v>165</v>
      </c>
      <c r="AI2194" s="1" t="s">
        <v>281</v>
      </c>
      <c r="AJ2194" s="1">
        <v>78.2</v>
      </c>
      <c r="AK2194" s="1"/>
      <c r="AL2194" s="1"/>
      <c r="AM2194" s="1"/>
      <c r="AN2194" s="1"/>
      <c r="AO2194" s="1"/>
      <c r="AP2194" s="1"/>
      <c r="AQ2194" s="1"/>
      <c r="AR2194" s="1" t="s">
        <v>16034</v>
      </c>
      <c r="AS2194" s="1" t="s">
        <v>24476</v>
      </c>
      <c r="AT2194" s="1" t="s">
        <v>101</v>
      </c>
      <c r="AU2194" s="1" t="s">
        <v>539</v>
      </c>
      <c r="AV2194" s="1">
        <v>82.28</v>
      </c>
      <c r="AW2194" s="1"/>
      <c r="AX2194" s="1" t="s">
        <v>13986</v>
      </c>
      <c r="AY2194" s="1" t="s">
        <v>24477</v>
      </c>
      <c r="AZ2194" s="1" t="s">
        <v>436</v>
      </c>
      <c r="BA2194" s="1" t="s">
        <v>1067</v>
      </c>
      <c r="BB2194" s="1">
        <v>61.83</v>
      </c>
      <c r="BC2194" s="1">
        <v>6.88</v>
      </c>
      <c r="BD2194" s="1"/>
      <c r="BE2194" s="1"/>
      <c r="BF2194" s="1"/>
      <c r="BG2194" s="1"/>
      <c r="BH2194" s="1"/>
      <c r="BI2194" s="1"/>
      <c r="BJ2194" s="1" t="s">
        <v>24478</v>
      </c>
      <c r="BK2194" s="1" t="s">
        <v>24479</v>
      </c>
      <c r="BL2194" s="1" t="s">
        <v>1129</v>
      </c>
      <c r="BM2194" s="1"/>
      <c r="BN2194" s="1"/>
      <c r="BO2194" s="1" t="s">
        <v>24480</v>
      </c>
      <c r="BP2194" s="1" t="str">
        <f>HYPERLINK("https://nconnect.nicmar.ac.in/storage/profile/6a771359eb538.png","Download")</f>
        <v>0</v>
      </c>
      <c r="BQ2194" s="3"/>
      <c r="BR2194" s="3"/>
    </row>
    <row r="2195" spans="1:70">
      <c r="A2195" s="1" t="s">
        <v>21266</v>
      </c>
      <c r="B2195" s="1" t="s">
        <v>24139</v>
      </c>
      <c r="C2195" s="1" t="s">
        <v>24481</v>
      </c>
      <c r="D2195" s="1" t="s">
        <v>24482</v>
      </c>
      <c r="E2195" s="1" t="s">
        <v>24483</v>
      </c>
      <c r="F2195" s="1" t="s">
        <v>24484</v>
      </c>
      <c r="G2195" s="1" t="s">
        <v>24485</v>
      </c>
      <c r="H2195" s="1" t="s">
        <v>24486</v>
      </c>
      <c r="I2195" s="1" t="s">
        <v>24486</v>
      </c>
      <c r="J2195" s="1">
        <v>7410122253</v>
      </c>
      <c r="K2195" s="1" t="s">
        <v>79</v>
      </c>
      <c r="L2195" s="1" t="s">
        <v>8486</v>
      </c>
      <c r="M2195" s="1" t="s">
        <v>81</v>
      </c>
      <c r="N2195" s="1" t="s">
        <v>24487</v>
      </c>
      <c r="O2195" s="1" t="s">
        <v>24488</v>
      </c>
      <c r="P2195" s="1" t="s">
        <v>84</v>
      </c>
      <c r="Q2195" s="1">
        <v>207380438439</v>
      </c>
      <c r="R2195" s="1" t="s">
        <v>24483</v>
      </c>
      <c r="S2195" s="1">
        <v>9226367212</v>
      </c>
      <c r="T2195" s="1" t="s">
        <v>2150</v>
      </c>
      <c r="U2195" s="1" t="s">
        <v>24489</v>
      </c>
      <c r="V2195" s="1">
        <v>9168998134</v>
      </c>
      <c r="W2195" s="1" t="s">
        <v>24114</v>
      </c>
      <c r="X2195" s="1" t="s">
        <v>24490</v>
      </c>
      <c r="Y2195" s="1" t="s">
        <v>1166</v>
      </c>
      <c r="Z2195" s="1" t="s">
        <v>92</v>
      </c>
      <c r="AA2195" s="1" t="s">
        <v>24490</v>
      </c>
      <c r="AB2195" s="1" t="s">
        <v>1166</v>
      </c>
      <c r="AC2195" s="1" t="s">
        <v>92</v>
      </c>
      <c r="AD2195" s="1" t="s">
        <v>93</v>
      </c>
      <c r="AE2195" s="1" t="s">
        <v>93</v>
      </c>
      <c r="AF2195" s="1" t="s">
        <v>24491</v>
      </c>
      <c r="AG2195" s="1" t="s">
        <v>24492</v>
      </c>
      <c r="AH2195" s="1" t="s">
        <v>162</v>
      </c>
      <c r="AI2195" s="1" t="s">
        <v>195</v>
      </c>
      <c r="AJ2195" s="1">
        <v>74</v>
      </c>
      <c r="AK2195" s="1"/>
      <c r="AL2195" s="1" t="s">
        <v>24493</v>
      </c>
      <c r="AM2195" s="1" t="s">
        <v>24494</v>
      </c>
      <c r="AN2195" s="1" t="s">
        <v>101</v>
      </c>
      <c r="AO2195" s="1" t="s">
        <v>198</v>
      </c>
      <c r="AP2195" s="1">
        <v>60.62</v>
      </c>
      <c r="AQ2195" s="1"/>
      <c r="AR2195" s="1"/>
      <c r="AS2195" s="1"/>
      <c r="AT2195" s="1"/>
      <c r="AU2195" s="1"/>
      <c r="AV2195" s="1"/>
      <c r="AW2195" s="1"/>
      <c r="AX2195" s="1" t="s">
        <v>13986</v>
      </c>
      <c r="AY2195" s="1" t="s">
        <v>24495</v>
      </c>
      <c r="AZ2195" s="1" t="s">
        <v>433</v>
      </c>
      <c r="BA2195" s="1" t="s">
        <v>174</v>
      </c>
      <c r="BB2195" s="1">
        <v>71.75</v>
      </c>
      <c r="BC2195" s="1"/>
      <c r="BD2195" s="1"/>
      <c r="BE2195" s="1"/>
      <c r="BF2195" s="1"/>
      <c r="BG2195" s="1"/>
      <c r="BH2195" s="1"/>
      <c r="BI2195" s="1"/>
      <c r="BJ2195" s="1" t="s">
        <v>24496</v>
      </c>
      <c r="BK2195" s="1" t="s">
        <v>24497</v>
      </c>
      <c r="BL2195" s="1" t="s">
        <v>3422</v>
      </c>
      <c r="BM2195" s="1"/>
      <c r="BN2195" s="1"/>
      <c r="BO2195" s="1"/>
      <c r="BP2195" s="1" t="str">
        <f>HYPERLINK("https://nconnect.nicmar.ac.in/storage/profile/6a7c2b1d3eab5.png","Download")</f>
        <v>0</v>
      </c>
      <c r="BQ2195" s="3"/>
      <c r="BR2195" s="3"/>
    </row>
    <row r="2196" spans="1:70">
      <c r="A2196" s="1" t="s">
        <v>21266</v>
      </c>
      <c r="B2196" s="1" t="s">
        <v>24139</v>
      </c>
      <c r="C2196" s="1" t="s">
        <v>24498</v>
      </c>
      <c r="D2196" s="1" t="s">
        <v>24499</v>
      </c>
      <c r="E2196" s="1" t="s">
        <v>24500</v>
      </c>
      <c r="F2196" s="1" t="s">
        <v>24501</v>
      </c>
      <c r="G2196" s="1" t="s">
        <v>24502</v>
      </c>
      <c r="H2196" s="1" t="s">
        <v>24503</v>
      </c>
      <c r="I2196" s="1" t="s">
        <v>24503</v>
      </c>
      <c r="J2196" s="1">
        <v>8551880590</v>
      </c>
      <c r="K2196" s="1" t="s">
        <v>148</v>
      </c>
      <c r="L2196" s="1" t="s">
        <v>24504</v>
      </c>
      <c r="M2196" s="1" t="s">
        <v>81</v>
      </c>
      <c r="N2196" s="1" t="s">
        <v>13036</v>
      </c>
      <c r="O2196" s="1" t="s">
        <v>24505</v>
      </c>
      <c r="P2196" s="1" t="s">
        <v>214</v>
      </c>
      <c r="Q2196" s="1">
        <v>359187162612</v>
      </c>
      <c r="R2196" s="1" t="s">
        <v>24500</v>
      </c>
      <c r="S2196" s="1">
        <v>8390063379</v>
      </c>
      <c r="T2196" s="1" t="s">
        <v>24506</v>
      </c>
      <c r="U2196" s="1" t="s">
        <v>24507</v>
      </c>
      <c r="V2196" s="1">
        <v>9158459078</v>
      </c>
      <c r="W2196" s="1" t="s">
        <v>16314</v>
      </c>
      <c r="X2196" s="1" t="s">
        <v>24508</v>
      </c>
      <c r="Y2196" s="1" t="s">
        <v>219</v>
      </c>
      <c r="Z2196" s="1" t="s">
        <v>92</v>
      </c>
      <c r="AA2196" s="1" t="s">
        <v>24508</v>
      </c>
      <c r="AB2196" s="1" t="s">
        <v>219</v>
      </c>
      <c r="AC2196" s="1" t="s">
        <v>92</v>
      </c>
      <c r="AD2196" s="1" t="s">
        <v>93</v>
      </c>
      <c r="AE2196" s="1" t="s">
        <v>93</v>
      </c>
      <c r="AF2196" s="1" t="s">
        <v>24509</v>
      </c>
      <c r="AG2196" s="1" t="s">
        <v>24510</v>
      </c>
      <c r="AH2196" s="1" t="s">
        <v>614</v>
      </c>
      <c r="AI2196" s="1" t="s">
        <v>165</v>
      </c>
      <c r="AJ2196" s="1">
        <v>97</v>
      </c>
      <c r="AK2196" s="1"/>
      <c r="AL2196" s="1" t="s">
        <v>24511</v>
      </c>
      <c r="AM2196" s="1" t="s">
        <v>24512</v>
      </c>
      <c r="AN2196" s="1" t="s">
        <v>169</v>
      </c>
      <c r="AO2196" s="1" t="s">
        <v>308</v>
      </c>
      <c r="AP2196" s="1">
        <v>76.77</v>
      </c>
      <c r="AQ2196" s="1"/>
      <c r="AR2196" s="1" t="s">
        <v>16034</v>
      </c>
      <c r="AS2196" s="1" t="s">
        <v>24513</v>
      </c>
      <c r="AT2196" s="1" t="s">
        <v>310</v>
      </c>
      <c r="AU2196" s="1" t="s">
        <v>542</v>
      </c>
      <c r="AV2196" s="1">
        <v>85.89</v>
      </c>
      <c r="AW2196" s="1"/>
      <c r="AX2196" s="1" t="s">
        <v>24514</v>
      </c>
      <c r="AY2196" s="1" t="s">
        <v>24515</v>
      </c>
      <c r="AZ2196" s="1" t="s">
        <v>852</v>
      </c>
      <c r="BA2196" s="1" t="s">
        <v>1067</v>
      </c>
      <c r="BB2196" s="1">
        <v>76.1</v>
      </c>
      <c r="BC2196" s="1">
        <v>8.36</v>
      </c>
      <c r="BD2196" s="1"/>
      <c r="BE2196" s="1"/>
      <c r="BF2196" s="1"/>
      <c r="BG2196" s="1"/>
      <c r="BH2196" s="1"/>
      <c r="BI2196" s="1"/>
      <c r="BJ2196" s="1" t="s">
        <v>24516</v>
      </c>
      <c r="BK2196" s="1" t="s">
        <v>24517</v>
      </c>
      <c r="BL2196" s="1" t="s">
        <v>569</v>
      </c>
      <c r="BM2196" s="1" t="s">
        <v>24518</v>
      </c>
      <c r="BN2196" s="1">
        <v>25</v>
      </c>
      <c r="BO2196" s="1"/>
      <c r="BP2196" s="1" t="str">
        <f>HYPERLINK("https://nconnect.nicmar.ac.in/storage/profile/6a78839a0f588.png","Download")</f>
        <v>0</v>
      </c>
      <c r="BQ2196" s="3"/>
      <c r="BR2196" s="3"/>
    </row>
    <row r="2197" spans="1:70">
      <c r="A2197" s="1" t="s">
        <v>21266</v>
      </c>
      <c r="B2197" s="1" t="s">
        <v>24139</v>
      </c>
      <c r="C2197" s="1" t="s">
        <v>24519</v>
      </c>
      <c r="D2197" s="1" t="s">
        <v>24520</v>
      </c>
      <c r="E2197" s="1" t="s">
        <v>24521</v>
      </c>
      <c r="F2197" s="1" t="s">
        <v>24522</v>
      </c>
      <c r="G2197" s="1" t="s">
        <v>24523</v>
      </c>
      <c r="H2197" s="1" t="s">
        <v>24524</v>
      </c>
      <c r="I2197" s="1" t="s">
        <v>24524</v>
      </c>
      <c r="J2197" s="1">
        <v>7719082119</v>
      </c>
      <c r="K2197" s="1" t="s">
        <v>79</v>
      </c>
      <c r="L2197" s="1" t="s">
        <v>8939</v>
      </c>
      <c r="M2197" s="1" t="s">
        <v>81</v>
      </c>
      <c r="N2197" s="1" t="s">
        <v>24525</v>
      </c>
      <c r="O2197" s="1" t="s">
        <v>24526</v>
      </c>
      <c r="P2197" s="1" t="s">
        <v>351</v>
      </c>
      <c r="Q2197" s="1" t="s">
        <v>24527</v>
      </c>
      <c r="R2197" s="1" t="s">
        <v>24528</v>
      </c>
      <c r="S2197" s="1">
        <v>9004413057</v>
      </c>
      <c r="T2197" s="1" t="s">
        <v>24529</v>
      </c>
      <c r="U2197" s="1" t="s">
        <v>24530</v>
      </c>
      <c r="V2197" s="1">
        <v>7774900982</v>
      </c>
      <c r="W2197" s="1" t="s">
        <v>16314</v>
      </c>
      <c r="X2197" s="1" t="s">
        <v>24531</v>
      </c>
      <c r="Y2197" s="1" t="s">
        <v>191</v>
      </c>
      <c r="Z2197" s="1" t="s">
        <v>92</v>
      </c>
      <c r="AA2197" s="1" t="s">
        <v>24531</v>
      </c>
      <c r="AB2197" s="1" t="s">
        <v>191</v>
      </c>
      <c r="AC2197" s="1" t="s">
        <v>92</v>
      </c>
      <c r="AD2197" s="1" t="s">
        <v>93</v>
      </c>
      <c r="AE2197" s="1" t="s">
        <v>93</v>
      </c>
      <c r="AF2197" s="1" t="s">
        <v>24532</v>
      </c>
      <c r="AG2197" s="1" t="s">
        <v>24533</v>
      </c>
      <c r="AH2197" s="1" t="s">
        <v>3981</v>
      </c>
      <c r="AI2197" s="1" t="s">
        <v>1435</v>
      </c>
      <c r="AJ2197" s="1">
        <v>68.0</v>
      </c>
      <c r="AK2197" s="1"/>
      <c r="AL2197" s="1" t="s">
        <v>24534</v>
      </c>
      <c r="AM2197" s="1" t="s">
        <v>24533</v>
      </c>
      <c r="AN2197" s="1" t="s">
        <v>3983</v>
      </c>
      <c r="AO2197" s="1" t="s">
        <v>507</v>
      </c>
      <c r="AP2197" s="1">
        <v>47.85</v>
      </c>
      <c r="AQ2197" s="1"/>
      <c r="AR2197" s="1" t="s">
        <v>24535</v>
      </c>
      <c r="AS2197" s="1" t="s">
        <v>24536</v>
      </c>
      <c r="AT2197" s="1" t="s">
        <v>1374</v>
      </c>
      <c r="AU2197" s="1" t="s">
        <v>173</v>
      </c>
      <c r="AV2197" s="1">
        <v>66.67</v>
      </c>
      <c r="AW2197" s="1"/>
      <c r="AX2197" s="1" t="s">
        <v>24537</v>
      </c>
      <c r="AY2197" s="1" t="s">
        <v>24538</v>
      </c>
      <c r="AZ2197" s="1" t="s">
        <v>173</v>
      </c>
      <c r="BA2197" s="1" t="s">
        <v>566</v>
      </c>
      <c r="BB2197" s="1">
        <v>71.0</v>
      </c>
      <c r="BC2197" s="1">
        <v>7.85</v>
      </c>
      <c r="BD2197" s="1"/>
      <c r="BE2197" s="1"/>
      <c r="BF2197" s="1"/>
      <c r="BG2197" s="1"/>
      <c r="BH2197" s="1"/>
      <c r="BI2197" s="1"/>
      <c r="BJ2197" s="1" t="s">
        <v>830</v>
      </c>
      <c r="BK2197" s="1"/>
      <c r="BL2197" s="1"/>
      <c r="BM2197" s="1"/>
      <c r="BN2197" s="1"/>
      <c r="BO2197" s="1"/>
      <c r="BP2197" s="1" t="str">
        <f>HYPERLINK("https://nconnect.nicmar.ac.in/storage/profile/6a78c74ce7154.png","Download")</f>
        <v>0</v>
      </c>
      <c r="BQ2197" s="3"/>
      <c r="BR2197" s="3"/>
    </row>
    <row r="2198" spans="1:70">
      <c r="A2198" s="1" t="s">
        <v>21266</v>
      </c>
      <c r="B2198" s="1" t="s">
        <v>24139</v>
      </c>
      <c r="C2198" s="1" t="s">
        <v>24539</v>
      </c>
      <c r="D2198" s="1" t="s">
        <v>24540</v>
      </c>
      <c r="E2198" s="1" t="s">
        <v>24541</v>
      </c>
      <c r="F2198" s="1" t="s">
        <v>24542</v>
      </c>
      <c r="G2198" s="1" t="s">
        <v>24543</v>
      </c>
      <c r="H2198" s="1" t="s">
        <v>24544</v>
      </c>
      <c r="I2198" s="1" t="s">
        <v>24544</v>
      </c>
      <c r="J2198" s="1">
        <v>9325383397</v>
      </c>
      <c r="K2198" s="1" t="s">
        <v>79</v>
      </c>
      <c r="L2198" s="1" t="s">
        <v>23881</v>
      </c>
      <c r="M2198" s="1" t="s">
        <v>81</v>
      </c>
      <c r="N2198" s="1" t="s">
        <v>24545</v>
      </c>
      <c r="O2198" s="1" t="s">
        <v>24546</v>
      </c>
      <c r="P2198" s="1" t="s">
        <v>214</v>
      </c>
      <c r="Q2198" s="1">
        <v>594024402173</v>
      </c>
      <c r="R2198" s="1" t="s">
        <v>24541</v>
      </c>
      <c r="S2198" s="1">
        <v>9689870568</v>
      </c>
      <c r="T2198" s="1" t="s">
        <v>24506</v>
      </c>
      <c r="U2198" s="1" t="s">
        <v>24547</v>
      </c>
      <c r="V2198" s="1">
        <v>9689870568</v>
      </c>
      <c r="W2198" s="1" t="s">
        <v>24392</v>
      </c>
      <c r="X2198" s="1" t="s">
        <v>24548</v>
      </c>
      <c r="Y2198" s="1" t="s">
        <v>379</v>
      </c>
      <c r="Z2198" s="1" t="s">
        <v>92</v>
      </c>
      <c r="AA2198" s="1" t="s">
        <v>24548</v>
      </c>
      <c r="AB2198" s="1" t="s">
        <v>379</v>
      </c>
      <c r="AC2198" s="1" t="s">
        <v>92</v>
      </c>
      <c r="AD2198" s="1" t="s">
        <v>93</v>
      </c>
      <c r="AE2198" s="1" t="s">
        <v>93</v>
      </c>
      <c r="AF2198" s="1" t="s">
        <v>24549</v>
      </c>
      <c r="AG2198" s="1" t="s">
        <v>24550</v>
      </c>
      <c r="AH2198" s="1" t="s">
        <v>161</v>
      </c>
      <c r="AI2198" s="1" t="s">
        <v>614</v>
      </c>
      <c r="AJ2198" s="1">
        <v>71.6</v>
      </c>
      <c r="AK2198" s="1"/>
      <c r="AL2198" s="1" t="s">
        <v>24551</v>
      </c>
      <c r="AM2198" s="1" t="s">
        <v>24550</v>
      </c>
      <c r="AN2198" s="1" t="s">
        <v>165</v>
      </c>
      <c r="AO2198" s="1" t="s">
        <v>166</v>
      </c>
      <c r="AP2198" s="1">
        <v>70.62</v>
      </c>
      <c r="AQ2198" s="1"/>
      <c r="AR2198" s="1"/>
      <c r="AS2198" s="1"/>
      <c r="AT2198" s="1"/>
      <c r="AU2198" s="1"/>
      <c r="AV2198" s="1"/>
      <c r="AW2198" s="1"/>
      <c r="AX2198" s="1" t="s">
        <v>24552</v>
      </c>
      <c r="AY2198" s="1" t="s">
        <v>24553</v>
      </c>
      <c r="AZ2198" s="1" t="s">
        <v>169</v>
      </c>
      <c r="BA2198" s="1" t="s">
        <v>105</v>
      </c>
      <c r="BB2198" s="1">
        <v>70.05</v>
      </c>
      <c r="BC2198" s="1">
        <v>7.55</v>
      </c>
      <c r="BD2198" s="1"/>
      <c r="BE2198" s="1"/>
      <c r="BF2198" s="1"/>
      <c r="BG2198" s="1"/>
      <c r="BH2198" s="1"/>
      <c r="BI2198" s="1"/>
      <c r="BJ2198" s="1" t="s">
        <v>830</v>
      </c>
      <c r="BK2198" s="1"/>
      <c r="BL2198" s="1"/>
      <c r="BM2198" s="1"/>
      <c r="BN2198" s="1"/>
      <c r="BO2198" s="1"/>
      <c r="BP2198" s="1" t="str">
        <f>HYPERLINK("https://nconnect.nicmar.ac.in/storage/profile/6a78ab3806c32.png","Download")</f>
        <v>0</v>
      </c>
      <c r="BQ2198" s="3"/>
      <c r="BR2198" s="3"/>
    </row>
    <row r="2199" spans="1:70">
      <c r="A2199" s="1" t="s">
        <v>21266</v>
      </c>
      <c r="B2199" s="1" t="s">
        <v>24139</v>
      </c>
      <c r="C2199" s="1" t="s">
        <v>24554</v>
      </c>
      <c r="D2199" s="1" t="s">
        <v>24555</v>
      </c>
      <c r="E2199" s="1"/>
      <c r="F2199" s="1" t="s">
        <v>24556</v>
      </c>
      <c r="G2199" s="1" t="s">
        <v>24557</v>
      </c>
      <c r="H2199" s="1" t="s">
        <v>24558</v>
      </c>
      <c r="I2199" s="1" t="s">
        <v>24558</v>
      </c>
      <c r="J2199" s="1">
        <v>9663791056</v>
      </c>
      <c r="K2199" s="1" t="s">
        <v>79</v>
      </c>
      <c r="L2199" s="1" t="s">
        <v>24559</v>
      </c>
      <c r="M2199" s="1" t="s">
        <v>81</v>
      </c>
      <c r="N2199" s="1" t="s">
        <v>24560</v>
      </c>
      <c r="O2199" s="1" t="s">
        <v>24561</v>
      </c>
      <c r="P2199" s="1" t="s">
        <v>117</v>
      </c>
      <c r="Q2199" s="1">
        <v>291911512148</v>
      </c>
      <c r="R2199" s="1" t="s">
        <v>24562</v>
      </c>
      <c r="S2199" s="1">
        <v>9686872499</v>
      </c>
      <c r="T2199" s="1" t="s">
        <v>24312</v>
      </c>
      <c r="U2199" s="1" t="s">
        <v>24563</v>
      </c>
      <c r="V2199" s="1">
        <v>9686872526</v>
      </c>
      <c r="W2199" s="1" t="s">
        <v>24564</v>
      </c>
      <c r="X2199" s="1" t="s">
        <v>24565</v>
      </c>
      <c r="Y2199" s="1" t="s">
        <v>13376</v>
      </c>
      <c r="Z2199" s="1" t="s">
        <v>1187</v>
      </c>
      <c r="AA2199" s="1" t="s">
        <v>24565</v>
      </c>
      <c r="AB2199" s="1" t="s">
        <v>13376</v>
      </c>
      <c r="AC2199" s="1" t="s">
        <v>1187</v>
      </c>
      <c r="AD2199" s="1" t="s">
        <v>93</v>
      </c>
      <c r="AE2199" s="1" t="s">
        <v>93</v>
      </c>
      <c r="AF2199" s="1" t="s">
        <v>24566</v>
      </c>
      <c r="AG2199" s="1" t="s">
        <v>1920</v>
      </c>
      <c r="AH2199" s="1" t="s">
        <v>96</v>
      </c>
      <c r="AI2199" s="1" t="s">
        <v>1088</v>
      </c>
      <c r="AJ2199" s="1">
        <v>61.28</v>
      </c>
      <c r="AK2199" s="1"/>
      <c r="AL2199" s="1"/>
      <c r="AM2199" s="1"/>
      <c r="AN2199" s="1"/>
      <c r="AO2199" s="1"/>
      <c r="AP2199" s="1"/>
      <c r="AQ2199" s="1"/>
      <c r="AR2199" s="1" t="s">
        <v>24567</v>
      </c>
      <c r="AS2199" s="1" t="s">
        <v>24568</v>
      </c>
      <c r="AT2199" s="1" t="s">
        <v>383</v>
      </c>
      <c r="AU2199" s="1" t="s">
        <v>412</v>
      </c>
      <c r="AV2199" s="1">
        <v>78.98</v>
      </c>
      <c r="AW2199" s="1"/>
      <c r="AX2199" s="1" t="s">
        <v>717</v>
      </c>
      <c r="AY2199" s="1" t="s">
        <v>24569</v>
      </c>
      <c r="AZ2199" s="1" t="s">
        <v>1019</v>
      </c>
      <c r="BA2199" s="1" t="s">
        <v>174</v>
      </c>
      <c r="BB2199" s="1">
        <v>69.5</v>
      </c>
      <c r="BC2199" s="1"/>
      <c r="BD2199" s="1"/>
      <c r="BE2199" s="1"/>
      <c r="BF2199" s="1"/>
      <c r="BG2199" s="1"/>
      <c r="BH2199" s="1"/>
      <c r="BI2199" s="1"/>
      <c r="BJ2199" s="1" t="s">
        <v>24570</v>
      </c>
      <c r="BK2199" s="1" t="s">
        <v>24571</v>
      </c>
      <c r="BL2199" s="1" t="s">
        <v>10828</v>
      </c>
      <c r="BM2199" s="1"/>
      <c r="BN2199" s="1"/>
      <c r="BO2199" s="1"/>
      <c r="BP2199" s="1" t="str">
        <f>HYPERLINK("https://nconnect.nicmar.ac.in/storage/profile/6a78988b71cf3.png","Download")</f>
        <v>0</v>
      </c>
      <c r="BQ2199" s="3"/>
      <c r="BR2199" s="3"/>
    </row>
    <row r="2200" spans="1:70">
      <c r="A2200" s="1" t="s">
        <v>21266</v>
      </c>
      <c r="B2200" s="1" t="s">
        <v>24139</v>
      </c>
      <c r="C2200" s="1" t="s">
        <v>24572</v>
      </c>
      <c r="D2200" s="1" t="s">
        <v>24573</v>
      </c>
      <c r="E2200" s="1" t="s">
        <v>24574</v>
      </c>
      <c r="F2200" s="1" t="s">
        <v>24575</v>
      </c>
      <c r="G2200" s="1" t="s">
        <v>24576</v>
      </c>
      <c r="H2200" s="1" t="s">
        <v>24577</v>
      </c>
      <c r="I2200" s="1" t="s">
        <v>24577</v>
      </c>
      <c r="J2200" s="1">
        <v>7744015521</v>
      </c>
      <c r="K2200" s="1" t="s">
        <v>148</v>
      </c>
      <c r="L2200" s="1" t="s">
        <v>24578</v>
      </c>
      <c r="M2200" s="1" t="s">
        <v>81</v>
      </c>
      <c r="N2200" s="1" t="s">
        <v>6387</v>
      </c>
      <c r="O2200" s="1" t="s">
        <v>24579</v>
      </c>
      <c r="P2200" s="1" t="s">
        <v>117</v>
      </c>
      <c r="Q2200" s="1">
        <v>235175715034</v>
      </c>
      <c r="R2200" s="1" t="s">
        <v>24580</v>
      </c>
      <c r="S2200" s="1">
        <v>9421936689</v>
      </c>
      <c r="T2200" s="1" t="s">
        <v>24581</v>
      </c>
      <c r="U2200" s="1" t="s">
        <v>24582</v>
      </c>
      <c r="V2200" s="1">
        <v>9309947798</v>
      </c>
      <c r="W2200" s="1" t="s">
        <v>24583</v>
      </c>
      <c r="X2200" s="1" t="s">
        <v>24584</v>
      </c>
      <c r="Y2200" s="1" t="s">
        <v>405</v>
      </c>
      <c r="Z2200" s="1" t="s">
        <v>92</v>
      </c>
      <c r="AA2200" s="1" t="s">
        <v>24585</v>
      </c>
      <c r="AB2200" s="1" t="s">
        <v>191</v>
      </c>
      <c r="AC2200" s="1" t="s">
        <v>92</v>
      </c>
      <c r="AD2200" s="1" t="s">
        <v>93</v>
      </c>
      <c r="AE2200" s="1" t="s">
        <v>93</v>
      </c>
      <c r="AF2200" s="1" t="s">
        <v>24586</v>
      </c>
      <c r="AG2200" s="1" t="s">
        <v>24587</v>
      </c>
      <c r="AH2200" s="1" t="s">
        <v>332</v>
      </c>
      <c r="AI2200" s="1" t="s">
        <v>3981</v>
      </c>
      <c r="AJ2200" s="1">
        <v>74.6</v>
      </c>
      <c r="AK2200" s="1"/>
      <c r="AL2200" s="1" t="s">
        <v>24586</v>
      </c>
      <c r="AM2200" s="1" t="s">
        <v>24587</v>
      </c>
      <c r="AN2200" s="1" t="s">
        <v>128</v>
      </c>
      <c r="AO2200" s="1" t="s">
        <v>3983</v>
      </c>
      <c r="AP2200" s="1">
        <v>64.46</v>
      </c>
      <c r="AQ2200" s="1"/>
      <c r="AR2200" s="1"/>
      <c r="AS2200" s="1"/>
      <c r="AT2200" s="1"/>
      <c r="AU2200" s="1"/>
      <c r="AV2200" s="1"/>
      <c r="AW2200" s="1"/>
      <c r="AX2200" s="1" t="s">
        <v>24588</v>
      </c>
      <c r="AY2200" s="1" t="s">
        <v>24589</v>
      </c>
      <c r="AZ2200" s="1" t="s">
        <v>130</v>
      </c>
      <c r="BA2200" s="1" t="s">
        <v>101</v>
      </c>
      <c r="BB2200" s="1">
        <v>69.6</v>
      </c>
      <c r="BC2200" s="1">
        <v>7.71</v>
      </c>
      <c r="BD2200" s="1"/>
      <c r="BE2200" s="1"/>
      <c r="BF2200" s="1"/>
      <c r="BG2200" s="1"/>
      <c r="BH2200" s="1"/>
      <c r="BI2200" s="1"/>
      <c r="BJ2200" s="1" t="s">
        <v>24590</v>
      </c>
      <c r="BK2200" s="1" t="s">
        <v>24591</v>
      </c>
      <c r="BL2200" s="1" t="s">
        <v>24592</v>
      </c>
      <c r="BM2200" s="1"/>
      <c r="BN2200" s="1"/>
      <c r="BO2200" s="1" t="s">
        <v>24593</v>
      </c>
      <c r="BP2200" s="1" t="str">
        <f>HYPERLINK("https://nconnect.nicmar.ac.in/storage/profile/6a76e517d0cee.png","Download")</f>
        <v>0</v>
      </c>
      <c r="BQ2200" s="3"/>
      <c r="BR2200" s="3"/>
    </row>
    <row r="2201" spans="1:70">
      <c r="A2201" s="1" t="s">
        <v>21266</v>
      </c>
      <c r="B2201" s="1" t="s">
        <v>24139</v>
      </c>
      <c r="C2201" s="1" t="s">
        <v>24594</v>
      </c>
      <c r="D2201" s="1" t="s">
        <v>24595</v>
      </c>
      <c r="E2201" s="1" t="s">
        <v>24596</v>
      </c>
      <c r="F2201" s="1" t="s">
        <v>24597</v>
      </c>
      <c r="G2201" s="1" t="s">
        <v>24598</v>
      </c>
      <c r="H2201" s="1" t="s">
        <v>24599</v>
      </c>
      <c r="I2201" s="1" t="s">
        <v>24600</v>
      </c>
      <c r="J2201" s="1">
        <v>7798346899</v>
      </c>
      <c r="K2201" s="1" t="s">
        <v>79</v>
      </c>
      <c r="L2201" s="1" t="s">
        <v>24601</v>
      </c>
      <c r="M2201" s="1" t="s">
        <v>81</v>
      </c>
      <c r="N2201" s="1" t="s">
        <v>751</v>
      </c>
      <c r="O2201" s="1" t="s">
        <v>24602</v>
      </c>
      <c r="P2201" s="1" t="s">
        <v>351</v>
      </c>
      <c r="Q2201" s="1">
        <v>875994381429</v>
      </c>
      <c r="R2201" s="1" t="s">
        <v>24603</v>
      </c>
      <c r="S2201" s="1">
        <v>9223544065</v>
      </c>
      <c r="T2201" s="1" t="s">
        <v>24604</v>
      </c>
      <c r="U2201" s="1" t="s">
        <v>24605</v>
      </c>
      <c r="V2201" s="1">
        <v>9890321641</v>
      </c>
      <c r="W2201" s="1" t="s">
        <v>16314</v>
      </c>
      <c r="X2201" s="1" t="s">
        <v>24606</v>
      </c>
      <c r="Y2201" s="1" t="s">
        <v>4313</v>
      </c>
      <c r="Z2201" s="1" t="s">
        <v>92</v>
      </c>
      <c r="AA2201" s="1" t="s">
        <v>24606</v>
      </c>
      <c r="AB2201" s="1" t="s">
        <v>4313</v>
      </c>
      <c r="AC2201" s="1" t="s">
        <v>92</v>
      </c>
      <c r="AD2201" s="1" t="s">
        <v>93</v>
      </c>
      <c r="AE2201" s="1" t="s">
        <v>93</v>
      </c>
      <c r="AF2201" s="1" t="s">
        <v>24607</v>
      </c>
      <c r="AG2201" s="1" t="s">
        <v>24608</v>
      </c>
      <c r="AH2201" s="1" t="s">
        <v>4602</v>
      </c>
      <c r="AI2201" s="1" t="s">
        <v>332</v>
      </c>
      <c r="AJ2201" s="1">
        <v>88.0</v>
      </c>
      <c r="AK2201" s="1"/>
      <c r="AL2201" s="1"/>
      <c r="AM2201" s="1"/>
      <c r="AN2201" s="1"/>
      <c r="AO2201" s="1"/>
      <c r="AP2201" s="1"/>
      <c r="AQ2201" s="1"/>
      <c r="AR2201" s="1" t="s">
        <v>24609</v>
      </c>
      <c r="AS2201" s="1" t="s">
        <v>24610</v>
      </c>
      <c r="AT2201" s="1" t="s">
        <v>3303</v>
      </c>
      <c r="AU2201" s="1" t="s">
        <v>96</v>
      </c>
      <c r="AV2201" s="1">
        <v>81.07</v>
      </c>
      <c r="AW2201" s="1"/>
      <c r="AX2201" s="1" t="s">
        <v>24611</v>
      </c>
      <c r="AY2201" s="1" t="s">
        <v>24612</v>
      </c>
      <c r="AZ2201" s="1" t="s">
        <v>433</v>
      </c>
      <c r="BA2201" s="1" t="s">
        <v>619</v>
      </c>
      <c r="BB2201" s="1">
        <v>62.5</v>
      </c>
      <c r="BC2201" s="1">
        <v>6.95</v>
      </c>
      <c r="BD2201" s="1"/>
      <c r="BE2201" s="1"/>
      <c r="BF2201" s="1"/>
      <c r="BG2201" s="1"/>
      <c r="BH2201" s="1"/>
      <c r="BI2201" s="1"/>
      <c r="BJ2201" s="1" t="s">
        <v>567</v>
      </c>
      <c r="BK2201" s="1" t="s">
        <v>24613</v>
      </c>
      <c r="BL2201" s="1" t="s">
        <v>24614</v>
      </c>
      <c r="BM2201" s="1"/>
      <c r="BN2201" s="1"/>
      <c r="BO2201" s="1" t="s">
        <v>24615</v>
      </c>
      <c r="BP2201" s="1" t="str">
        <f>HYPERLINK("https://nconnect.nicmar.ac.in/storage/profile/6a79bd3a093d6.png","Download")</f>
        <v>0</v>
      </c>
      <c r="BQ2201" s="3"/>
      <c r="BR2201" s="3"/>
    </row>
    <row r="2202" spans="1:70">
      <c r="A2202" s="1" t="s">
        <v>21266</v>
      </c>
      <c r="B2202" s="1" t="s">
        <v>24139</v>
      </c>
      <c r="C2202" s="1" t="s">
        <v>24616</v>
      </c>
      <c r="D2202" s="1" t="s">
        <v>24421</v>
      </c>
      <c r="E2202" s="1" t="s">
        <v>24617</v>
      </c>
      <c r="F2202" s="1" t="s">
        <v>24484</v>
      </c>
      <c r="G2202" s="1" t="s">
        <v>24618</v>
      </c>
      <c r="H2202" s="1" t="s">
        <v>24619</v>
      </c>
      <c r="I2202" s="1" t="s">
        <v>24619</v>
      </c>
      <c r="J2202" s="1">
        <v>7058194750</v>
      </c>
      <c r="K2202" s="1" t="s">
        <v>79</v>
      </c>
      <c r="L2202" s="1" t="s">
        <v>13767</v>
      </c>
      <c r="M2202" s="1" t="s">
        <v>81</v>
      </c>
      <c r="N2202" s="1" t="s">
        <v>24620</v>
      </c>
      <c r="O2202" s="1" t="s">
        <v>24621</v>
      </c>
      <c r="P2202" s="1" t="s">
        <v>214</v>
      </c>
      <c r="Q2202" s="1">
        <v>310992264384</v>
      </c>
      <c r="R2202" s="1" t="s">
        <v>24622</v>
      </c>
      <c r="S2202" s="1">
        <v>9850037561</v>
      </c>
      <c r="T2202" s="1" t="s">
        <v>24623</v>
      </c>
      <c r="U2202" s="1" t="s">
        <v>24624</v>
      </c>
      <c r="V2202" s="1">
        <v>8767842993</v>
      </c>
      <c r="W2202" s="1" t="s">
        <v>16314</v>
      </c>
      <c r="X2202" s="1" t="s">
        <v>24625</v>
      </c>
      <c r="Y2202" s="1" t="s">
        <v>5663</v>
      </c>
      <c r="Z2202" s="1" t="s">
        <v>92</v>
      </c>
      <c r="AA2202" s="1" t="s">
        <v>24625</v>
      </c>
      <c r="AB2202" s="1" t="s">
        <v>5663</v>
      </c>
      <c r="AC2202" s="1" t="s">
        <v>92</v>
      </c>
      <c r="AD2202" s="1" t="s">
        <v>93</v>
      </c>
      <c r="AE2202" s="1" t="s">
        <v>93</v>
      </c>
      <c r="AF2202" s="1" t="s">
        <v>24626</v>
      </c>
      <c r="AG2202" s="1" t="s">
        <v>24627</v>
      </c>
      <c r="AH2202" s="1" t="s">
        <v>161</v>
      </c>
      <c r="AI2202" s="1" t="s">
        <v>162</v>
      </c>
      <c r="AJ2202" s="1">
        <v>72.4</v>
      </c>
      <c r="AK2202" s="1"/>
      <c r="AL2202" s="1"/>
      <c r="AM2202" s="1"/>
      <c r="AN2202" s="1"/>
      <c r="AO2202" s="1"/>
      <c r="AP2202" s="1"/>
      <c r="AQ2202" s="1"/>
      <c r="AR2202" s="1" t="s">
        <v>24192</v>
      </c>
      <c r="AS2202" s="1" t="s">
        <v>24628</v>
      </c>
      <c r="AT2202" s="1" t="s">
        <v>1374</v>
      </c>
      <c r="AU2202" s="1" t="s">
        <v>433</v>
      </c>
      <c r="AV2202" s="1">
        <v>78.73</v>
      </c>
      <c r="AW2202" s="1"/>
      <c r="AX2202" s="1" t="s">
        <v>24629</v>
      </c>
      <c r="AY2202" s="1" t="s">
        <v>24630</v>
      </c>
      <c r="AZ2202" s="1" t="s">
        <v>201</v>
      </c>
      <c r="BA2202" s="1" t="s">
        <v>105</v>
      </c>
      <c r="BB2202" s="1">
        <v>84.97</v>
      </c>
      <c r="BC2202" s="1"/>
      <c r="BD2202" s="1"/>
      <c r="BE2202" s="1"/>
      <c r="BF2202" s="1"/>
      <c r="BG2202" s="1"/>
      <c r="BH2202" s="1"/>
      <c r="BI2202" s="1"/>
      <c r="BJ2202" s="1" t="s">
        <v>24631</v>
      </c>
      <c r="BK2202" s="1" t="s">
        <v>24632</v>
      </c>
      <c r="BL2202" s="1" t="s">
        <v>24633</v>
      </c>
      <c r="BM2202" s="1"/>
      <c r="BN2202" s="1"/>
      <c r="BO2202" s="1"/>
      <c r="BP2202" s="1" t="str">
        <f>HYPERLINK("https://nconnect.nicmar.ac.in/storage/profile/6a7a8f4e2bf5c.png","Download")</f>
        <v>0</v>
      </c>
      <c r="BQ2202" s="3"/>
      <c r="BR2202" s="3"/>
    </row>
    <row r="2203" spans="1:70">
      <c r="A2203" s="1" t="s">
        <v>21266</v>
      </c>
      <c r="B2203" s="1" t="s">
        <v>24139</v>
      </c>
      <c r="C2203" s="1" t="s">
        <v>24634</v>
      </c>
      <c r="D2203" s="1" t="s">
        <v>24635</v>
      </c>
      <c r="E2203" s="1" t="s">
        <v>24636</v>
      </c>
      <c r="F2203" s="1" t="s">
        <v>24255</v>
      </c>
      <c r="G2203" s="1" t="s">
        <v>24637</v>
      </c>
      <c r="H2203" s="1" t="s">
        <v>24638</v>
      </c>
      <c r="I2203" s="1" t="s">
        <v>24638</v>
      </c>
      <c r="J2203" s="1">
        <v>9594074921</v>
      </c>
      <c r="K2203" s="1" t="s">
        <v>148</v>
      </c>
      <c r="L2203" s="1" t="s">
        <v>24639</v>
      </c>
      <c r="M2203" s="1" t="s">
        <v>81</v>
      </c>
      <c r="N2203" s="1" t="s">
        <v>751</v>
      </c>
      <c r="O2203" s="1" t="s">
        <v>2119</v>
      </c>
      <c r="P2203" s="1" t="s">
        <v>117</v>
      </c>
      <c r="Q2203" s="1">
        <v>985722742765</v>
      </c>
      <c r="R2203" s="1" t="s">
        <v>24636</v>
      </c>
      <c r="S2203" s="1">
        <v>8451974255</v>
      </c>
      <c r="T2203" s="1" t="s">
        <v>2150</v>
      </c>
      <c r="U2203" s="1" t="s">
        <v>24640</v>
      </c>
      <c r="V2203" s="1">
        <v>9209315940</v>
      </c>
      <c r="W2203" s="1" t="s">
        <v>16314</v>
      </c>
      <c r="X2203" s="1" t="s">
        <v>24641</v>
      </c>
      <c r="Y2203" s="1" t="s">
        <v>991</v>
      </c>
      <c r="Z2203" s="1" t="s">
        <v>92</v>
      </c>
      <c r="AA2203" s="1" t="s">
        <v>24642</v>
      </c>
      <c r="AB2203" s="1" t="s">
        <v>191</v>
      </c>
      <c r="AC2203" s="1" t="s">
        <v>92</v>
      </c>
      <c r="AD2203" s="1" t="s">
        <v>93</v>
      </c>
      <c r="AE2203" s="1" t="s">
        <v>93</v>
      </c>
      <c r="AF2203" s="1" t="s">
        <v>24643</v>
      </c>
      <c r="AG2203" s="1" t="s">
        <v>24644</v>
      </c>
      <c r="AH2203" s="1" t="s">
        <v>3303</v>
      </c>
      <c r="AI2203" s="1" t="s">
        <v>128</v>
      </c>
      <c r="AJ2203" s="1">
        <v>89.45</v>
      </c>
      <c r="AK2203" s="1"/>
      <c r="AL2203" s="1"/>
      <c r="AM2203" s="1"/>
      <c r="AN2203" s="1"/>
      <c r="AO2203" s="1"/>
      <c r="AP2203" s="1"/>
      <c r="AQ2203" s="1"/>
      <c r="AR2203" s="1" t="s">
        <v>24299</v>
      </c>
      <c r="AS2203" s="1" t="s">
        <v>24645</v>
      </c>
      <c r="AT2203" s="1" t="s">
        <v>128</v>
      </c>
      <c r="AU2203" s="1" t="s">
        <v>161</v>
      </c>
      <c r="AV2203" s="1">
        <v>77.27</v>
      </c>
      <c r="AW2203" s="1"/>
      <c r="AX2203" s="1" t="s">
        <v>24646</v>
      </c>
      <c r="AY2203" s="1" t="s">
        <v>24647</v>
      </c>
      <c r="AZ2203" s="1" t="s">
        <v>337</v>
      </c>
      <c r="BA2203" s="1" t="s">
        <v>101</v>
      </c>
      <c r="BB2203" s="1">
        <v>68.24</v>
      </c>
      <c r="BC2203" s="1">
        <v>7.6</v>
      </c>
      <c r="BD2203" s="1"/>
      <c r="BE2203" s="1"/>
      <c r="BF2203" s="1"/>
      <c r="BG2203" s="1"/>
      <c r="BH2203" s="1"/>
      <c r="BI2203" s="1"/>
      <c r="BJ2203" s="1" t="s">
        <v>24648</v>
      </c>
      <c r="BK2203" s="1" t="s">
        <v>24649</v>
      </c>
      <c r="BL2203" s="1" t="s">
        <v>1129</v>
      </c>
      <c r="BM2203" s="1"/>
      <c r="BN2203" s="1"/>
      <c r="BO2203" s="1"/>
      <c r="BP2203" s="1" t="str">
        <f>HYPERLINK("https://nconnect.nicmar.ac.in/storage/profile/6a76dd2a47ae6.png","Download")</f>
        <v>0</v>
      </c>
      <c r="BQ2203" s="3"/>
      <c r="BR2203" s="3"/>
    </row>
    <row r="2204" spans="1:70">
      <c r="A2204" s="1" t="s">
        <v>21266</v>
      </c>
      <c r="B2204" s="1" t="s">
        <v>24139</v>
      </c>
      <c r="C2204" s="1" t="s">
        <v>24650</v>
      </c>
      <c r="D2204" s="1" t="s">
        <v>24651</v>
      </c>
      <c r="E2204" s="1" t="s">
        <v>24652</v>
      </c>
      <c r="F2204" s="1" t="s">
        <v>24653</v>
      </c>
      <c r="G2204" s="1" t="s">
        <v>24654</v>
      </c>
      <c r="H2204" s="1" t="s">
        <v>24655</v>
      </c>
      <c r="I2204" s="1" t="s">
        <v>24655</v>
      </c>
      <c r="J2204" s="1">
        <v>7709050830</v>
      </c>
      <c r="K2204" s="1" t="s">
        <v>79</v>
      </c>
      <c r="L2204" s="1" t="s">
        <v>8402</v>
      </c>
      <c r="M2204" s="1" t="s">
        <v>81</v>
      </c>
      <c r="N2204" s="1" t="s">
        <v>8503</v>
      </c>
      <c r="O2204" s="1" t="s">
        <v>24656</v>
      </c>
      <c r="P2204" s="1" t="s">
        <v>214</v>
      </c>
      <c r="Q2204" s="1">
        <v>718404521109</v>
      </c>
      <c r="R2204" s="1" t="s">
        <v>24657</v>
      </c>
      <c r="S2204" s="1">
        <v>9970427675</v>
      </c>
      <c r="T2204" s="1" t="s">
        <v>24658</v>
      </c>
      <c r="U2204" s="1" t="s">
        <v>24659</v>
      </c>
      <c r="V2204" s="1">
        <v>8446992391</v>
      </c>
      <c r="W2204" s="1" t="s">
        <v>16314</v>
      </c>
      <c r="X2204" s="1" t="s">
        <v>24660</v>
      </c>
      <c r="Y2204" s="1" t="s">
        <v>219</v>
      </c>
      <c r="Z2204" s="1" t="s">
        <v>92</v>
      </c>
      <c r="AA2204" s="1" t="s">
        <v>24660</v>
      </c>
      <c r="AB2204" s="1" t="s">
        <v>219</v>
      </c>
      <c r="AC2204" s="1" t="s">
        <v>92</v>
      </c>
      <c r="AD2204" s="1" t="s">
        <v>93</v>
      </c>
      <c r="AE2204" s="1" t="s">
        <v>93</v>
      </c>
      <c r="AF2204" s="1" t="s">
        <v>24661</v>
      </c>
      <c r="AG2204" s="1" t="s">
        <v>24662</v>
      </c>
      <c r="AH2204" s="1" t="s">
        <v>161</v>
      </c>
      <c r="AI2204" s="1" t="s">
        <v>1089</v>
      </c>
      <c r="AJ2204" s="1">
        <v>72.4</v>
      </c>
      <c r="AK2204" s="1"/>
      <c r="AL2204" s="1" t="s">
        <v>24663</v>
      </c>
      <c r="AM2204" s="1" t="s">
        <v>24662</v>
      </c>
      <c r="AN2204" s="1" t="s">
        <v>383</v>
      </c>
      <c r="AO2204" s="1" t="s">
        <v>1455</v>
      </c>
      <c r="AP2204" s="1">
        <v>61.38</v>
      </c>
      <c r="AQ2204" s="1"/>
      <c r="AR2204" s="1"/>
      <c r="AS2204" s="1"/>
      <c r="AT2204" s="1"/>
      <c r="AU2204" s="1"/>
      <c r="AV2204" s="1"/>
      <c r="AW2204" s="1"/>
      <c r="AX2204" s="1" t="s">
        <v>24664</v>
      </c>
      <c r="AY2204" s="1" t="s">
        <v>24665</v>
      </c>
      <c r="AZ2204" s="1" t="s">
        <v>1043</v>
      </c>
      <c r="BA2204" s="1" t="s">
        <v>619</v>
      </c>
      <c r="BB2204" s="1">
        <v>72.2</v>
      </c>
      <c r="BC2204" s="1">
        <v>7.72</v>
      </c>
      <c r="BD2204" s="1"/>
      <c r="BE2204" s="1"/>
      <c r="BF2204" s="1"/>
      <c r="BG2204" s="1"/>
      <c r="BH2204" s="1"/>
      <c r="BI2204" s="1"/>
      <c r="BJ2204" s="1" t="s">
        <v>24666</v>
      </c>
      <c r="BK2204" s="1" t="s">
        <v>24667</v>
      </c>
      <c r="BL2204" s="1" t="s">
        <v>721</v>
      </c>
      <c r="BM2204" s="1"/>
      <c r="BN2204" s="1"/>
      <c r="BO2204" s="1"/>
      <c r="BP2204" s="1" t="str">
        <f>HYPERLINK("https://nconnect.nicmar.ac.in/storage/profile/6a789c2ccfd2d.png","Download")</f>
        <v>0</v>
      </c>
      <c r="BQ2204" s="3"/>
      <c r="BR2204" s="3"/>
    </row>
    <row r="2205" spans="1:70">
      <c r="A2205" s="1" t="s">
        <v>21266</v>
      </c>
      <c r="B2205" s="1" t="s">
        <v>24139</v>
      </c>
      <c r="C2205" s="1" t="s">
        <v>24668</v>
      </c>
      <c r="D2205" s="1" t="s">
        <v>24669</v>
      </c>
      <c r="E2205" s="1" t="s">
        <v>24670</v>
      </c>
      <c r="F2205" s="1" t="s">
        <v>24671</v>
      </c>
      <c r="G2205" s="1" t="s">
        <v>24672</v>
      </c>
      <c r="H2205" s="1" t="s">
        <v>24673</v>
      </c>
      <c r="I2205" s="1" t="s">
        <v>24673</v>
      </c>
      <c r="J2205" s="1">
        <v>8108359705</v>
      </c>
      <c r="K2205" s="1" t="s">
        <v>79</v>
      </c>
      <c r="L2205" s="1" t="s">
        <v>7891</v>
      </c>
      <c r="M2205" s="1" t="s">
        <v>81</v>
      </c>
      <c r="N2205" s="1" t="s">
        <v>8503</v>
      </c>
      <c r="O2205" s="1" t="s">
        <v>24674</v>
      </c>
      <c r="P2205" s="1" t="s">
        <v>351</v>
      </c>
      <c r="Q2205" s="1">
        <v>269547662937</v>
      </c>
      <c r="R2205" s="1" t="s">
        <v>24670</v>
      </c>
      <c r="S2205" s="1">
        <v>9869059273</v>
      </c>
      <c r="T2205" s="1" t="s">
        <v>24675</v>
      </c>
      <c r="U2205" s="1" t="s">
        <v>24676</v>
      </c>
      <c r="V2205" s="1">
        <v>9969102127</v>
      </c>
      <c r="W2205" s="1" t="s">
        <v>16314</v>
      </c>
      <c r="X2205" s="1" t="s">
        <v>24677</v>
      </c>
      <c r="Y2205" s="1" t="s">
        <v>1857</v>
      </c>
      <c r="Z2205" s="1" t="s">
        <v>92</v>
      </c>
      <c r="AA2205" s="1" t="s">
        <v>24677</v>
      </c>
      <c r="AB2205" s="1" t="s">
        <v>1857</v>
      </c>
      <c r="AC2205" s="1" t="s">
        <v>92</v>
      </c>
      <c r="AD2205" s="1" t="s">
        <v>93</v>
      </c>
      <c r="AE2205" s="1" t="s">
        <v>93</v>
      </c>
      <c r="AF2205" s="1" t="s">
        <v>24678</v>
      </c>
      <c r="AG2205" s="1" t="s">
        <v>24679</v>
      </c>
      <c r="AH2205" s="1" t="s">
        <v>337</v>
      </c>
      <c r="AI2205" s="1" t="s">
        <v>1089</v>
      </c>
      <c r="AJ2205" s="1">
        <v>88.2</v>
      </c>
      <c r="AK2205" s="1"/>
      <c r="AL2205" s="1" t="s">
        <v>24680</v>
      </c>
      <c r="AM2205" s="1" t="s">
        <v>24679</v>
      </c>
      <c r="AN2205" s="1" t="s">
        <v>1374</v>
      </c>
      <c r="AO2205" s="1" t="s">
        <v>1455</v>
      </c>
      <c r="AP2205" s="1">
        <v>61.23</v>
      </c>
      <c r="AQ2205" s="1"/>
      <c r="AR2205" s="1"/>
      <c r="AS2205" s="1"/>
      <c r="AT2205" s="1"/>
      <c r="AU2205" s="1"/>
      <c r="AV2205" s="1"/>
      <c r="AW2205" s="1"/>
      <c r="AX2205" s="1" t="s">
        <v>24681</v>
      </c>
      <c r="AY2205" s="1" t="s">
        <v>24682</v>
      </c>
      <c r="AZ2205" s="1" t="s">
        <v>169</v>
      </c>
      <c r="BA2205" s="1" t="s">
        <v>619</v>
      </c>
      <c r="BB2205" s="1">
        <v>69.17</v>
      </c>
      <c r="BC2205" s="1">
        <v>7.75</v>
      </c>
      <c r="BD2205" s="1"/>
      <c r="BE2205" s="1"/>
      <c r="BF2205" s="1"/>
      <c r="BG2205" s="1"/>
      <c r="BH2205" s="1"/>
      <c r="BI2205" s="1"/>
      <c r="BJ2205" s="1" t="s">
        <v>24683</v>
      </c>
      <c r="BK2205" s="1" t="s">
        <v>24684</v>
      </c>
      <c r="BL2205" s="1" t="s">
        <v>4399</v>
      </c>
      <c r="BM2205" s="1"/>
      <c r="BN2205" s="1"/>
      <c r="BO2205" s="1" t="s">
        <v>24685</v>
      </c>
      <c r="BP2205" s="1" t="str">
        <f>HYPERLINK("https://nconnect.nicmar.ac.in/storage/profile/6a788b6f53160.png","Download")</f>
        <v>0</v>
      </c>
      <c r="BQ2205" s="3"/>
      <c r="BR2205" s="3"/>
    </row>
    <row r="2206" spans="1:70">
      <c r="A2206" s="1" t="s">
        <v>21266</v>
      </c>
      <c r="B2206" s="1" t="s">
        <v>24139</v>
      </c>
      <c r="C2206" s="1" t="s">
        <v>24686</v>
      </c>
      <c r="D2206" s="1" t="s">
        <v>24687</v>
      </c>
      <c r="E2206" s="1" t="s">
        <v>24688</v>
      </c>
      <c r="F2206" s="1" t="s">
        <v>24689</v>
      </c>
      <c r="G2206" s="1" t="s">
        <v>24690</v>
      </c>
      <c r="H2206" s="1" t="s">
        <v>24691</v>
      </c>
      <c r="I2206" s="1" t="s">
        <v>24691</v>
      </c>
      <c r="J2206" s="1">
        <v>9870626585</v>
      </c>
      <c r="K2206" s="1" t="s">
        <v>79</v>
      </c>
      <c r="L2206" s="1" t="s">
        <v>12134</v>
      </c>
      <c r="M2206" s="1" t="s">
        <v>81</v>
      </c>
      <c r="N2206" s="1" t="s">
        <v>6387</v>
      </c>
      <c r="O2206" s="1" t="s">
        <v>24692</v>
      </c>
      <c r="P2206" s="1" t="s">
        <v>117</v>
      </c>
      <c r="Q2206" s="1">
        <v>356065113351</v>
      </c>
      <c r="R2206" s="1" t="s">
        <v>24688</v>
      </c>
      <c r="S2206" s="1">
        <v>9819351470</v>
      </c>
      <c r="T2206" s="1" t="s">
        <v>24693</v>
      </c>
      <c r="U2206" s="1" t="s">
        <v>24694</v>
      </c>
      <c r="V2206" s="1">
        <v>8591721229</v>
      </c>
      <c r="W2206" s="1" t="s">
        <v>24693</v>
      </c>
      <c r="X2206" s="1" t="s">
        <v>24695</v>
      </c>
      <c r="Y2206" s="1" t="s">
        <v>1857</v>
      </c>
      <c r="Z2206" s="1" t="s">
        <v>92</v>
      </c>
      <c r="AA2206" s="1" t="s">
        <v>24695</v>
      </c>
      <c r="AB2206" s="1" t="s">
        <v>1857</v>
      </c>
      <c r="AC2206" s="1" t="s">
        <v>92</v>
      </c>
      <c r="AD2206" s="1" t="s">
        <v>93</v>
      </c>
      <c r="AE2206" s="1" t="s">
        <v>93</v>
      </c>
      <c r="AF2206" s="1" t="s">
        <v>24696</v>
      </c>
      <c r="AG2206" s="1" t="s">
        <v>24492</v>
      </c>
      <c r="AH2206" s="1" t="s">
        <v>1089</v>
      </c>
      <c r="AI2206" s="1" t="s">
        <v>195</v>
      </c>
      <c r="AJ2206" s="1">
        <v>77.0</v>
      </c>
      <c r="AK2206" s="1"/>
      <c r="AL2206" s="1" t="s">
        <v>24697</v>
      </c>
      <c r="AM2206" s="1" t="s">
        <v>24494</v>
      </c>
      <c r="AN2206" s="1" t="s">
        <v>1455</v>
      </c>
      <c r="AO2206" s="1" t="s">
        <v>198</v>
      </c>
      <c r="AP2206" s="1">
        <v>49.54</v>
      </c>
      <c r="AQ2206" s="1"/>
      <c r="AR2206" s="1" t="s">
        <v>24299</v>
      </c>
      <c r="AS2206" s="1" t="s">
        <v>24698</v>
      </c>
      <c r="AT2206" s="1" t="s">
        <v>201</v>
      </c>
      <c r="AU2206" s="1" t="s">
        <v>436</v>
      </c>
      <c r="AV2206" s="1">
        <v>77.63</v>
      </c>
      <c r="AW2206" s="1"/>
      <c r="AX2206" s="1" t="s">
        <v>24699</v>
      </c>
      <c r="AY2206" s="1" t="s">
        <v>24700</v>
      </c>
      <c r="AZ2206" s="1" t="s">
        <v>852</v>
      </c>
      <c r="BA2206" s="1" t="s">
        <v>5282</v>
      </c>
      <c r="BB2206" s="1">
        <v>61.83</v>
      </c>
      <c r="BC2206" s="1"/>
      <c r="BD2206" s="1"/>
      <c r="BE2206" s="1"/>
      <c r="BF2206" s="1"/>
      <c r="BG2206" s="1"/>
      <c r="BH2206" s="1"/>
      <c r="BI2206" s="1"/>
      <c r="BJ2206" s="1" t="s">
        <v>830</v>
      </c>
      <c r="BK2206" s="1" t="s">
        <v>24701</v>
      </c>
      <c r="BL2206" s="1" t="s">
        <v>4165</v>
      </c>
      <c r="BM2206" s="1"/>
      <c r="BN2206" s="1"/>
      <c r="BO2206" s="1"/>
      <c r="BP2206" s="1" t="str">
        <f>HYPERLINK("https://nconnect.nicmar.ac.in/storage/profile/6a76417736f8e.png","Download")</f>
        <v>0</v>
      </c>
      <c r="BQ2206" s="3"/>
      <c r="BR2206" s="3"/>
    </row>
    <row r="2207" spans="1:70">
      <c r="A2207" s="1" t="s">
        <v>21266</v>
      </c>
      <c r="B2207" s="1" t="s">
        <v>24139</v>
      </c>
      <c r="C2207" s="1" t="s">
        <v>24702</v>
      </c>
      <c r="D2207" s="1" t="s">
        <v>1112</v>
      </c>
      <c r="E2207" s="1"/>
      <c r="F2207" s="1" t="s">
        <v>1298</v>
      </c>
      <c r="G2207" s="1" t="s">
        <v>24703</v>
      </c>
      <c r="H2207" s="1" t="s">
        <v>24704</v>
      </c>
      <c r="I2207" s="1" t="s">
        <v>24705</v>
      </c>
      <c r="J2207" s="1">
        <v>7677705037</v>
      </c>
      <c r="K2207" s="1" t="s">
        <v>79</v>
      </c>
      <c r="L2207" s="1" t="s">
        <v>24706</v>
      </c>
      <c r="M2207" s="1" t="s">
        <v>150</v>
      </c>
      <c r="N2207" s="1" t="s">
        <v>4861</v>
      </c>
      <c r="O2207" s="1" t="s">
        <v>24707</v>
      </c>
      <c r="P2207" s="1" t="s">
        <v>117</v>
      </c>
      <c r="Q2207" s="1">
        <v>320606602866</v>
      </c>
      <c r="R2207" s="1" t="s">
        <v>24708</v>
      </c>
      <c r="S2207" s="1">
        <v>9835465902</v>
      </c>
      <c r="T2207" s="1" t="s">
        <v>24709</v>
      </c>
      <c r="U2207" s="1" t="s">
        <v>24710</v>
      </c>
      <c r="V2207" s="1">
        <v>9905015573</v>
      </c>
      <c r="W2207" s="1" t="s">
        <v>16314</v>
      </c>
      <c r="X2207" s="1" t="s">
        <v>24711</v>
      </c>
      <c r="Y2207" s="1" t="s">
        <v>635</v>
      </c>
      <c r="Z2207" s="1" t="s">
        <v>636</v>
      </c>
      <c r="AA2207" s="1" t="s">
        <v>24712</v>
      </c>
      <c r="AB2207" s="1" t="s">
        <v>635</v>
      </c>
      <c r="AC2207" s="1" t="s">
        <v>636</v>
      </c>
      <c r="AD2207" s="1" t="s">
        <v>93</v>
      </c>
      <c r="AE2207" s="1" t="s">
        <v>93</v>
      </c>
      <c r="AF2207" s="1" t="s">
        <v>24713</v>
      </c>
      <c r="AG2207" s="1" t="s">
        <v>24714</v>
      </c>
      <c r="AH2207" s="1" t="s">
        <v>19162</v>
      </c>
      <c r="AI2207" s="1" t="s">
        <v>129</v>
      </c>
      <c r="AJ2207" s="1">
        <v>68.4</v>
      </c>
      <c r="AK2207" s="1">
        <v>7.2</v>
      </c>
      <c r="AL2207" s="1" t="s">
        <v>24715</v>
      </c>
      <c r="AM2207" s="1" t="s">
        <v>24714</v>
      </c>
      <c r="AN2207" s="1" t="s">
        <v>1190</v>
      </c>
      <c r="AO2207" s="1" t="s">
        <v>131</v>
      </c>
      <c r="AP2207" s="1">
        <v>76.2</v>
      </c>
      <c r="AQ2207" s="1"/>
      <c r="AR2207" s="1"/>
      <c r="AS2207" s="1"/>
      <c r="AT2207" s="1"/>
      <c r="AU2207" s="1"/>
      <c r="AV2207" s="1"/>
      <c r="AW2207" s="1"/>
      <c r="AX2207" s="1" t="s">
        <v>24716</v>
      </c>
      <c r="AY2207" s="1" t="s">
        <v>24717</v>
      </c>
      <c r="AZ2207" s="1" t="s">
        <v>100</v>
      </c>
      <c r="BA2207" s="1" t="s">
        <v>13024</v>
      </c>
      <c r="BB2207" s="1">
        <v>76.52</v>
      </c>
      <c r="BC2207" s="1"/>
      <c r="BD2207" s="1"/>
      <c r="BE2207" s="1"/>
      <c r="BF2207" s="1"/>
      <c r="BG2207" s="1"/>
      <c r="BH2207" s="1"/>
      <c r="BI2207" s="1"/>
      <c r="BJ2207" s="1" t="s">
        <v>1641</v>
      </c>
      <c r="BK2207" s="1" t="s">
        <v>24718</v>
      </c>
      <c r="BL2207" s="1" t="s">
        <v>24719</v>
      </c>
      <c r="BM2207" s="1" t="s">
        <v>24720</v>
      </c>
      <c r="BN2207" s="1">
        <v>2</v>
      </c>
      <c r="BO2207" s="1" t="s">
        <v>24721</v>
      </c>
      <c r="BP2207" s="1" t="str">
        <f>HYPERLINK("https://nconnect.nicmar.ac.in/storage/profile/6a77463b6de1d.png","Download")</f>
        <v>0</v>
      </c>
      <c r="BQ2207" s="3"/>
      <c r="BR2207" s="3"/>
    </row>
    <row r="2208" spans="1:70">
      <c r="A2208" s="1" t="s">
        <v>21266</v>
      </c>
      <c r="B2208" s="1" t="s">
        <v>24139</v>
      </c>
      <c r="C2208" s="1" t="s">
        <v>24722</v>
      </c>
      <c r="D2208" s="1" t="s">
        <v>24723</v>
      </c>
      <c r="E2208" s="1" t="s">
        <v>24724</v>
      </c>
      <c r="F2208" s="1" t="s">
        <v>24725</v>
      </c>
      <c r="G2208" s="1" t="s">
        <v>24726</v>
      </c>
      <c r="H2208" s="1" t="s">
        <v>24727</v>
      </c>
      <c r="I2208" s="1" t="s">
        <v>24728</v>
      </c>
      <c r="J2208" s="1">
        <v>8600673302</v>
      </c>
      <c r="K2208" s="1" t="s">
        <v>79</v>
      </c>
      <c r="L2208" s="1" t="s">
        <v>24729</v>
      </c>
      <c r="M2208" s="1" t="s">
        <v>81</v>
      </c>
      <c r="N2208" s="1" t="s">
        <v>6387</v>
      </c>
      <c r="O2208" s="1" t="s">
        <v>24730</v>
      </c>
      <c r="P2208" s="1" t="s">
        <v>84</v>
      </c>
      <c r="Q2208" s="1">
        <v>692123140317</v>
      </c>
      <c r="R2208" s="1" t="s">
        <v>24724</v>
      </c>
      <c r="S2208" s="1">
        <v>7588618936</v>
      </c>
      <c r="T2208" s="1" t="s">
        <v>24731</v>
      </c>
      <c r="U2208" s="1" t="s">
        <v>24732</v>
      </c>
      <c r="V2208" s="1">
        <v>7588618936</v>
      </c>
      <c r="W2208" s="1" t="s">
        <v>24114</v>
      </c>
      <c r="X2208" s="1" t="s">
        <v>24733</v>
      </c>
      <c r="Y2208" s="1" t="s">
        <v>890</v>
      </c>
      <c r="Z2208" s="1" t="s">
        <v>92</v>
      </c>
      <c r="AA2208" s="1" t="s">
        <v>24733</v>
      </c>
      <c r="AB2208" s="1" t="s">
        <v>890</v>
      </c>
      <c r="AC2208" s="1" t="s">
        <v>92</v>
      </c>
      <c r="AD2208" s="1" t="s">
        <v>93</v>
      </c>
      <c r="AE2208" s="1" t="s">
        <v>93</v>
      </c>
      <c r="AF2208" s="1" t="s">
        <v>24734</v>
      </c>
      <c r="AG2208" s="1" t="s">
        <v>24735</v>
      </c>
      <c r="AH2208" s="1" t="s">
        <v>3981</v>
      </c>
      <c r="AI2208" s="1" t="s">
        <v>1435</v>
      </c>
      <c r="AJ2208" s="1">
        <v>83.64</v>
      </c>
      <c r="AK2208" s="1"/>
      <c r="AL2208" s="1" t="s">
        <v>24736</v>
      </c>
      <c r="AM2208" s="1" t="s">
        <v>24735</v>
      </c>
      <c r="AN2208" s="1" t="s">
        <v>1191</v>
      </c>
      <c r="AO2208" s="1" t="s">
        <v>11466</v>
      </c>
      <c r="AP2208" s="1">
        <v>65.54</v>
      </c>
      <c r="AQ2208" s="1"/>
      <c r="AR2208" s="1"/>
      <c r="AS2208" s="1"/>
      <c r="AT2208" s="1"/>
      <c r="AU2208" s="1"/>
      <c r="AV2208" s="1"/>
      <c r="AW2208" s="1"/>
      <c r="AX2208" s="1" t="s">
        <v>24737</v>
      </c>
      <c r="AY2208" s="1" t="s">
        <v>24738</v>
      </c>
      <c r="AZ2208" s="1" t="s">
        <v>161</v>
      </c>
      <c r="BA2208" s="1" t="s">
        <v>2273</v>
      </c>
      <c r="BB2208" s="1">
        <v>60</v>
      </c>
      <c r="BC2208" s="1">
        <v>6.75</v>
      </c>
      <c r="BD2208" s="1"/>
      <c r="BE2208" s="1"/>
      <c r="BF2208" s="1"/>
      <c r="BG2208" s="1"/>
      <c r="BH2208" s="1"/>
      <c r="BI2208" s="1"/>
      <c r="BJ2208" s="1" t="s">
        <v>24739</v>
      </c>
      <c r="BK2208" s="1" t="s">
        <v>24740</v>
      </c>
      <c r="BL2208" s="1" t="s">
        <v>1048</v>
      </c>
      <c r="BM2208" s="1"/>
      <c r="BN2208" s="1"/>
      <c r="BO2208" s="1"/>
      <c r="BP2208" s="1" t="str">
        <f>HYPERLINK("https://nconnect.nicmar.ac.in/storage/profile/6a783618cf149.png","Download")</f>
        <v>0</v>
      </c>
      <c r="BQ2208" s="3"/>
      <c r="BR2208" s="3"/>
    </row>
    <row r="2209" spans="1:70">
      <c r="A2209" s="1" t="s">
        <v>21266</v>
      </c>
      <c r="B2209" s="1" t="s">
        <v>24139</v>
      </c>
      <c r="C2209" s="1" t="s">
        <v>24741</v>
      </c>
      <c r="D2209" s="1" t="s">
        <v>24742</v>
      </c>
      <c r="E2209" s="1" t="s">
        <v>24238</v>
      </c>
      <c r="F2209" s="1" t="s">
        <v>24743</v>
      </c>
      <c r="G2209" s="1" t="s">
        <v>24744</v>
      </c>
      <c r="H2209" s="1" t="s">
        <v>24745</v>
      </c>
      <c r="I2209" s="1" t="s">
        <v>24745</v>
      </c>
      <c r="J2209" s="1">
        <v>8108884333</v>
      </c>
      <c r="K2209" s="1" t="s">
        <v>79</v>
      </c>
      <c r="L2209" s="1" t="s">
        <v>24746</v>
      </c>
      <c r="M2209" s="1" t="s">
        <v>81</v>
      </c>
      <c r="N2209" s="1" t="s">
        <v>24747</v>
      </c>
      <c r="O2209" s="1" t="s">
        <v>24748</v>
      </c>
      <c r="P2209" s="1" t="s">
        <v>351</v>
      </c>
      <c r="Q2209" s="1">
        <v>309894726455</v>
      </c>
      <c r="R2209" s="1" t="s">
        <v>24749</v>
      </c>
      <c r="S2209" s="1">
        <v>9730724575</v>
      </c>
      <c r="T2209" s="1" t="s">
        <v>24151</v>
      </c>
      <c r="U2209" s="1" t="s">
        <v>24750</v>
      </c>
      <c r="V2209" s="1">
        <v>8652572677</v>
      </c>
      <c r="W2209" s="1" t="s">
        <v>15805</v>
      </c>
      <c r="X2209" s="1" t="s">
        <v>24751</v>
      </c>
      <c r="Y2209" s="1" t="s">
        <v>5034</v>
      </c>
      <c r="Z2209" s="1" t="s">
        <v>92</v>
      </c>
      <c r="AA2209" s="1" t="s">
        <v>24751</v>
      </c>
      <c r="AB2209" s="1" t="s">
        <v>5034</v>
      </c>
      <c r="AC2209" s="1" t="s">
        <v>92</v>
      </c>
      <c r="AD2209" s="1" t="s">
        <v>93</v>
      </c>
      <c r="AE2209" s="1" t="s">
        <v>93</v>
      </c>
      <c r="AF2209" s="1" t="s">
        <v>24752</v>
      </c>
      <c r="AG2209" s="1" t="s">
        <v>24753</v>
      </c>
      <c r="AH2209" s="1" t="s">
        <v>3131</v>
      </c>
      <c r="AI2209" s="1" t="s">
        <v>562</v>
      </c>
      <c r="AJ2209" s="1">
        <v>65.2</v>
      </c>
      <c r="AK2209" s="1"/>
      <c r="AL2209" s="1" t="s">
        <v>24754</v>
      </c>
      <c r="AM2209" s="1" t="s">
        <v>24755</v>
      </c>
      <c r="AN2209" s="1" t="s">
        <v>383</v>
      </c>
      <c r="AO2209" s="1" t="s">
        <v>310</v>
      </c>
      <c r="AP2209" s="1">
        <v>51.69</v>
      </c>
      <c r="AQ2209" s="1"/>
      <c r="AR2209" s="1" t="s">
        <v>24756</v>
      </c>
      <c r="AS2209" s="1" t="s">
        <v>24757</v>
      </c>
      <c r="AT2209" s="1" t="s">
        <v>201</v>
      </c>
      <c r="AU2209" s="1" t="s">
        <v>436</v>
      </c>
      <c r="AV2209" s="1">
        <v>73.58</v>
      </c>
      <c r="AW2209" s="1"/>
      <c r="AX2209" s="1" t="s">
        <v>24758</v>
      </c>
      <c r="AY2209" s="1" t="s">
        <v>24759</v>
      </c>
      <c r="AZ2209" s="1" t="s">
        <v>852</v>
      </c>
      <c r="BA2209" s="1" t="s">
        <v>1219</v>
      </c>
      <c r="BB2209" s="1">
        <v>64.57</v>
      </c>
      <c r="BC2209" s="1">
        <v>7.03</v>
      </c>
      <c r="BD2209" s="1" t="s">
        <v>24760</v>
      </c>
      <c r="BE2209" s="1" t="s">
        <v>191</v>
      </c>
      <c r="BF2209" s="1" t="s">
        <v>24266</v>
      </c>
      <c r="BG2209" s="1"/>
      <c r="BH2209" s="1"/>
      <c r="BI2209" s="1"/>
      <c r="BJ2209" s="1" t="s">
        <v>24761</v>
      </c>
      <c r="BK2209" s="1"/>
      <c r="BL2209" s="1"/>
      <c r="BM2209" s="1"/>
      <c r="BN2209" s="1"/>
      <c r="BO2209" s="1"/>
      <c r="BP2209" s="1" t="str">
        <f>HYPERLINK("https://nconnect.nicmar.ac.in/storage/profile/6a78682410593.png","Download")</f>
        <v>0</v>
      </c>
      <c r="BQ2209" s="3"/>
      <c r="BR2209" s="3"/>
    </row>
    <row r="2210" spans="1:70">
      <c r="A2210" s="1" t="s">
        <v>21266</v>
      </c>
      <c r="B2210" s="1" t="s">
        <v>24139</v>
      </c>
      <c r="C2210" s="1" t="s">
        <v>24762</v>
      </c>
      <c r="D2210" s="1" t="s">
        <v>13030</v>
      </c>
      <c r="E2210" s="1" t="s">
        <v>1298</v>
      </c>
      <c r="F2210" s="1" t="s">
        <v>24763</v>
      </c>
      <c r="G2210" s="1" t="s">
        <v>24764</v>
      </c>
      <c r="H2210" s="1" t="s">
        <v>24765</v>
      </c>
      <c r="I2210" s="1" t="s">
        <v>24766</v>
      </c>
      <c r="J2210" s="1">
        <v>7379411715</v>
      </c>
      <c r="K2210" s="1" t="s">
        <v>79</v>
      </c>
      <c r="L2210" s="1" t="s">
        <v>24767</v>
      </c>
      <c r="M2210" s="1" t="s">
        <v>81</v>
      </c>
      <c r="N2210" s="1" t="s">
        <v>13165</v>
      </c>
      <c r="O2210" s="1" t="s">
        <v>24768</v>
      </c>
      <c r="P2210" s="1" t="s">
        <v>84</v>
      </c>
      <c r="Q2210" s="1">
        <v>378952692653</v>
      </c>
      <c r="R2210" s="1" t="s">
        <v>24769</v>
      </c>
      <c r="S2210" s="1">
        <v>8787248261</v>
      </c>
      <c r="T2210" s="1" t="s">
        <v>14471</v>
      </c>
      <c r="U2210" s="1" t="s">
        <v>24770</v>
      </c>
      <c r="V2210" s="1">
        <v>8787248261</v>
      </c>
      <c r="W2210" s="1" t="s">
        <v>89</v>
      </c>
      <c r="X2210" s="1" t="s">
        <v>24771</v>
      </c>
      <c r="Y2210" s="1" t="s">
        <v>24772</v>
      </c>
      <c r="Z2210" s="1" t="s">
        <v>534</v>
      </c>
      <c r="AA2210" s="1" t="s">
        <v>24771</v>
      </c>
      <c r="AB2210" s="1" t="s">
        <v>24772</v>
      </c>
      <c r="AC2210" s="1" t="s">
        <v>534</v>
      </c>
      <c r="AD2210" s="1" t="s">
        <v>93</v>
      </c>
      <c r="AE2210" s="1" t="s">
        <v>93</v>
      </c>
      <c r="AF2210" s="1" t="s">
        <v>24773</v>
      </c>
      <c r="AG2210" s="1" t="s">
        <v>24774</v>
      </c>
      <c r="AH2210" s="1" t="s">
        <v>162</v>
      </c>
      <c r="AI2210" s="1" t="s">
        <v>562</v>
      </c>
      <c r="AJ2210" s="1">
        <v>63.5</v>
      </c>
      <c r="AK2210" s="1"/>
      <c r="AL2210" s="1" t="s">
        <v>24773</v>
      </c>
      <c r="AM2210" s="1" t="s">
        <v>24775</v>
      </c>
      <c r="AN2210" s="1" t="s">
        <v>101</v>
      </c>
      <c r="AO2210" s="1" t="s">
        <v>308</v>
      </c>
      <c r="AP2210" s="1">
        <v>60.59</v>
      </c>
      <c r="AQ2210" s="1"/>
      <c r="AR2210" s="1"/>
      <c r="AS2210" s="1"/>
      <c r="AT2210" s="1"/>
      <c r="AU2210" s="1"/>
      <c r="AV2210" s="1"/>
      <c r="AW2210" s="1"/>
      <c r="AX2210" s="1" t="s">
        <v>24776</v>
      </c>
      <c r="AY2210" s="1" t="s">
        <v>24777</v>
      </c>
      <c r="AZ2210" s="1" t="s">
        <v>201</v>
      </c>
      <c r="BA2210" s="1" t="s">
        <v>174</v>
      </c>
      <c r="BB2210" s="1">
        <v>74.2</v>
      </c>
      <c r="BC2210" s="1">
        <v>7.42</v>
      </c>
      <c r="BD2210" s="1"/>
      <c r="BE2210" s="1"/>
      <c r="BF2210" s="1"/>
      <c r="BG2210" s="1"/>
      <c r="BH2210" s="1"/>
      <c r="BI2210" s="1"/>
      <c r="BJ2210" s="1" t="s">
        <v>255</v>
      </c>
      <c r="BK2210" s="1"/>
      <c r="BL2210" s="1"/>
      <c r="BM2210" s="1" t="s">
        <v>24778</v>
      </c>
      <c r="BN2210" s="1">
        <v>4</v>
      </c>
      <c r="BO2210" s="1"/>
      <c r="BP2210" s="1" t="str">
        <f>HYPERLINK("https://nconnect.nicmar.ac.in/storage/profile/6a771976545c3.png","Download")</f>
        <v>0</v>
      </c>
      <c r="BQ2210" s="3"/>
      <c r="BR2210" s="3"/>
    </row>
    <row r="2211" spans="1:70">
      <c r="A2211" s="1" t="s">
        <v>21266</v>
      </c>
      <c r="B2211" s="1" t="s">
        <v>24139</v>
      </c>
      <c r="C2211" s="1" t="s">
        <v>24779</v>
      </c>
      <c r="D2211" s="1" t="s">
        <v>24520</v>
      </c>
      <c r="E2211" s="1" t="s">
        <v>24780</v>
      </c>
      <c r="F2211" s="1" t="s">
        <v>24781</v>
      </c>
      <c r="G2211" s="1" t="s">
        <v>24782</v>
      </c>
      <c r="H2211" s="1" t="s">
        <v>24783</v>
      </c>
      <c r="I2211" s="1" t="s">
        <v>24783</v>
      </c>
      <c r="J2211" s="1">
        <v>7219465171</v>
      </c>
      <c r="K2211" s="1" t="s">
        <v>79</v>
      </c>
      <c r="L2211" s="1" t="s">
        <v>24784</v>
      </c>
      <c r="M2211" s="1" t="s">
        <v>81</v>
      </c>
      <c r="N2211" s="1" t="s">
        <v>24785</v>
      </c>
      <c r="O2211" s="1" t="s">
        <v>24786</v>
      </c>
      <c r="P2211" s="1" t="s">
        <v>214</v>
      </c>
      <c r="Q2211" s="1">
        <v>497831772064</v>
      </c>
      <c r="R2211" s="1" t="s">
        <v>24780</v>
      </c>
      <c r="S2211" s="1">
        <v>9158229375</v>
      </c>
      <c r="T2211" s="1" t="s">
        <v>24675</v>
      </c>
      <c r="U2211" s="1" t="s">
        <v>24787</v>
      </c>
      <c r="V2211" s="1">
        <v>7507562955</v>
      </c>
      <c r="W2211" s="1" t="s">
        <v>16314</v>
      </c>
      <c r="X2211" s="1" t="s">
        <v>24788</v>
      </c>
      <c r="Y2211" s="1" t="s">
        <v>219</v>
      </c>
      <c r="Z2211" s="1" t="s">
        <v>92</v>
      </c>
      <c r="AA2211" s="1" t="s">
        <v>24788</v>
      </c>
      <c r="AB2211" s="1" t="s">
        <v>219</v>
      </c>
      <c r="AC2211" s="1" t="s">
        <v>92</v>
      </c>
      <c r="AD2211" s="1" t="s">
        <v>93</v>
      </c>
      <c r="AE2211" s="1" t="s">
        <v>93</v>
      </c>
      <c r="AF2211" s="1" t="s">
        <v>24789</v>
      </c>
      <c r="AG2211" s="1" t="s">
        <v>24510</v>
      </c>
      <c r="AH2211" s="1" t="s">
        <v>96</v>
      </c>
      <c r="AI2211" s="1" t="s">
        <v>161</v>
      </c>
      <c r="AJ2211" s="1">
        <v>71.8</v>
      </c>
      <c r="AK2211" s="1"/>
      <c r="AL2211" s="1" t="s">
        <v>24790</v>
      </c>
      <c r="AM2211" s="1" t="s">
        <v>24510</v>
      </c>
      <c r="AN2211" s="1" t="s">
        <v>162</v>
      </c>
      <c r="AO2211" s="1" t="s">
        <v>383</v>
      </c>
      <c r="AP2211" s="1">
        <v>57.23</v>
      </c>
      <c r="AQ2211" s="1"/>
      <c r="AR2211" s="1" t="s">
        <v>24791</v>
      </c>
      <c r="AS2211" s="1" t="s">
        <v>24792</v>
      </c>
      <c r="AT2211" s="1" t="s">
        <v>383</v>
      </c>
      <c r="AU2211" s="1" t="s">
        <v>433</v>
      </c>
      <c r="AV2211" s="1">
        <v>81.21</v>
      </c>
      <c r="AW2211" s="1"/>
      <c r="AX2211" s="1" t="s">
        <v>24793</v>
      </c>
      <c r="AY2211" s="1" t="s">
        <v>24794</v>
      </c>
      <c r="AZ2211" s="1" t="s">
        <v>310</v>
      </c>
      <c r="BA2211" s="1" t="s">
        <v>1378</v>
      </c>
      <c r="BB2211" s="1">
        <v>85.7</v>
      </c>
      <c r="BC2211" s="1">
        <v>9.6</v>
      </c>
      <c r="BD2211" s="1"/>
      <c r="BE2211" s="1"/>
      <c r="BF2211" s="1"/>
      <c r="BG2211" s="1"/>
      <c r="BH2211" s="1"/>
      <c r="BI2211" s="1"/>
      <c r="BJ2211" s="1" t="s">
        <v>24795</v>
      </c>
      <c r="BK2211" s="1"/>
      <c r="BL2211" s="1"/>
      <c r="BM2211" s="1"/>
      <c r="BN2211" s="1"/>
      <c r="BO2211" s="1" t="s">
        <v>24796</v>
      </c>
      <c r="BP2211" s="1" t="str">
        <f>HYPERLINK("https://nconnect.nicmar.ac.in/storage/profile/6a776f69ee9d1.png","Download")</f>
        <v>0</v>
      </c>
      <c r="BQ2211" s="3"/>
      <c r="BR2211" s="3"/>
    </row>
    <row r="2212" spans="1:70">
      <c r="A2212" s="1" t="s">
        <v>21266</v>
      </c>
      <c r="B2212" s="1" t="s">
        <v>24139</v>
      </c>
      <c r="C2212" s="1" t="s">
        <v>24797</v>
      </c>
      <c r="D2212" s="1" t="s">
        <v>24798</v>
      </c>
      <c r="E2212" s="1" t="s">
        <v>24384</v>
      </c>
      <c r="F2212" s="1" t="s">
        <v>24255</v>
      </c>
      <c r="G2212" s="1" t="s">
        <v>24799</v>
      </c>
      <c r="H2212" s="1" t="s">
        <v>24800</v>
      </c>
      <c r="I2212" s="1" t="s">
        <v>24800</v>
      </c>
      <c r="J2212" s="1">
        <v>7775852980</v>
      </c>
      <c r="K2212" s="1" t="s">
        <v>79</v>
      </c>
      <c r="L2212" s="1" t="s">
        <v>7284</v>
      </c>
      <c r="M2212" s="1" t="s">
        <v>81</v>
      </c>
      <c r="N2212" s="1" t="s">
        <v>9247</v>
      </c>
      <c r="O2212" s="1" t="s">
        <v>24801</v>
      </c>
      <c r="P2212" s="1" t="s">
        <v>24802</v>
      </c>
      <c r="Q2212" s="1">
        <v>930080558384</v>
      </c>
      <c r="R2212" s="1" t="s">
        <v>24803</v>
      </c>
      <c r="S2212" s="1">
        <v>9823773066</v>
      </c>
      <c r="T2212" s="1" t="s">
        <v>16572</v>
      </c>
      <c r="U2212" s="1" t="s">
        <v>24804</v>
      </c>
      <c r="V2212" s="1">
        <v>7378911769</v>
      </c>
      <c r="W2212" s="1" t="s">
        <v>10212</v>
      </c>
      <c r="X2212" s="1" t="s">
        <v>24805</v>
      </c>
      <c r="Y2212" s="1" t="s">
        <v>219</v>
      </c>
      <c r="Z2212" s="1" t="s">
        <v>92</v>
      </c>
      <c r="AA2212" s="1" t="s">
        <v>24806</v>
      </c>
      <c r="AB2212" s="1" t="s">
        <v>219</v>
      </c>
      <c r="AC2212" s="1" t="s">
        <v>92</v>
      </c>
      <c r="AD2212" s="1" t="s">
        <v>93</v>
      </c>
      <c r="AE2212" s="1" t="s">
        <v>93</v>
      </c>
      <c r="AF2212" s="1" t="s">
        <v>24807</v>
      </c>
      <c r="AG2212" s="1" t="s">
        <v>24808</v>
      </c>
      <c r="AH2212" s="1" t="s">
        <v>161</v>
      </c>
      <c r="AI2212" s="1" t="s">
        <v>1089</v>
      </c>
      <c r="AJ2212" s="1">
        <v>70.4</v>
      </c>
      <c r="AK2212" s="1"/>
      <c r="AL2212" s="1"/>
      <c r="AM2212" s="1"/>
      <c r="AN2212" s="1"/>
      <c r="AO2212" s="1"/>
      <c r="AP2212" s="1"/>
      <c r="AQ2212" s="1"/>
      <c r="AR2212" s="1" t="s">
        <v>24299</v>
      </c>
      <c r="AS2212" s="1" t="s">
        <v>24809</v>
      </c>
      <c r="AT2212" s="1" t="s">
        <v>134</v>
      </c>
      <c r="AU2212" s="1" t="s">
        <v>433</v>
      </c>
      <c r="AV2212" s="1">
        <v>84.13</v>
      </c>
      <c r="AW2212" s="1"/>
      <c r="AX2212" s="1" t="s">
        <v>24810</v>
      </c>
      <c r="AY2212" s="1" t="s">
        <v>24811</v>
      </c>
      <c r="AZ2212" s="1" t="s">
        <v>201</v>
      </c>
      <c r="BA2212" s="1" t="s">
        <v>1378</v>
      </c>
      <c r="BB2212" s="1">
        <v>95.2</v>
      </c>
      <c r="BC2212" s="1">
        <v>9.52</v>
      </c>
      <c r="BD2212" s="1"/>
      <c r="BE2212" s="1"/>
      <c r="BF2212" s="1"/>
      <c r="BG2212" s="1"/>
      <c r="BH2212" s="1"/>
      <c r="BI2212" s="1"/>
      <c r="BJ2212" s="1" t="s">
        <v>24812</v>
      </c>
      <c r="BK2212" s="1" t="s">
        <v>24813</v>
      </c>
      <c r="BL2212" s="1" t="s">
        <v>340</v>
      </c>
      <c r="BM2212" s="1"/>
      <c r="BN2212" s="1"/>
      <c r="BO2212" s="1" t="s">
        <v>24814</v>
      </c>
      <c r="BP2212" s="1" t="str">
        <f>HYPERLINK("https://nconnect.nicmar.ac.in/storage/profile/6a78243e73ccf.png","Download")</f>
        <v>0</v>
      </c>
      <c r="BQ2212" s="3"/>
      <c r="BR2212" s="3"/>
    </row>
    <row r="2213" spans="1:70">
      <c r="A2213" s="1" t="s">
        <v>21266</v>
      </c>
      <c r="B2213" s="1" t="s">
        <v>24139</v>
      </c>
      <c r="C2213" s="1" t="s">
        <v>24815</v>
      </c>
      <c r="D2213" s="1" t="s">
        <v>24816</v>
      </c>
      <c r="E2213" s="1" t="s">
        <v>24742</v>
      </c>
      <c r="F2213" s="1" t="s">
        <v>24817</v>
      </c>
      <c r="G2213" s="1" t="s">
        <v>24818</v>
      </c>
      <c r="H2213" s="1" t="s">
        <v>24819</v>
      </c>
      <c r="I2213" s="1" t="s">
        <v>24820</v>
      </c>
      <c r="J2213" s="1">
        <v>9112611113</v>
      </c>
      <c r="K2213" s="1" t="s">
        <v>79</v>
      </c>
      <c r="L2213" s="1" t="s">
        <v>24821</v>
      </c>
      <c r="M2213" s="1" t="s">
        <v>81</v>
      </c>
      <c r="N2213" s="1" t="s">
        <v>751</v>
      </c>
      <c r="O2213" s="1" t="s">
        <v>152</v>
      </c>
      <c r="P2213" s="1" t="s">
        <v>117</v>
      </c>
      <c r="Q2213" s="1">
        <v>362646385986</v>
      </c>
      <c r="R2213" s="1" t="s">
        <v>24822</v>
      </c>
      <c r="S2213" s="1">
        <v>8983136574</v>
      </c>
      <c r="T2213" s="1" t="s">
        <v>24823</v>
      </c>
      <c r="U2213" s="1" t="s">
        <v>24824</v>
      </c>
      <c r="V2213" s="1">
        <v>8983136574</v>
      </c>
      <c r="W2213" s="1" t="s">
        <v>10212</v>
      </c>
      <c r="X2213" s="1" t="s">
        <v>24825</v>
      </c>
      <c r="Y2213" s="1" t="s">
        <v>91</v>
      </c>
      <c r="Z2213" s="1" t="s">
        <v>92</v>
      </c>
      <c r="AA2213" s="1" t="s">
        <v>24825</v>
      </c>
      <c r="AB2213" s="1" t="s">
        <v>91</v>
      </c>
      <c r="AC2213" s="1" t="s">
        <v>92</v>
      </c>
      <c r="AD2213" s="1" t="s">
        <v>93</v>
      </c>
      <c r="AE2213" s="1" t="s">
        <v>93</v>
      </c>
      <c r="AF2213" s="1" t="s">
        <v>24826</v>
      </c>
      <c r="AG2213" s="1" t="s">
        <v>24827</v>
      </c>
      <c r="AH2213" s="1" t="s">
        <v>162</v>
      </c>
      <c r="AI2213" s="1" t="s">
        <v>165</v>
      </c>
      <c r="AJ2213" s="1">
        <v>66.2</v>
      </c>
      <c r="AK2213" s="1"/>
      <c r="AL2213" s="1"/>
      <c r="AM2213" s="1"/>
      <c r="AN2213" s="1"/>
      <c r="AO2213" s="1"/>
      <c r="AP2213" s="1"/>
      <c r="AQ2213" s="1"/>
      <c r="AR2213" s="1" t="s">
        <v>24535</v>
      </c>
      <c r="AS2213" s="1" t="s">
        <v>24828</v>
      </c>
      <c r="AT2213" s="1" t="s">
        <v>225</v>
      </c>
      <c r="AU2213" s="1" t="s">
        <v>170</v>
      </c>
      <c r="AV2213" s="1">
        <v>86.37</v>
      </c>
      <c r="AW2213" s="1"/>
      <c r="AX2213" s="1" t="s">
        <v>24829</v>
      </c>
      <c r="AY2213" s="1" t="s">
        <v>24830</v>
      </c>
      <c r="AZ2213" s="1" t="s">
        <v>363</v>
      </c>
      <c r="BA2213" s="1" t="s">
        <v>174</v>
      </c>
      <c r="BB2213" s="1">
        <v>67.8</v>
      </c>
      <c r="BC2213" s="1">
        <v>7.53</v>
      </c>
      <c r="BD2213" s="1"/>
      <c r="BE2213" s="1"/>
      <c r="BF2213" s="1"/>
      <c r="BG2213" s="1"/>
      <c r="BH2213" s="1"/>
      <c r="BI2213" s="1"/>
      <c r="BJ2213" s="1" t="s">
        <v>830</v>
      </c>
      <c r="BK2213" s="1" t="s">
        <v>24831</v>
      </c>
      <c r="BL2213" s="1" t="s">
        <v>762</v>
      </c>
      <c r="BM2213" s="1" t="s">
        <v>24832</v>
      </c>
      <c r="BN2213" s="1">
        <v>5</v>
      </c>
      <c r="BO2213" s="1"/>
      <c r="BP2213" s="1" t="str">
        <f>HYPERLINK("https://nconnect.nicmar.ac.in/storage/profile/6a78be5a76923.png","Download")</f>
        <v>0</v>
      </c>
      <c r="BQ2213" s="3"/>
      <c r="BR2213" s="3"/>
    </row>
    <row r="2214" spans="1:70">
      <c r="A2214" s="1" t="s">
        <v>21266</v>
      </c>
      <c r="B2214" s="1" t="s">
        <v>24139</v>
      </c>
      <c r="C2214" s="1" t="s">
        <v>24833</v>
      </c>
      <c r="D2214" s="1" t="s">
        <v>24834</v>
      </c>
      <c r="E2214" s="1" t="s">
        <v>24150</v>
      </c>
      <c r="F2214" s="1" t="s">
        <v>10124</v>
      </c>
      <c r="G2214" s="1" t="s">
        <v>24835</v>
      </c>
      <c r="H2214" s="1" t="s">
        <v>24836</v>
      </c>
      <c r="I2214" s="1" t="s">
        <v>24836</v>
      </c>
      <c r="J2214" s="1">
        <v>9496463800</v>
      </c>
      <c r="K2214" s="1" t="s">
        <v>148</v>
      </c>
      <c r="L2214" s="1" t="s">
        <v>24837</v>
      </c>
      <c r="M2214" s="1" t="s">
        <v>81</v>
      </c>
      <c r="N2214" s="1" t="s">
        <v>24160</v>
      </c>
      <c r="O2214" s="1" t="s">
        <v>24838</v>
      </c>
      <c r="P2214" s="1" t="s">
        <v>214</v>
      </c>
      <c r="Q2214" s="1">
        <v>448451102613</v>
      </c>
      <c r="R2214" s="1" t="s">
        <v>24839</v>
      </c>
      <c r="S2214" s="1">
        <v>9447424094</v>
      </c>
      <c r="T2214" s="1" t="s">
        <v>24840</v>
      </c>
      <c r="U2214" s="1" t="s">
        <v>24841</v>
      </c>
      <c r="V2214" s="1">
        <v>9495096765</v>
      </c>
      <c r="W2214" s="1" t="s">
        <v>13981</v>
      </c>
      <c r="X2214" s="1" t="s">
        <v>24842</v>
      </c>
      <c r="Y2214" s="1" t="s">
        <v>124</v>
      </c>
      <c r="Z2214" s="1" t="s">
        <v>125</v>
      </c>
      <c r="AA2214" s="1" t="s">
        <v>24842</v>
      </c>
      <c r="AB2214" s="1" t="s">
        <v>124</v>
      </c>
      <c r="AC2214" s="1" t="s">
        <v>125</v>
      </c>
      <c r="AD2214" s="1" t="s">
        <v>93</v>
      </c>
      <c r="AE2214" s="1" t="s">
        <v>93</v>
      </c>
      <c r="AF2214" s="1" t="s">
        <v>24843</v>
      </c>
      <c r="AG2214" s="1" t="s">
        <v>24844</v>
      </c>
      <c r="AH2214" s="1" t="s">
        <v>4602</v>
      </c>
      <c r="AI2214" s="1" t="s">
        <v>332</v>
      </c>
      <c r="AJ2214" s="1">
        <v>94.35</v>
      </c>
      <c r="AK2214" s="1"/>
      <c r="AL2214" s="1" t="s">
        <v>24845</v>
      </c>
      <c r="AM2214" s="1" t="s">
        <v>24844</v>
      </c>
      <c r="AN2214" s="1" t="s">
        <v>3303</v>
      </c>
      <c r="AO2214" s="1" t="s">
        <v>1435</v>
      </c>
      <c r="AP2214" s="1">
        <v>79.91</v>
      </c>
      <c r="AQ2214" s="1"/>
      <c r="AR2214" s="1"/>
      <c r="AS2214" s="1"/>
      <c r="AT2214" s="1"/>
      <c r="AU2214" s="1"/>
      <c r="AV2214" s="1"/>
      <c r="AW2214" s="1"/>
      <c r="AX2214" s="1" t="s">
        <v>24846</v>
      </c>
      <c r="AY2214" s="1" t="s">
        <v>24847</v>
      </c>
      <c r="AZ2214" s="1" t="s">
        <v>1190</v>
      </c>
      <c r="BA2214" s="1" t="s">
        <v>689</v>
      </c>
      <c r="BB2214" s="1">
        <v>66.2</v>
      </c>
      <c r="BC2214" s="1">
        <v>6.62</v>
      </c>
      <c r="BD2214" s="1"/>
      <c r="BE2214" s="1"/>
      <c r="BF2214" s="1"/>
      <c r="BG2214" s="1"/>
      <c r="BH2214" s="1"/>
      <c r="BI2214" s="1"/>
      <c r="BJ2214" s="1" t="s">
        <v>255</v>
      </c>
      <c r="BK2214" s="1" t="s">
        <v>24848</v>
      </c>
      <c r="BL2214" s="1" t="s">
        <v>24849</v>
      </c>
      <c r="BM2214" s="1" t="s">
        <v>24850</v>
      </c>
      <c r="BN2214" s="1">
        <v>27</v>
      </c>
      <c r="BO2214" s="1"/>
      <c r="BP2214" s="1" t="str">
        <f>HYPERLINK("https://nconnect.nicmar.ac.in/storage/profile/6a782c2eec4c4.png","Download")</f>
        <v>0</v>
      </c>
      <c r="BQ2214" s="3"/>
      <c r="BR2214" s="3"/>
    </row>
    <row r="2215" spans="1:70">
      <c r="A2215" s="1" t="s">
        <v>21266</v>
      </c>
      <c r="B2215" s="1" t="s">
        <v>24139</v>
      </c>
      <c r="C2215" s="1" t="s">
        <v>24851</v>
      </c>
      <c r="D2215" s="1" t="s">
        <v>24852</v>
      </c>
      <c r="E2215" s="1" t="s">
        <v>24853</v>
      </c>
      <c r="F2215" s="1" t="s">
        <v>24854</v>
      </c>
      <c r="G2215" s="1" t="s">
        <v>24855</v>
      </c>
      <c r="H2215" s="1" t="s">
        <v>24856</v>
      </c>
      <c r="I2215" s="1" t="s">
        <v>24857</v>
      </c>
      <c r="J2215" s="1">
        <v>9892452776</v>
      </c>
      <c r="K2215" s="1" t="s">
        <v>148</v>
      </c>
      <c r="L2215" s="1" t="s">
        <v>24858</v>
      </c>
      <c r="M2215" s="1" t="s">
        <v>81</v>
      </c>
      <c r="N2215" s="1" t="s">
        <v>17090</v>
      </c>
      <c r="O2215" s="1" t="s">
        <v>2119</v>
      </c>
      <c r="P2215" s="1" t="s">
        <v>351</v>
      </c>
      <c r="Q2215" s="1">
        <v>776235111376</v>
      </c>
      <c r="R2215" s="1" t="s">
        <v>24853</v>
      </c>
      <c r="S2215" s="1">
        <v>9221493831</v>
      </c>
      <c r="T2215" s="1" t="s">
        <v>3457</v>
      </c>
      <c r="U2215" s="1" t="s">
        <v>24859</v>
      </c>
      <c r="V2215" s="1">
        <v>9221473879</v>
      </c>
      <c r="W2215" s="1" t="s">
        <v>16314</v>
      </c>
      <c r="X2215" s="1" t="s">
        <v>24860</v>
      </c>
      <c r="Y2215" s="1" t="s">
        <v>2229</v>
      </c>
      <c r="Z2215" s="1" t="s">
        <v>92</v>
      </c>
      <c r="AA2215" s="1" t="s">
        <v>24860</v>
      </c>
      <c r="AB2215" s="1" t="s">
        <v>2229</v>
      </c>
      <c r="AC2215" s="1" t="s">
        <v>92</v>
      </c>
      <c r="AD2215" s="1" t="s">
        <v>93</v>
      </c>
      <c r="AE2215" s="1" t="s">
        <v>93</v>
      </c>
      <c r="AF2215" s="1" t="s">
        <v>24861</v>
      </c>
      <c r="AG2215" s="1" t="s">
        <v>24862</v>
      </c>
      <c r="AH2215" s="1" t="s">
        <v>161</v>
      </c>
      <c r="AI2215" s="1" t="s">
        <v>162</v>
      </c>
      <c r="AJ2215" s="1">
        <v>75.2</v>
      </c>
      <c r="AK2215" s="1"/>
      <c r="AL2215" s="1"/>
      <c r="AM2215" s="1"/>
      <c r="AN2215" s="1"/>
      <c r="AO2215" s="1"/>
      <c r="AP2215" s="1"/>
      <c r="AQ2215" s="1"/>
      <c r="AR2215" s="1" t="s">
        <v>24299</v>
      </c>
      <c r="AS2215" s="1" t="s">
        <v>24863</v>
      </c>
      <c r="AT2215" s="1" t="s">
        <v>162</v>
      </c>
      <c r="AU2215" s="1" t="s">
        <v>2181</v>
      </c>
      <c r="AV2215" s="1">
        <v>63.21</v>
      </c>
      <c r="AW2215" s="1"/>
      <c r="AX2215" s="1" t="s">
        <v>24646</v>
      </c>
      <c r="AY2215" s="1" t="s">
        <v>24864</v>
      </c>
      <c r="AZ2215" s="1" t="s">
        <v>363</v>
      </c>
      <c r="BA2215" s="1" t="s">
        <v>935</v>
      </c>
      <c r="BB2215" s="1">
        <v>74.25</v>
      </c>
      <c r="BC2215" s="1">
        <v>8.35</v>
      </c>
      <c r="BD2215" s="1"/>
      <c r="BE2215" s="1"/>
      <c r="BF2215" s="1"/>
      <c r="BG2215" s="1"/>
      <c r="BH2215" s="1"/>
      <c r="BI2215" s="1"/>
      <c r="BJ2215" s="1" t="s">
        <v>24865</v>
      </c>
      <c r="BK2215" s="1" t="s">
        <v>24866</v>
      </c>
      <c r="BL2215" s="1" t="s">
        <v>11470</v>
      </c>
      <c r="BM2215" s="1"/>
      <c r="BN2215" s="1"/>
      <c r="BO2215" s="1" t="s">
        <v>24867</v>
      </c>
      <c r="BP2215" s="1" t="str">
        <f>HYPERLINK("https://nconnect.nicmar.ac.in/storage/profile/6a76fb5b7f394.png","Download")</f>
        <v>0</v>
      </c>
      <c r="BQ2215" s="3"/>
      <c r="BR2215" s="3"/>
    </row>
    <row r="2216" spans="1:70">
      <c r="A2216" s="1" t="s">
        <v>21266</v>
      </c>
      <c r="B2216" s="1" t="s">
        <v>24139</v>
      </c>
      <c r="C2216" s="1" t="s">
        <v>24868</v>
      </c>
      <c r="D2216" s="1" t="s">
        <v>24869</v>
      </c>
      <c r="E2216" s="1"/>
      <c r="F2216" s="1" t="s">
        <v>24870</v>
      </c>
      <c r="G2216" s="1" t="s">
        <v>24871</v>
      </c>
      <c r="H2216" s="1" t="s">
        <v>24872</v>
      </c>
      <c r="I2216" s="1" t="s">
        <v>24872</v>
      </c>
      <c r="J2216" s="1">
        <v>9390747520</v>
      </c>
      <c r="K2216" s="1" t="s">
        <v>79</v>
      </c>
      <c r="L2216" s="1" t="s">
        <v>24873</v>
      </c>
      <c r="M2216" s="1" t="s">
        <v>81</v>
      </c>
      <c r="N2216" s="1" t="s">
        <v>4844</v>
      </c>
      <c r="O2216" s="1" t="s">
        <v>24874</v>
      </c>
      <c r="P2216" s="1" t="s">
        <v>117</v>
      </c>
      <c r="Q2216" s="1">
        <v>463803014956</v>
      </c>
      <c r="R2216" s="1" t="s">
        <v>24875</v>
      </c>
      <c r="S2216" s="1">
        <v>9618302007</v>
      </c>
      <c r="T2216" s="1" t="s">
        <v>24151</v>
      </c>
      <c r="U2216" s="1" t="s">
        <v>24876</v>
      </c>
      <c r="V2216" s="1">
        <v>9618302007</v>
      </c>
      <c r="W2216" s="1" t="s">
        <v>15805</v>
      </c>
      <c r="X2216" s="1" t="s">
        <v>24877</v>
      </c>
      <c r="Y2216" s="1" t="s">
        <v>1414</v>
      </c>
      <c r="Z2216" s="1" t="s">
        <v>276</v>
      </c>
      <c r="AA2216" s="1" t="s">
        <v>24877</v>
      </c>
      <c r="AB2216" s="1" t="s">
        <v>1414</v>
      </c>
      <c r="AC2216" s="1" t="s">
        <v>276</v>
      </c>
      <c r="AD2216" s="1" t="s">
        <v>93</v>
      </c>
      <c r="AE2216" s="1" t="s">
        <v>93</v>
      </c>
      <c r="AF2216" s="1" t="s">
        <v>24878</v>
      </c>
      <c r="AG2216" s="1" t="s">
        <v>24879</v>
      </c>
      <c r="AH2216" s="1" t="s">
        <v>165</v>
      </c>
      <c r="AI2216" s="1" t="s">
        <v>481</v>
      </c>
      <c r="AJ2216" s="1">
        <v>88</v>
      </c>
      <c r="AK2216" s="1">
        <v>0</v>
      </c>
      <c r="AL2216" s="1"/>
      <c r="AM2216" s="1"/>
      <c r="AN2216" s="1"/>
      <c r="AO2216" s="1"/>
      <c r="AP2216" s="1"/>
      <c r="AQ2216" s="1"/>
      <c r="AR2216" s="1" t="s">
        <v>24299</v>
      </c>
      <c r="AS2216" s="1" t="s">
        <v>24880</v>
      </c>
      <c r="AT2216" s="1" t="s">
        <v>169</v>
      </c>
      <c r="AU2216" s="1" t="s">
        <v>511</v>
      </c>
      <c r="AV2216" s="1">
        <v>69.14</v>
      </c>
      <c r="AW2216" s="1"/>
      <c r="AX2216" s="1" t="s">
        <v>24881</v>
      </c>
      <c r="AY2216" s="1" t="s">
        <v>24882</v>
      </c>
      <c r="AZ2216" s="1" t="s">
        <v>1800</v>
      </c>
      <c r="BA2216" s="1" t="s">
        <v>594</v>
      </c>
      <c r="BB2216" s="1">
        <v>77.2</v>
      </c>
      <c r="BC2216" s="1">
        <v>8.22</v>
      </c>
      <c r="BD2216" s="1"/>
      <c r="BE2216" s="1"/>
      <c r="BF2216" s="1"/>
      <c r="BG2216" s="1"/>
      <c r="BH2216" s="1"/>
      <c r="BI2216" s="1"/>
      <c r="BJ2216" s="1" t="s">
        <v>24883</v>
      </c>
      <c r="BK2216" s="1"/>
      <c r="BL2216" s="1"/>
      <c r="BM2216" s="1" t="s">
        <v>24884</v>
      </c>
      <c r="BN2216" s="1">
        <v>34</v>
      </c>
      <c r="BO2216" s="1" t="s">
        <v>24885</v>
      </c>
      <c r="BP2216" s="1" t="str">
        <f>HYPERLINK("https://nconnect.nicmar.ac.in/storage/profile/6a7731783a23a.png","Download")</f>
        <v>0</v>
      </c>
      <c r="BQ2216" s="3"/>
      <c r="BR2216" s="3"/>
    </row>
    <row r="2217" spans="1:70">
      <c r="A2217" s="1" t="s">
        <v>21266</v>
      </c>
      <c r="B2217" s="1" t="s">
        <v>24139</v>
      </c>
      <c r="C2217" s="1" t="s">
        <v>24886</v>
      </c>
      <c r="D2217" s="1" t="s">
        <v>24887</v>
      </c>
      <c r="E2217" s="1"/>
      <c r="F2217" s="1" t="s">
        <v>24888</v>
      </c>
      <c r="G2217" s="1" t="s">
        <v>24889</v>
      </c>
      <c r="H2217" s="1" t="s">
        <v>24890</v>
      </c>
      <c r="I2217" s="1" t="s">
        <v>24890</v>
      </c>
      <c r="J2217" s="1">
        <v>9633657111</v>
      </c>
      <c r="K2217" s="1" t="s">
        <v>148</v>
      </c>
      <c r="L2217" s="1" t="s">
        <v>24891</v>
      </c>
      <c r="M2217" s="1" t="s">
        <v>81</v>
      </c>
      <c r="N2217" s="1" t="s">
        <v>24892</v>
      </c>
      <c r="O2217" s="1" t="s">
        <v>24893</v>
      </c>
      <c r="P2217" s="1" t="s">
        <v>214</v>
      </c>
      <c r="Q2217" s="1">
        <v>634864585903</v>
      </c>
      <c r="R2217" s="1" t="s">
        <v>24894</v>
      </c>
      <c r="S2217" s="1">
        <v>9746926374</v>
      </c>
      <c r="T2217" s="1" t="s">
        <v>3457</v>
      </c>
      <c r="U2217" s="1" t="s">
        <v>24895</v>
      </c>
      <c r="V2217" s="1">
        <v>9995841344</v>
      </c>
      <c r="W2217" s="1" t="s">
        <v>24896</v>
      </c>
      <c r="X2217" s="1" t="s">
        <v>24897</v>
      </c>
      <c r="Y2217" s="1" t="s">
        <v>2518</v>
      </c>
      <c r="Z2217" s="1" t="s">
        <v>125</v>
      </c>
      <c r="AA2217" s="1" t="s">
        <v>24897</v>
      </c>
      <c r="AB2217" s="1" t="s">
        <v>2518</v>
      </c>
      <c r="AC2217" s="1" t="s">
        <v>125</v>
      </c>
      <c r="AD2217" s="1" t="s">
        <v>93</v>
      </c>
      <c r="AE2217" s="1" t="s">
        <v>93</v>
      </c>
      <c r="AF2217" s="1" t="s">
        <v>24898</v>
      </c>
      <c r="AG2217" s="1" t="s">
        <v>24899</v>
      </c>
      <c r="AH2217" s="1" t="s">
        <v>433</v>
      </c>
      <c r="AI2217" s="1" t="s">
        <v>173</v>
      </c>
      <c r="AJ2217" s="1">
        <v>85.4</v>
      </c>
      <c r="AK2217" s="1">
        <v>8.6</v>
      </c>
      <c r="AL2217" s="1" t="s">
        <v>24898</v>
      </c>
      <c r="AM2217" s="1" t="s">
        <v>24899</v>
      </c>
      <c r="AN2217" s="1" t="s">
        <v>539</v>
      </c>
      <c r="AO2217" s="1" t="s">
        <v>1378</v>
      </c>
      <c r="AP2217" s="1">
        <v>77.8</v>
      </c>
      <c r="AQ2217" s="1">
        <v>7.8</v>
      </c>
      <c r="AR2217" s="1"/>
      <c r="AS2217" s="1"/>
      <c r="AT2217" s="1"/>
      <c r="AU2217" s="1"/>
      <c r="AV2217" s="1"/>
      <c r="AW2217" s="1"/>
      <c r="AX2217" s="1" t="s">
        <v>24900</v>
      </c>
      <c r="AY2217" s="1" t="s">
        <v>24901</v>
      </c>
      <c r="AZ2217" s="1" t="s">
        <v>1800</v>
      </c>
      <c r="BA2217" s="1" t="s">
        <v>20917</v>
      </c>
      <c r="BB2217" s="1">
        <v>76.8</v>
      </c>
      <c r="BC2217" s="1">
        <v>7.68</v>
      </c>
      <c r="BD2217" s="1"/>
      <c r="BE2217" s="1"/>
      <c r="BF2217" s="1"/>
      <c r="BG2217" s="1"/>
      <c r="BH2217" s="1"/>
      <c r="BI2217" s="1"/>
      <c r="BJ2217" s="1" t="s">
        <v>24902</v>
      </c>
      <c r="BK2217" s="1"/>
      <c r="BL2217" s="1"/>
      <c r="BM2217" s="1" t="s">
        <v>24903</v>
      </c>
      <c r="BN2217" s="1">
        <v>5</v>
      </c>
      <c r="BO2217" s="1" t="s">
        <v>24904</v>
      </c>
      <c r="BP2217" s="1" t="str">
        <f>HYPERLINK("https://nconnect.nicmar.ac.in/storage/profile/6a7739ca206c8.png","Download")</f>
        <v>0</v>
      </c>
      <c r="BQ2217" s="3"/>
      <c r="BR2217" s="3"/>
    </row>
    <row r="2218" spans="1:70">
      <c r="A2218" s="1" t="s">
        <v>21266</v>
      </c>
      <c r="B2218" s="1" t="s">
        <v>24139</v>
      </c>
      <c r="C2218" s="1" t="s">
        <v>24905</v>
      </c>
      <c r="D2218" s="1" t="s">
        <v>24500</v>
      </c>
      <c r="E2218" s="1" t="s">
        <v>24906</v>
      </c>
      <c r="F2218" s="1" t="s">
        <v>24907</v>
      </c>
      <c r="G2218" s="1" t="s">
        <v>24908</v>
      </c>
      <c r="H2218" s="1" t="s">
        <v>24909</v>
      </c>
      <c r="I2218" s="1" t="s">
        <v>24910</v>
      </c>
      <c r="J2218" s="1">
        <v>9307047899</v>
      </c>
      <c r="K2218" s="1" t="s">
        <v>79</v>
      </c>
      <c r="L2218" s="1" t="s">
        <v>24911</v>
      </c>
      <c r="M2218" s="1" t="s">
        <v>81</v>
      </c>
      <c r="N2218" s="1" t="s">
        <v>24912</v>
      </c>
      <c r="O2218" s="1" t="s">
        <v>24913</v>
      </c>
      <c r="P2218" s="1" t="s">
        <v>117</v>
      </c>
      <c r="Q2218" s="1">
        <v>503266560894</v>
      </c>
      <c r="R2218" s="1" t="s">
        <v>24914</v>
      </c>
      <c r="S2218" s="1">
        <v>8766640667</v>
      </c>
      <c r="T2218" s="1" t="s">
        <v>3459</v>
      </c>
      <c r="U2218" s="1" t="s">
        <v>24915</v>
      </c>
      <c r="V2218" s="1">
        <v>7020393369</v>
      </c>
      <c r="W2218" s="1" t="s">
        <v>3459</v>
      </c>
      <c r="X2218" s="1" t="s">
        <v>24916</v>
      </c>
      <c r="Y2218" s="1" t="s">
        <v>5185</v>
      </c>
      <c r="Z2218" s="1" t="s">
        <v>92</v>
      </c>
      <c r="AA2218" s="1" t="s">
        <v>24916</v>
      </c>
      <c r="AB2218" s="1" t="s">
        <v>5185</v>
      </c>
      <c r="AC2218" s="1" t="s">
        <v>92</v>
      </c>
      <c r="AD2218" s="1" t="s">
        <v>93</v>
      </c>
      <c r="AE2218" s="1" t="s">
        <v>93</v>
      </c>
      <c r="AF2218" s="1" t="s">
        <v>24917</v>
      </c>
      <c r="AG2218" s="1" t="s">
        <v>24918</v>
      </c>
      <c r="AH2218" s="1" t="s">
        <v>162</v>
      </c>
      <c r="AI2218" s="1" t="s">
        <v>195</v>
      </c>
      <c r="AJ2218" s="1">
        <v>79.4</v>
      </c>
      <c r="AK2218" s="1"/>
      <c r="AL2218" s="1" t="s">
        <v>24919</v>
      </c>
      <c r="AM2218" s="1" t="s">
        <v>24587</v>
      </c>
      <c r="AN2218" s="1" t="s">
        <v>165</v>
      </c>
      <c r="AO2218" s="1" t="s">
        <v>198</v>
      </c>
      <c r="AP2218" s="1">
        <v>57.85</v>
      </c>
      <c r="AQ2218" s="1"/>
      <c r="AR2218" s="1" t="s">
        <v>16034</v>
      </c>
      <c r="AS2218" s="1" t="s">
        <v>24920</v>
      </c>
      <c r="AT2218" s="1" t="s">
        <v>201</v>
      </c>
      <c r="AU2218" s="1" t="s">
        <v>436</v>
      </c>
      <c r="AV2218" s="1">
        <v>84.05</v>
      </c>
      <c r="AW2218" s="1"/>
      <c r="AX2218" s="1" t="s">
        <v>24921</v>
      </c>
      <c r="AY2218" s="1" t="s">
        <v>24922</v>
      </c>
      <c r="AZ2218" s="1" t="s">
        <v>436</v>
      </c>
      <c r="BA2218" s="1" t="s">
        <v>202</v>
      </c>
      <c r="BB2218" s="1">
        <v>76.19</v>
      </c>
      <c r="BC2218" s="1">
        <v>8.02</v>
      </c>
      <c r="BD2218" s="1"/>
      <c r="BE2218" s="1"/>
      <c r="BF2218" s="1"/>
      <c r="BG2218" s="1"/>
      <c r="BH2218" s="1"/>
      <c r="BI2218" s="1"/>
      <c r="BJ2218" s="1" t="s">
        <v>24923</v>
      </c>
      <c r="BK2218" s="1" t="s">
        <v>24924</v>
      </c>
      <c r="BL2218" s="1" t="s">
        <v>1048</v>
      </c>
      <c r="BM2218" s="1"/>
      <c r="BN2218" s="1"/>
      <c r="BO2218" s="1" t="s">
        <v>24925</v>
      </c>
      <c r="BP2218" s="1" t="str">
        <f>HYPERLINK("https://nconnect.nicmar.ac.in/storage/profile/6a78768ed6dc7.png","Download")</f>
        <v>0</v>
      </c>
      <c r="BQ2218" s="3"/>
      <c r="BR2218" s="3"/>
    </row>
    <row r="2219" spans="1:70">
      <c r="A2219" s="1" t="s">
        <v>21266</v>
      </c>
      <c r="B2219" s="1" t="s">
        <v>24139</v>
      </c>
      <c r="C2219" s="1" t="s">
        <v>24926</v>
      </c>
      <c r="D2219" s="1" t="s">
        <v>24927</v>
      </c>
      <c r="E2219" s="1"/>
      <c r="F2219" s="1" t="s">
        <v>24928</v>
      </c>
      <c r="G2219" s="1" t="s">
        <v>24929</v>
      </c>
      <c r="H2219" s="1" t="s">
        <v>24930</v>
      </c>
      <c r="I2219" s="1" t="s">
        <v>24930</v>
      </c>
      <c r="J2219" s="1">
        <v>8429666596</v>
      </c>
      <c r="K2219" s="1" t="s">
        <v>79</v>
      </c>
      <c r="L2219" s="1" t="s">
        <v>24931</v>
      </c>
      <c r="M2219" s="1" t="s">
        <v>81</v>
      </c>
      <c r="N2219" s="1" t="s">
        <v>24932</v>
      </c>
      <c r="O2219" s="1" t="s">
        <v>24933</v>
      </c>
      <c r="P2219" s="1" t="s">
        <v>117</v>
      </c>
      <c r="Q2219" s="1">
        <v>609926026197</v>
      </c>
      <c r="R2219" s="1" t="s">
        <v>24934</v>
      </c>
      <c r="S2219" s="1">
        <v>9919905486</v>
      </c>
      <c r="T2219" s="1" t="s">
        <v>24935</v>
      </c>
      <c r="U2219" s="1" t="s">
        <v>24936</v>
      </c>
      <c r="V2219" s="1">
        <v>9565191419</v>
      </c>
      <c r="W2219" s="1" t="s">
        <v>24392</v>
      </c>
      <c r="X2219" s="1" t="s">
        <v>24937</v>
      </c>
      <c r="Y2219" s="1" t="s">
        <v>533</v>
      </c>
      <c r="Z2219" s="1" t="s">
        <v>534</v>
      </c>
      <c r="AA2219" s="1" t="s">
        <v>24937</v>
      </c>
      <c r="AB2219" s="1" t="s">
        <v>533</v>
      </c>
      <c r="AC2219" s="1" t="s">
        <v>534</v>
      </c>
      <c r="AD2219" s="1" t="s">
        <v>93</v>
      </c>
      <c r="AE2219" s="1" t="s">
        <v>93</v>
      </c>
      <c r="AF2219" s="1" t="s">
        <v>24938</v>
      </c>
      <c r="AG2219" s="1" t="s">
        <v>24939</v>
      </c>
      <c r="AH2219" s="1" t="s">
        <v>1191</v>
      </c>
      <c r="AI2219" s="1" t="s">
        <v>131</v>
      </c>
      <c r="AJ2219" s="1">
        <v>81</v>
      </c>
      <c r="AK2219" s="1"/>
      <c r="AL2219" s="1"/>
      <c r="AM2219" s="1"/>
      <c r="AN2219" s="1"/>
      <c r="AO2219" s="1"/>
      <c r="AP2219" s="1"/>
      <c r="AQ2219" s="1"/>
      <c r="AR2219" s="1" t="s">
        <v>24940</v>
      </c>
      <c r="AS2219" s="1" t="s">
        <v>24941</v>
      </c>
      <c r="AT2219" s="1" t="s">
        <v>383</v>
      </c>
      <c r="AU2219" s="1" t="s">
        <v>1019</v>
      </c>
      <c r="AV2219" s="1">
        <v>62.2</v>
      </c>
      <c r="AW2219" s="1"/>
      <c r="AX2219" s="1" t="s">
        <v>24942</v>
      </c>
      <c r="AY2219" s="1" t="s">
        <v>24941</v>
      </c>
      <c r="AZ2219" s="1" t="s">
        <v>173</v>
      </c>
      <c r="BA2219" s="1" t="s">
        <v>174</v>
      </c>
      <c r="BB2219" s="1">
        <v>60.9</v>
      </c>
      <c r="BC2219" s="1">
        <v>6.09</v>
      </c>
      <c r="BD2219" s="1"/>
      <c r="BE2219" s="1"/>
      <c r="BF2219" s="1"/>
      <c r="BG2219" s="1"/>
      <c r="BH2219" s="1"/>
      <c r="BI2219" s="1"/>
      <c r="BJ2219" s="1" t="s">
        <v>24943</v>
      </c>
      <c r="BK2219" s="1" t="s">
        <v>24944</v>
      </c>
      <c r="BL2219" s="1" t="s">
        <v>2089</v>
      </c>
      <c r="BM2219" s="1"/>
      <c r="BN2219" s="1"/>
      <c r="BO2219" s="1"/>
      <c r="BP2219" s="1" t="str">
        <f>HYPERLINK("https://nconnect.nicmar.ac.in/storage/profile/6a78630c927a2.png","Download")</f>
        <v>0</v>
      </c>
      <c r="BQ2219" s="3"/>
      <c r="BR2219" s="3"/>
    </row>
    <row r="2220" spans="1:70">
      <c r="A2220" s="1" t="s">
        <v>21266</v>
      </c>
      <c r="B2220" s="1" t="s">
        <v>24139</v>
      </c>
      <c r="C2220" s="1" t="s">
        <v>24945</v>
      </c>
      <c r="D2220" s="1" t="s">
        <v>24946</v>
      </c>
      <c r="E2220" s="1" t="s">
        <v>24947</v>
      </c>
      <c r="F2220" s="1" t="s">
        <v>24948</v>
      </c>
      <c r="G2220" s="1" t="s">
        <v>24949</v>
      </c>
      <c r="H2220" s="1" t="s">
        <v>24950</v>
      </c>
      <c r="I2220" s="1" t="s">
        <v>24951</v>
      </c>
      <c r="J2220" s="1">
        <v>7350938093</v>
      </c>
      <c r="K2220" s="1" t="s">
        <v>79</v>
      </c>
      <c r="L2220" s="1" t="s">
        <v>4326</v>
      </c>
      <c r="M2220" s="1" t="s">
        <v>81</v>
      </c>
      <c r="N2220" s="1" t="s">
        <v>24952</v>
      </c>
      <c r="O2220" s="1" t="s">
        <v>24953</v>
      </c>
      <c r="P2220" s="1" t="s">
        <v>214</v>
      </c>
      <c r="Q2220" s="1">
        <v>594756497681</v>
      </c>
      <c r="R2220" s="1" t="s">
        <v>24954</v>
      </c>
      <c r="S2220" s="1">
        <v>7840930888</v>
      </c>
      <c r="T2220" s="1" t="s">
        <v>24151</v>
      </c>
      <c r="U2220" s="1" t="s">
        <v>24955</v>
      </c>
      <c r="V2220" s="1">
        <v>7840930888</v>
      </c>
      <c r="W2220" s="1" t="s">
        <v>24392</v>
      </c>
      <c r="X2220" s="1" t="s">
        <v>24956</v>
      </c>
      <c r="Y2220" s="1" t="s">
        <v>158</v>
      </c>
      <c r="Z2220" s="1" t="s">
        <v>92</v>
      </c>
      <c r="AA2220" s="1" t="s">
        <v>24956</v>
      </c>
      <c r="AB2220" s="1" t="s">
        <v>158</v>
      </c>
      <c r="AC2220" s="1" t="s">
        <v>92</v>
      </c>
      <c r="AD2220" s="1" t="s">
        <v>93</v>
      </c>
      <c r="AE2220" s="1" t="s">
        <v>93</v>
      </c>
      <c r="AF2220" s="1" t="s">
        <v>24957</v>
      </c>
      <c r="AG2220" s="1" t="s">
        <v>191</v>
      </c>
      <c r="AH2220" s="1" t="s">
        <v>162</v>
      </c>
      <c r="AI2220" s="1" t="s">
        <v>165</v>
      </c>
      <c r="AJ2220" s="1">
        <v>87.0</v>
      </c>
      <c r="AK2220" s="1"/>
      <c r="AL2220" s="1"/>
      <c r="AM2220" s="1"/>
      <c r="AN2220" s="1"/>
      <c r="AO2220" s="1"/>
      <c r="AP2220" s="1"/>
      <c r="AQ2220" s="1"/>
      <c r="AR2220" s="1" t="s">
        <v>24334</v>
      </c>
      <c r="AS2220" s="1" t="s">
        <v>24958</v>
      </c>
      <c r="AT2220" s="1" t="s">
        <v>225</v>
      </c>
      <c r="AU2220" s="1" t="s">
        <v>170</v>
      </c>
      <c r="AV2220" s="1">
        <v>88.21</v>
      </c>
      <c r="AW2220" s="1"/>
      <c r="AX2220" s="1" t="s">
        <v>24959</v>
      </c>
      <c r="AY2220" s="1" t="s">
        <v>24960</v>
      </c>
      <c r="AZ2220" s="1" t="s">
        <v>363</v>
      </c>
      <c r="BA2220" s="1" t="s">
        <v>7373</v>
      </c>
      <c r="BB2220" s="1">
        <v>69.4</v>
      </c>
      <c r="BC2220" s="1">
        <v>7.69</v>
      </c>
      <c r="BD2220" s="1"/>
      <c r="BE2220" s="1"/>
      <c r="BF2220" s="1"/>
      <c r="BG2220" s="1"/>
      <c r="BH2220" s="1"/>
      <c r="BI2220" s="1"/>
      <c r="BJ2220" s="1" t="s">
        <v>24961</v>
      </c>
      <c r="BK2220" s="1" t="s">
        <v>24962</v>
      </c>
      <c r="BL2220" s="1" t="s">
        <v>4165</v>
      </c>
      <c r="BM2220" s="1"/>
      <c r="BN2220" s="1"/>
      <c r="BO2220" s="1" t="s">
        <v>24963</v>
      </c>
      <c r="BP2220" s="1" t="str">
        <f>HYPERLINK("https://nconnect.nicmar.ac.in/storage/profile/6a785980401ac.png","Download")</f>
        <v>0</v>
      </c>
      <c r="BQ2220" s="3"/>
      <c r="BR2220" s="3"/>
    </row>
    <row r="2221" spans="1:70">
      <c r="A2221" s="1" t="s">
        <v>21266</v>
      </c>
      <c r="B2221" s="1" t="s">
        <v>24139</v>
      </c>
      <c r="C2221" s="1" t="s">
        <v>24964</v>
      </c>
      <c r="D2221" s="1" t="s">
        <v>24965</v>
      </c>
      <c r="E2221" s="1" t="s">
        <v>24966</v>
      </c>
      <c r="F2221" s="1" t="s">
        <v>24967</v>
      </c>
      <c r="G2221" s="1" t="s">
        <v>24968</v>
      </c>
      <c r="H2221" s="1" t="s">
        <v>24969</v>
      </c>
      <c r="I2221" s="1" t="s">
        <v>24969</v>
      </c>
      <c r="J2221" s="1">
        <v>9096892313</v>
      </c>
      <c r="K2221" s="1" t="s">
        <v>79</v>
      </c>
      <c r="L2221" s="1" t="s">
        <v>22276</v>
      </c>
      <c r="M2221" s="1" t="s">
        <v>81</v>
      </c>
      <c r="N2221" s="1" t="s">
        <v>350</v>
      </c>
      <c r="O2221" s="1" t="s">
        <v>24970</v>
      </c>
      <c r="P2221" s="1" t="s">
        <v>84</v>
      </c>
      <c r="Q2221" s="1">
        <v>431801155704</v>
      </c>
      <c r="R2221" s="1" t="s">
        <v>24966</v>
      </c>
      <c r="S2221" s="1">
        <v>9850870420</v>
      </c>
      <c r="T2221" s="1" t="s">
        <v>24151</v>
      </c>
      <c r="U2221" s="1" t="s">
        <v>24971</v>
      </c>
      <c r="V2221" s="1">
        <v>9359810450</v>
      </c>
      <c r="W2221" s="1" t="s">
        <v>15805</v>
      </c>
      <c r="X2221" s="1" t="s">
        <v>24972</v>
      </c>
      <c r="Y2221" s="1" t="s">
        <v>1012</v>
      </c>
      <c r="Z2221" s="1" t="s">
        <v>92</v>
      </c>
      <c r="AA2221" s="1" t="s">
        <v>24972</v>
      </c>
      <c r="AB2221" s="1" t="s">
        <v>1012</v>
      </c>
      <c r="AC2221" s="1" t="s">
        <v>92</v>
      </c>
      <c r="AD2221" s="1" t="s">
        <v>93</v>
      </c>
      <c r="AE2221" s="1" t="s">
        <v>93</v>
      </c>
      <c r="AF2221" s="1"/>
      <c r="AG2221" s="1"/>
      <c r="AH2221" s="1"/>
      <c r="AI2221" s="1"/>
      <c r="AJ2221" s="1"/>
      <c r="AK2221" s="1"/>
      <c r="AL2221" s="1"/>
      <c r="AM2221" s="1"/>
      <c r="AN2221" s="1"/>
      <c r="AO2221" s="1"/>
      <c r="AP2221" s="1"/>
      <c r="AQ2221" s="1"/>
      <c r="AR2221" s="1"/>
      <c r="AS2221" s="1"/>
      <c r="AT2221" s="1"/>
      <c r="AU2221" s="1"/>
      <c r="AV2221" s="1"/>
      <c r="AW2221" s="1"/>
      <c r="AX2221" s="1"/>
      <c r="AY2221" s="1"/>
      <c r="AZ2221" s="1"/>
      <c r="BA2221" s="1"/>
      <c r="BB2221" s="1"/>
      <c r="BC2221" s="1"/>
      <c r="BD2221" s="1"/>
      <c r="BE2221" s="1"/>
      <c r="BF2221" s="1"/>
      <c r="BG2221" s="1"/>
      <c r="BH2221" s="1"/>
      <c r="BI2221" s="1"/>
      <c r="BJ2221" s="1"/>
      <c r="BK2221" s="1" t="s">
        <v>24973</v>
      </c>
      <c r="BL2221" s="1" t="s">
        <v>4165</v>
      </c>
      <c r="BM2221" s="1"/>
      <c r="BN2221" s="1"/>
      <c r="BO2221" s="1" t="s">
        <v>11211</v>
      </c>
      <c r="BP2221" s="1" t="str">
        <f>HYPERLINK("https://nconnect.nicmar.ac.in/storage/profile/6a7b4daf202ff.png","Download")</f>
        <v>0</v>
      </c>
      <c r="BQ2221" s="3"/>
      <c r="BR2221" s="3"/>
    </row>
    <row r="2222" spans="1:70">
      <c r="A2222" s="1" t="s">
        <v>21266</v>
      </c>
      <c r="B2222" s="1" t="s">
        <v>24139</v>
      </c>
      <c r="C2222" s="1" t="s">
        <v>24974</v>
      </c>
      <c r="D2222" s="1" t="s">
        <v>24975</v>
      </c>
      <c r="E2222" s="1"/>
      <c r="F2222" s="1" t="s">
        <v>24976</v>
      </c>
      <c r="G2222" s="1" t="s">
        <v>24977</v>
      </c>
      <c r="H2222" s="1" t="s">
        <v>24978</v>
      </c>
      <c r="I2222" s="1" t="s">
        <v>24979</v>
      </c>
      <c r="J2222" s="1">
        <v>9644790043</v>
      </c>
      <c r="K2222" s="1" t="s">
        <v>79</v>
      </c>
      <c r="L2222" s="1" t="s">
        <v>24980</v>
      </c>
      <c r="M2222" s="1" t="s">
        <v>81</v>
      </c>
      <c r="N2222" s="1" t="s">
        <v>350</v>
      </c>
      <c r="O2222" s="1" t="s">
        <v>24981</v>
      </c>
      <c r="P2222" s="1" t="s">
        <v>214</v>
      </c>
      <c r="Q2222" s="1">
        <v>707358609739</v>
      </c>
      <c r="R2222" s="1" t="s">
        <v>24982</v>
      </c>
      <c r="S2222" s="1">
        <v>8109373337</v>
      </c>
      <c r="T2222" s="1" t="s">
        <v>24983</v>
      </c>
      <c r="U2222" s="1" t="s">
        <v>24984</v>
      </c>
      <c r="V2222" s="1">
        <v>8109206657</v>
      </c>
      <c r="W2222" s="1" t="s">
        <v>3459</v>
      </c>
      <c r="X2222" s="1" t="s">
        <v>24985</v>
      </c>
      <c r="Y2222" s="1" t="s">
        <v>24986</v>
      </c>
      <c r="Z2222" s="1" t="s">
        <v>3437</v>
      </c>
      <c r="AA2222" s="1" t="s">
        <v>24985</v>
      </c>
      <c r="AB2222" s="1" t="s">
        <v>24986</v>
      </c>
      <c r="AC2222" s="1" t="s">
        <v>3437</v>
      </c>
      <c r="AD2222" s="1" t="s">
        <v>93</v>
      </c>
      <c r="AE2222" s="1" t="s">
        <v>93</v>
      </c>
      <c r="AF2222" s="1" t="s">
        <v>24987</v>
      </c>
      <c r="AG2222" s="1" t="s">
        <v>24988</v>
      </c>
      <c r="AH2222" s="1" t="s">
        <v>3940</v>
      </c>
      <c r="AI2222" s="1" t="s">
        <v>2736</v>
      </c>
      <c r="AJ2222" s="1">
        <v>85.5</v>
      </c>
      <c r="AK2222" s="1">
        <v>9</v>
      </c>
      <c r="AL2222" s="1" t="s">
        <v>24989</v>
      </c>
      <c r="AM2222" s="1" t="s">
        <v>24990</v>
      </c>
      <c r="AN2222" s="1" t="s">
        <v>1559</v>
      </c>
      <c r="AO2222" s="1" t="s">
        <v>1239</v>
      </c>
      <c r="AP2222" s="1">
        <v>78.8</v>
      </c>
      <c r="AQ2222" s="1"/>
      <c r="AR2222" s="1"/>
      <c r="AS2222" s="1"/>
      <c r="AT2222" s="1"/>
      <c r="AU2222" s="1"/>
      <c r="AV2222" s="1"/>
      <c r="AW2222" s="1"/>
      <c r="AX2222" s="1" t="s">
        <v>24991</v>
      </c>
      <c r="AY2222" s="1" t="s">
        <v>24992</v>
      </c>
      <c r="AZ2222" s="1" t="s">
        <v>100</v>
      </c>
      <c r="BA2222" s="1" t="s">
        <v>308</v>
      </c>
      <c r="BB2222" s="1">
        <v>69.6</v>
      </c>
      <c r="BC2222" s="1">
        <v>6.96</v>
      </c>
      <c r="BD2222" s="1" t="s">
        <v>24993</v>
      </c>
      <c r="BE2222" s="1" t="s">
        <v>24994</v>
      </c>
      <c r="BF2222" s="1" t="s">
        <v>170</v>
      </c>
      <c r="BG2222" s="1" t="s">
        <v>1777</v>
      </c>
      <c r="BH2222" s="1">
        <v>82.4</v>
      </c>
      <c r="BI2222" s="1">
        <v>8.24</v>
      </c>
      <c r="BJ2222" s="1" t="s">
        <v>24995</v>
      </c>
      <c r="BK2222" s="1" t="s">
        <v>24996</v>
      </c>
      <c r="BL2222" s="1" t="s">
        <v>721</v>
      </c>
      <c r="BM2222" s="1" t="s">
        <v>24997</v>
      </c>
      <c r="BN2222" s="1">
        <v>4</v>
      </c>
      <c r="BO2222" s="1" t="s">
        <v>24998</v>
      </c>
      <c r="BP2222" s="1" t="str">
        <f>HYPERLINK("https://nconnect.nicmar.ac.in/storage/profile/6a7611b38ad66.png","Download")</f>
        <v>0</v>
      </c>
      <c r="BQ2222" s="3"/>
      <c r="BR2222" s="3"/>
    </row>
    <row r="2223" spans="1:70">
      <c r="A2223" s="1" t="s">
        <v>21266</v>
      </c>
      <c r="B2223" s="1" t="s">
        <v>24139</v>
      </c>
      <c r="C2223" s="1" t="s">
        <v>24999</v>
      </c>
      <c r="D2223" s="1" t="s">
        <v>25000</v>
      </c>
      <c r="E2223" s="1" t="s">
        <v>25001</v>
      </c>
      <c r="F2223" s="1" t="s">
        <v>25002</v>
      </c>
      <c r="G2223" s="1" t="s">
        <v>25003</v>
      </c>
      <c r="H2223" s="1" t="s">
        <v>25004</v>
      </c>
      <c r="I2223" s="1" t="s">
        <v>25004</v>
      </c>
      <c r="J2223" s="1">
        <v>9322697939</v>
      </c>
      <c r="K2223" s="1" t="s">
        <v>79</v>
      </c>
      <c r="L2223" s="1" t="s">
        <v>8147</v>
      </c>
      <c r="M2223" s="1" t="s">
        <v>81</v>
      </c>
      <c r="N2223" s="1" t="s">
        <v>25005</v>
      </c>
      <c r="O2223" s="1" t="s">
        <v>25006</v>
      </c>
      <c r="P2223" s="1" t="s">
        <v>117</v>
      </c>
      <c r="Q2223" s="1">
        <v>586807945113</v>
      </c>
      <c r="R2223" s="1" t="s">
        <v>25007</v>
      </c>
      <c r="S2223" s="1">
        <v>9970995505</v>
      </c>
      <c r="T2223" s="1" t="s">
        <v>25008</v>
      </c>
      <c r="U2223" s="1" t="s">
        <v>25009</v>
      </c>
      <c r="V2223" s="1">
        <v>9970995505</v>
      </c>
      <c r="W2223" s="1" t="s">
        <v>25008</v>
      </c>
      <c r="X2223" s="1" t="s">
        <v>25010</v>
      </c>
      <c r="Y2223" s="1" t="s">
        <v>2678</v>
      </c>
      <c r="Z2223" s="1" t="s">
        <v>92</v>
      </c>
      <c r="AA2223" s="1" t="s">
        <v>25010</v>
      </c>
      <c r="AB2223" s="1" t="s">
        <v>2678</v>
      </c>
      <c r="AC2223" s="1" t="s">
        <v>92</v>
      </c>
      <c r="AD2223" s="1" t="s">
        <v>93</v>
      </c>
      <c r="AE2223" s="1" t="s">
        <v>93</v>
      </c>
      <c r="AF2223" s="1" t="s">
        <v>25011</v>
      </c>
      <c r="AG2223" s="1" t="s">
        <v>25012</v>
      </c>
      <c r="AH2223" s="1" t="s">
        <v>433</v>
      </c>
      <c r="AI2223" s="1" t="s">
        <v>590</v>
      </c>
      <c r="AJ2223" s="1">
        <v>87.2</v>
      </c>
      <c r="AK2223" s="1"/>
      <c r="AL2223" s="1"/>
      <c r="AM2223" s="1"/>
      <c r="AN2223" s="1"/>
      <c r="AO2223" s="1"/>
      <c r="AP2223" s="1"/>
      <c r="AQ2223" s="1"/>
      <c r="AR2223" s="1" t="s">
        <v>24299</v>
      </c>
      <c r="AS2223" s="1" t="s">
        <v>25013</v>
      </c>
      <c r="AT2223" s="1" t="s">
        <v>1622</v>
      </c>
      <c r="AU2223" s="1" t="s">
        <v>229</v>
      </c>
      <c r="AV2223" s="1">
        <v>75</v>
      </c>
      <c r="AW2223" s="1"/>
      <c r="AX2223" s="1" t="s">
        <v>25014</v>
      </c>
      <c r="AY2223" s="1" t="s">
        <v>25015</v>
      </c>
      <c r="AZ2223" s="1" t="s">
        <v>174</v>
      </c>
      <c r="BA2223" s="1" t="s">
        <v>16667</v>
      </c>
      <c r="BB2223" s="1">
        <v>70.5</v>
      </c>
      <c r="BC2223" s="1">
        <v>7.8</v>
      </c>
      <c r="BD2223" s="1"/>
      <c r="BE2223" s="1"/>
      <c r="BF2223" s="1"/>
      <c r="BG2223" s="1"/>
      <c r="BH2223" s="1"/>
      <c r="BI2223" s="1"/>
      <c r="BJ2223" s="1" t="s">
        <v>830</v>
      </c>
      <c r="BK2223" s="1"/>
      <c r="BL2223" s="1"/>
      <c r="BM2223" s="1"/>
      <c r="BN2223" s="1"/>
      <c r="BO2223" s="1"/>
      <c r="BP2223" s="1" t="str">
        <f>HYPERLINK("https://nconnect.nicmar.ac.in/storage/profile/6a78c67574746.png","Download")</f>
        <v>0</v>
      </c>
      <c r="BQ2223" s="3"/>
      <c r="BR2223" s="3"/>
    </row>
    <row r="2224" spans="1:70">
      <c r="A2224" s="1" t="s">
        <v>21266</v>
      </c>
      <c r="B2224" s="1" t="s">
        <v>24139</v>
      </c>
      <c r="C2224" s="1" t="s">
        <v>25016</v>
      </c>
      <c r="D2224" s="1" t="s">
        <v>25017</v>
      </c>
      <c r="E2224" s="1" t="s">
        <v>25018</v>
      </c>
      <c r="F2224" s="1" t="s">
        <v>25019</v>
      </c>
      <c r="G2224" s="1" t="s">
        <v>25020</v>
      </c>
      <c r="H2224" s="1" t="s">
        <v>25021</v>
      </c>
      <c r="I2224" s="1" t="s">
        <v>25021</v>
      </c>
      <c r="J2224" s="1">
        <v>9850561831</v>
      </c>
      <c r="K2224" s="1" t="s">
        <v>79</v>
      </c>
      <c r="L2224" s="1" t="s">
        <v>25022</v>
      </c>
      <c r="M2224" s="1" t="s">
        <v>81</v>
      </c>
      <c r="N2224" s="1" t="s">
        <v>25023</v>
      </c>
      <c r="O2224" s="1" t="s">
        <v>25024</v>
      </c>
      <c r="P2224" s="1" t="s">
        <v>214</v>
      </c>
      <c r="Q2224" s="1">
        <v>334248522407</v>
      </c>
      <c r="R2224" s="1" t="s">
        <v>25018</v>
      </c>
      <c r="S2224" s="1">
        <v>9833924372</v>
      </c>
      <c r="T2224" s="1" t="s">
        <v>24675</v>
      </c>
      <c r="U2224" s="1" t="s">
        <v>25025</v>
      </c>
      <c r="V2224" s="1">
        <v>9766162774</v>
      </c>
      <c r="W2224" s="1" t="s">
        <v>16314</v>
      </c>
      <c r="X2224" s="1" t="s">
        <v>25026</v>
      </c>
      <c r="Y2224" s="1" t="s">
        <v>1166</v>
      </c>
      <c r="Z2224" s="1" t="s">
        <v>92</v>
      </c>
      <c r="AA2224" s="1" t="s">
        <v>25026</v>
      </c>
      <c r="AB2224" s="1" t="s">
        <v>1166</v>
      </c>
      <c r="AC2224" s="1" t="s">
        <v>92</v>
      </c>
      <c r="AD2224" s="1" t="s">
        <v>93</v>
      </c>
      <c r="AE2224" s="1" t="s">
        <v>93</v>
      </c>
      <c r="AF2224" s="1" t="s">
        <v>25027</v>
      </c>
      <c r="AG2224" s="1" t="s">
        <v>25028</v>
      </c>
      <c r="AH2224" s="1" t="s">
        <v>1435</v>
      </c>
      <c r="AI2224" s="1" t="s">
        <v>505</v>
      </c>
      <c r="AJ2224" s="1">
        <v>80.6</v>
      </c>
      <c r="AK2224" s="1"/>
      <c r="AL2224" s="1" t="s">
        <v>25029</v>
      </c>
      <c r="AM2224" s="1" t="s">
        <v>25028</v>
      </c>
      <c r="AN2224" s="1" t="s">
        <v>130</v>
      </c>
      <c r="AO2224" s="1" t="s">
        <v>507</v>
      </c>
      <c r="AP2224" s="1">
        <v>50.0</v>
      </c>
      <c r="AQ2224" s="1"/>
      <c r="AR2224" s="1" t="s">
        <v>25030</v>
      </c>
      <c r="AS2224" s="1" t="s">
        <v>25031</v>
      </c>
      <c r="AT2224" s="1" t="s">
        <v>134</v>
      </c>
      <c r="AU2224" s="1" t="s">
        <v>433</v>
      </c>
      <c r="AV2224" s="1">
        <v>61.03</v>
      </c>
      <c r="AW2224" s="1"/>
      <c r="AX2224" s="1" t="s">
        <v>24611</v>
      </c>
      <c r="AY2224" s="1" t="s">
        <v>25032</v>
      </c>
      <c r="AZ2224" s="1" t="s">
        <v>310</v>
      </c>
      <c r="BA2224" s="1" t="s">
        <v>105</v>
      </c>
      <c r="BB2224" s="1">
        <v>67.17</v>
      </c>
      <c r="BC2224" s="1"/>
      <c r="BD2224" s="1"/>
      <c r="BE2224" s="1"/>
      <c r="BF2224" s="1"/>
      <c r="BG2224" s="1"/>
      <c r="BH2224" s="1"/>
      <c r="BI2224" s="1"/>
      <c r="BJ2224" s="1" t="s">
        <v>25033</v>
      </c>
      <c r="BK2224" s="1" t="s">
        <v>25034</v>
      </c>
      <c r="BL2224" s="1" t="s">
        <v>2434</v>
      </c>
      <c r="BM2224" s="1"/>
      <c r="BN2224" s="1"/>
      <c r="BO2224" s="1"/>
      <c r="BP2224" s="1" t="str">
        <f>HYPERLINK("https://nconnect.nicmar.ac.in/storage/profile/6a784f701ad66.png","Download")</f>
        <v>0</v>
      </c>
      <c r="BQ2224" s="3"/>
      <c r="BR2224" s="3"/>
    </row>
    <row r="2225" spans="1:70">
      <c r="A2225" s="1" t="s">
        <v>21266</v>
      </c>
      <c r="B2225" s="1" t="s">
        <v>24139</v>
      </c>
      <c r="C2225" s="1" t="s">
        <v>25035</v>
      </c>
      <c r="D2225" s="1" t="s">
        <v>10124</v>
      </c>
      <c r="E2225" s="1" t="s">
        <v>111</v>
      </c>
      <c r="F2225" s="1" t="s">
        <v>25036</v>
      </c>
      <c r="G2225" s="1" t="s">
        <v>25037</v>
      </c>
      <c r="H2225" s="1" t="s">
        <v>25038</v>
      </c>
      <c r="I2225" s="1" t="s">
        <v>25039</v>
      </c>
      <c r="J2225" s="1">
        <v>9074394866</v>
      </c>
      <c r="K2225" s="1" t="s">
        <v>79</v>
      </c>
      <c r="L2225" s="1" t="s">
        <v>17500</v>
      </c>
      <c r="M2225" s="1" t="s">
        <v>81</v>
      </c>
      <c r="N2225" s="1" t="s">
        <v>24160</v>
      </c>
      <c r="O2225" s="1" t="s">
        <v>25040</v>
      </c>
      <c r="P2225" s="1" t="s">
        <v>84</v>
      </c>
      <c r="Q2225" s="1">
        <v>323281877652</v>
      </c>
      <c r="R2225" s="1" t="s">
        <v>25041</v>
      </c>
      <c r="S2225" s="1">
        <v>9497587980</v>
      </c>
      <c r="T2225" s="1" t="s">
        <v>25042</v>
      </c>
      <c r="U2225" s="1" t="s">
        <v>25043</v>
      </c>
      <c r="V2225" s="1">
        <v>9496149787</v>
      </c>
      <c r="W2225" s="1" t="s">
        <v>15805</v>
      </c>
      <c r="X2225" s="1" t="s">
        <v>25044</v>
      </c>
      <c r="Y2225" s="1" t="s">
        <v>5317</v>
      </c>
      <c r="Z2225" s="1" t="s">
        <v>125</v>
      </c>
      <c r="AA2225" s="1" t="s">
        <v>25044</v>
      </c>
      <c r="AB2225" s="1" t="s">
        <v>5317</v>
      </c>
      <c r="AC2225" s="1" t="s">
        <v>125</v>
      </c>
      <c r="AD2225" s="1" t="s">
        <v>93</v>
      </c>
      <c r="AE2225" s="1" t="s">
        <v>93</v>
      </c>
      <c r="AF2225" s="1" t="s">
        <v>25045</v>
      </c>
      <c r="AG2225" s="1" t="s">
        <v>25046</v>
      </c>
      <c r="AH2225" s="1" t="s">
        <v>161</v>
      </c>
      <c r="AI2225" s="1" t="s">
        <v>614</v>
      </c>
      <c r="AJ2225" s="1">
        <v>95.0</v>
      </c>
      <c r="AK2225" s="1">
        <v>10</v>
      </c>
      <c r="AL2225" s="1" t="s">
        <v>25045</v>
      </c>
      <c r="AM2225" s="1" t="s">
        <v>25046</v>
      </c>
      <c r="AN2225" s="1" t="s">
        <v>165</v>
      </c>
      <c r="AO2225" s="1" t="s">
        <v>166</v>
      </c>
      <c r="AP2225" s="1">
        <v>91.0</v>
      </c>
      <c r="AQ2225" s="1"/>
      <c r="AR2225" s="1"/>
      <c r="AS2225" s="1"/>
      <c r="AT2225" s="1"/>
      <c r="AU2225" s="1"/>
      <c r="AV2225" s="1"/>
      <c r="AW2225" s="1"/>
      <c r="AX2225" s="1" t="s">
        <v>25047</v>
      </c>
      <c r="AY2225" s="1" t="s">
        <v>25048</v>
      </c>
      <c r="AZ2225" s="1" t="s">
        <v>228</v>
      </c>
      <c r="BA2225" s="1" t="s">
        <v>16038</v>
      </c>
      <c r="BB2225" s="1">
        <v>90.5</v>
      </c>
      <c r="BC2225" s="1">
        <v>9.05</v>
      </c>
      <c r="BD2225" s="1"/>
      <c r="BE2225" s="1"/>
      <c r="BF2225" s="1"/>
      <c r="BG2225" s="1"/>
      <c r="BH2225" s="1"/>
      <c r="BI2225" s="1"/>
      <c r="BJ2225" s="1" t="s">
        <v>25049</v>
      </c>
      <c r="BK2225" s="1"/>
      <c r="BL2225" s="1"/>
      <c r="BM2225" s="1" t="s">
        <v>25050</v>
      </c>
      <c r="BN2225" s="1">
        <v>78</v>
      </c>
      <c r="BO2225" s="1"/>
      <c r="BP2225" s="1" t="str">
        <f>HYPERLINK("https://nconnect.nicmar.ac.in/storage/profile/6a78b0886b04c.png","Download")</f>
        <v>0</v>
      </c>
      <c r="BQ2225" s="3"/>
      <c r="BR2225" s="3"/>
    </row>
    <row r="2226" spans="1:70">
      <c r="A2226" s="1" t="s">
        <v>21266</v>
      </c>
      <c r="B2226" s="1" t="s">
        <v>24139</v>
      </c>
      <c r="C2226" s="1" t="s">
        <v>25051</v>
      </c>
      <c r="D2226" s="1" t="s">
        <v>25052</v>
      </c>
      <c r="E2226" s="1" t="s">
        <v>25053</v>
      </c>
      <c r="F2226" s="1" t="s">
        <v>25054</v>
      </c>
      <c r="G2226" s="1" t="s">
        <v>25055</v>
      </c>
      <c r="H2226" s="1" t="s">
        <v>25056</v>
      </c>
      <c r="I2226" s="1" t="s">
        <v>25056</v>
      </c>
      <c r="J2226" s="1">
        <v>8390010084</v>
      </c>
      <c r="K2226" s="1" t="s">
        <v>79</v>
      </c>
      <c r="L2226" s="1" t="s">
        <v>4914</v>
      </c>
      <c r="M2226" s="1" t="s">
        <v>81</v>
      </c>
      <c r="N2226" s="1" t="s">
        <v>13390</v>
      </c>
      <c r="O2226" s="1" t="s">
        <v>25057</v>
      </c>
      <c r="P2226" s="1" t="s">
        <v>117</v>
      </c>
      <c r="Q2226" s="1">
        <v>290089747817</v>
      </c>
      <c r="R2226" s="1" t="s">
        <v>25053</v>
      </c>
      <c r="S2226" s="1">
        <v>7420999325</v>
      </c>
      <c r="T2226" s="1" t="s">
        <v>24151</v>
      </c>
      <c r="U2226" s="1" t="s">
        <v>25058</v>
      </c>
      <c r="V2226" s="1">
        <v>7420999325</v>
      </c>
      <c r="W2226" s="1" t="s">
        <v>24114</v>
      </c>
      <c r="X2226" s="1" t="s">
        <v>25059</v>
      </c>
      <c r="Y2226" s="1" t="s">
        <v>191</v>
      </c>
      <c r="Z2226" s="1" t="s">
        <v>92</v>
      </c>
      <c r="AA2226" s="1" t="s">
        <v>25059</v>
      </c>
      <c r="AB2226" s="1" t="s">
        <v>191</v>
      </c>
      <c r="AC2226" s="1" t="s">
        <v>92</v>
      </c>
      <c r="AD2226" s="1" t="s">
        <v>93</v>
      </c>
      <c r="AE2226" s="1" t="s">
        <v>93</v>
      </c>
      <c r="AF2226" s="1" t="s">
        <v>25060</v>
      </c>
      <c r="AG2226" s="1" t="s">
        <v>25061</v>
      </c>
      <c r="AH2226" s="1" t="s">
        <v>165</v>
      </c>
      <c r="AI2226" s="1" t="s">
        <v>281</v>
      </c>
      <c r="AJ2226" s="1">
        <v>82.4</v>
      </c>
      <c r="AK2226" s="1"/>
      <c r="AL2226" s="1" t="s">
        <v>25062</v>
      </c>
      <c r="AM2226" s="1" t="s">
        <v>25061</v>
      </c>
      <c r="AN2226" s="1" t="s">
        <v>101</v>
      </c>
      <c r="AO2226" s="1" t="s">
        <v>360</v>
      </c>
      <c r="AP2226" s="1">
        <v>64.31</v>
      </c>
      <c r="AQ2226" s="1"/>
      <c r="AR2226" s="1"/>
      <c r="AS2226" s="1"/>
      <c r="AT2226" s="1"/>
      <c r="AU2226" s="1"/>
      <c r="AV2226" s="1"/>
      <c r="AW2226" s="1"/>
      <c r="AX2226" s="1" t="s">
        <v>25063</v>
      </c>
      <c r="AY2226" s="1" t="s">
        <v>25064</v>
      </c>
      <c r="AZ2226" s="1" t="s">
        <v>460</v>
      </c>
      <c r="BA2226" s="1" t="s">
        <v>413</v>
      </c>
      <c r="BB2226" s="1">
        <v>67.2</v>
      </c>
      <c r="BC2226" s="1">
        <v>7.47</v>
      </c>
      <c r="BD2226" s="1"/>
      <c r="BE2226" s="1"/>
      <c r="BF2226" s="1"/>
      <c r="BG2226" s="1"/>
      <c r="BH2226" s="1"/>
      <c r="BI2226" s="1"/>
      <c r="BJ2226" s="1" t="s">
        <v>25065</v>
      </c>
      <c r="BK2226" s="1" t="s">
        <v>25066</v>
      </c>
      <c r="BL2226" s="1" t="s">
        <v>569</v>
      </c>
      <c r="BM2226" s="1" t="s">
        <v>25067</v>
      </c>
      <c r="BN2226" s="1">
        <v>12</v>
      </c>
      <c r="BO2226" s="1" t="s">
        <v>25068</v>
      </c>
      <c r="BP2226" s="1" t="str">
        <f>HYPERLINK("https://nconnect.nicmar.ac.in/storage/profile/6a7a096d1db48.png","Download")</f>
        <v>0</v>
      </c>
      <c r="BQ2226" s="3"/>
      <c r="BR2226" s="3"/>
    </row>
    <row r="2227" spans="1:70">
      <c r="A2227" s="1" t="s">
        <v>21266</v>
      </c>
      <c r="B2227" s="1" t="s">
        <v>24139</v>
      </c>
      <c r="C2227" s="1" t="s">
        <v>25069</v>
      </c>
      <c r="D2227" s="1" t="s">
        <v>25052</v>
      </c>
      <c r="E2227" s="1" t="s">
        <v>25070</v>
      </c>
      <c r="F2227" s="1" t="s">
        <v>25071</v>
      </c>
      <c r="G2227" s="1" t="s">
        <v>25072</v>
      </c>
      <c r="H2227" s="1" t="s">
        <v>25073</v>
      </c>
      <c r="I2227" s="1" t="s">
        <v>25073</v>
      </c>
      <c r="J2227" s="1">
        <v>7972803815</v>
      </c>
      <c r="K2227" s="1" t="s">
        <v>79</v>
      </c>
      <c r="L2227" s="1" t="s">
        <v>25074</v>
      </c>
      <c r="M2227" s="1" t="s">
        <v>81</v>
      </c>
      <c r="N2227" s="1" t="s">
        <v>350</v>
      </c>
      <c r="O2227" s="1" t="s">
        <v>25075</v>
      </c>
      <c r="P2227" s="1" t="s">
        <v>351</v>
      </c>
      <c r="Q2227" s="1">
        <v>467775584856</v>
      </c>
      <c r="R2227" s="1" t="s">
        <v>25070</v>
      </c>
      <c r="S2227" s="1">
        <v>7350124746</v>
      </c>
      <c r="T2227" s="1" t="s">
        <v>25076</v>
      </c>
      <c r="U2227" s="1" t="s">
        <v>25077</v>
      </c>
      <c r="V2227" s="1">
        <v>9096300990</v>
      </c>
      <c r="W2227" s="1" t="s">
        <v>25078</v>
      </c>
      <c r="X2227" s="1" t="s">
        <v>25079</v>
      </c>
      <c r="Y2227" s="1" t="s">
        <v>191</v>
      </c>
      <c r="Z2227" s="1" t="s">
        <v>92</v>
      </c>
      <c r="AA2227" s="1" t="s">
        <v>25079</v>
      </c>
      <c r="AB2227" s="1" t="s">
        <v>191</v>
      </c>
      <c r="AC2227" s="1" t="s">
        <v>92</v>
      </c>
      <c r="AD2227" s="1" t="s">
        <v>93</v>
      </c>
      <c r="AE2227" s="1" t="s">
        <v>93</v>
      </c>
      <c r="AF2227" s="1" t="s">
        <v>25080</v>
      </c>
      <c r="AG2227" s="1" t="s">
        <v>25081</v>
      </c>
      <c r="AH2227" s="1" t="s">
        <v>165</v>
      </c>
      <c r="AI2227" s="1" t="s">
        <v>166</v>
      </c>
      <c r="AJ2227" s="1">
        <v>66.2</v>
      </c>
      <c r="AK2227" s="1"/>
      <c r="AL2227" s="1"/>
      <c r="AM2227" s="1"/>
      <c r="AN2227" s="1"/>
      <c r="AO2227" s="1"/>
      <c r="AP2227" s="1"/>
      <c r="AQ2227" s="1"/>
      <c r="AR2227" s="1" t="s">
        <v>24299</v>
      </c>
      <c r="AS2227" s="1" t="s">
        <v>25082</v>
      </c>
      <c r="AT2227" s="1" t="s">
        <v>13621</v>
      </c>
      <c r="AU2227" s="1" t="s">
        <v>436</v>
      </c>
      <c r="AV2227" s="1">
        <v>89.79</v>
      </c>
      <c r="AW2227" s="1"/>
      <c r="AX2227" s="1" t="s">
        <v>24194</v>
      </c>
      <c r="AY2227" s="1" t="s">
        <v>25083</v>
      </c>
      <c r="AZ2227" s="1" t="s">
        <v>1864</v>
      </c>
      <c r="BA2227" s="1" t="s">
        <v>543</v>
      </c>
      <c r="BB2227" s="1">
        <v>70.9</v>
      </c>
      <c r="BC2227" s="1">
        <v>7.84</v>
      </c>
      <c r="BD2227" s="1"/>
      <c r="BE2227" s="1"/>
      <c r="BF2227" s="1"/>
      <c r="BG2227" s="1"/>
      <c r="BH2227" s="1"/>
      <c r="BI2227" s="1"/>
      <c r="BJ2227" s="1" t="s">
        <v>25084</v>
      </c>
      <c r="BK2227" s="1"/>
      <c r="BL2227" s="1"/>
      <c r="BM2227" s="1" t="s">
        <v>25085</v>
      </c>
      <c r="BN2227" s="1">
        <v>21</v>
      </c>
      <c r="BO2227" s="1" t="s">
        <v>19720</v>
      </c>
      <c r="BP2227" s="1" t="str">
        <f>HYPERLINK("https://nconnect.nicmar.ac.in/storage/profile/6a7610b3486e2.png","Download")</f>
        <v>0</v>
      </c>
      <c r="BQ2227" s="3"/>
      <c r="BR2227" s="3"/>
    </row>
    <row r="2228" spans="1:70">
      <c r="A2228" s="1" t="s">
        <v>21266</v>
      </c>
      <c r="B2228" s="1" t="s">
        <v>24139</v>
      </c>
      <c r="C2228" s="1" t="s">
        <v>25086</v>
      </c>
      <c r="D2228" s="1" t="s">
        <v>24383</v>
      </c>
      <c r="E2228" s="1" t="s">
        <v>25087</v>
      </c>
      <c r="F2228" s="1" t="s">
        <v>25088</v>
      </c>
      <c r="G2228" s="1" t="s">
        <v>25089</v>
      </c>
      <c r="H2228" s="1" t="s">
        <v>25090</v>
      </c>
      <c r="I2228" s="1" t="s">
        <v>25090</v>
      </c>
      <c r="J2228" s="1">
        <v>8698654867</v>
      </c>
      <c r="K2228" s="1" t="s">
        <v>79</v>
      </c>
      <c r="L2228" s="1" t="s">
        <v>7331</v>
      </c>
      <c r="M2228" s="1" t="s">
        <v>81</v>
      </c>
      <c r="N2228" s="1" t="s">
        <v>25091</v>
      </c>
      <c r="O2228" s="1" t="s">
        <v>83</v>
      </c>
      <c r="P2228" s="1" t="s">
        <v>117</v>
      </c>
      <c r="Q2228" s="1">
        <v>535351153101</v>
      </c>
      <c r="R2228" s="1" t="s">
        <v>25092</v>
      </c>
      <c r="S2228" s="1">
        <v>9422655149</v>
      </c>
      <c r="T2228" s="1" t="s">
        <v>24151</v>
      </c>
      <c r="U2228" s="1" t="s">
        <v>25093</v>
      </c>
      <c r="V2228" s="1">
        <v>8390060538</v>
      </c>
      <c r="W2228" s="1" t="s">
        <v>16314</v>
      </c>
      <c r="X2228" s="1" t="s">
        <v>25094</v>
      </c>
      <c r="Y2228" s="1" t="s">
        <v>1122</v>
      </c>
      <c r="Z2228" s="1" t="s">
        <v>92</v>
      </c>
      <c r="AA2228" s="1" t="s">
        <v>25094</v>
      </c>
      <c r="AB2228" s="1" t="s">
        <v>1122</v>
      </c>
      <c r="AC2228" s="1" t="s">
        <v>92</v>
      </c>
      <c r="AD2228" s="1" t="s">
        <v>93</v>
      </c>
      <c r="AE2228" s="1" t="s">
        <v>93</v>
      </c>
      <c r="AF2228" s="1" t="s">
        <v>25095</v>
      </c>
      <c r="AG2228" s="1" t="s">
        <v>25096</v>
      </c>
      <c r="AH2228" s="1" t="s">
        <v>2388</v>
      </c>
      <c r="AI2228" s="1" t="s">
        <v>165</v>
      </c>
      <c r="AJ2228" s="1">
        <v>85.6</v>
      </c>
      <c r="AK2228" s="1"/>
      <c r="AL2228" s="1"/>
      <c r="AM2228" s="1"/>
      <c r="AN2228" s="1"/>
      <c r="AO2228" s="1"/>
      <c r="AP2228" s="1"/>
      <c r="AQ2228" s="1"/>
      <c r="AR2228" s="1" t="s">
        <v>16034</v>
      </c>
      <c r="AS2228" s="1" t="s">
        <v>25097</v>
      </c>
      <c r="AT2228" s="1" t="s">
        <v>165</v>
      </c>
      <c r="AU2228" s="1" t="s">
        <v>956</v>
      </c>
      <c r="AV2228" s="1">
        <v>83.58</v>
      </c>
      <c r="AW2228" s="1"/>
      <c r="AX2228" s="1" t="s">
        <v>24194</v>
      </c>
      <c r="AY2228" s="1" t="s">
        <v>25098</v>
      </c>
      <c r="AZ2228" s="1" t="s">
        <v>173</v>
      </c>
      <c r="BA2228" s="1" t="s">
        <v>2352</v>
      </c>
      <c r="BB2228" s="1">
        <v>60.4</v>
      </c>
      <c r="BC2228" s="1">
        <v>6.79</v>
      </c>
      <c r="BD2228" s="1"/>
      <c r="BE2228" s="1"/>
      <c r="BF2228" s="1"/>
      <c r="BG2228" s="1"/>
      <c r="BH2228" s="1"/>
      <c r="BI2228" s="1"/>
      <c r="BJ2228" s="1" t="s">
        <v>25099</v>
      </c>
      <c r="BK2228" s="1"/>
      <c r="BL2228" s="1"/>
      <c r="BM2228" s="1"/>
      <c r="BN2228" s="1"/>
      <c r="BO2228" s="1"/>
      <c r="BP2228" s="1" t="str">
        <f>HYPERLINK("https://nconnect.nicmar.ac.in/storage/profile/6a78cb472861b.png","Download")</f>
        <v>0</v>
      </c>
      <c r="BQ2228" s="3"/>
      <c r="BR2228" s="3"/>
    </row>
    <row r="2229" spans="1:70">
      <c r="A2229" s="1" t="s">
        <v>21266</v>
      </c>
      <c r="B2229" s="1" t="s">
        <v>24139</v>
      </c>
      <c r="C2229" s="1" t="s">
        <v>25100</v>
      </c>
      <c r="D2229" s="1" t="s">
        <v>25101</v>
      </c>
      <c r="E2229" s="1" t="s">
        <v>25102</v>
      </c>
      <c r="F2229" s="1" t="s">
        <v>25103</v>
      </c>
      <c r="G2229" s="1" t="s">
        <v>25104</v>
      </c>
      <c r="H2229" s="1" t="s">
        <v>25105</v>
      </c>
      <c r="I2229" s="1" t="s">
        <v>25106</v>
      </c>
      <c r="J2229" s="1">
        <v>7057065365</v>
      </c>
      <c r="K2229" s="1" t="s">
        <v>79</v>
      </c>
      <c r="L2229" s="1" t="s">
        <v>25107</v>
      </c>
      <c r="M2229" s="1" t="s">
        <v>81</v>
      </c>
      <c r="N2229" s="1" t="s">
        <v>13165</v>
      </c>
      <c r="O2229" s="1" t="s">
        <v>25108</v>
      </c>
      <c r="P2229" s="1" t="s">
        <v>24802</v>
      </c>
      <c r="Q2229" s="1">
        <v>209524221215</v>
      </c>
      <c r="R2229" s="1" t="s">
        <v>25109</v>
      </c>
      <c r="S2229" s="1">
        <v>7798002726</v>
      </c>
      <c r="T2229" s="1" t="s">
        <v>25110</v>
      </c>
      <c r="U2229" s="1" t="s">
        <v>25111</v>
      </c>
      <c r="V2229" s="1">
        <v>9763038288</v>
      </c>
      <c r="W2229" s="1" t="s">
        <v>16314</v>
      </c>
      <c r="X2229" s="1" t="s">
        <v>25112</v>
      </c>
      <c r="Y2229" s="1" t="s">
        <v>158</v>
      </c>
      <c r="Z2229" s="1" t="s">
        <v>92</v>
      </c>
      <c r="AA2229" s="1" t="s">
        <v>25112</v>
      </c>
      <c r="AB2229" s="1" t="s">
        <v>158</v>
      </c>
      <c r="AC2229" s="1" t="s">
        <v>92</v>
      </c>
      <c r="AD2229" s="1" t="s">
        <v>93</v>
      </c>
      <c r="AE2229" s="1" t="s">
        <v>93</v>
      </c>
      <c r="AF2229" s="1" t="s">
        <v>25113</v>
      </c>
      <c r="AG2229" s="1" t="s">
        <v>25114</v>
      </c>
      <c r="AH2229" s="1" t="s">
        <v>162</v>
      </c>
      <c r="AI2229" s="1" t="s">
        <v>195</v>
      </c>
      <c r="AJ2229" s="1">
        <v>93.0</v>
      </c>
      <c r="AK2229" s="1"/>
      <c r="AL2229" s="1" t="s">
        <v>25115</v>
      </c>
      <c r="AM2229" s="1" t="s">
        <v>25116</v>
      </c>
      <c r="AN2229" s="1" t="s">
        <v>101</v>
      </c>
      <c r="AO2229" s="1" t="s">
        <v>198</v>
      </c>
      <c r="AP2229" s="1">
        <v>66.62</v>
      </c>
      <c r="AQ2229" s="1"/>
      <c r="AR2229" s="1"/>
      <c r="AS2229" s="1"/>
      <c r="AT2229" s="1"/>
      <c r="AU2229" s="1"/>
      <c r="AV2229" s="1"/>
      <c r="AW2229" s="1"/>
      <c r="AX2229" s="1" t="s">
        <v>24194</v>
      </c>
      <c r="AY2229" s="1" t="s">
        <v>25117</v>
      </c>
      <c r="AZ2229" s="1" t="s">
        <v>433</v>
      </c>
      <c r="BA2229" s="1" t="s">
        <v>174</v>
      </c>
      <c r="BB2229" s="1">
        <v>68.3</v>
      </c>
      <c r="BC2229" s="1">
        <v>7.58</v>
      </c>
      <c r="BD2229" s="1"/>
      <c r="BE2229" s="1"/>
      <c r="BF2229" s="1"/>
      <c r="BG2229" s="1"/>
      <c r="BH2229" s="1"/>
      <c r="BI2229" s="1"/>
      <c r="BJ2229" s="1" t="s">
        <v>25118</v>
      </c>
      <c r="BK2229" s="1" t="s">
        <v>25119</v>
      </c>
      <c r="BL2229" s="1" t="s">
        <v>1824</v>
      </c>
      <c r="BM2229" s="1" t="s">
        <v>25120</v>
      </c>
      <c r="BN2229" s="1">
        <v>5</v>
      </c>
      <c r="BO2229" s="1" t="s">
        <v>1641</v>
      </c>
      <c r="BP2229" s="1" t="str">
        <f>HYPERLINK("https://nconnect.nicmar.ac.in/storage/profile/6a78bcaadacb7.png","Download")</f>
        <v>0</v>
      </c>
      <c r="BQ2229" s="3"/>
      <c r="BR2229" s="3"/>
    </row>
    <row r="2230" spans="1:70">
      <c r="A2230" s="1" t="s">
        <v>21266</v>
      </c>
      <c r="B2230" s="1" t="s">
        <v>24139</v>
      </c>
      <c r="C2230" s="1" t="s">
        <v>25121</v>
      </c>
      <c r="D2230" s="1" t="s">
        <v>25122</v>
      </c>
      <c r="E2230" s="1" t="s">
        <v>25123</v>
      </c>
      <c r="F2230" s="1" t="s">
        <v>25124</v>
      </c>
      <c r="G2230" s="1" t="s">
        <v>25125</v>
      </c>
      <c r="H2230" s="1" t="s">
        <v>25126</v>
      </c>
      <c r="I2230" s="1" t="s">
        <v>25126</v>
      </c>
      <c r="J2230" s="1">
        <v>8421459177</v>
      </c>
      <c r="K2230" s="1" t="s">
        <v>79</v>
      </c>
      <c r="L2230" s="1" t="s">
        <v>22047</v>
      </c>
      <c r="M2230" s="1" t="s">
        <v>81</v>
      </c>
      <c r="N2230" s="1" t="s">
        <v>350</v>
      </c>
      <c r="O2230" s="1" t="s">
        <v>25127</v>
      </c>
      <c r="P2230" s="1" t="s">
        <v>84</v>
      </c>
      <c r="Q2230" s="1">
        <v>283317807687</v>
      </c>
      <c r="R2230" s="1" t="s">
        <v>25123</v>
      </c>
      <c r="S2230" s="1">
        <v>9822720477</v>
      </c>
      <c r="T2230" s="1" t="s">
        <v>25128</v>
      </c>
      <c r="U2230" s="1" t="s">
        <v>25129</v>
      </c>
      <c r="V2230" s="1">
        <v>8830557665</v>
      </c>
      <c r="W2230" s="1" t="s">
        <v>16314</v>
      </c>
      <c r="X2230" s="1" t="s">
        <v>25130</v>
      </c>
      <c r="Y2230" s="1" t="s">
        <v>1122</v>
      </c>
      <c r="Z2230" s="1" t="s">
        <v>92</v>
      </c>
      <c r="AA2230" s="1" t="s">
        <v>25130</v>
      </c>
      <c r="AB2230" s="1" t="s">
        <v>1122</v>
      </c>
      <c r="AC2230" s="1" t="s">
        <v>92</v>
      </c>
      <c r="AD2230" s="1" t="s">
        <v>93</v>
      </c>
      <c r="AE2230" s="1" t="s">
        <v>93</v>
      </c>
      <c r="AF2230" s="1" t="s">
        <v>25131</v>
      </c>
      <c r="AG2230" s="1" t="s">
        <v>25132</v>
      </c>
      <c r="AH2230" s="1" t="s">
        <v>165</v>
      </c>
      <c r="AI2230" s="1" t="s">
        <v>101</v>
      </c>
      <c r="AJ2230" s="1">
        <v>91.6</v>
      </c>
      <c r="AK2230" s="1"/>
      <c r="AL2230" s="1"/>
      <c r="AM2230" s="1"/>
      <c r="AN2230" s="1"/>
      <c r="AO2230" s="1"/>
      <c r="AP2230" s="1"/>
      <c r="AQ2230" s="1"/>
      <c r="AR2230" s="1" t="s">
        <v>24299</v>
      </c>
      <c r="AS2230" s="1" t="s">
        <v>25133</v>
      </c>
      <c r="AT2230" s="1" t="s">
        <v>1043</v>
      </c>
      <c r="AU2230" s="1" t="s">
        <v>436</v>
      </c>
      <c r="AV2230" s="1">
        <v>91.32</v>
      </c>
      <c r="AW2230" s="1"/>
      <c r="AX2230" s="1" t="s">
        <v>24194</v>
      </c>
      <c r="AY2230" s="1" t="s">
        <v>25134</v>
      </c>
      <c r="AZ2230" s="1" t="s">
        <v>135</v>
      </c>
      <c r="BA2230" s="1" t="s">
        <v>202</v>
      </c>
      <c r="BB2230" s="1">
        <v>75</v>
      </c>
      <c r="BC2230" s="1">
        <v>8.25</v>
      </c>
      <c r="BD2230" s="1" t="s">
        <v>25135</v>
      </c>
      <c r="BE2230" s="1"/>
      <c r="BF2230" s="1"/>
      <c r="BG2230" s="1"/>
      <c r="BH2230" s="1"/>
      <c r="BI2230" s="1"/>
      <c r="BJ2230" s="1" t="s">
        <v>15476</v>
      </c>
      <c r="BK2230" s="1" t="s">
        <v>25136</v>
      </c>
      <c r="BL2230" s="1" t="s">
        <v>4165</v>
      </c>
      <c r="BM2230" s="1" t="s">
        <v>25137</v>
      </c>
      <c r="BN2230" s="1">
        <v>3</v>
      </c>
      <c r="BO2230" s="1" t="s">
        <v>25138</v>
      </c>
      <c r="BP2230" s="1" t="str">
        <f>HYPERLINK("https://nconnect.nicmar.ac.in/storage/profile/6a78a2211babc.png","Download")</f>
        <v>0</v>
      </c>
      <c r="BQ2230" s="3"/>
      <c r="BR2230" s="3"/>
    </row>
    <row r="2231" spans="1:70">
      <c r="A2231" s="1" t="s">
        <v>21266</v>
      </c>
      <c r="B2231" s="1" t="s">
        <v>24139</v>
      </c>
      <c r="C2231" s="1" t="s">
        <v>25139</v>
      </c>
      <c r="D2231" s="1" t="s">
        <v>1096</v>
      </c>
      <c r="E2231" s="1"/>
      <c r="F2231" s="1" t="s">
        <v>8037</v>
      </c>
      <c r="G2231" s="1" t="s">
        <v>25140</v>
      </c>
      <c r="H2231" s="1" t="s">
        <v>25141</v>
      </c>
      <c r="I2231" s="1" t="s">
        <v>25141</v>
      </c>
      <c r="J2231" s="1">
        <v>8594018064</v>
      </c>
      <c r="K2231" s="1" t="s">
        <v>79</v>
      </c>
      <c r="L2231" s="1" t="s">
        <v>21918</v>
      </c>
      <c r="M2231" s="1" t="s">
        <v>81</v>
      </c>
      <c r="N2231" s="1" t="s">
        <v>7046</v>
      </c>
      <c r="O2231" s="1" t="s">
        <v>25142</v>
      </c>
      <c r="P2231" s="1" t="s">
        <v>117</v>
      </c>
      <c r="Q2231" s="1">
        <v>649553537067</v>
      </c>
      <c r="R2231" s="1" t="s">
        <v>25143</v>
      </c>
      <c r="S2231" s="1" t="s">
        <v>17131</v>
      </c>
      <c r="T2231" s="1" t="s">
        <v>18656</v>
      </c>
      <c r="U2231" s="1" t="s">
        <v>25144</v>
      </c>
      <c r="V2231" s="1">
        <v>9656300660</v>
      </c>
      <c r="W2231" s="1" t="s">
        <v>3457</v>
      </c>
      <c r="X2231" s="1" t="s">
        <v>25145</v>
      </c>
      <c r="Y2231" s="1" t="s">
        <v>1285</v>
      </c>
      <c r="Z2231" s="1" t="s">
        <v>125</v>
      </c>
      <c r="AA2231" s="1" t="s">
        <v>25145</v>
      </c>
      <c r="AB2231" s="1" t="s">
        <v>1285</v>
      </c>
      <c r="AC2231" s="1" t="s">
        <v>125</v>
      </c>
      <c r="AD2231" s="1" t="s">
        <v>93</v>
      </c>
      <c r="AE2231" s="1" t="s">
        <v>93</v>
      </c>
      <c r="AF2231" s="1" t="s">
        <v>25146</v>
      </c>
      <c r="AG2231" s="1" t="s">
        <v>25147</v>
      </c>
      <c r="AH2231" s="1" t="s">
        <v>162</v>
      </c>
      <c r="AI2231" s="1" t="s">
        <v>165</v>
      </c>
      <c r="AJ2231" s="1">
        <v>89.3</v>
      </c>
      <c r="AK2231" s="1">
        <v>9.4</v>
      </c>
      <c r="AL2231" s="1" t="s">
        <v>25146</v>
      </c>
      <c r="AM2231" s="1" t="s">
        <v>25147</v>
      </c>
      <c r="AN2231" s="1" t="s">
        <v>166</v>
      </c>
      <c r="AO2231" s="1" t="s">
        <v>308</v>
      </c>
      <c r="AP2231" s="1">
        <v>84.2</v>
      </c>
      <c r="AQ2231" s="1"/>
      <c r="AR2231" s="1"/>
      <c r="AS2231" s="1"/>
      <c r="AT2231" s="1"/>
      <c r="AU2231" s="1"/>
      <c r="AV2231" s="1"/>
      <c r="AW2231" s="1"/>
      <c r="AX2231" s="1" t="s">
        <v>132</v>
      </c>
      <c r="AY2231" s="1" t="s">
        <v>25148</v>
      </c>
      <c r="AZ2231" s="1" t="s">
        <v>201</v>
      </c>
      <c r="BA2231" s="1" t="s">
        <v>386</v>
      </c>
      <c r="BB2231" s="1">
        <v>89.8</v>
      </c>
      <c r="BC2231" s="1">
        <v>8.98</v>
      </c>
      <c r="BD2231" s="1"/>
      <c r="BE2231" s="1"/>
      <c r="BF2231" s="1"/>
      <c r="BG2231" s="1"/>
      <c r="BH2231" s="1"/>
      <c r="BI2231" s="1"/>
      <c r="BJ2231" s="1" t="s">
        <v>25149</v>
      </c>
      <c r="BK2231" s="1" t="s">
        <v>25150</v>
      </c>
      <c r="BL2231" s="1" t="s">
        <v>8843</v>
      </c>
      <c r="BM2231" s="1" t="s">
        <v>25151</v>
      </c>
      <c r="BN2231" s="1">
        <v>2</v>
      </c>
      <c r="BO2231" s="1" t="s">
        <v>25152</v>
      </c>
      <c r="BP2231" s="1" t="str">
        <f>HYPERLINK("https://nconnect.nicmar.ac.in/storage/profile/6a7730014bd41.png","Download")</f>
        <v>0</v>
      </c>
      <c r="BQ2231" s="3"/>
      <c r="BR2231" s="3"/>
    </row>
    <row r="2232" spans="1:70">
      <c r="A2232" s="1" t="s">
        <v>21266</v>
      </c>
      <c r="B2232" s="1" t="s">
        <v>24139</v>
      </c>
      <c r="C2232" s="1" t="s">
        <v>25153</v>
      </c>
      <c r="D2232" s="1" t="s">
        <v>24816</v>
      </c>
      <c r="E2232" s="1" t="s">
        <v>25154</v>
      </c>
      <c r="F2232" s="1" t="s">
        <v>25155</v>
      </c>
      <c r="G2232" s="1" t="s">
        <v>25156</v>
      </c>
      <c r="H2232" s="1" t="s">
        <v>25157</v>
      </c>
      <c r="I2232" s="1" t="s">
        <v>25157</v>
      </c>
      <c r="J2232" s="1">
        <v>9022910365</v>
      </c>
      <c r="K2232" s="1" t="s">
        <v>79</v>
      </c>
      <c r="L2232" s="1" t="s">
        <v>10527</v>
      </c>
      <c r="M2232" s="1" t="s">
        <v>81</v>
      </c>
      <c r="N2232" s="1" t="s">
        <v>4274</v>
      </c>
      <c r="O2232" s="1" t="s">
        <v>25158</v>
      </c>
      <c r="P2232" s="1" t="s">
        <v>351</v>
      </c>
      <c r="Q2232" s="1">
        <v>625293207822</v>
      </c>
      <c r="R2232" s="1" t="s">
        <v>25154</v>
      </c>
      <c r="S2232" s="1">
        <v>8830955152</v>
      </c>
      <c r="T2232" s="1" t="s">
        <v>25159</v>
      </c>
      <c r="U2232" s="1" t="s">
        <v>25160</v>
      </c>
      <c r="V2232" s="1">
        <v>8605151673</v>
      </c>
      <c r="W2232" s="1" t="s">
        <v>24114</v>
      </c>
      <c r="X2232" s="1" t="s">
        <v>25161</v>
      </c>
      <c r="Y2232" s="1" t="s">
        <v>5185</v>
      </c>
      <c r="Z2232" s="1" t="s">
        <v>92</v>
      </c>
      <c r="AA2232" s="1" t="s">
        <v>25162</v>
      </c>
      <c r="AB2232" s="1" t="s">
        <v>191</v>
      </c>
      <c r="AC2232" s="1" t="s">
        <v>92</v>
      </c>
      <c r="AD2232" s="1" t="s">
        <v>93</v>
      </c>
      <c r="AE2232" s="1" t="s">
        <v>93</v>
      </c>
      <c r="AF2232" s="1" t="s">
        <v>25163</v>
      </c>
      <c r="AG2232" s="1" t="s">
        <v>25164</v>
      </c>
      <c r="AH2232" s="1" t="s">
        <v>3303</v>
      </c>
      <c r="AI2232" s="1" t="s">
        <v>1089</v>
      </c>
      <c r="AJ2232" s="1">
        <v>93</v>
      </c>
      <c r="AK2232" s="1"/>
      <c r="AL2232" s="1" t="s">
        <v>25165</v>
      </c>
      <c r="AM2232" s="1" t="s">
        <v>25164</v>
      </c>
      <c r="AN2232" s="1" t="s">
        <v>162</v>
      </c>
      <c r="AO2232" s="1" t="s">
        <v>481</v>
      </c>
      <c r="AP2232" s="1">
        <v>62</v>
      </c>
      <c r="AQ2232" s="1"/>
      <c r="AR2232" s="1"/>
      <c r="AS2232" s="1"/>
      <c r="AT2232" s="1"/>
      <c r="AU2232" s="1"/>
      <c r="AV2232" s="1"/>
      <c r="AW2232" s="1"/>
      <c r="AX2232" s="1" t="s">
        <v>24194</v>
      </c>
      <c r="AY2232" s="1" t="s">
        <v>25166</v>
      </c>
      <c r="AZ2232" s="1" t="s">
        <v>169</v>
      </c>
      <c r="BA2232" s="1" t="s">
        <v>284</v>
      </c>
      <c r="BB2232" s="1">
        <v>61.0</v>
      </c>
      <c r="BC2232" s="1">
        <v>8.13</v>
      </c>
      <c r="BD2232" s="1"/>
      <c r="BE2232" s="1"/>
      <c r="BF2232" s="1"/>
      <c r="BG2232" s="1"/>
      <c r="BH2232" s="1"/>
      <c r="BI2232" s="1"/>
      <c r="BJ2232" s="1" t="s">
        <v>11211</v>
      </c>
      <c r="BK2232" s="1"/>
      <c r="BL2232" s="1"/>
      <c r="BM2232" s="1"/>
      <c r="BN2232" s="1"/>
      <c r="BO2232" s="1"/>
      <c r="BP2232" s="1" t="str">
        <f>HYPERLINK("https://nconnect.nicmar.ac.in/storage/profile/6a78611303309.png","Download")</f>
        <v>0</v>
      </c>
      <c r="BQ2232" s="3"/>
      <c r="BR2232" s="3"/>
    </row>
    <row r="2233" spans="1:70">
      <c r="A2233" s="1" t="s">
        <v>21266</v>
      </c>
      <c r="B2233" s="1" t="s">
        <v>24139</v>
      </c>
      <c r="C2233" s="1" t="s">
        <v>25167</v>
      </c>
      <c r="D2233" s="1" t="s">
        <v>25168</v>
      </c>
      <c r="E2233" s="1"/>
      <c r="F2233" s="1" t="s">
        <v>25169</v>
      </c>
      <c r="G2233" s="1" t="s">
        <v>25170</v>
      </c>
      <c r="H2233" s="1" t="s">
        <v>25171</v>
      </c>
      <c r="I2233" s="1" t="s">
        <v>25172</v>
      </c>
      <c r="J2233" s="1">
        <v>6302897574</v>
      </c>
      <c r="K2233" s="1" t="s">
        <v>79</v>
      </c>
      <c r="L2233" s="1" t="s">
        <v>7823</v>
      </c>
      <c r="M2233" s="1" t="s">
        <v>81</v>
      </c>
      <c r="N2233" s="1" t="s">
        <v>25173</v>
      </c>
      <c r="O2233" s="1" t="s">
        <v>25174</v>
      </c>
      <c r="P2233" s="1" t="s">
        <v>214</v>
      </c>
      <c r="Q2233" s="1">
        <v>315331855063</v>
      </c>
      <c r="R2233" s="1" t="s">
        <v>25175</v>
      </c>
      <c r="S2233" s="1">
        <v>9652241727</v>
      </c>
      <c r="T2233" s="1" t="s">
        <v>25176</v>
      </c>
      <c r="U2233" s="1" t="s">
        <v>25177</v>
      </c>
      <c r="V2233" s="1">
        <v>8466938055</v>
      </c>
      <c r="W2233" s="1" t="s">
        <v>24114</v>
      </c>
      <c r="X2233" s="1" t="s">
        <v>25178</v>
      </c>
      <c r="Y2233" s="1" t="s">
        <v>10367</v>
      </c>
      <c r="Z2233" s="1" t="s">
        <v>276</v>
      </c>
      <c r="AA2233" s="1" t="s">
        <v>25178</v>
      </c>
      <c r="AB2233" s="1" t="s">
        <v>10367</v>
      </c>
      <c r="AC2233" s="1" t="s">
        <v>276</v>
      </c>
      <c r="AD2233" s="1" t="s">
        <v>93</v>
      </c>
      <c r="AE2233" s="1" t="s">
        <v>93</v>
      </c>
      <c r="AF2233" s="1" t="s">
        <v>25179</v>
      </c>
      <c r="AG2233" s="1" t="s">
        <v>2310</v>
      </c>
      <c r="AH2233" s="1" t="s">
        <v>162</v>
      </c>
      <c r="AI2233" s="1" t="s">
        <v>195</v>
      </c>
      <c r="AJ2233" s="1">
        <v>87.0</v>
      </c>
      <c r="AK2233" s="1"/>
      <c r="AL2233" s="1"/>
      <c r="AM2233" s="1"/>
      <c r="AN2233" s="1"/>
      <c r="AO2233" s="1"/>
      <c r="AP2233" s="1"/>
      <c r="AQ2233" s="1"/>
      <c r="AR2233" s="1" t="s">
        <v>24299</v>
      </c>
      <c r="AS2233" s="1" t="s">
        <v>25180</v>
      </c>
      <c r="AT2233" s="1" t="s">
        <v>383</v>
      </c>
      <c r="AU2233" s="1" t="s">
        <v>170</v>
      </c>
      <c r="AV2233" s="1">
        <v>77.54</v>
      </c>
      <c r="AW2233" s="1"/>
      <c r="AX2233" s="1" t="s">
        <v>25181</v>
      </c>
      <c r="AY2233" s="1" t="s">
        <v>25182</v>
      </c>
      <c r="AZ2233" s="1" t="s">
        <v>1777</v>
      </c>
      <c r="BA2233" s="1" t="s">
        <v>829</v>
      </c>
      <c r="BB2233" s="1">
        <v>85.2</v>
      </c>
      <c r="BC2233" s="1"/>
      <c r="BD2233" s="1"/>
      <c r="BE2233" s="1"/>
      <c r="BF2233" s="1"/>
      <c r="BG2233" s="1"/>
      <c r="BH2233" s="1"/>
      <c r="BI2233" s="1"/>
      <c r="BJ2233" s="1" t="s">
        <v>25183</v>
      </c>
      <c r="BK2233" s="1"/>
      <c r="BL2233" s="1"/>
      <c r="BM2233" s="1" t="s">
        <v>25184</v>
      </c>
      <c r="BN2233" s="1">
        <v>26</v>
      </c>
      <c r="BO2233" s="1" t="s">
        <v>25185</v>
      </c>
      <c r="BP2233" s="1" t="str">
        <f>HYPERLINK("https://nconnect.nicmar.ac.in/storage/profile/6a78511c9d49f.png","Download")</f>
        <v>0</v>
      </c>
      <c r="BQ2233" s="3"/>
      <c r="BR2233" s="3"/>
    </row>
    <row r="2234" spans="1:70">
      <c r="A2234" s="1" t="s">
        <v>21266</v>
      </c>
      <c r="B2234" s="1" t="s">
        <v>24139</v>
      </c>
      <c r="C2234" s="1" t="s">
        <v>25186</v>
      </c>
      <c r="D2234" s="1" t="s">
        <v>25187</v>
      </c>
      <c r="E2234" s="1"/>
      <c r="F2234" s="1" t="s">
        <v>1464</v>
      </c>
      <c r="G2234" s="1" t="s">
        <v>25188</v>
      </c>
      <c r="H2234" s="1" t="s">
        <v>25189</v>
      </c>
      <c r="I2234" s="1" t="s">
        <v>25189</v>
      </c>
      <c r="J2234" s="1">
        <v>8547288977</v>
      </c>
      <c r="K2234" s="1" t="s">
        <v>148</v>
      </c>
      <c r="L2234" s="1" t="s">
        <v>19560</v>
      </c>
      <c r="M2234" s="1" t="s">
        <v>81</v>
      </c>
      <c r="N2234" s="1" t="s">
        <v>25190</v>
      </c>
      <c r="O2234" s="1" t="s">
        <v>25191</v>
      </c>
      <c r="P2234" s="1" t="s">
        <v>214</v>
      </c>
      <c r="Q2234" s="1" t="s">
        <v>25192</v>
      </c>
      <c r="R2234" s="1" t="s">
        <v>25193</v>
      </c>
      <c r="S2234" s="1">
        <v>9995334800</v>
      </c>
      <c r="T2234" s="1" t="s">
        <v>10210</v>
      </c>
      <c r="U2234" s="1" t="s">
        <v>25194</v>
      </c>
      <c r="V2234" s="1">
        <v>7306410400</v>
      </c>
      <c r="W2234" s="1" t="s">
        <v>15805</v>
      </c>
      <c r="X2234" s="1" t="s">
        <v>25195</v>
      </c>
      <c r="Y2234" s="1" t="s">
        <v>4921</v>
      </c>
      <c r="Z2234" s="1" t="s">
        <v>125</v>
      </c>
      <c r="AA2234" s="1" t="s">
        <v>25195</v>
      </c>
      <c r="AB2234" s="1" t="s">
        <v>4921</v>
      </c>
      <c r="AC2234" s="1" t="s">
        <v>125</v>
      </c>
      <c r="AD2234" s="1" t="s">
        <v>93</v>
      </c>
      <c r="AE2234" s="1" t="s">
        <v>93</v>
      </c>
      <c r="AF2234" s="1" t="s">
        <v>25196</v>
      </c>
      <c r="AG2234" s="1" t="s">
        <v>25197</v>
      </c>
      <c r="AH2234" s="1" t="s">
        <v>162</v>
      </c>
      <c r="AI2234" s="1" t="s">
        <v>165</v>
      </c>
      <c r="AJ2234" s="1">
        <v>95.0</v>
      </c>
      <c r="AK2234" s="1">
        <v>10</v>
      </c>
      <c r="AL2234" s="1" t="s">
        <v>25198</v>
      </c>
      <c r="AM2234" s="1" t="s">
        <v>25199</v>
      </c>
      <c r="AN2234" s="1" t="s">
        <v>101</v>
      </c>
      <c r="AO2234" s="1" t="s">
        <v>308</v>
      </c>
      <c r="AP2234" s="1">
        <v>86.58</v>
      </c>
      <c r="AQ2234" s="1"/>
      <c r="AR2234" s="1"/>
      <c r="AS2234" s="1"/>
      <c r="AT2234" s="1"/>
      <c r="AU2234" s="1"/>
      <c r="AV2234" s="1"/>
      <c r="AW2234" s="1"/>
      <c r="AX2234" s="1" t="s">
        <v>25200</v>
      </c>
      <c r="AY2234" s="1" t="s">
        <v>25201</v>
      </c>
      <c r="AZ2234" s="1" t="s">
        <v>310</v>
      </c>
      <c r="BA2234" s="1" t="s">
        <v>174</v>
      </c>
      <c r="BB2234" s="1">
        <v>80.8</v>
      </c>
      <c r="BC2234" s="1">
        <v>8.08</v>
      </c>
      <c r="BD2234" s="1"/>
      <c r="BE2234" s="1"/>
      <c r="BF2234" s="1"/>
      <c r="BG2234" s="1"/>
      <c r="BH2234" s="1"/>
      <c r="BI2234" s="1"/>
      <c r="BJ2234" s="1" t="s">
        <v>25202</v>
      </c>
      <c r="BK2234" s="1" t="s">
        <v>25203</v>
      </c>
      <c r="BL2234" s="1" t="s">
        <v>1048</v>
      </c>
      <c r="BM2234" s="1"/>
      <c r="BN2234" s="1"/>
      <c r="BO2234" s="1" t="s">
        <v>25204</v>
      </c>
      <c r="BP2234" s="1" t="str">
        <f>HYPERLINK("https://nconnect.nicmar.ac.in/storage/profile/6a7805f490f7d.png","Download")</f>
        <v>0</v>
      </c>
      <c r="BQ2234" s="3"/>
      <c r="BR2234" s="3"/>
    </row>
    <row r="2235" spans="1:70">
      <c r="A2235" s="1" t="s">
        <v>21266</v>
      </c>
      <c r="B2235" s="1" t="s">
        <v>24139</v>
      </c>
      <c r="C2235" s="1" t="s">
        <v>25205</v>
      </c>
      <c r="D2235" s="1" t="s">
        <v>25206</v>
      </c>
      <c r="E2235" s="1"/>
      <c r="F2235" s="1" t="s">
        <v>1828</v>
      </c>
      <c r="G2235" s="1" t="s">
        <v>25207</v>
      </c>
      <c r="H2235" s="1" t="s">
        <v>25208</v>
      </c>
      <c r="I2235" s="1" t="s">
        <v>25208</v>
      </c>
      <c r="J2235" s="1">
        <v>9597357327</v>
      </c>
      <c r="K2235" s="1" t="s">
        <v>79</v>
      </c>
      <c r="L2235" s="1" t="s">
        <v>25209</v>
      </c>
      <c r="M2235" s="1" t="s">
        <v>81</v>
      </c>
      <c r="N2235" s="1" t="s">
        <v>8006</v>
      </c>
      <c r="O2235" s="1" t="s">
        <v>25210</v>
      </c>
      <c r="P2235" s="1" t="s">
        <v>117</v>
      </c>
      <c r="Q2235" s="1">
        <v>640282564234</v>
      </c>
      <c r="R2235" s="1" t="s">
        <v>25211</v>
      </c>
      <c r="S2235" s="1">
        <v>9965046127</v>
      </c>
      <c r="T2235" s="1" t="s">
        <v>25212</v>
      </c>
      <c r="U2235" s="1" t="s">
        <v>25213</v>
      </c>
      <c r="V2235" s="1">
        <v>9942677522</v>
      </c>
      <c r="W2235" s="1" t="s">
        <v>13981</v>
      </c>
      <c r="X2235" s="1" t="s">
        <v>25214</v>
      </c>
      <c r="Y2235" s="1" t="s">
        <v>558</v>
      </c>
      <c r="Z2235" s="1" t="s">
        <v>559</v>
      </c>
      <c r="AA2235" s="1" t="s">
        <v>25214</v>
      </c>
      <c r="AB2235" s="1" t="s">
        <v>558</v>
      </c>
      <c r="AC2235" s="1" t="s">
        <v>559</v>
      </c>
      <c r="AD2235" s="1" t="s">
        <v>93</v>
      </c>
      <c r="AE2235" s="1" t="s">
        <v>93</v>
      </c>
      <c r="AF2235" s="1" t="s">
        <v>25215</v>
      </c>
      <c r="AG2235" s="1" t="s">
        <v>24899</v>
      </c>
      <c r="AH2235" s="1" t="s">
        <v>4602</v>
      </c>
      <c r="AI2235" s="1" t="s">
        <v>782</v>
      </c>
      <c r="AJ2235" s="1">
        <v>86</v>
      </c>
      <c r="AK2235" s="1"/>
      <c r="AL2235" s="1" t="s">
        <v>25216</v>
      </c>
      <c r="AM2235" s="1" t="s">
        <v>25217</v>
      </c>
      <c r="AN2235" s="1" t="s">
        <v>128</v>
      </c>
      <c r="AO2235" s="1" t="s">
        <v>129</v>
      </c>
      <c r="AP2235" s="1">
        <v>79.08</v>
      </c>
      <c r="AQ2235" s="1"/>
      <c r="AR2235" s="1"/>
      <c r="AS2235" s="1"/>
      <c r="AT2235" s="1"/>
      <c r="AU2235" s="1"/>
      <c r="AV2235" s="1"/>
      <c r="AW2235" s="1"/>
      <c r="AX2235" s="1" t="s">
        <v>25218</v>
      </c>
      <c r="AY2235" s="1" t="s">
        <v>25219</v>
      </c>
      <c r="AZ2235" s="1" t="s">
        <v>785</v>
      </c>
      <c r="BA2235" s="1" t="s">
        <v>689</v>
      </c>
      <c r="BB2235" s="1">
        <v>68.1</v>
      </c>
      <c r="BC2235" s="1">
        <v>6.81</v>
      </c>
      <c r="BD2235" s="1"/>
      <c r="BE2235" s="1"/>
      <c r="BF2235" s="1"/>
      <c r="BG2235" s="1"/>
      <c r="BH2235" s="1"/>
      <c r="BI2235" s="1"/>
      <c r="BJ2235" s="1" t="s">
        <v>25220</v>
      </c>
      <c r="BK2235" s="1"/>
      <c r="BL2235" s="1"/>
      <c r="BM2235" s="1"/>
      <c r="BN2235" s="1"/>
      <c r="BO2235" s="1" t="s">
        <v>25221</v>
      </c>
      <c r="BP2235" s="1" t="str">
        <f>HYPERLINK("https://nconnect.nicmar.ac.in/storage/profile/6a7777bf58d07.png","Download")</f>
        <v>0</v>
      </c>
      <c r="BQ2235" s="3"/>
      <c r="BR2235" s="3"/>
    </row>
    <row r="2236" spans="1:70">
      <c r="A2236" s="1" t="s">
        <v>21266</v>
      </c>
      <c r="B2236" s="1" t="s">
        <v>24139</v>
      </c>
      <c r="C2236" s="1" t="s">
        <v>25222</v>
      </c>
      <c r="D2236" s="1" t="s">
        <v>25223</v>
      </c>
      <c r="E2236" s="1" t="s">
        <v>25224</v>
      </c>
      <c r="F2236" s="1" t="s">
        <v>25225</v>
      </c>
      <c r="G2236" s="1" t="s">
        <v>25226</v>
      </c>
      <c r="H2236" s="1" t="s">
        <v>25227</v>
      </c>
      <c r="I2236" s="1" t="s">
        <v>25227</v>
      </c>
      <c r="J2236" s="1">
        <v>8600220976</v>
      </c>
      <c r="K2236" s="1" t="s">
        <v>79</v>
      </c>
      <c r="L2236" s="1" t="s">
        <v>25228</v>
      </c>
      <c r="M2236" s="1" t="s">
        <v>81</v>
      </c>
      <c r="N2236" s="1" t="s">
        <v>25229</v>
      </c>
      <c r="O2236" s="1" t="s">
        <v>25230</v>
      </c>
      <c r="P2236" s="1" t="s">
        <v>214</v>
      </c>
      <c r="Q2236" s="1">
        <v>618971779981</v>
      </c>
      <c r="R2236" s="1" t="s">
        <v>25231</v>
      </c>
      <c r="S2236" s="1">
        <v>9370296674</v>
      </c>
      <c r="T2236" s="1" t="s">
        <v>25232</v>
      </c>
      <c r="U2236" s="1" t="s">
        <v>25233</v>
      </c>
      <c r="V2236" s="1">
        <v>9175424339</v>
      </c>
      <c r="W2236" s="1" t="s">
        <v>16314</v>
      </c>
      <c r="X2236" s="1" t="s">
        <v>25234</v>
      </c>
      <c r="Y2236" s="1" t="s">
        <v>405</v>
      </c>
      <c r="Z2236" s="1" t="s">
        <v>92</v>
      </c>
      <c r="AA2236" s="1" t="s">
        <v>25234</v>
      </c>
      <c r="AB2236" s="1" t="s">
        <v>405</v>
      </c>
      <c r="AC2236" s="1" t="s">
        <v>92</v>
      </c>
      <c r="AD2236" s="1" t="s">
        <v>93</v>
      </c>
      <c r="AE2236" s="1" t="s">
        <v>93</v>
      </c>
      <c r="AF2236" s="1"/>
      <c r="AG2236" s="1"/>
      <c r="AH2236" s="1"/>
      <c r="AI2236" s="1"/>
      <c r="AJ2236" s="1"/>
      <c r="AK2236" s="1"/>
      <c r="AL2236" s="1"/>
      <c r="AM2236" s="1"/>
      <c r="AN2236" s="1"/>
      <c r="AO2236" s="1"/>
      <c r="AP2236" s="1"/>
      <c r="AQ2236" s="1"/>
      <c r="AR2236" s="1"/>
      <c r="AS2236" s="1"/>
      <c r="AT2236" s="1"/>
      <c r="AU2236" s="1"/>
      <c r="AV2236" s="1"/>
      <c r="AW2236" s="1"/>
      <c r="AX2236" s="1"/>
      <c r="AY2236" s="1"/>
      <c r="AZ2236" s="1"/>
      <c r="BA2236" s="1"/>
      <c r="BB2236" s="1"/>
      <c r="BC2236" s="1"/>
      <c r="BD2236" s="1"/>
      <c r="BE2236" s="1"/>
      <c r="BF2236" s="1"/>
      <c r="BG2236" s="1"/>
      <c r="BH2236" s="1"/>
      <c r="BI2236" s="1"/>
      <c r="BJ2236" s="1"/>
      <c r="BK2236" s="1" t="s">
        <v>25235</v>
      </c>
      <c r="BL2236" s="1" t="s">
        <v>17904</v>
      </c>
      <c r="BM2236" s="1" t="s">
        <v>25236</v>
      </c>
      <c r="BN2236" s="1">
        <v>4</v>
      </c>
      <c r="BO2236" s="1" t="s">
        <v>25237</v>
      </c>
      <c r="BP2236" s="1" t="str">
        <f>HYPERLINK("https://nconnect.nicmar.ac.in/storage/profile/6a7aaec33ef53.png","Download")</f>
        <v>0</v>
      </c>
      <c r="BQ2236" s="3"/>
      <c r="BR2236" s="3"/>
    </row>
    <row r="2237" spans="1:70">
      <c r="A2237" s="1" t="s">
        <v>21266</v>
      </c>
      <c r="B2237" s="1" t="s">
        <v>24139</v>
      </c>
      <c r="C2237" s="1" t="s">
        <v>25238</v>
      </c>
      <c r="D2237" s="1" t="s">
        <v>25239</v>
      </c>
      <c r="E2237" s="1" t="s">
        <v>25240</v>
      </c>
      <c r="F2237" s="1" t="s">
        <v>1298</v>
      </c>
      <c r="G2237" s="1" t="s">
        <v>25241</v>
      </c>
      <c r="H2237" s="1" t="s">
        <v>25242</v>
      </c>
      <c r="I2237" s="1" t="s">
        <v>25242</v>
      </c>
      <c r="J2237" s="1">
        <v>6305069133</v>
      </c>
      <c r="K2237" s="1" t="s">
        <v>79</v>
      </c>
      <c r="L2237" s="1" t="s">
        <v>17089</v>
      </c>
      <c r="M2237" s="1" t="s">
        <v>81</v>
      </c>
      <c r="N2237" s="1" t="s">
        <v>4844</v>
      </c>
      <c r="O2237" s="1" t="s">
        <v>25243</v>
      </c>
      <c r="P2237" s="1" t="s">
        <v>117</v>
      </c>
      <c r="Q2237" s="1">
        <v>331151935404</v>
      </c>
      <c r="R2237" s="1" t="s">
        <v>25244</v>
      </c>
      <c r="S2237" s="1">
        <v>9959796235</v>
      </c>
      <c r="T2237" s="1" t="s">
        <v>154</v>
      </c>
      <c r="U2237" s="1" t="s">
        <v>25245</v>
      </c>
      <c r="V2237" s="1">
        <v>9959796235</v>
      </c>
      <c r="W2237" s="1" t="s">
        <v>25246</v>
      </c>
      <c r="X2237" s="1" t="s">
        <v>25247</v>
      </c>
      <c r="Y2237" s="1" t="s">
        <v>3109</v>
      </c>
      <c r="Z2237" s="1" t="s">
        <v>276</v>
      </c>
      <c r="AA2237" s="1" t="s">
        <v>25247</v>
      </c>
      <c r="AB2237" s="1" t="s">
        <v>3109</v>
      </c>
      <c r="AC2237" s="1" t="s">
        <v>276</v>
      </c>
      <c r="AD2237" s="1" t="s">
        <v>93</v>
      </c>
      <c r="AE2237" s="1" t="s">
        <v>93</v>
      </c>
      <c r="AF2237" s="1" t="s">
        <v>25248</v>
      </c>
      <c r="AG2237" s="1" t="s">
        <v>25249</v>
      </c>
      <c r="AH2237" s="1" t="s">
        <v>166</v>
      </c>
      <c r="AI2237" s="1" t="s">
        <v>308</v>
      </c>
      <c r="AJ2237" s="1">
        <v>95</v>
      </c>
      <c r="AK2237" s="1">
        <v>9.5</v>
      </c>
      <c r="AL2237" s="1"/>
      <c r="AM2237" s="1"/>
      <c r="AN2237" s="1"/>
      <c r="AO2237" s="1"/>
      <c r="AP2237" s="1"/>
      <c r="AQ2237" s="1"/>
      <c r="AR2237" s="1" t="s">
        <v>25250</v>
      </c>
      <c r="AS2237" s="1" t="s">
        <v>25251</v>
      </c>
      <c r="AT2237" s="1" t="s">
        <v>201</v>
      </c>
      <c r="AU2237" s="1" t="s">
        <v>1777</v>
      </c>
      <c r="AV2237" s="1">
        <v>87.32</v>
      </c>
      <c r="AW2237" s="1"/>
      <c r="AX2237" s="1" t="s">
        <v>25252</v>
      </c>
      <c r="AY2237" s="1" t="s">
        <v>25253</v>
      </c>
      <c r="AZ2237" s="1" t="s">
        <v>1777</v>
      </c>
      <c r="BA2237" s="1" t="s">
        <v>1379</v>
      </c>
      <c r="BB2237" s="1">
        <v>73.2</v>
      </c>
      <c r="BC2237" s="1">
        <v>8.07</v>
      </c>
      <c r="BD2237" s="1"/>
      <c r="BE2237" s="1"/>
      <c r="BF2237" s="1"/>
      <c r="BG2237" s="1"/>
      <c r="BH2237" s="1"/>
      <c r="BI2237" s="1"/>
      <c r="BJ2237" s="1" t="s">
        <v>25254</v>
      </c>
      <c r="BK2237" s="1" t="s">
        <v>25255</v>
      </c>
      <c r="BL2237" s="1" t="s">
        <v>1540</v>
      </c>
      <c r="BM2237" s="1" t="s">
        <v>25256</v>
      </c>
      <c r="BN2237" s="1">
        <v>35</v>
      </c>
      <c r="BO2237" s="1"/>
      <c r="BP2237" s="1" t="str">
        <f>HYPERLINK("https://nconnect.nicmar.ac.in/storage/profile/6a7740325d54f.png","Download")</f>
        <v>0</v>
      </c>
      <c r="BQ2237" s="3"/>
      <c r="BR2237" s="3"/>
    </row>
    <row r="2238" spans="1:70">
      <c r="A2238" s="1" t="s">
        <v>21266</v>
      </c>
      <c r="B2238" s="1" t="s">
        <v>24139</v>
      </c>
      <c r="C2238" s="1" t="s">
        <v>25257</v>
      </c>
      <c r="D2238" s="1" t="s">
        <v>25258</v>
      </c>
      <c r="E2238" s="1"/>
      <c r="F2238" s="1" t="s">
        <v>25259</v>
      </c>
      <c r="G2238" s="1" t="s">
        <v>25260</v>
      </c>
      <c r="H2238" s="1" t="s">
        <v>25261</v>
      </c>
      <c r="I2238" s="1" t="s">
        <v>25261</v>
      </c>
      <c r="J2238" s="1">
        <v>6300066451</v>
      </c>
      <c r="K2238" s="1" t="s">
        <v>79</v>
      </c>
      <c r="L2238" s="1" t="s">
        <v>17770</v>
      </c>
      <c r="M2238" s="1" t="s">
        <v>81</v>
      </c>
      <c r="N2238" s="1" t="s">
        <v>8331</v>
      </c>
      <c r="O2238" s="1" t="s">
        <v>25262</v>
      </c>
      <c r="P2238" s="1" t="s">
        <v>117</v>
      </c>
      <c r="Q2238" s="1">
        <v>671472995273</v>
      </c>
      <c r="R2238" s="1" t="s">
        <v>25263</v>
      </c>
      <c r="S2238" s="1">
        <v>9704785896</v>
      </c>
      <c r="T2238" s="1" t="s">
        <v>25176</v>
      </c>
      <c r="U2238" s="1" t="s">
        <v>25264</v>
      </c>
      <c r="V2238" s="1">
        <v>9010026741</v>
      </c>
      <c r="W2238" s="1" t="s">
        <v>24114</v>
      </c>
      <c r="X2238" s="1" t="s">
        <v>25265</v>
      </c>
      <c r="Y2238" s="1" t="s">
        <v>3541</v>
      </c>
      <c r="Z2238" s="1" t="s">
        <v>276</v>
      </c>
      <c r="AA2238" s="1" t="s">
        <v>25265</v>
      </c>
      <c r="AB2238" s="1" t="s">
        <v>3541</v>
      </c>
      <c r="AC2238" s="1" t="s">
        <v>276</v>
      </c>
      <c r="AD2238" s="1" t="s">
        <v>93</v>
      </c>
      <c r="AE2238" s="1" t="s">
        <v>93</v>
      </c>
      <c r="AF2238" s="1" t="s">
        <v>25266</v>
      </c>
      <c r="AG2238" s="1" t="s">
        <v>2310</v>
      </c>
      <c r="AH2238" s="1" t="s">
        <v>165</v>
      </c>
      <c r="AI2238" s="1" t="s">
        <v>481</v>
      </c>
      <c r="AJ2238" s="1">
        <v>90.0</v>
      </c>
      <c r="AK2238" s="1">
        <v>6.79</v>
      </c>
      <c r="AL2238" s="1" t="s">
        <v>25267</v>
      </c>
      <c r="AM2238" s="1" t="s">
        <v>2312</v>
      </c>
      <c r="AN2238" s="1" t="s">
        <v>101</v>
      </c>
      <c r="AO2238" s="1" t="s">
        <v>590</v>
      </c>
      <c r="AP2238" s="1">
        <v>80.2</v>
      </c>
      <c r="AQ2238" s="1"/>
      <c r="AR2238" s="1"/>
      <c r="AS2238" s="1"/>
      <c r="AT2238" s="1"/>
      <c r="AU2238" s="1"/>
      <c r="AV2238" s="1"/>
      <c r="AW2238" s="1"/>
      <c r="AX2238" s="1" t="s">
        <v>3113</v>
      </c>
      <c r="AY2238" s="1" t="s">
        <v>25268</v>
      </c>
      <c r="AZ2238" s="1" t="s">
        <v>170</v>
      </c>
      <c r="BA2238" s="1" t="s">
        <v>25269</v>
      </c>
      <c r="BB2238" s="1">
        <v>60.4</v>
      </c>
      <c r="BC2238" s="1"/>
      <c r="BD2238" s="1"/>
      <c r="BE2238" s="1"/>
      <c r="BF2238" s="1"/>
      <c r="BG2238" s="1"/>
      <c r="BH2238" s="1"/>
      <c r="BI2238" s="1"/>
      <c r="BJ2238" s="1" t="s">
        <v>25270</v>
      </c>
      <c r="BK2238" s="1"/>
      <c r="BL2238" s="1"/>
      <c r="BM2238" s="1" t="s">
        <v>25271</v>
      </c>
      <c r="BN2238" s="1">
        <v>36</v>
      </c>
      <c r="BO2238" s="1"/>
      <c r="BP2238" s="1" t="str">
        <f>HYPERLINK("https://nconnect.nicmar.ac.in/storage/profile/6a77e26d910fa.png","Download")</f>
        <v>0</v>
      </c>
      <c r="BQ2238" s="3"/>
      <c r="BR2238" s="3"/>
    </row>
    <row r="2239" spans="1:70">
      <c r="A2239" s="1" t="s">
        <v>21266</v>
      </c>
      <c r="B2239" s="1" t="s">
        <v>24139</v>
      </c>
      <c r="C2239" s="1" t="s">
        <v>25272</v>
      </c>
      <c r="D2239" s="1" t="s">
        <v>25273</v>
      </c>
      <c r="E2239" s="1" t="s">
        <v>2782</v>
      </c>
      <c r="F2239" s="1" t="s">
        <v>1828</v>
      </c>
      <c r="G2239" s="1" t="s">
        <v>25274</v>
      </c>
      <c r="H2239" s="1" t="s">
        <v>25275</v>
      </c>
      <c r="I2239" s="1" t="s">
        <v>25275</v>
      </c>
      <c r="J2239" s="1">
        <v>8129315010</v>
      </c>
      <c r="K2239" s="1" t="s">
        <v>148</v>
      </c>
      <c r="L2239" s="1" t="s">
        <v>20301</v>
      </c>
      <c r="M2239" s="1" t="s">
        <v>81</v>
      </c>
      <c r="N2239" s="1" t="s">
        <v>24160</v>
      </c>
      <c r="O2239" s="1" t="s">
        <v>25276</v>
      </c>
      <c r="P2239" s="1" t="s">
        <v>117</v>
      </c>
      <c r="Q2239" s="1">
        <v>351295971739</v>
      </c>
      <c r="R2239" s="1" t="s">
        <v>25277</v>
      </c>
      <c r="S2239" s="1">
        <v>9447411308</v>
      </c>
      <c r="T2239" s="1" t="s">
        <v>120</v>
      </c>
      <c r="U2239" s="1" t="s">
        <v>25278</v>
      </c>
      <c r="V2239" s="1">
        <v>9447815680</v>
      </c>
      <c r="W2239" s="1" t="s">
        <v>6674</v>
      </c>
      <c r="X2239" s="1" t="s">
        <v>25279</v>
      </c>
      <c r="Y2239" s="1" t="s">
        <v>7667</v>
      </c>
      <c r="Z2239" s="1" t="s">
        <v>125</v>
      </c>
      <c r="AA2239" s="1" t="s">
        <v>25279</v>
      </c>
      <c r="AB2239" s="1" t="s">
        <v>7667</v>
      </c>
      <c r="AC2239" s="1" t="s">
        <v>125</v>
      </c>
      <c r="AD2239" s="1" t="s">
        <v>93</v>
      </c>
      <c r="AE2239" s="1" t="s">
        <v>93</v>
      </c>
      <c r="AF2239" s="1" t="s">
        <v>25280</v>
      </c>
      <c r="AG2239" s="1" t="s">
        <v>690</v>
      </c>
      <c r="AH2239" s="1" t="s">
        <v>689</v>
      </c>
      <c r="AI2239" s="1" t="s">
        <v>166</v>
      </c>
      <c r="AJ2239" s="1">
        <v>94.8</v>
      </c>
      <c r="AK2239" s="1"/>
      <c r="AL2239" s="1" t="s">
        <v>25281</v>
      </c>
      <c r="AM2239" s="1" t="s">
        <v>589</v>
      </c>
      <c r="AN2239" s="1" t="s">
        <v>169</v>
      </c>
      <c r="AO2239" s="1" t="s">
        <v>590</v>
      </c>
      <c r="AP2239" s="1">
        <v>98.33</v>
      </c>
      <c r="AQ2239" s="1"/>
      <c r="AR2239" s="1"/>
      <c r="AS2239" s="1"/>
      <c r="AT2239" s="1"/>
      <c r="AU2239" s="1"/>
      <c r="AV2239" s="1"/>
      <c r="AW2239" s="1"/>
      <c r="AX2239" s="1" t="s">
        <v>132</v>
      </c>
      <c r="AY2239" s="1" t="s">
        <v>25282</v>
      </c>
      <c r="AZ2239" s="1" t="s">
        <v>593</v>
      </c>
      <c r="BA2239" s="1" t="s">
        <v>543</v>
      </c>
      <c r="BB2239" s="1">
        <v>78.67</v>
      </c>
      <c r="BC2239" s="1">
        <v>8.13</v>
      </c>
      <c r="BD2239" s="1"/>
      <c r="BE2239" s="1"/>
      <c r="BF2239" s="1"/>
      <c r="BG2239" s="1"/>
      <c r="BH2239" s="1"/>
      <c r="BI2239" s="1"/>
      <c r="BJ2239" s="1" t="s">
        <v>25283</v>
      </c>
      <c r="BK2239" s="1"/>
      <c r="BL2239" s="1"/>
      <c r="BM2239" s="1" t="s">
        <v>25284</v>
      </c>
      <c r="BN2239" s="1">
        <v>53</v>
      </c>
      <c r="BO2239" s="1" t="s">
        <v>25285</v>
      </c>
      <c r="BP2239" s="1" t="str">
        <f>HYPERLINK("https://nconnect.nicmar.ac.in/storage/profile/6a78014b58ce1.png","Download")</f>
        <v>0</v>
      </c>
      <c r="BQ2239" s="3"/>
      <c r="BR2239" s="3"/>
    </row>
    <row r="2240" spans="1:70">
      <c r="A2240" s="1" t="s">
        <v>21266</v>
      </c>
      <c r="B2240" s="1" t="s">
        <v>24139</v>
      </c>
      <c r="C2240" s="1" t="s">
        <v>25286</v>
      </c>
      <c r="D2240" s="1" t="s">
        <v>24742</v>
      </c>
      <c r="E2240" s="1" t="s">
        <v>25287</v>
      </c>
      <c r="F2240" s="1" t="s">
        <v>25288</v>
      </c>
      <c r="G2240" s="1" t="s">
        <v>25289</v>
      </c>
      <c r="H2240" s="1" t="s">
        <v>25290</v>
      </c>
      <c r="I2240" s="1" t="s">
        <v>25291</v>
      </c>
      <c r="J2240" s="1">
        <v>9168993103</v>
      </c>
      <c r="K2240" s="1" t="s">
        <v>79</v>
      </c>
      <c r="L2240" s="1" t="s">
        <v>3082</v>
      </c>
      <c r="M2240" s="1" t="s">
        <v>81</v>
      </c>
      <c r="N2240" s="1" t="s">
        <v>185</v>
      </c>
      <c r="O2240" s="1" t="s">
        <v>25292</v>
      </c>
      <c r="P2240" s="1" t="s">
        <v>117</v>
      </c>
      <c r="Q2240" s="1">
        <v>501230906302</v>
      </c>
      <c r="R2240" s="1" t="s">
        <v>25293</v>
      </c>
      <c r="S2240" s="1">
        <v>9049933910</v>
      </c>
      <c r="T2240" s="1" t="s">
        <v>25294</v>
      </c>
      <c r="U2240" s="1" t="s">
        <v>25295</v>
      </c>
      <c r="V2240" s="1">
        <v>8055675188</v>
      </c>
      <c r="W2240" s="1" t="s">
        <v>25296</v>
      </c>
      <c r="X2240" s="1" t="s">
        <v>25297</v>
      </c>
      <c r="Y2240" s="1" t="s">
        <v>5588</v>
      </c>
      <c r="Z2240" s="1" t="s">
        <v>92</v>
      </c>
      <c r="AA2240" s="1" t="s">
        <v>25297</v>
      </c>
      <c r="AB2240" s="1" t="s">
        <v>5588</v>
      </c>
      <c r="AC2240" s="1" t="s">
        <v>92</v>
      </c>
      <c r="AD2240" s="1" t="s">
        <v>93</v>
      </c>
      <c r="AE2240" s="1" t="s">
        <v>93</v>
      </c>
      <c r="AF2240" s="1" t="s">
        <v>25298</v>
      </c>
      <c r="AG2240" s="1" t="s">
        <v>25299</v>
      </c>
      <c r="AH2240" s="1" t="s">
        <v>130</v>
      </c>
      <c r="AI2240" s="1" t="s">
        <v>97</v>
      </c>
      <c r="AJ2240" s="1">
        <v>70.4</v>
      </c>
      <c r="AK2240" s="1"/>
      <c r="AL2240" s="1" t="s">
        <v>25300</v>
      </c>
      <c r="AM2240" s="1" t="s">
        <v>25301</v>
      </c>
      <c r="AN2240" s="1" t="s">
        <v>1374</v>
      </c>
      <c r="AO2240" s="1" t="s">
        <v>562</v>
      </c>
      <c r="AP2240" s="1">
        <v>60.77</v>
      </c>
      <c r="AQ2240" s="1"/>
      <c r="AR2240" s="1" t="s">
        <v>25302</v>
      </c>
      <c r="AS2240" s="1" t="s">
        <v>25303</v>
      </c>
      <c r="AT2240" s="1" t="s">
        <v>225</v>
      </c>
      <c r="AU2240" s="1" t="s">
        <v>542</v>
      </c>
      <c r="AV2240" s="1">
        <v>65.85</v>
      </c>
      <c r="AW2240" s="1"/>
      <c r="AX2240" s="1" t="s">
        <v>25304</v>
      </c>
      <c r="AY2240" s="1" t="s">
        <v>25305</v>
      </c>
      <c r="AZ2240" s="1" t="s">
        <v>436</v>
      </c>
      <c r="BA2240" s="1" t="s">
        <v>543</v>
      </c>
      <c r="BB2240" s="1">
        <v>65.2</v>
      </c>
      <c r="BC2240" s="1">
        <v>6.52</v>
      </c>
      <c r="BD2240" s="1"/>
      <c r="BE2240" s="1"/>
      <c r="BF2240" s="1"/>
      <c r="BG2240" s="1"/>
      <c r="BH2240" s="1"/>
      <c r="BI2240" s="1"/>
      <c r="BJ2240" s="1" t="s">
        <v>830</v>
      </c>
      <c r="BK2240" s="1"/>
      <c r="BL2240" s="1"/>
      <c r="BM2240" s="1"/>
      <c r="BN2240" s="1"/>
      <c r="BO2240" s="1"/>
      <c r="BP2240" s="1" t="str">
        <f>HYPERLINK("https://nconnect.nicmar.ac.in/storage/profile/6a78b9ac88ecb.png","Download")</f>
        <v>0</v>
      </c>
      <c r="BQ2240" s="3"/>
      <c r="BR2240" s="3"/>
    </row>
    <row r="2241" spans="1:70">
      <c r="A2241" s="1" t="s">
        <v>21266</v>
      </c>
      <c r="B2241" s="1" t="s">
        <v>24139</v>
      </c>
      <c r="C2241" s="1" t="s">
        <v>25306</v>
      </c>
      <c r="D2241" s="1" t="s">
        <v>25307</v>
      </c>
      <c r="E2241" s="1"/>
      <c r="F2241" s="1" t="s">
        <v>25308</v>
      </c>
      <c r="G2241" s="1" t="s">
        <v>25309</v>
      </c>
      <c r="H2241" s="1" t="s">
        <v>25310</v>
      </c>
      <c r="I2241" s="1" t="s">
        <v>25311</v>
      </c>
      <c r="J2241" s="1">
        <v>9655033338</v>
      </c>
      <c r="K2241" s="1" t="s">
        <v>79</v>
      </c>
      <c r="L2241" s="1" t="s">
        <v>25312</v>
      </c>
      <c r="M2241" s="1" t="s">
        <v>81</v>
      </c>
      <c r="N2241" s="1" t="s">
        <v>25313</v>
      </c>
      <c r="O2241" s="1" t="s">
        <v>25314</v>
      </c>
      <c r="P2241" s="1" t="s">
        <v>351</v>
      </c>
      <c r="Q2241" s="1">
        <v>799266655581</v>
      </c>
      <c r="R2241" s="1" t="s">
        <v>25315</v>
      </c>
      <c r="S2241" s="1">
        <v>9894037742</v>
      </c>
      <c r="T2241" s="1" t="s">
        <v>3457</v>
      </c>
      <c r="U2241" s="1" t="s">
        <v>25316</v>
      </c>
      <c r="V2241" s="1">
        <v>9677744110</v>
      </c>
      <c r="W2241" s="1" t="s">
        <v>3457</v>
      </c>
      <c r="X2241" s="1" t="s">
        <v>25317</v>
      </c>
      <c r="Y2241" s="1" t="s">
        <v>8912</v>
      </c>
      <c r="Z2241" s="1" t="s">
        <v>559</v>
      </c>
      <c r="AA2241" s="1" t="s">
        <v>25317</v>
      </c>
      <c r="AB2241" s="1" t="s">
        <v>8912</v>
      </c>
      <c r="AC2241" s="1" t="s">
        <v>559</v>
      </c>
      <c r="AD2241" s="1" t="s">
        <v>93</v>
      </c>
      <c r="AE2241" s="1" t="s">
        <v>93</v>
      </c>
      <c r="AF2241" s="1" t="s">
        <v>25318</v>
      </c>
      <c r="AG2241" s="1" t="s">
        <v>25319</v>
      </c>
      <c r="AH2241" s="1" t="s">
        <v>433</v>
      </c>
      <c r="AI2241" s="1" t="s">
        <v>173</v>
      </c>
      <c r="AJ2241" s="1">
        <v>76.6</v>
      </c>
      <c r="AK2241" s="1"/>
      <c r="AL2241" s="1" t="s">
        <v>25318</v>
      </c>
      <c r="AM2241" s="1" t="s">
        <v>25320</v>
      </c>
      <c r="AN2241" s="1" t="s">
        <v>828</v>
      </c>
      <c r="AO2241" s="1" t="s">
        <v>1378</v>
      </c>
      <c r="AP2241" s="1">
        <v>72.0</v>
      </c>
      <c r="AQ2241" s="1"/>
      <c r="AR2241" s="1"/>
      <c r="AS2241" s="1"/>
      <c r="AT2241" s="1"/>
      <c r="AU2241" s="1"/>
      <c r="AV2241" s="1"/>
      <c r="AW2241" s="1"/>
      <c r="AX2241" s="1" t="s">
        <v>25321</v>
      </c>
      <c r="AY2241" s="1" t="s">
        <v>25322</v>
      </c>
      <c r="AZ2241" s="1" t="s">
        <v>105</v>
      </c>
      <c r="BA2241" s="1" t="s">
        <v>20917</v>
      </c>
      <c r="BB2241" s="1">
        <v>81.2</v>
      </c>
      <c r="BC2241" s="1">
        <v>8.12</v>
      </c>
      <c r="BD2241" s="1"/>
      <c r="BE2241" s="1"/>
      <c r="BF2241" s="1"/>
      <c r="BG2241" s="1"/>
      <c r="BH2241" s="1"/>
      <c r="BI2241" s="1"/>
      <c r="BJ2241" s="1" t="s">
        <v>25323</v>
      </c>
      <c r="BK2241" s="1"/>
      <c r="BL2241" s="1"/>
      <c r="BM2241" s="1" t="s">
        <v>25324</v>
      </c>
      <c r="BN2241" s="1">
        <v>21</v>
      </c>
      <c r="BO2241" s="1" t="s">
        <v>25325</v>
      </c>
      <c r="BP2241" s="1" t="str">
        <f>HYPERLINK("https://nconnect.nicmar.ac.in/storage/profile/6a77773973e35.png","Download")</f>
        <v>0</v>
      </c>
      <c r="BQ2241" s="3"/>
      <c r="BR2241" s="3"/>
    </row>
    <row r="2242" spans="1:70">
      <c r="A2242" s="1" t="s">
        <v>21266</v>
      </c>
      <c r="B2242" s="1" t="s">
        <v>24139</v>
      </c>
      <c r="C2242" s="1" t="s">
        <v>25326</v>
      </c>
      <c r="D2242" s="1" t="s">
        <v>25327</v>
      </c>
      <c r="E2242" s="1" t="s">
        <v>25328</v>
      </c>
      <c r="F2242" s="1" t="s">
        <v>25329</v>
      </c>
      <c r="G2242" s="1" t="s">
        <v>25330</v>
      </c>
      <c r="H2242" s="1" t="s">
        <v>25331</v>
      </c>
      <c r="I2242" s="1" t="s">
        <v>25331</v>
      </c>
      <c r="J2242" s="1">
        <v>9961880248</v>
      </c>
      <c r="K2242" s="1" t="s">
        <v>148</v>
      </c>
      <c r="L2242" s="1" t="s">
        <v>25332</v>
      </c>
      <c r="M2242" s="1" t="s">
        <v>81</v>
      </c>
      <c r="N2242" s="1" t="s">
        <v>116</v>
      </c>
      <c r="O2242" s="1" t="s">
        <v>25333</v>
      </c>
      <c r="P2242" s="1" t="s">
        <v>84</v>
      </c>
      <c r="Q2242" s="1">
        <v>809035409924</v>
      </c>
      <c r="R2242" s="1" t="s">
        <v>25334</v>
      </c>
      <c r="S2242" s="1">
        <v>8281880974</v>
      </c>
      <c r="T2242" s="1" t="s">
        <v>25335</v>
      </c>
      <c r="U2242" s="1" t="s">
        <v>25336</v>
      </c>
      <c r="V2242" s="1">
        <v>9946242181</v>
      </c>
      <c r="W2242" s="1" t="s">
        <v>25337</v>
      </c>
      <c r="X2242" s="1" t="s">
        <v>25338</v>
      </c>
      <c r="Y2242" s="1" t="s">
        <v>1285</v>
      </c>
      <c r="Z2242" s="1" t="s">
        <v>125</v>
      </c>
      <c r="AA2242" s="1" t="s">
        <v>25338</v>
      </c>
      <c r="AB2242" s="1" t="s">
        <v>1285</v>
      </c>
      <c r="AC2242" s="1" t="s">
        <v>125</v>
      </c>
      <c r="AD2242" s="1" t="s">
        <v>93</v>
      </c>
      <c r="AE2242" s="1" t="s">
        <v>93</v>
      </c>
      <c r="AF2242" s="1" t="s">
        <v>25339</v>
      </c>
      <c r="AG2242" s="1" t="s">
        <v>25340</v>
      </c>
      <c r="AH2242" s="1" t="s">
        <v>3439</v>
      </c>
      <c r="AI2242" s="1" t="s">
        <v>1239</v>
      </c>
      <c r="AJ2242" s="1">
        <v>76</v>
      </c>
      <c r="AK2242" s="1">
        <v>8.0</v>
      </c>
      <c r="AL2242" s="1" t="s">
        <v>25341</v>
      </c>
      <c r="AM2242" s="1" t="s">
        <v>24844</v>
      </c>
      <c r="AN2242" s="1" t="s">
        <v>252</v>
      </c>
      <c r="AO2242" s="1" t="s">
        <v>614</v>
      </c>
      <c r="AP2242" s="1">
        <v>79.5</v>
      </c>
      <c r="AQ2242" s="1"/>
      <c r="AR2242" s="1"/>
      <c r="AS2242" s="1"/>
      <c r="AT2242" s="1"/>
      <c r="AU2242" s="1"/>
      <c r="AV2242" s="1"/>
      <c r="AW2242" s="1"/>
      <c r="AX2242" s="1" t="s">
        <v>25342</v>
      </c>
      <c r="AY2242" s="1" t="s">
        <v>25343</v>
      </c>
      <c r="AZ2242" s="1" t="s">
        <v>134</v>
      </c>
      <c r="BA2242" s="1" t="s">
        <v>7725</v>
      </c>
      <c r="BB2242" s="1">
        <v>67.6</v>
      </c>
      <c r="BC2242" s="1">
        <v>6.76</v>
      </c>
      <c r="BD2242" s="1"/>
      <c r="BE2242" s="1"/>
      <c r="BF2242" s="1"/>
      <c r="BG2242" s="1"/>
      <c r="BH2242" s="1"/>
      <c r="BI2242" s="1"/>
      <c r="BJ2242" s="1" t="s">
        <v>25344</v>
      </c>
      <c r="BK2242" s="1" t="s">
        <v>25345</v>
      </c>
      <c r="BL2242" s="1" t="s">
        <v>8843</v>
      </c>
      <c r="BM2242" s="1" t="s">
        <v>25346</v>
      </c>
      <c r="BN2242" s="1">
        <v>15</v>
      </c>
      <c r="BO2242" s="1"/>
      <c r="BP2242" s="1" t="str">
        <f>HYPERLINK("https://nconnect.nicmar.ac.in/storage/profile/6a7804ef207d2.png","Download")</f>
        <v>0</v>
      </c>
      <c r="BQ2242" s="3"/>
      <c r="BR2242" s="3"/>
    </row>
    <row r="2243" spans="1:70">
      <c r="A2243" s="1" t="s">
        <v>21266</v>
      </c>
      <c r="B2243" s="1" t="s">
        <v>24139</v>
      </c>
      <c r="C2243" s="1" t="s">
        <v>25347</v>
      </c>
      <c r="D2243" s="1" t="s">
        <v>25348</v>
      </c>
      <c r="E2243" s="1" t="s">
        <v>25349</v>
      </c>
      <c r="F2243" s="1" t="s">
        <v>25350</v>
      </c>
      <c r="G2243" s="1" t="s">
        <v>25351</v>
      </c>
      <c r="H2243" s="1" t="s">
        <v>25352</v>
      </c>
      <c r="I2243" s="1" t="s">
        <v>25352</v>
      </c>
      <c r="J2243" s="1">
        <v>9763962754</v>
      </c>
      <c r="K2243" s="1" t="s">
        <v>79</v>
      </c>
      <c r="L2243" s="1" t="s">
        <v>25353</v>
      </c>
      <c r="M2243" s="1" t="s">
        <v>81</v>
      </c>
      <c r="N2243" s="1" t="s">
        <v>25354</v>
      </c>
      <c r="O2243" s="1" t="s">
        <v>25355</v>
      </c>
      <c r="P2243" s="1" t="s">
        <v>214</v>
      </c>
      <c r="Q2243" s="1">
        <v>577027176102</v>
      </c>
      <c r="R2243" s="1" t="s">
        <v>25356</v>
      </c>
      <c r="S2243" s="1">
        <v>9404635237</v>
      </c>
      <c r="T2243" s="1" t="s">
        <v>24151</v>
      </c>
      <c r="U2243" s="1" t="s">
        <v>25357</v>
      </c>
      <c r="V2243" s="1">
        <v>8275984873</v>
      </c>
      <c r="W2243" s="1" t="s">
        <v>15805</v>
      </c>
      <c r="X2243" s="1" t="s">
        <v>25358</v>
      </c>
      <c r="Y2243" s="1" t="s">
        <v>304</v>
      </c>
      <c r="Z2243" s="1" t="s">
        <v>92</v>
      </c>
      <c r="AA2243" s="1" t="s">
        <v>25359</v>
      </c>
      <c r="AB2243" s="1" t="s">
        <v>191</v>
      </c>
      <c r="AC2243" s="1" t="s">
        <v>92</v>
      </c>
      <c r="AD2243" s="1" t="s">
        <v>93</v>
      </c>
      <c r="AE2243" s="1" t="s">
        <v>93</v>
      </c>
      <c r="AF2243" s="1" t="s">
        <v>25360</v>
      </c>
      <c r="AG2243" s="1" t="s">
        <v>25361</v>
      </c>
      <c r="AH2243" s="1" t="s">
        <v>25362</v>
      </c>
      <c r="AI2243" s="1" t="s">
        <v>96</v>
      </c>
      <c r="AJ2243" s="1">
        <v>79.4</v>
      </c>
      <c r="AK2243" s="1"/>
      <c r="AL2243" s="1"/>
      <c r="AM2243" s="1"/>
      <c r="AN2243" s="1"/>
      <c r="AO2243" s="1"/>
      <c r="AP2243" s="1"/>
      <c r="AQ2243" s="1"/>
      <c r="AR2243" s="1" t="s">
        <v>16034</v>
      </c>
      <c r="AS2243" s="1" t="s">
        <v>25363</v>
      </c>
      <c r="AT2243" s="1" t="s">
        <v>130</v>
      </c>
      <c r="AU2243" s="1" t="s">
        <v>165</v>
      </c>
      <c r="AV2243" s="1">
        <v>68.73</v>
      </c>
      <c r="AW2243" s="1"/>
      <c r="AX2243" s="1" t="s">
        <v>25364</v>
      </c>
      <c r="AY2243" s="1" t="s">
        <v>25365</v>
      </c>
      <c r="AZ2243" s="1" t="s">
        <v>225</v>
      </c>
      <c r="BA2243" s="1" t="s">
        <v>542</v>
      </c>
      <c r="BB2243" s="1">
        <v>68.88</v>
      </c>
      <c r="BC2243" s="1">
        <v>7.59</v>
      </c>
      <c r="BD2243" s="1"/>
      <c r="BE2243" s="1"/>
      <c r="BF2243" s="1"/>
      <c r="BG2243" s="1"/>
      <c r="BH2243" s="1"/>
      <c r="BI2243" s="1"/>
      <c r="BJ2243" s="1" t="s">
        <v>25366</v>
      </c>
      <c r="BK2243" s="1"/>
      <c r="BL2243" s="1"/>
      <c r="BM2243" s="1"/>
      <c r="BN2243" s="1"/>
      <c r="BO2243" s="1" t="s">
        <v>25367</v>
      </c>
      <c r="BP2243" s="1" t="str">
        <f>HYPERLINK("https://nconnect.nicmar.ac.in/storage/profile/6a78452350642.png","Download")</f>
        <v>0</v>
      </c>
      <c r="BQ2243" s="3"/>
      <c r="BR2243" s="3"/>
    </row>
    <row r="2244" spans="1:70">
      <c r="A2244" s="1" t="s">
        <v>25368</v>
      </c>
      <c r="B2244" s="1" t="s">
        <v>13846</v>
      </c>
      <c r="C2244" s="1" t="s">
        <v>25369</v>
      </c>
      <c r="D2244" s="1"/>
      <c r="E2244" s="1"/>
      <c r="F2244" s="1"/>
      <c r="G2244" s="1"/>
      <c r="H2244" s="1" t="s">
        <v>25370</v>
      </c>
      <c r="I2244" s="1" t="s">
        <v>25370</v>
      </c>
      <c r="J2244" s="1"/>
      <c r="K2244" s="1"/>
      <c r="L2244" s="1"/>
      <c r="M2244" s="1"/>
      <c r="N2244" s="1"/>
      <c r="O2244" s="1"/>
      <c r="P2244" s="1"/>
      <c r="Q2244" s="1"/>
      <c r="R2244" s="1"/>
      <c r="S2244" s="1"/>
      <c r="T2244" s="1"/>
      <c r="U2244" s="1"/>
      <c r="V2244" s="1"/>
      <c r="W2244" s="1"/>
      <c r="X2244" s="1"/>
      <c r="Y2244" s="1"/>
      <c r="Z2244" s="1"/>
      <c r="AA2244" s="1"/>
      <c r="AB2244" s="1"/>
      <c r="AC2244" s="1"/>
      <c r="AD2244" s="1" t="s">
        <v>93</v>
      </c>
      <c r="AE2244" s="1" t="s">
        <v>93</v>
      </c>
      <c r="AF2244" s="1"/>
      <c r="AG2244" s="1"/>
      <c r="AH2244" s="1"/>
      <c r="AI2244" s="1"/>
      <c r="AJ2244" s="1"/>
      <c r="AK2244" s="1"/>
      <c r="AL2244" s="1"/>
      <c r="AM2244" s="1"/>
      <c r="AN2244" s="1"/>
      <c r="AO2244" s="1"/>
      <c r="AP2244" s="1"/>
      <c r="AQ2244" s="1"/>
      <c r="AR2244" s="1"/>
      <c r="AS2244" s="1"/>
      <c r="AT2244" s="1"/>
      <c r="AU2244" s="1"/>
      <c r="AV2244" s="1"/>
      <c r="AW2244" s="1"/>
      <c r="AX2244" s="1"/>
      <c r="AY2244" s="1"/>
      <c r="AZ2244" s="1"/>
      <c r="BA2244" s="1"/>
      <c r="BB2244" s="1"/>
      <c r="BC2244" s="1"/>
      <c r="BD2244" s="1"/>
      <c r="BE2244" s="1"/>
      <c r="BF2244" s="1"/>
      <c r="BG2244" s="1"/>
      <c r="BH2244" s="1"/>
      <c r="BI2244" s="1"/>
      <c r="BJ2244" s="1"/>
      <c r="BK2244" s="1"/>
      <c r="BL2244" s="1"/>
      <c r="BM2244" s="1"/>
      <c r="BN2244" s="1"/>
      <c r="BO2244" s="1"/>
      <c r="BP2244" s="1" t="s">
        <v>9609</v>
      </c>
      <c r="BQ2244" s="3"/>
      <c r="BR2244" s="3"/>
    </row>
    <row r="2245" spans="1:70">
      <c r="A2245" s="1" t="s">
        <v>25368</v>
      </c>
      <c r="B2245" s="1" t="s">
        <v>13846</v>
      </c>
      <c r="C2245" s="1" t="s">
        <v>25371</v>
      </c>
      <c r="D2245" s="1"/>
      <c r="E2245" s="1"/>
      <c r="F2245" s="1"/>
      <c r="G2245" s="1"/>
      <c r="H2245" s="1" t="s">
        <v>25372</v>
      </c>
      <c r="I2245" s="1" t="s">
        <v>25372</v>
      </c>
      <c r="J2245" s="1"/>
      <c r="K2245" s="1"/>
      <c r="L2245" s="1"/>
      <c r="M2245" s="1"/>
      <c r="N2245" s="1"/>
      <c r="O2245" s="1"/>
      <c r="P2245" s="1"/>
      <c r="Q2245" s="1"/>
      <c r="R2245" s="1"/>
      <c r="S2245" s="1"/>
      <c r="T2245" s="1"/>
      <c r="U2245" s="1"/>
      <c r="V2245" s="1"/>
      <c r="W2245" s="1"/>
      <c r="X2245" s="1"/>
      <c r="Y2245" s="1"/>
      <c r="Z2245" s="1"/>
      <c r="AA2245" s="1"/>
      <c r="AB2245" s="1"/>
      <c r="AC2245" s="1"/>
      <c r="AD2245" s="1" t="s">
        <v>93</v>
      </c>
      <c r="AE2245" s="1" t="s">
        <v>93</v>
      </c>
      <c r="AF2245" s="1"/>
      <c r="AG2245" s="1"/>
      <c r="AH2245" s="1"/>
      <c r="AI2245" s="1"/>
      <c r="AJ2245" s="1"/>
      <c r="AK2245" s="1"/>
      <c r="AL2245" s="1"/>
      <c r="AM2245" s="1"/>
      <c r="AN2245" s="1"/>
      <c r="AO2245" s="1"/>
      <c r="AP2245" s="1"/>
      <c r="AQ2245" s="1"/>
      <c r="AR2245" s="1"/>
      <c r="AS2245" s="1"/>
      <c r="AT2245" s="1"/>
      <c r="AU2245" s="1"/>
      <c r="AV2245" s="1"/>
      <c r="AW2245" s="1"/>
      <c r="AX2245" s="1"/>
      <c r="AY2245" s="1"/>
      <c r="AZ2245" s="1"/>
      <c r="BA2245" s="1"/>
      <c r="BB2245" s="1"/>
      <c r="BC2245" s="1"/>
      <c r="BD2245" s="1"/>
      <c r="BE2245" s="1"/>
      <c r="BF2245" s="1"/>
      <c r="BG2245" s="1"/>
      <c r="BH2245" s="1"/>
      <c r="BI2245" s="1"/>
      <c r="BJ2245" s="1"/>
      <c r="BK2245" s="1"/>
      <c r="BL2245" s="1"/>
      <c r="BM2245" s="1"/>
      <c r="BN2245" s="1"/>
      <c r="BO2245" s="1"/>
      <c r="BP2245" s="1" t="s">
        <v>9609</v>
      </c>
      <c r="BQ2245" s="3"/>
      <c r="BR2245" s="3"/>
    </row>
    <row r="2246" spans="1:70">
      <c r="A2246" s="1" t="s">
        <v>25368</v>
      </c>
      <c r="B2246" s="1" t="s">
        <v>13846</v>
      </c>
      <c r="C2246" s="1" t="s">
        <v>25373</v>
      </c>
      <c r="D2246" s="1"/>
      <c r="E2246" s="1"/>
      <c r="F2246" s="1"/>
      <c r="G2246" s="1"/>
      <c r="H2246" s="1" t="s">
        <v>25374</v>
      </c>
      <c r="I2246" s="1" t="s">
        <v>25374</v>
      </c>
      <c r="J2246" s="1"/>
      <c r="K2246" s="1"/>
      <c r="L2246" s="1"/>
      <c r="M2246" s="1"/>
      <c r="N2246" s="1"/>
      <c r="O2246" s="1"/>
      <c r="P2246" s="1"/>
      <c r="Q2246" s="1"/>
      <c r="R2246" s="1"/>
      <c r="S2246" s="1"/>
      <c r="T2246" s="1"/>
      <c r="U2246" s="1"/>
      <c r="V2246" s="1"/>
      <c r="W2246" s="1"/>
      <c r="X2246" s="1"/>
      <c r="Y2246" s="1"/>
      <c r="Z2246" s="1"/>
      <c r="AA2246" s="1"/>
      <c r="AB2246" s="1"/>
      <c r="AC2246" s="1"/>
      <c r="AD2246" s="1" t="s">
        <v>93</v>
      </c>
      <c r="AE2246" s="1" t="s">
        <v>93</v>
      </c>
      <c r="AF2246" s="1"/>
      <c r="AG2246" s="1"/>
      <c r="AH2246" s="1"/>
      <c r="AI2246" s="1"/>
      <c r="AJ2246" s="1"/>
      <c r="AK2246" s="1"/>
      <c r="AL2246" s="1"/>
      <c r="AM2246" s="1"/>
      <c r="AN2246" s="1"/>
      <c r="AO2246" s="1"/>
      <c r="AP2246" s="1"/>
      <c r="AQ2246" s="1"/>
      <c r="AR2246" s="1"/>
      <c r="AS2246" s="1"/>
      <c r="AT2246" s="1"/>
      <c r="AU2246" s="1"/>
      <c r="AV2246" s="1"/>
      <c r="AW2246" s="1"/>
      <c r="AX2246" s="1"/>
      <c r="AY2246" s="1"/>
      <c r="AZ2246" s="1"/>
      <c r="BA2246" s="1"/>
      <c r="BB2246" s="1"/>
      <c r="BC2246" s="1"/>
      <c r="BD2246" s="1"/>
      <c r="BE2246" s="1"/>
      <c r="BF2246" s="1"/>
      <c r="BG2246" s="1"/>
      <c r="BH2246" s="1"/>
      <c r="BI2246" s="1"/>
      <c r="BJ2246" s="1"/>
      <c r="BK2246" s="1"/>
      <c r="BL2246" s="1"/>
      <c r="BM2246" s="1"/>
      <c r="BN2246" s="1"/>
      <c r="BO2246" s="1"/>
      <c r="BP2246" s="1" t="s">
        <v>9609</v>
      </c>
      <c r="BQ2246" s="3"/>
      <c r="BR2246" s="3"/>
    </row>
    <row r="2247" spans="1:70">
      <c r="A2247" s="1" t="s">
        <v>25368</v>
      </c>
      <c r="B2247" s="1" t="s">
        <v>13846</v>
      </c>
      <c r="C2247" s="1" t="s">
        <v>25375</v>
      </c>
      <c r="D2247" s="1"/>
      <c r="E2247" s="1"/>
      <c r="F2247" s="1"/>
      <c r="G2247" s="1"/>
      <c r="H2247" s="1" t="s">
        <v>25376</v>
      </c>
      <c r="I2247" s="1" t="s">
        <v>25376</v>
      </c>
      <c r="J2247" s="1"/>
      <c r="K2247" s="1"/>
      <c r="L2247" s="1"/>
      <c r="M2247" s="1"/>
      <c r="N2247" s="1"/>
      <c r="O2247" s="1"/>
      <c r="P2247" s="1"/>
      <c r="Q2247" s="1"/>
      <c r="R2247" s="1"/>
      <c r="S2247" s="1"/>
      <c r="T2247" s="1"/>
      <c r="U2247" s="1"/>
      <c r="V2247" s="1"/>
      <c r="W2247" s="1"/>
      <c r="X2247" s="1"/>
      <c r="Y2247" s="1"/>
      <c r="Z2247" s="1"/>
      <c r="AA2247" s="1"/>
      <c r="AB2247" s="1"/>
      <c r="AC2247" s="1"/>
      <c r="AD2247" s="1" t="s">
        <v>93</v>
      </c>
      <c r="AE2247" s="1" t="s">
        <v>93</v>
      </c>
      <c r="AF2247" s="1"/>
      <c r="AG2247" s="1"/>
      <c r="AH2247" s="1"/>
      <c r="AI2247" s="1"/>
      <c r="AJ2247" s="1"/>
      <c r="AK2247" s="1"/>
      <c r="AL2247" s="1"/>
      <c r="AM2247" s="1"/>
      <c r="AN2247" s="1"/>
      <c r="AO2247" s="1"/>
      <c r="AP2247" s="1"/>
      <c r="AQ2247" s="1"/>
      <c r="AR2247" s="1"/>
      <c r="AS2247" s="1"/>
      <c r="AT2247" s="1"/>
      <c r="AU2247" s="1"/>
      <c r="AV2247" s="1"/>
      <c r="AW2247" s="1"/>
      <c r="AX2247" s="1"/>
      <c r="AY2247" s="1"/>
      <c r="AZ2247" s="1"/>
      <c r="BA2247" s="1"/>
      <c r="BB2247" s="1"/>
      <c r="BC2247" s="1"/>
      <c r="BD2247" s="1"/>
      <c r="BE2247" s="1"/>
      <c r="BF2247" s="1"/>
      <c r="BG2247" s="1"/>
      <c r="BH2247" s="1"/>
      <c r="BI2247" s="1"/>
      <c r="BJ2247" s="1"/>
      <c r="BK2247" s="1"/>
      <c r="BL2247" s="1"/>
      <c r="BM2247" s="1"/>
      <c r="BN2247" s="1"/>
      <c r="BO2247" s="1"/>
      <c r="BP2247" s="1" t="s">
        <v>9609</v>
      </c>
      <c r="BQ2247" s="3"/>
      <c r="BR2247" s="3"/>
    </row>
    <row r="2248" spans="1:70">
      <c r="A2248" s="1" t="s">
        <v>25368</v>
      </c>
      <c r="B2248" s="1" t="s">
        <v>13846</v>
      </c>
      <c r="C2248" s="1" t="s">
        <v>25377</v>
      </c>
      <c r="D2248" s="1"/>
      <c r="E2248" s="1"/>
      <c r="F2248" s="1"/>
      <c r="G2248" s="1"/>
      <c r="H2248" s="1" t="s">
        <v>25378</v>
      </c>
      <c r="I2248" s="1" t="s">
        <v>25378</v>
      </c>
      <c r="J2248" s="1"/>
      <c r="K2248" s="1"/>
      <c r="L2248" s="1"/>
      <c r="M2248" s="1"/>
      <c r="N2248" s="1"/>
      <c r="O2248" s="1"/>
      <c r="P2248" s="1"/>
      <c r="Q2248" s="1"/>
      <c r="R2248" s="1"/>
      <c r="S2248" s="1"/>
      <c r="T2248" s="1"/>
      <c r="U2248" s="1"/>
      <c r="V2248" s="1"/>
      <c r="W2248" s="1"/>
      <c r="X2248" s="1"/>
      <c r="Y2248" s="1"/>
      <c r="Z2248" s="1"/>
      <c r="AA2248" s="1"/>
      <c r="AB2248" s="1"/>
      <c r="AC2248" s="1"/>
      <c r="AD2248" s="1" t="s">
        <v>93</v>
      </c>
      <c r="AE2248" s="1" t="s">
        <v>93</v>
      </c>
      <c r="AF2248" s="1"/>
      <c r="AG2248" s="1"/>
      <c r="AH2248" s="1"/>
      <c r="AI2248" s="1"/>
      <c r="AJ2248" s="1"/>
      <c r="AK2248" s="1"/>
      <c r="AL2248" s="1"/>
      <c r="AM2248" s="1"/>
      <c r="AN2248" s="1"/>
      <c r="AO2248" s="1"/>
      <c r="AP2248" s="1"/>
      <c r="AQ2248" s="1"/>
      <c r="AR2248" s="1"/>
      <c r="AS2248" s="1"/>
      <c r="AT2248" s="1"/>
      <c r="AU2248" s="1"/>
      <c r="AV2248" s="1"/>
      <c r="AW2248" s="1"/>
      <c r="AX2248" s="1"/>
      <c r="AY2248" s="1"/>
      <c r="AZ2248" s="1"/>
      <c r="BA2248" s="1"/>
      <c r="BB2248" s="1"/>
      <c r="BC2248" s="1"/>
      <c r="BD2248" s="1"/>
      <c r="BE2248" s="1"/>
      <c r="BF2248" s="1"/>
      <c r="BG2248" s="1"/>
      <c r="BH2248" s="1"/>
      <c r="BI2248" s="1"/>
      <c r="BJ2248" s="1"/>
      <c r="BK2248" s="1"/>
      <c r="BL2248" s="1"/>
      <c r="BM2248" s="1"/>
      <c r="BN2248" s="1"/>
      <c r="BO2248" s="1"/>
      <c r="BP2248" s="1" t="s">
        <v>9609</v>
      </c>
      <c r="BQ2248" s="3"/>
      <c r="BR2248" s="3"/>
    </row>
    <row r="2249" spans="1:70">
      <c r="A2249" s="1" t="s">
        <v>25368</v>
      </c>
      <c r="B2249" s="1" t="s">
        <v>13846</v>
      </c>
      <c r="C2249" s="1" t="s">
        <v>25379</v>
      </c>
      <c r="D2249" s="1"/>
      <c r="E2249" s="1"/>
      <c r="F2249" s="1"/>
      <c r="G2249" s="1"/>
      <c r="H2249" s="1" t="s">
        <v>25380</v>
      </c>
      <c r="I2249" s="1" t="s">
        <v>25380</v>
      </c>
      <c r="J2249" s="1"/>
      <c r="K2249" s="1"/>
      <c r="L2249" s="1"/>
      <c r="M2249" s="1"/>
      <c r="N2249" s="1"/>
      <c r="O2249" s="1"/>
      <c r="P2249" s="1"/>
      <c r="Q2249" s="1"/>
      <c r="R2249" s="1"/>
      <c r="S2249" s="1"/>
      <c r="T2249" s="1"/>
      <c r="U2249" s="1"/>
      <c r="V2249" s="1"/>
      <c r="W2249" s="1"/>
      <c r="X2249" s="1"/>
      <c r="Y2249" s="1"/>
      <c r="Z2249" s="1"/>
      <c r="AA2249" s="1"/>
      <c r="AB2249" s="1"/>
      <c r="AC2249" s="1"/>
      <c r="AD2249" s="1" t="s">
        <v>93</v>
      </c>
      <c r="AE2249" s="1" t="s">
        <v>93</v>
      </c>
      <c r="AF2249" s="1"/>
      <c r="AG2249" s="1"/>
      <c r="AH2249" s="1"/>
      <c r="AI2249" s="1"/>
      <c r="AJ2249" s="1"/>
      <c r="AK2249" s="1"/>
      <c r="AL2249" s="1"/>
      <c r="AM2249" s="1"/>
      <c r="AN2249" s="1"/>
      <c r="AO2249" s="1"/>
      <c r="AP2249" s="1"/>
      <c r="AQ2249" s="1"/>
      <c r="AR2249" s="1"/>
      <c r="AS2249" s="1"/>
      <c r="AT2249" s="1"/>
      <c r="AU2249" s="1"/>
      <c r="AV2249" s="1"/>
      <c r="AW2249" s="1"/>
      <c r="AX2249" s="1"/>
      <c r="AY2249" s="1"/>
      <c r="AZ2249" s="1"/>
      <c r="BA2249" s="1"/>
      <c r="BB2249" s="1"/>
      <c r="BC2249" s="1"/>
      <c r="BD2249" s="1"/>
      <c r="BE2249" s="1"/>
      <c r="BF2249" s="1"/>
      <c r="BG2249" s="1"/>
      <c r="BH2249" s="1"/>
      <c r="BI2249" s="1"/>
      <c r="BJ2249" s="1"/>
      <c r="BK2249" s="1"/>
      <c r="BL2249" s="1"/>
      <c r="BM2249" s="1"/>
      <c r="BN2249" s="1"/>
      <c r="BO2249" s="1"/>
      <c r="BP2249" s="1" t="s">
        <v>9609</v>
      </c>
      <c r="BQ2249" s="3"/>
      <c r="BR2249" s="3"/>
    </row>
    <row r="2250" spans="1:70">
      <c r="A2250" s="1" t="s">
        <v>25368</v>
      </c>
      <c r="B2250" s="1" t="s">
        <v>13846</v>
      </c>
      <c r="C2250" s="1" t="s">
        <v>25381</v>
      </c>
      <c r="D2250" s="1"/>
      <c r="E2250" s="1"/>
      <c r="F2250" s="1"/>
      <c r="G2250" s="1"/>
      <c r="H2250" s="1" t="s">
        <v>25382</v>
      </c>
      <c r="I2250" s="1" t="s">
        <v>25382</v>
      </c>
      <c r="J2250" s="1"/>
      <c r="K2250" s="1"/>
      <c r="L2250" s="1"/>
      <c r="M2250" s="1"/>
      <c r="N2250" s="1"/>
      <c r="O2250" s="1"/>
      <c r="P2250" s="1"/>
      <c r="Q2250" s="1"/>
      <c r="R2250" s="1"/>
      <c r="S2250" s="1"/>
      <c r="T2250" s="1"/>
      <c r="U2250" s="1"/>
      <c r="V2250" s="1"/>
      <c r="W2250" s="1"/>
      <c r="X2250" s="1"/>
      <c r="Y2250" s="1"/>
      <c r="Z2250" s="1"/>
      <c r="AA2250" s="1"/>
      <c r="AB2250" s="1"/>
      <c r="AC2250" s="1"/>
      <c r="AD2250" s="1" t="s">
        <v>93</v>
      </c>
      <c r="AE2250" s="1" t="s">
        <v>93</v>
      </c>
      <c r="AF2250" s="1"/>
      <c r="AG2250" s="1"/>
      <c r="AH2250" s="1"/>
      <c r="AI2250" s="1"/>
      <c r="AJ2250" s="1"/>
      <c r="AK2250" s="1"/>
      <c r="AL2250" s="1"/>
      <c r="AM2250" s="1"/>
      <c r="AN2250" s="1"/>
      <c r="AO2250" s="1"/>
      <c r="AP2250" s="1"/>
      <c r="AQ2250" s="1"/>
      <c r="AR2250" s="1"/>
      <c r="AS2250" s="1"/>
      <c r="AT2250" s="1"/>
      <c r="AU2250" s="1"/>
      <c r="AV2250" s="1"/>
      <c r="AW2250" s="1"/>
      <c r="AX2250" s="1"/>
      <c r="AY2250" s="1"/>
      <c r="AZ2250" s="1"/>
      <c r="BA2250" s="1"/>
      <c r="BB2250" s="1"/>
      <c r="BC2250" s="1"/>
      <c r="BD2250" s="1"/>
      <c r="BE2250" s="1"/>
      <c r="BF2250" s="1"/>
      <c r="BG2250" s="1"/>
      <c r="BH2250" s="1"/>
      <c r="BI2250" s="1"/>
      <c r="BJ2250" s="1"/>
      <c r="BK2250" s="1"/>
      <c r="BL2250" s="1"/>
      <c r="BM2250" s="1"/>
      <c r="BN2250" s="1"/>
      <c r="BO2250" s="1"/>
      <c r="BP2250" s="1" t="s">
        <v>9609</v>
      </c>
      <c r="BQ2250" s="3"/>
      <c r="BR2250" s="3"/>
    </row>
    <row r="2251" spans="1:70">
      <c r="A2251" s="1" t="s">
        <v>25368</v>
      </c>
      <c r="B2251" s="1" t="s">
        <v>13846</v>
      </c>
      <c r="C2251" s="1" t="s">
        <v>25383</v>
      </c>
      <c r="D2251" s="1"/>
      <c r="E2251" s="1"/>
      <c r="F2251" s="1"/>
      <c r="G2251" s="1"/>
      <c r="H2251" s="1" t="s">
        <v>25384</v>
      </c>
      <c r="I2251" s="1" t="s">
        <v>25384</v>
      </c>
      <c r="J2251" s="1"/>
      <c r="K2251" s="1"/>
      <c r="L2251" s="1"/>
      <c r="M2251" s="1"/>
      <c r="N2251" s="1"/>
      <c r="O2251" s="1"/>
      <c r="P2251" s="1"/>
      <c r="Q2251" s="1"/>
      <c r="R2251" s="1"/>
      <c r="S2251" s="1"/>
      <c r="T2251" s="1"/>
      <c r="U2251" s="1"/>
      <c r="V2251" s="1"/>
      <c r="W2251" s="1"/>
      <c r="X2251" s="1"/>
      <c r="Y2251" s="1"/>
      <c r="Z2251" s="1"/>
      <c r="AA2251" s="1"/>
      <c r="AB2251" s="1"/>
      <c r="AC2251" s="1"/>
      <c r="AD2251" s="1" t="s">
        <v>93</v>
      </c>
      <c r="AE2251" s="1" t="s">
        <v>93</v>
      </c>
      <c r="AF2251" s="1"/>
      <c r="AG2251" s="1"/>
      <c r="AH2251" s="1"/>
      <c r="AI2251" s="1"/>
      <c r="AJ2251" s="1"/>
      <c r="AK2251" s="1"/>
      <c r="AL2251" s="1"/>
      <c r="AM2251" s="1"/>
      <c r="AN2251" s="1"/>
      <c r="AO2251" s="1"/>
      <c r="AP2251" s="1"/>
      <c r="AQ2251" s="1"/>
      <c r="AR2251" s="1"/>
      <c r="AS2251" s="1"/>
      <c r="AT2251" s="1"/>
      <c r="AU2251" s="1"/>
      <c r="AV2251" s="1"/>
      <c r="AW2251" s="1"/>
      <c r="AX2251" s="1"/>
      <c r="AY2251" s="1"/>
      <c r="AZ2251" s="1"/>
      <c r="BA2251" s="1"/>
      <c r="BB2251" s="1"/>
      <c r="BC2251" s="1"/>
      <c r="BD2251" s="1"/>
      <c r="BE2251" s="1"/>
      <c r="BF2251" s="1"/>
      <c r="BG2251" s="1"/>
      <c r="BH2251" s="1"/>
      <c r="BI2251" s="1"/>
      <c r="BJ2251" s="1"/>
      <c r="BK2251" s="1"/>
      <c r="BL2251" s="1"/>
      <c r="BM2251" s="1"/>
      <c r="BN2251" s="1"/>
      <c r="BO2251" s="1"/>
      <c r="BP2251" s="1" t="s">
        <v>9609</v>
      </c>
      <c r="BQ2251" s="3"/>
      <c r="BR2251" s="3"/>
    </row>
    <row r="2252" spans="1:70">
      <c r="A2252" s="1" t="s">
        <v>25368</v>
      </c>
      <c r="B2252" s="1" t="s">
        <v>13846</v>
      </c>
      <c r="C2252" s="1" t="s">
        <v>25385</v>
      </c>
      <c r="D2252" s="1"/>
      <c r="E2252" s="1"/>
      <c r="F2252" s="1"/>
      <c r="G2252" s="1"/>
      <c r="H2252" s="1" t="s">
        <v>25386</v>
      </c>
      <c r="I2252" s="1" t="s">
        <v>25386</v>
      </c>
      <c r="J2252" s="1"/>
      <c r="K2252" s="1"/>
      <c r="L2252" s="1"/>
      <c r="M2252" s="1"/>
      <c r="N2252" s="1"/>
      <c r="O2252" s="1"/>
      <c r="P2252" s="1"/>
      <c r="Q2252" s="1"/>
      <c r="R2252" s="1"/>
      <c r="S2252" s="1"/>
      <c r="T2252" s="1"/>
      <c r="U2252" s="1"/>
      <c r="V2252" s="1"/>
      <c r="W2252" s="1"/>
      <c r="X2252" s="1"/>
      <c r="Y2252" s="1"/>
      <c r="Z2252" s="1"/>
      <c r="AA2252" s="1"/>
      <c r="AB2252" s="1"/>
      <c r="AC2252" s="1"/>
      <c r="AD2252" s="1" t="s">
        <v>93</v>
      </c>
      <c r="AE2252" s="1" t="s">
        <v>93</v>
      </c>
      <c r="AF2252" s="1"/>
      <c r="AG2252" s="1"/>
      <c r="AH2252" s="1"/>
      <c r="AI2252" s="1"/>
      <c r="AJ2252" s="1"/>
      <c r="AK2252" s="1"/>
      <c r="AL2252" s="1"/>
      <c r="AM2252" s="1"/>
      <c r="AN2252" s="1"/>
      <c r="AO2252" s="1"/>
      <c r="AP2252" s="1"/>
      <c r="AQ2252" s="1"/>
      <c r="AR2252" s="1"/>
      <c r="AS2252" s="1"/>
      <c r="AT2252" s="1"/>
      <c r="AU2252" s="1"/>
      <c r="AV2252" s="1"/>
      <c r="AW2252" s="1"/>
      <c r="AX2252" s="1"/>
      <c r="AY2252" s="1"/>
      <c r="AZ2252" s="1"/>
      <c r="BA2252" s="1"/>
      <c r="BB2252" s="1"/>
      <c r="BC2252" s="1"/>
      <c r="BD2252" s="1"/>
      <c r="BE2252" s="1"/>
      <c r="BF2252" s="1"/>
      <c r="BG2252" s="1"/>
      <c r="BH2252" s="1"/>
      <c r="BI2252" s="1"/>
      <c r="BJ2252" s="1"/>
      <c r="BK2252" s="1"/>
      <c r="BL2252" s="1"/>
      <c r="BM2252" s="1"/>
      <c r="BN2252" s="1"/>
      <c r="BO2252" s="1"/>
      <c r="BP2252" s="1" t="s">
        <v>9609</v>
      </c>
      <c r="BQ2252" s="3"/>
      <c r="BR2252" s="3"/>
    </row>
    <row r="2253" spans="1:70">
      <c r="A2253" s="1" t="s">
        <v>25368</v>
      </c>
      <c r="B2253" s="1" t="s">
        <v>13846</v>
      </c>
      <c r="C2253" s="1" t="s">
        <v>25387</v>
      </c>
      <c r="D2253" s="1"/>
      <c r="E2253" s="1"/>
      <c r="F2253" s="1"/>
      <c r="G2253" s="1"/>
      <c r="H2253" s="1" t="s">
        <v>25388</v>
      </c>
      <c r="I2253" s="1" t="s">
        <v>25388</v>
      </c>
      <c r="J2253" s="1"/>
      <c r="K2253" s="1"/>
      <c r="L2253" s="1"/>
      <c r="M2253" s="1"/>
      <c r="N2253" s="1"/>
      <c r="O2253" s="1"/>
      <c r="P2253" s="1"/>
      <c r="Q2253" s="1"/>
      <c r="R2253" s="1"/>
      <c r="S2253" s="1"/>
      <c r="T2253" s="1"/>
      <c r="U2253" s="1"/>
      <c r="V2253" s="1"/>
      <c r="W2253" s="1"/>
      <c r="X2253" s="1"/>
      <c r="Y2253" s="1"/>
      <c r="Z2253" s="1"/>
      <c r="AA2253" s="1"/>
      <c r="AB2253" s="1"/>
      <c r="AC2253" s="1"/>
      <c r="AD2253" s="1" t="s">
        <v>93</v>
      </c>
      <c r="AE2253" s="1" t="s">
        <v>93</v>
      </c>
      <c r="AF2253" s="1"/>
      <c r="AG2253" s="1"/>
      <c r="AH2253" s="1"/>
      <c r="AI2253" s="1"/>
      <c r="AJ2253" s="1"/>
      <c r="AK2253" s="1"/>
      <c r="AL2253" s="1"/>
      <c r="AM2253" s="1"/>
      <c r="AN2253" s="1"/>
      <c r="AO2253" s="1"/>
      <c r="AP2253" s="1"/>
      <c r="AQ2253" s="1"/>
      <c r="AR2253" s="1"/>
      <c r="AS2253" s="1"/>
      <c r="AT2253" s="1"/>
      <c r="AU2253" s="1"/>
      <c r="AV2253" s="1"/>
      <c r="AW2253" s="1"/>
      <c r="AX2253" s="1"/>
      <c r="AY2253" s="1"/>
      <c r="AZ2253" s="1"/>
      <c r="BA2253" s="1"/>
      <c r="BB2253" s="1"/>
      <c r="BC2253" s="1"/>
      <c r="BD2253" s="1"/>
      <c r="BE2253" s="1"/>
      <c r="BF2253" s="1"/>
      <c r="BG2253" s="1"/>
      <c r="BH2253" s="1"/>
      <c r="BI2253" s="1"/>
      <c r="BJ2253" s="1"/>
      <c r="BK2253" s="1"/>
      <c r="BL2253" s="1"/>
      <c r="BM2253" s="1"/>
      <c r="BN2253" s="1"/>
      <c r="BO2253" s="1"/>
      <c r="BP2253" s="1" t="s">
        <v>9609</v>
      </c>
      <c r="BQ2253" s="3"/>
      <c r="BR2253" s="3"/>
    </row>
    <row r="2254" spans="1:70">
      <c r="A2254" s="1" t="s">
        <v>25368</v>
      </c>
      <c r="B2254" s="1" t="s">
        <v>13846</v>
      </c>
      <c r="C2254" s="1" t="s">
        <v>25389</v>
      </c>
      <c r="D2254" s="1"/>
      <c r="E2254" s="1"/>
      <c r="F2254" s="1"/>
      <c r="G2254" s="1"/>
      <c r="H2254" s="1" t="s">
        <v>25390</v>
      </c>
      <c r="I2254" s="1" t="s">
        <v>25390</v>
      </c>
      <c r="J2254" s="1"/>
      <c r="K2254" s="1"/>
      <c r="L2254" s="1"/>
      <c r="M2254" s="1"/>
      <c r="N2254" s="1"/>
      <c r="O2254" s="1"/>
      <c r="P2254" s="1"/>
      <c r="Q2254" s="1"/>
      <c r="R2254" s="1"/>
      <c r="S2254" s="1"/>
      <c r="T2254" s="1"/>
      <c r="U2254" s="1"/>
      <c r="V2254" s="1"/>
      <c r="W2254" s="1"/>
      <c r="X2254" s="1"/>
      <c r="Y2254" s="1"/>
      <c r="Z2254" s="1"/>
      <c r="AA2254" s="1"/>
      <c r="AB2254" s="1"/>
      <c r="AC2254" s="1"/>
      <c r="AD2254" s="1" t="s">
        <v>93</v>
      </c>
      <c r="AE2254" s="1" t="s">
        <v>93</v>
      </c>
      <c r="AF2254" s="1"/>
      <c r="AG2254" s="1"/>
      <c r="AH2254" s="1"/>
      <c r="AI2254" s="1"/>
      <c r="AJ2254" s="1"/>
      <c r="AK2254" s="1"/>
      <c r="AL2254" s="1"/>
      <c r="AM2254" s="1"/>
      <c r="AN2254" s="1"/>
      <c r="AO2254" s="1"/>
      <c r="AP2254" s="1"/>
      <c r="AQ2254" s="1"/>
      <c r="AR2254" s="1"/>
      <c r="AS2254" s="1"/>
      <c r="AT2254" s="1"/>
      <c r="AU2254" s="1"/>
      <c r="AV2254" s="1"/>
      <c r="AW2254" s="1"/>
      <c r="AX2254" s="1"/>
      <c r="AY2254" s="1"/>
      <c r="AZ2254" s="1"/>
      <c r="BA2254" s="1"/>
      <c r="BB2254" s="1"/>
      <c r="BC2254" s="1"/>
      <c r="BD2254" s="1"/>
      <c r="BE2254" s="1"/>
      <c r="BF2254" s="1"/>
      <c r="BG2254" s="1"/>
      <c r="BH2254" s="1"/>
      <c r="BI2254" s="1"/>
      <c r="BJ2254" s="1"/>
      <c r="BK2254" s="1"/>
      <c r="BL2254" s="1"/>
      <c r="BM2254" s="1"/>
      <c r="BN2254" s="1"/>
      <c r="BO2254" s="1"/>
      <c r="BP2254" s="1" t="s">
        <v>9609</v>
      </c>
      <c r="BQ2254" s="3"/>
      <c r="BR2254" s="3"/>
    </row>
    <row r="2255" spans="1:70">
      <c r="A2255" s="1" t="s">
        <v>25368</v>
      </c>
      <c r="B2255" s="1" t="s">
        <v>13846</v>
      </c>
      <c r="C2255" s="1" t="s">
        <v>25391</v>
      </c>
      <c r="D2255" s="1"/>
      <c r="E2255" s="1"/>
      <c r="F2255" s="1"/>
      <c r="G2255" s="1"/>
      <c r="H2255" s="1" t="s">
        <v>25392</v>
      </c>
      <c r="I2255" s="1" t="s">
        <v>25392</v>
      </c>
      <c r="J2255" s="1"/>
      <c r="K2255" s="1"/>
      <c r="L2255" s="1"/>
      <c r="M2255" s="1"/>
      <c r="N2255" s="1"/>
      <c r="O2255" s="1"/>
      <c r="P2255" s="1"/>
      <c r="Q2255" s="1"/>
      <c r="R2255" s="1"/>
      <c r="S2255" s="1"/>
      <c r="T2255" s="1"/>
      <c r="U2255" s="1"/>
      <c r="V2255" s="1"/>
      <c r="W2255" s="1"/>
      <c r="X2255" s="1"/>
      <c r="Y2255" s="1"/>
      <c r="Z2255" s="1"/>
      <c r="AA2255" s="1"/>
      <c r="AB2255" s="1"/>
      <c r="AC2255" s="1"/>
      <c r="AD2255" s="1" t="s">
        <v>93</v>
      </c>
      <c r="AE2255" s="1" t="s">
        <v>93</v>
      </c>
      <c r="AF2255" s="1"/>
      <c r="AG2255" s="1"/>
      <c r="AH2255" s="1"/>
      <c r="AI2255" s="1"/>
      <c r="AJ2255" s="1"/>
      <c r="AK2255" s="1"/>
      <c r="AL2255" s="1"/>
      <c r="AM2255" s="1"/>
      <c r="AN2255" s="1"/>
      <c r="AO2255" s="1"/>
      <c r="AP2255" s="1"/>
      <c r="AQ2255" s="1"/>
      <c r="AR2255" s="1"/>
      <c r="AS2255" s="1"/>
      <c r="AT2255" s="1"/>
      <c r="AU2255" s="1"/>
      <c r="AV2255" s="1"/>
      <c r="AW2255" s="1"/>
      <c r="AX2255" s="1"/>
      <c r="AY2255" s="1"/>
      <c r="AZ2255" s="1"/>
      <c r="BA2255" s="1"/>
      <c r="BB2255" s="1"/>
      <c r="BC2255" s="1"/>
      <c r="BD2255" s="1"/>
      <c r="BE2255" s="1"/>
      <c r="BF2255" s="1"/>
      <c r="BG2255" s="1"/>
      <c r="BH2255" s="1"/>
      <c r="BI2255" s="1"/>
      <c r="BJ2255" s="1"/>
      <c r="BK2255" s="1"/>
      <c r="BL2255" s="1"/>
      <c r="BM2255" s="1"/>
      <c r="BN2255" s="1"/>
      <c r="BO2255" s="1"/>
      <c r="BP2255" s="1" t="s">
        <v>9609</v>
      </c>
      <c r="BQ2255" s="3"/>
      <c r="BR2255" s="3"/>
    </row>
    <row r="2256" spans="1:70">
      <c r="A2256" s="1" t="s">
        <v>25368</v>
      </c>
      <c r="B2256" s="1" t="s">
        <v>13846</v>
      </c>
      <c r="C2256" s="1" t="s">
        <v>25393</v>
      </c>
      <c r="D2256" s="1"/>
      <c r="E2256" s="1"/>
      <c r="F2256" s="1"/>
      <c r="G2256" s="1"/>
      <c r="H2256" s="1" t="s">
        <v>25394</v>
      </c>
      <c r="I2256" s="1" t="s">
        <v>25394</v>
      </c>
      <c r="J2256" s="1"/>
      <c r="K2256" s="1"/>
      <c r="L2256" s="1"/>
      <c r="M2256" s="1"/>
      <c r="N2256" s="1"/>
      <c r="O2256" s="1"/>
      <c r="P2256" s="1"/>
      <c r="Q2256" s="1"/>
      <c r="R2256" s="1"/>
      <c r="S2256" s="1"/>
      <c r="T2256" s="1"/>
      <c r="U2256" s="1"/>
      <c r="V2256" s="1"/>
      <c r="W2256" s="1"/>
      <c r="X2256" s="1"/>
      <c r="Y2256" s="1"/>
      <c r="Z2256" s="1"/>
      <c r="AA2256" s="1"/>
      <c r="AB2256" s="1"/>
      <c r="AC2256" s="1"/>
      <c r="AD2256" s="1" t="s">
        <v>93</v>
      </c>
      <c r="AE2256" s="1" t="s">
        <v>93</v>
      </c>
      <c r="AF2256" s="1"/>
      <c r="AG2256" s="1"/>
      <c r="AH2256" s="1"/>
      <c r="AI2256" s="1"/>
      <c r="AJ2256" s="1"/>
      <c r="AK2256" s="1"/>
      <c r="AL2256" s="1"/>
      <c r="AM2256" s="1"/>
      <c r="AN2256" s="1"/>
      <c r="AO2256" s="1"/>
      <c r="AP2256" s="1"/>
      <c r="AQ2256" s="1"/>
      <c r="AR2256" s="1"/>
      <c r="AS2256" s="1"/>
      <c r="AT2256" s="1"/>
      <c r="AU2256" s="1"/>
      <c r="AV2256" s="1"/>
      <c r="AW2256" s="1"/>
      <c r="AX2256" s="1"/>
      <c r="AY2256" s="1"/>
      <c r="AZ2256" s="1"/>
      <c r="BA2256" s="1"/>
      <c r="BB2256" s="1"/>
      <c r="BC2256" s="1"/>
      <c r="BD2256" s="1"/>
      <c r="BE2256" s="1"/>
      <c r="BF2256" s="1"/>
      <c r="BG2256" s="1"/>
      <c r="BH2256" s="1"/>
      <c r="BI2256" s="1"/>
      <c r="BJ2256" s="1"/>
      <c r="BK2256" s="1"/>
      <c r="BL2256" s="1"/>
      <c r="BM2256" s="1"/>
      <c r="BN2256" s="1"/>
      <c r="BO2256" s="1"/>
      <c r="BP2256" s="1" t="s">
        <v>9609</v>
      </c>
      <c r="BQ2256" s="3"/>
      <c r="BR2256" s="3"/>
    </row>
    <row r="2257" spans="1:70">
      <c r="A2257" s="1" t="s">
        <v>25368</v>
      </c>
      <c r="B2257" s="1" t="s">
        <v>13846</v>
      </c>
      <c r="C2257" s="1" t="s">
        <v>25395</v>
      </c>
      <c r="D2257" s="1"/>
      <c r="E2257" s="1"/>
      <c r="F2257" s="1"/>
      <c r="G2257" s="1"/>
      <c r="H2257" s="1" t="s">
        <v>25396</v>
      </c>
      <c r="I2257" s="1" t="s">
        <v>25396</v>
      </c>
      <c r="J2257" s="1"/>
      <c r="K2257" s="1"/>
      <c r="L2257" s="1"/>
      <c r="M2257" s="1"/>
      <c r="N2257" s="1"/>
      <c r="O2257" s="1"/>
      <c r="P2257" s="1"/>
      <c r="Q2257" s="1"/>
      <c r="R2257" s="1"/>
      <c r="S2257" s="1"/>
      <c r="T2257" s="1"/>
      <c r="U2257" s="1"/>
      <c r="V2257" s="1"/>
      <c r="W2257" s="1"/>
      <c r="X2257" s="1"/>
      <c r="Y2257" s="1"/>
      <c r="Z2257" s="1"/>
      <c r="AA2257" s="1"/>
      <c r="AB2257" s="1"/>
      <c r="AC2257" s="1"/>
      <c r="AD2257" s="1" t="s">
        <v>93</v>
      </c>
      <c r="AE2257" s="1" t="s">
        <v>93</v>
      </c>
      <c r="AF2257" s="1"/>
      <c r="AG2257" s="1"/>
      <c r="AH2257" s="1"/>
      <c r="AI2257" s="1"/>
      <c r="AJ2257" s="1"/>
      <c r="AK2257" s="1"/>
      <c r="AL2257" s="1"/>
      <c r="AM2257" s="1"/>
      <c r="AN2257" s="1"/>
      <c r="AO2257" s="1"/>
      <c r="AP2257" s="1"/>
      <c r="AQ2257" s="1"/>
      <c r="AR2257" s="1"/>
      <c r="AS2257" s="1"/>
      <c r="AT2257" s="1"/>
      <c r="AU2257" s="1"/>
      <c r="AV2257" s="1"/>
      <c r="AW2257" s="1"/>
      <c r="AX2257" s="1"/>
      <c r="AY2257" s="1"/>
      <c r="AZ2257" s="1"/>
      <c r="BA2257" s="1"/>
      <c r="BB2257" s="1"/>
      <c r="BC2257" s="1"/>
      <c r="BD2257" s="1"/>
      <c r="BE2257" s="1"/>
      <c r="BF2257" s="1"/>
      <c r="BG2257" s="1"/>
      <c r="BH2257" s="1"/>
      <c r="BI2257" s="1"/>
      <c r="BJ2257" s="1"/>
      <c r="BK2257" s="1"/>
      <c r="BL2257" s="1"/>
      <c r="BM2257" s="1"/>
      <c r="BN2257" s="1"/>
      <c r="BO2257" s="1"/>
      <c r="BP2257" s="1" t="s">
        <v>9609</v>
      </c>
      <c r="BQ2257" s="3"/>
      <c r="BR2257" s="3"/>
    </row>
    <row r="2258" spans="1:70">
      <c r="A2258" s="1" t="s">
        <v>25368</v>
      </c>
      <c r="B2258" s="1" t="s">
        <v>13846</v>
      </c>
      <c r="C2258" s="1" t="s">
        <v>25397</v>
      </c>
      <c r="D2258" s="1"/>
      <c r="E2258" s="1"/>
      <c r="F2258" s="1"/>
      <c r="G2258" s="1"/>
      <c r="H2258" s="1" t="s">
        <v>25398</v>
      </c>
      <c r="I2258" s="1" t="s">
        <v>25398</v>
      </c>
      <c r="J2258" s="1"/>
      <c r="K2258" s="1"/>
      <c r="L2258" s="1"/>
      <c r="M2258" s="1"/>
      <c r="N2258" s="1"/>
      <c r="O2258" s="1"/>
      <c r="P2258" s="1"/>
      <c r="Q2258" s="1"/>
      <c r="R2258" s="1"/>
      <c r="S2258" s="1"/>
      <c r="T2258" s="1"/>
      <c r="U2258" s="1"/>
      <c r="V2258" s="1"/>
      <c r="W2258" s="1"/>
      <c r="X2258" s="1"/>
      <c r="Y2258" s="1"/>
      <c r="Z2258" s="1"/>
      <c r="AA2258" s="1"/>
      <c r="AB2258" s="1"/>
      <c r="AC2258" s="1"/>
      <c r="AD2258" s="1" t="s">
        <v>93</v>
      </c>
      <c r="AE2258" s="1" t="s">
        <v>93</v>
      </c>
      <c r="AF2258" s="1"/>
      <c r="AG2258" s="1"/>
      <c r="AH2258" s="1"/>
      <c r="AI2258" s="1"/>
      <c r="AJ2258" s="1"/>
      <c r="AK2258" s="1"/>
      <c r="AL2258" s="1"/>
      <c r="AM2258" s="1"/>
      <c r="AN2258" s="1"/>
      <c r="AO2258" s="1"/>
      <c r="AP2258" s="1"/>
      <c r="AQ2258" s="1"/>
      <c r="AR2258" s="1"/>
      <c r="AS2258" s="1"/>
      <c r="AT2258" s="1"/>
      <c r="AU2258" s="1"/>
      <c r="AV2258" s="1"/>
      <c r="AW2258" s="1"/>
      <c r="AX2258" s="1"/>
      <c r="AY2258" s="1"/>
      <c r="AZ2258" s="1"/>
      <c r="BA2258" s="1"/>
      <c r="BB2258" s="1"/>
      <c r="BC2258" s="1"/>
      <c r="BD2258" s="1"/>
      <c r="BE2258" s="1"/>
      <c r="BF2258" s="1"/>
      <c r="BG2258" s="1"/>
      <c r="BH2258" s="1"/>
      <c r="BI2258" s="1"/>
      <c r="BJ2258" s="1"/>
      <c r="BK2258" s="1"/>
      <c r="BL2258" s="1"/>
      <c r="BM2258" s="1"/>
      <c r="BN2258" s="1"/>
      <c r="BO2258" s="1"/>
      <c r="BP2258" s="1" t="s">
        <v>9609</v>
      </c>
      <c r="BQ2258" s="3"/>
      <c r="BR2258" s="3"/>
    </row>
    <row r="2259" spans="1:70">
      <c r="A2259" s="1" t="s">
        <v>25368</v>
      </c>
      <c r="B2259" s="1" t="s">
        <v>13846</v>
      </c>
      <c r="C2259" s="1" t="s">
        <v>25399</v>
      </c>
      <c r="D2259" s="1"/>
      <c r="E2259" s="1"/>
      <c r="F2259" s="1"/>
      <c r="G2259" s="1"/>
      <c r="H2259" s="1" t="s">
        <v>25400</v>
      </c>
      <c r="I2259" s="1" t="s">
        <v>25400</v>
      </c>
      <c r="J2259" s="1"/>
      <c r="K2259" s="1"/>
      <c r="L2259" s="1"/>
      <c r="M2259" s="1"/>
      <c r="N2259" s="1"/>
      <c r="O2259" s="1"/>
      <c r="P2259" s="1"/>
      <c r="Q2259" s="1"/>
      <c r="R2259" s="1"/>
      <c r="S2259" s="1"/>
      <c r="T2259" s="1"/>
      <c r="U2259" s="1"/>
      <c r="V2259" s="1"/>
      <c r="W2259" s="1"/>
      <c r="X2259" s="1"/>
      <c r="Y2259" s="1"/>
      <c r="Z2259" s="1"/>
      <c r="AA2259" s="1"/>
      <c r="AB2259" s="1"/>
      <c r="AC2259" s="1"/>
      <c r="AD2259" s="1" t="s">
        <v>93</v>
      </c>
      <c r="AE2259" s="1" t="s">
        <v>93</v>
      </c>
      <c r="AF2259" s="1"/>
      <c r="AG2259" s="1"/>
      <c r="AH2259" s="1"/>
      <c r="AI2259" s="1"/>
      <c r="AJ2259" s="1"/>
      <c r="AK2259" s="1"/>
      <c r="AL2259" s="1"/>
      <c r="AM2259" s="1"/>
      <c r="AN2259" s="1"/>
      <c r="AO2259" s="1"/>
      <c r="AP2259" s="1"/>
      <c r="AQ2259" s="1"/>
      <c r="AR2259" s="1"/>
      <c r="AS2259" s="1"/>
      <c r="AT2259" s="1"/>
      <c r="AU2259" s="1"/>
      <c r="AV2259" s="1"/>
      <c r="AW2259" s="1"/>
      <c r="AX2259" s="1"/>
      <c r="AY2259" s="1"/>
      <c r="AZ2259" s="1"/>
      <c r="BA2259" s="1"/>
      <c r="BB2259" s="1"/>
      <c r="BC2259" s="1"/>
      <c r="BD2259" s="1"/>
      <c r="BE2259" s="1"/>
      <c r="BF2259" s="1"/>
      <c r="BG2259" s="1"/>
      <c r="BH2259" s="1"/>
      <c r="BI2259" s="1"/>
      <c r="BJ2259" s="1"/>
      <c r="BK2259" s="1"/>
      <c r="BL2259" s="1"/>
      <c r="BM2259" s="1"/>
      <c r="BN2259" s="1"/>
      <c r="BO2259" s="1"/>
      <c r="BP2259" s="1" t="s">
        <v>9609</v>
      </c>
      <c r="BQ2259" s="3"/>
      <c r="BR2259" s="3"/>
    </row>
    <row r="2260" spans="1:70">
      <c r="A2260" s="1" t="s">
        <v>25368</v>
      </c>
      <c r="B2260" s="1" t="s">
        <v>13846</v>
      </c>
      <c r="C2260" s="1" t="s">
        <v>25401</v>
      </c>
      <c r="D2260" s="1"/>
      <c r="E2260" s="1"/>
      <c r="F2260" s="1"/>
      <c r="G2260" s="1"/>
      <c r="H2260" s="1" t="s">
        <v>25402</v>
      </c>
      <c r="I2260" s="1" t="s">
        <v>25402</v>
      </c>
      <c r="J2260" s="1"/>
      <c r="K2260" s="1"/>
      <c r="L2260" s="1"/>
      <c r="M2260" s="1"/>
      <c r="N2260" s="1"/>
      <c r="O2260" s="1"/>
      <c r="P2260" s="1"/>
      <c r="Q2260" s="1"/>
      <c r="R2260" s="1"/>
      <c r="S2260" s="1"/>
      <c r="T2260" s="1"/>
      <c r="U2260" s="1"/>
      <c r="V2260" s="1"/>
      <c r="W2260" s="1"/>
      <c r="X2260" s="1"/>
      <c r="Y2260" s="1"/>
      <c r="Z2260" s="1"/>
      <c r="AA2260" s="1"/>
      <c r="AB2260" s="1"/>
      <c r="AC2260" s="1"/>
      <c r="AD2260" s="1" t="s">
        <v>93</v>
      </c>
      <c r="AE2260" s="1" t="s">
        <v>93</v>
      </c>
      <c r="AF2260" s="1"/>
      <c r="AG2260" s="1"/>
      <c r="AH2260" s="1"/>
      <c r="AI2260" s="1"/>
      <c r="AJ2260" s="1"/>
      <c r="AK2260" s="1"/>
      <c r="AL2260" s="1"/>
      <c r="AM2260" s="1"/>
      <c r="AN2260" s="1"/>
      <c r="AO2260" s="1"/>
      <c r="AP2260" s="1"/>
      <c r="AQ2260" s="1"/>
      <c r="AR2260" s="1"/>
      <c r="AS2260" s="1"/>
      <c r="AT2260" s="1"/>
      <c r="AU2260" s="1"/>
      <c r="AV2260" s="1"/>
      <c r="AW2260" s="1"/>
      <c r="AX2260" s="1"/>
      <c r="AY2260" s="1"/>
      <c r="AZ2260" s="1"/>
      <c r="BA2260" s="1"/>
      <c r="BB2260" s="1"/>
      <c r="BC2260" s="1"/>
      <c r="BD2260" s="1"/>
      <c r="BE2260" s="1"/>
      <c r="BF2260" s="1"/>
      <c r="BG2260" s="1"/>
      <c r="BH2260" s="1"/>
      <c r="BI2260" s="1"/>
      <c r="BJ2260" s="1"/>
      <c r="BK2260" s="1"/>
      <c r="BL2260" s="1"/>
      <c r="BM2260" s="1"/>
      <c r="BN2260" s="1"/>
      <c r="BO2260" s="1"/>
      <c r="BP2260" s="1" t="s">
        <v>9609</v>
      </c>
      <c r="BQ2260" s="3"/>
      <c r="BR2260" s="3"/>
    </row>
    <row r="2261" spans="1:70">
      <c r="A2261" s="1" t="s">
        <v>25368</v>
      </c>
      <c r="B2261" s="1" t="s">
        <v>13846</v>
      </c>
      <c r="C2261" s="1" t="s">
        <v>25403</v>
      </c>
      <c r="D2261" s="1"/>
      <c r="E2261" s="1"/>
      <c r="F2261" s="1"/>
      <c r="G2261" s="1"/>
      <c r="H2261" s="1" t="s">
        <v>25404</v>
      </c>
      <c r="I2261" s="1" t="s">
        <v>25404</v>
      </c>
      <c r="J2261" s="1"/>
      <c r="K2261" s="1"/>
      <c r="L2261" s="1"/>
      <c r="M2261" s="1"/>
      <c r="N2261" s="1"/>
      <c r="O2261" s="1"/>
      <c r="P2261" s="1"/>
      <c r="Q2261" s="1"/>
      <c r="R2261" s="1"/>
      <c r="S2261" s="1"/>
      <c r="T2261" s="1"/>
      <c r="U2261" s="1"/>
      <c r="V2261" s="1"/>
      <c r="W2261" s="1"/>
      <c r="X2261" s="1"/>
      <c r="Y2261" s="1"/>
      <c r="Z2261" s="1"/>
      <c r="AA2261" s="1"/>
      <c r="AB2261" s="1"/>
      <c r="AC2261" s="1"/>
      <c r="AD2261" s="1" t="s">
        <v>93</v>
      </c>
      <c r="AE2261" s="1" t="s">
        <v>93</v>
      </c>
      <c r="AF2261" s="1"/>
      <c r="AG2261" s="1"/>
      <c r="AH2261" s="1"/>
      <c r="AI2261" s="1"/>
      <c r="AJ2261" s="1"/>
      <c r="AK2261" s="1"/>
      <c r="AL2261" s="1"/>
      <c r="AM2261" s="1"/>
      <c r="AN2261" s="1"/>
      <c r="AO2261" s="1"/>
      <c r="AP2261" s="1"/>
      <c r="AQ2261" s="1"/>
      <c r="AR2261" s="1"/>
      <c r="AS2261" s="1"/>
      <c r="AT2261" s="1"/>
      <c r="AU2261" s="1"/>
      <c r="AV2261" s="1"/>
      <c r="AW2261" s="1"/>
      <c r="AX2261" s="1"/>
      <c r="AY2261" s="1"/>
      <c r="AZ2261" s="1"/>
      <c r="BA2261" s="1"/>
      <c r="BB2261" s="1"/>
      <c r="BC2261" s="1"/>
      <c r="BD2261" s="1"/>
      <c r="BE2261" s="1"/>
      <c r="BF2261" s="1"/>
      <c r="BG2261" s="1"/>
      <c r="BH2261" s="1"/>
      <c r="BI2261" s="1"/>
      <c r="BJ2261" s="1"/>
      <c r="BK2261" s="1"/>
      <c r="BL2261" s="1"/>
      <c r="BM2261" s="1"/>
      <c r="BN2261" s="1"/>
      <c r="BO2261" s="1"/>
      <c r="BP2261" s="1" t="s">
        <v>9609</v>
      </c>
      <c r="BQ2261" s="3"/>
      <c r="BR2261" s="3"/>
    </row>
    <row r="2262" spans="1:70">
      <c r="A2262" s="1" t="s">
        <v>25368</v>
      </c>
      <c r="B2262" s="1" t="s">
        <v>13846</v>
      </c>
      <c r="C2262" s="1" t="s">
        <v>25405</v>
      </c>
      <c r="D2262" s="1"/>
      <c r="E2262" s="1"/>
      <c r="F2262" s="1"/>
      <c r="G2262" s="1"/>
      <c r="H2262" s="1" t="s">
        <v>25406</v>
      </c>
      <c r="I2262" s="1" t="s">
        <v>25406</v>
      </c>
      <c r="J2262" s="1"/>
      <c r="K2262" s="1"/>
      <c r="L2262" s="1"/>
      <c r="M2262" s="1"/>
      <c r="N2262" s="1"/>
      <c r="O2262" s="1"/>
      <c r="P2262" s="1"/>
      <c r="Q2262" s="1"/>
      <c r="R2262" s="1"/>
      <c r="S2262" s="1"/>
      <c r="T2262" s="1"/>
      <c r="U2262" s="1"/>
      <c r="V2262" s="1"/>
      <c r="W2262" s="1"/>
      <c r="X2262" s="1"/>
      <c r="Y2262" s="1"/>
      <c r="Z2262" s="1"/>
      <c r="AA2262" s="1"/>
      <c r="AB2262" s="1"/>
      <c r="AC2262" s="1"/>
      <c r="AD2262" s="1" t="s">
        <v>93</v>
      </c>
      <c r="AE2262" s="1" t="s">
        <v>93</v>
      </c>
      <c r="AF2262" s="1"/>
      <c r="AG2262" s="1"/>
      <c r="AH2262" s="1"/>
      <c r="AI2262" s="1"/>
      <c r="AJ2262" s="1"/>
      <c r="AK2262" s="1"/>
      <c r="AL2262" s="1"/>
      <c r="AM2262" s="1"/>
      <c r="AN2262" s="1"/>
      <c r="AO2262" s="1"/>
      <c r="AP2262" s="1"/>
      <c r="AQ2262" s="1"/>
      <c r="AR2262" s="1"/>
      <c r="AS2262" s="1"/>
      <c r="AT2262" s="1"/>
      <c r="AU2262" s="1"/>
      <c r="AV2262" s="1"/>
      <c r="AW2262" s="1"/>
      <c r="AX2262" s="1"/>
      <c r="AY2262" s="1"/>
      <c r="AZ2262" s="1"/>
      <c r="BA2262" s="1"/>
      <c r="BB2262" s="1"/>
      <c r="BC2262" s="1"/>
      <c r="BD2262" s="1"/>
      <c r="BE2262" s="1"/>
      <c r="BF2262" s="1"/>
      <c r="BG2262" s="1"/>
      <c r="BH2262" s="1"/>
      <c r="BI2262" s="1"/>
      <c r="BJ2262" s="1"/>
      <c r="BK2262" s="1"/>
      <c r="BL2262" s="1"/>
      <c r="BM2262" s="1"/>
      <c r="BN2262" s="1"/>
      <c r="BO2262" s="1"/>
      <c r="BP2262" s="1" t="s">
        <v>9609</v>
      </c>
      <c r="BQ2262" s="3"/>
      <c r="BR2262" s="3"/>
    </row>
    <row r="2263" spans="1:70">
      <c r="A2263" s="1" t="s">
        <v>25368</v>
      </c>
      <c r="B2263" s="1" t="s">
        <v>13846</v>
      </c>
      <c r="C2263" s="1" t="s">
        <v>25407</v>
      </c>
      <c r="D2263" s="1"/>
      <c r="E2263" s="1"/>
      <c r="F2263" s="1"/>
      <c r="G2263" s="1"/>
      <c r="H2263" s="1" t="s">
        <v>25408</v>
      </c>
      <c r="I2263" s="1" t="s">
        <v>25408</v>
      </c>
      <c r="J2263" s="1"/>
      <c r="K2263" s="1"/>
      <c r="L2263" s="1"/>
      <c r="M2263" s="1"/>
      <c r="N2263" s="1"/>
      <c r="O2263" s="1"/>
      <c r="P2263" s="1"/>
      <c r="Q2263" s="1"/>
      <c r="R2263" s="1"/>
      <c r="S2263" s="1"/>
      <c r="T2263" s="1"/>
      <c r="U2263" s="1"/>
      <c r="V2263" s="1"/>
      <c r="W2263" s="1"/>
      <c r="X2263" s="1"/>
      <c r="Y2263" s="1"/>
      <c r="Z2263" s="1"/>
      <c r="AA2263" s="1"/>
      <c r="AB2263" s="1"/>
      <c r="AC2263" s="1"/>
      <c r="AD2263" s="1" t="s">
        <v>93</v>
      </c>
      <c r="AE2263" s="1" t="s">
        <v>93</v>
      </c>
      <c r="AF2263" s="1"/>
      <c r="AG2263" s="1"/>
      <c r="AH2263" s="1"/>
      <c r="AI2263" s="1"/>
      <c r="AJ2263" s="1"/>
      <c r="AK2263" s="1"/>
      <c r="AL2263" s="1"/>
      <c r="AM2263" s="1"/>
      <c r="AN2263" s="1"/>
      <c r="AO2263" s="1"/>
      <c r="AP2263" s="1"/>
      <c r="AQ2263" s="1"/>
      <c r="AR2263" s="1"/>
      <c r="AS2263" s="1"/>
      <c r="AT2263" s="1"/>
      <c r="AU2263" s="1"/>
      <c r="AV2263" s="1"/>
      <c r="AW2263" s="1"/>
      <c r="AX2263" s="1"/>
      <c r="AY2263" s="1"/>
      <c r="AZ2263" s="1"/>
      <c r="BA2263" s="1"/>
      <c r="BB2263" s="1"/>
      <c r="BC2263" s="1"/>
      <c r="BD2263" s="1"/>
      <c r="BE2263" s="1"/>
      <c r="BF2263" s="1"/>
      <c r="BG2263" s="1"/>
      <c r="BH2263" s="1"/>
      <c r="BI2263" s="1"/>
      <c r="BJ2263" s="1"/>
      <c r="BK2263" s="1"/>
      <c r="BL2263" s="1"/>
      <c r="BM2263" s="1"/>
      <c r="BN2263" s="1"/>
      <c r="BO2263" s="1"/>
      <c r="BP2263" s="1" t="s">
        <v>9609</v>
      </c>
      <c r="BQ2263" s="3"/>
      <c r="BR2263" s="3"/>
    </row>
    <row r="2264" spans="1:70">
      <c r="A2264" s="1" t="s">
        <v>25368</v>
      </c>
      <c r="B2264" s="1" t="s">
        <v>13846</v>
      </c>
      <c r="C2264" s="1" t="s">
        <v>25409</v>
      </c>
      <c r="D2264" s="1"/>
      <c r="E2264" s="1"/>
      <c r="F2264" s="1"/>
      <c r="G2264" s="1"/>
      <c r="H2264" s="1" t="s">
        <v>25410</v>
      </c>
      <c r="I2264" s="1" t="s">
        <v>25410</v>
      </c>
      <c r="J2264" s="1"/>
      <c r="K2264" s="1"/>
      <c r="L2264" s="1"/>
      <c r="M2264" s="1"/>
      <c r="N2264" s="1"/>
      <c r="O2264" s="1"/>
      <c r="P2264" s="1"/>
      <c r="Q2264" s="1"/>
      <c r="R2264" s="1"/>
      <c r="S2264" s="1"/>
      <c r="T2264" s="1"/>
      <c r="U2264" s="1"/>
      <c r="V2264" s="1"/>
      <c r="W2264" s="1"/>
      <c r="X2264" s="1"/>
      <c r="Y2264" s="1"/>
      <c r="Z2264" s="1"/>
      <c r="AA2264" s="1"/>
      <c r="AB2264" s="1"/>
      <c r="AC2264" s="1"/>
      <c r="AD2264" s="1" t="s">
        <v>93</v>
      </c>
      <c r="AE2264" s="1" t="s">
        <v>93</v>
      </c>
      <c r="AF2264" s="1"/>
      <c r="AG2264" s="1"/>
      <c r="AH2264" s="1"/>
      <c r="AI2264" s="1"/>
      <c r="AJ2264" s="1"/>
      <c r="AK2264" s="1"/>
      <c r="AL2264" s="1"/>
      <c r="AM2264" s="1"/>
      <c r="AN2264" s="1"/>
      <c r="AO2264" s="1"/>
      <c r="AP2264" s="1"/>
      <c r="AQ2264" s="1"/>
      <c r="AR2264" s="1"/>
      <c r="AS2264" s="1"/>
      <c r="AT2264" s="1"/>
      <c r="AU2264" s="1"/>
      <c r="AV2264" s="1"/>
      <c r="AW2264" s="1"/>
      <c r="AX2264" s="1"/>
      <c r="AY2264" s="1"/>
      <c r="AZ2264" s="1"/>
      <c r="BA2264" s="1"/>
      <c r="BB2264" s="1"/>
      <c r="BC2264" s="1"/>
      <c r="BD2264" s="1"/>
      <c r="BE2264" s="1"/>
      <c r="BF2264" s="1"/>
      <c r="BG2264" s="1"/>
      <c r="BH2264" s="1"/>
      <c r="BI2264" s="1"/>
      <c r="BJ2264" s="1"/>
      <c r="BK2264" s="1"/>
      <c r="BL2264" s="1"/>
      <c r="BM2264" s="1"/>
      <c r="BN2264" s="1"/>
      <c r="BO2264" s="1"/>
      <c r="BP2264" s="1" t="s">
        <v>9609</v>
      </c>
      <c r="BQ2264" s="3"/>
      <c r="BR2264" s="3"/>
    </row>
    <row r="2265" spans="1:70">
      <c r="A2265" s="1" t="s">
        <v>25368</v>
      </c>
      <c r="B2265" s="1" t="s">
        <v>13846</v>
      </c>
      <c r="C2265" s="1" t="s">
        <v>25411</v>
      </c>
      <c r="D2265" s="1"/>
      <c r="E2265" s="1"/>
      <c r="F2265" s="1"/>
      <c r="G2265" s="1"/>
      <c r="H2265" s="1" t="s">
        <v>25412</v>
      </c>
      <c r="I2265" s="1" t="s">
        <v>25412</v>
      </c>
      <c r="J2265" s="1"/>
      <c r="K2265" s="1"/>
      <c r="L2265" s="1"/>
      <c r="M2265" s="1"/>
      <c r="N2265" s="1"/>
      <c r="O2265" s="1"/>
      <c r="P2265" s="1"/>
      <c r="Q2265" s="1"/>
      <c r="R2265" s="1"/>
      <c r="S2265" s="1"/>
      <c r="T2265" s="1"/>
      <c r="U2265" s="1"/>
      <c r="V2265" s="1"/>
      <c r="W2265" s="1"/>
      <c r="X2265" s="1"/>
      <c r="Y2265" s="1"/>
      <c r="Z2265" s="1"/>
      <c r="AA2265" s="1"/>
      <c r="AB2265" s="1"/>
      <c r="AC2265" s="1"/>
      <c r="AD2265" s="1" t="s">
        <v>93</v>
      </c>
      <c r="AE2265" s="1" t="s">
        <v>93</v>
      </c>
      <c r="AF2265" s="1"/>
      <c r="AG2265" s="1"/>
      <c r="AH2265" s="1"/>
      <c r="AI2265" s="1"/>
      <c r="AJ2265" s="1"/>
      <c r="AK2265" s="1"/>
      <c r="AL2265" s="1"/>
      <c r="AM2265" s="1"/>
      <c r="AN2265" s="1"/>
      <c r="AO2265" s="1"/>
      <c r="AP2265" s="1"/>
      <c r="AQ2265" s="1"/>
      <c r="AR2265" s="1"/>
      <c r="AS2265" s="1"/>
      <c r="AT2265" s="1"/>
      <c r="AU2265" s="1"/>
      <c r="AV2265" s="1"/>
      <c r="AW2265" s="1"/>
      <c r="AX2265" s="1"/>
      <c r="AY2265" s="1"/>
      <c r="AZ2265" s="1"/>
      <c r="BA2265" s="1"/>
      <c r="BB2265" s="1"/>
      <c r="BC2265" s="1"/>
      <c r="BD2265" s="1"/>
      <c r="BE2265" s="1"/>
      <c r="BF2265" s="1"/>
      <c r="BG2265" s="1"/>
      <c r="BH2265" s="1"/>
      <c r="BI2265" s="1"/>
      <c r="BJ2265" s="1"/>
      <c r="BK2265" s="1"/>
      <c r="BL2265" s="1"/>
      <c r="BM2265" s="1"/>
      <c r="BN2265" s="1"/>
      <c r="BO2265" s="1"/>
      <c r="BP2265" s="1" t="s">
        <v>9609</v>
      </c>
      <c r="BQ2265" s="3"/>
      <c r="BR2265" s="3"/>
    </row>
    <row r="2266" spans="1:70">
      <c r="A2266" s="1" t="s">
        <v>25368</v>
      </c>
      <c r="B2266" s="1" t="s">
        <v>13846</v>
      </c>
      <c r="C2266" s="1" t="s">
        <v>25413</v>
      </c>
      <c r="D2266" s="1"/>
      <c r="E2266" s="1"/>
      <c r="F2266" s="1"/>
      <c r="G2266" s="1"/>
      <c r="H2266" s="1" t="s">
        <v>25414</v>
      </c>
      <c r="I2266" s="1" t="s">
        <v>25414</v>
      </c>
      <c r="J2266" s="1"/>
      <c r="K2266" s="1"/>
      <c r="L2266" s="1"/>
      <c r="M2266" s="1"/>
      <c r="N2266" s="1"/>
      <c r="O2266" s="1"/>
      <c r="P2266" s="1"/>
      <c r="Q2266" s="1"/>
      <c r="R2266" s="1"/>
      <c r="S2266" s="1"/>
      <c r="T2266" s="1"/>
      <c r="U2266" s="1"/>
      <c r="V2266" s="1"/>
      <c r="W2266" s="1"/>
      <c r="X2266" s="1"/>
      <c r="Y2266" s="1"/>
      <c r="Z2266" s="1"/>
      <c r="AA2266" s="1"/>
      <c r="AB2266" s="1"/>
      <c r="AC2266" s="1"/>
      <c r="AD2266" s="1" t="s">
        <v>93</v>
      </c>
      <c r="AE2266" s="1" t="s">
        <v>93</v>
      </c>
      <c r="AF2266" s="1"/>
      <c r="AG2266" s="1"/>
      <c r="AH2266" s="1"/>
      <c r="AI2266" s="1"/>
      <c r="AJ2266" s="1"/>
      <c r="AK2266" s="1"/>
      <c r="AL2266" s="1"/>
      <c r="AM2266" s="1"/>
      <c r="AN2266" s="1"/>
      <c r="AO2266" s="1"/>
      <c r="AP2266" s="1"/>
      <c r="AQ2266" s="1"/>
      <c r="AR2266" s="1"/>
      <c r="AS2266" s="1"/>
      <c r="AT2266" s="1"/>
      <c r="AU2266" s="1"/>
      <c r="AV2266" s="1"/>
      <c r="AW2266" s="1"/>
      <c r="AX2266" s="1"/>
      <c r="AY2266" s="1"/>
      <c r="AZ2266" s="1"/>
      <c r="BA2266" s="1"/>
      <c r="BB2266" s="1"/>
      <c r="BC2266" s="1"/>
      <c r="BD2266" s="1"/>
      <c r="BE2266" s="1"/>
      <c r="BF2266" s="1"/>
      <c r="BG2266" s="1"/>
      <c r="BH2266" s="1"/>
      <c r="BI2266" s="1"/>
      <c r="BJ2266" s="1"/>
      <c r="BK2266" s="1"/>
      <c r="BL2266" s="1"/>
      <c r="BM2266" s="1"/>
      <c r="BN2266" s="1"/>
      <c r="BO2266" s="1"/>
      <c r="BP2266" s="1" t="s">
        <v>9609</v>
      </c>
      <c r="BQ2266" s="3"/>
      <c r="BR2266" s="3"/>
    </row>
    <row r="2267" spans="1:70">
      <c r="A2267" s="1" t="s">
        <v>25368</v>
      </c>
      <c r="B2267" s="1" t="s">
        <v>13846</v>
      </c>
      <c r="C2267" s="1" t="s">
        <v>25415</v>
      </c>
      <c r="D2267" s="1"/>
      <c r="E2267" s="1"/>
      <c r="F2267" s="1"/>
      <c r="G2267" s="1"/>
      <c r="H2267" s="1" t="s">
        <v>25416</v>
      </c>
      <c r="I2267" s="1" t="s">
        <v>25416</v>
      </c>
      <c r="J2267" s="1"/>
      <c r="K2267" s="1"/>
      <c r="L2267" s="1"/>
      <c r="M2267" s="1"/>
      <c r="N2267" s="1"/>
      <c r="O2267" s="1"/>
      <c r="P2267" s="1"/>
      <c r="Q2267" s="1"/>
      <c r="R2267" s="1"/>
      <c r="S2267" s="1"/>
      <c r="T2267" s="1"/>
      <c r="U2267" s="1"/>
      <c r="V2267" s="1"/>
      <c r="W2267" s="1"/>
      <c r="X2267" s="1"/>
      <c r="Y2267" s="1"/>
      <c r="Z2267" s="1"/>
      <c r="AA2267" s="1"/>
      <c r="AB2267" s="1"/>
      <c r="AC2267" s="1"/>
      <c r="AD2267" s="1" t="s">
        <v>93</v>
      </c>
      <c r="AE2267" s="1" t="s">
        <v>93</v>
      </c>
      <c r="AF2267" s="1"/>
      <c r="AG2267" s="1"/>
      <c r="AH2267" s="1"/>
      <c r="AI2267" s="1"/>
      <c r="AJ2267" s="1"/>
      <c r="AK2267" s="1"/>
      <c r="AL2267" s="1"/>
      <c r="AM2267" s="1"/>
      <c r="AN2267" s="1"/>
      <c r="AO2267" s="1"/>
      <c r="AP2267" s="1"/>
      <c r="AQ2267" s="1"/>
      <c r="AR2267" s="1"/>
      <c r="AS2267" s="1"/>
      <c r="AT2267" s="1"/>
      <c r="AU2267" s="1"/>
      <c r="AV2267" s="1"/>
      <c r="AW2267" s="1"/>
      <c r="AX2267" s="1"/>
      <c r="AY2267" s="1"/>
      <c r="AZ2267" s="1"/>
      <c r="BA2267" s="1"/>
      <c r="BB2267" s="1"/>
      <c r="BC2267" s="1"/>
      <c r="BD2267" s="1"/>
      <c r="BE2267" s="1"/>
      <c r="BF2267" s="1"/>
      <c r="BG2267" s="1"/>
      <c r="BH2267" s="1"/>
      <c r="BI2267" s="1"/>
      <c r="BJ2267" s="1"/>
      <c r="BK2267" s="1"/>
      <c r="BL2267" s="1"/>
      <c r="BM2267" s="1"/>
      <c r="BN2267" s="1"/>
      <c r="BO2267" s="1"/>
      <c r="BP2267" s="1" t="s">
        <v>9609</v>
      </c>
      <c r="BQ2267" s="3"/>
      <c r="BR2267" s="3"/>
    </row>
    <row r="2268" spans="1:70">
      <c r="A2268" s="1" t="s">
        <v>25368</v>
      </c>
      <c r="B2268" s="1" t="s">
        <v>13846</v>
      </c>
      <c r="C2268" s="1" t="s">
        <v>25417</v>
      </c>
      <c r="D2268" s="1"/>
      <c r="E2268" s="1"/>
      <c r="F2268" s="1"/>
      <c r="G2268" s="1"/>
      <c r="H2268" s="1" t="s">
        <v>25418</v>
      </c>
      <c r="I2268" s="1" t="s">
        <v>25418</v>
      </c>
      <c r="J2268" s="1"/>
      <c r="K2268" s="1"/>
      <c r="L2268" s="1"/>
      <c r="M2268" s="1"/>
      <c r="N2268" s="1"/>
      <c r="O2268" s="1"/>
      <c r="P2268" s="1"/>
      <c r="Q2268" s="1"/>
      <c r="R2268" s="1"/>
      <c r="S2268" s="1"/>
      <c r="T2268" s="1"/>
      <c r="U2268" s="1"/>
      <c r="V2268" s="1"/>
      <c r="W2268" s="1"/>
      <c r="X2268" s="1"/>
      <c r="Y2268" s="1"/>
      <c r="Z2268" s="1"/>
      <c r="AA2268" s="1"/>
      <c r="AB2268" s="1"/>
      <c r="AC2268" s="1"/>
      <c r="AD2268" s="1" t="s">
        <v>93</v>
      </c>
      <c r="AE2268" s="1" t="s">
        <v>93</v>
      </c>
      <c r="AF2268" s="1"/>
      <c r="AG2268" s="1"/>
      <c r="AH2268" s="1"/>
      <c r="AI2268" s="1"/>
      <c r="AJ2268" s="1"/>
      <c r="AK2268" s="1"/>
      <c r="AL2268" s="1"/>
      <c r="AM2268" s="1"/>
      <c r="AN2268" s="1"/>
      <c r="AO2268" s="1"/>
      <c r="AP2268" s="1"/>
      <c r="AQ2268" s="1"/>
      <c r="AR2268" s="1"/>
      <c r="AS2268" s="1"/>
      <c r="AT2268" s="1"/>
      <c r="AU2268" s="1"/>
      <c r="AV2268" s="1"/>
      <c r="AW2268" s="1"/>
      <c r="AX2268" s="1"/>
      <c r="AY2268" s="1"/>
      <c r="AZ2268" s="1"/>
      <c r="BA2268" s="1"/>
      <c r="BB2268" s="1"/>
      <c r="BC2268" s="1"/>
      <c r="BD2268" s="1"/>
      <c r="BE2268" s="1"/>
      <c r="BF2268" s="1"/>
      <c r="BG2268" s="1"/>
      <c r="BH2268" s="1"/>
      <c r="BI2268" s="1"/>
      <c r="BJ2268" s="1"/>
      <c r="BK2268" s="1"/>
      <c r="BL2268" s="1"/>
      <c r="BM2268" s="1"/>
      <c r="BN2268" s="1"/>
      <c r="BO2268" s="1"/>
      <c r="BP2268" s="1" t="s">
        <v>9609</v>
      </c>
      <c r="BQ2268" s="3"/>
      <c r="BR2268" s="3"/>
    </row>
    <row r="2269" spans="1:70">
      <c r="A2269" s="1" t="s">
        <v>25368</v>
      </c>
      <c r="B2269" s="1" t="s">
        <v>13846</v>
      </c>
      <c r="C2269" s="1" t="s">
        <v>25419</v>
      </c>
      <c r="D2269" s="1"/>
      <c r="E2269" s="1"/>
      <c r="F2269" s="1"/>
      <c r="G2269" s="1"/>
      <c r="H2269" s="1" t="s">
        <v>25420</v>
      </c>
      <c r="I2269" s="1" t="s">
        <v>25420</v>
      </c>
      <c r="J2269" s="1"/>
      <c r="K2269" s="1"/>
      <c r="L2269" s="1"/>
      <c r="M2269" s="1"/>
      <c r="N2269" s="1"/>
      <c r="O2269" s="1"/>
      <c r="P2269" s="1"/>
      <c r="Q2269" s="1"/>
      <c r="R2269" s="1"/>
      <c r="S2269" s="1"/>
      <c r="T2269" s="1"/>
      <c r="U2269" s="1"/>
      <c r="V2269" s="1"/>
      <c r="W2269" s="1"/>
      <c r="X2269" s="1"/>
      <c r="Y2269" s="1"/>
      <c r="Z2269" s="1"/>
      <c r="AA2269" s="1"/>
      <c r="AB2269" s="1"/>
      <c r="AC2269" s="1"/>
      <c r="AD2269" s="1" t="s">
        <v>93</v>
      </c>
      <c r="AE2269" s="1" t="s">
        <v>93</v>
      </c>
      <c r="AF2269" s="1"/>
      <c r="AG2269" s="1"/>
      <c r="AH2269" s="1"/>
      <c r="AI2269" s="1"/>
      <c r="AJ2269" s="1"/>
      <c r="AK2269" s="1"/>
      <c r="AL2269" s="1"/>
      <c r="AM2269" s="1"/>
      <c r="AN2269" s="1"/>
      <c r="AO2269" s="1"/>
      <c r="AP2269" s="1"/>
      <c r="AQ2269" s="1"/>
      <c r="AR2269" s="1"/>
      <c r="AS2269" s="1"/>
      <c r="AT2269" s="1"/>
      <c r="AU2269" s="1"/>
      <c r="AV2269" s="1"/>
      <c r="AW2269" s="1"/>
      <c r="AX2269" s="1"/>
      <c r="AY2269" s="1"/>
      <c r="AZ2269" s="1"/>
      <c r="BA2269" s="1"/>
      <c r="BB2269" s="1"/>
      <c r="BC2269" s="1"/>
      <c r="BD2269" s="1"/>
      <c r="BE2269" s="1"/>
      <c r="BF2269" s="1"/>
      <c r="BG2269" s="1"/>
      <c r="BH2269" s="1"/>
      <c r="BI2269" s="1"/>
      <c r="BJ2269" s="1"/>
      <c r="BK2269" s="1"/>
      <c r="BL2269" s="1"/>
      <c r="BM2269" s="1"/>
      <c r="BN2269" s="1"/>
      <c r="BO2269" s="1"/>
      <c r="BP2269" s="1" t="s">
        <v>9609</v>
      </c>
      <c r="BQ2269" s="3"/>
      <c r="BR2269" s="3"/>
    </row>
    <row r="2270" spans="1:70">
      <c r="A2270" s="1" t="s">
        <v>25368</v>
      </c>
      <c r="B2270" s="1" t="s">
        <v>13846</v>
      </c>
      <c r="C2270" s="1" t="s">
        <v>25421</v>
      </c>
      <c r="D2270" s="1" t="s">
        <v>25422</v>
      </c>
      <c r="E2270" s="1"/>
      <c r="F2270" s="1" t="s">
        <v>25423</v>
      </c>
      <c r="G2270" s="1" t="s">
        <v>25424</v>
      </c>
      <c r="H2270" s="1" t="s">
        <v>25425</v>
      </c>
      <c r="I2270" s="1" t="s">
        <v>25426</v>
      </c>
      <c r="J2270" s="1">
        <v>7006439889</v>
      </c>
      <c r="K2270" s="1" t="s">
        <v>148</v>
      </c>
      <c r="L2270" s="1" t="s">
        <v>12489</v>
      </c>
      <c r="M2270" s="1" t="s">
        <v>81</v>
      </c>
      <c r="N2270" s="1" t="s">
        <v>25427</v>
      </c>
      <c r="O2270" s="1" t="s">
        <v>25428</v>
      </c>
      <c r="P2270" s="1" t="s">
        <v>117</v>
      </c>
      <c r="Q2270" s="1">
        <v>712310648776</v>
      </c>
      <c r="R2270" s="1" t="s">
        <v>25429</v>
      </c>
      <c r="S2270" s="1">
        <v>7006149345</v>
      </c>
      <c r="T2270" s="1" t="s">
        <v>25430</v>
      </c>
      <c r="U2270" s="1" t="s">
        <v>25431</v>
      </c>
      <c r="V2270" s="1">
        <v>9682363063</v>
      </c>
      <c r="W2270" s="1" t="s">
        <v>25432</v>
      </c>
      <c r="X2270" s="1" t="s">
        <v>25433</v>
      </c>
      <c r="Y2270" s="1" t="s">
        <v>13616</v>
      </c>
      <c r="Z2270" s="1" t="s">
        <v>8877</v>
      </c>
      <c r="AA2270" s="1" t="s">
        <v>25434</v>
      </c>
      <c r="AB2270" s="1" t="s">
        <v>191</v>
      </c>
      <c r="AC2270" s="1" t="s">
        <v>92</v>
      </c>
      <c r="AD2270" s="1" t="s">
        <v>93</v>
      </c>
      <c r="AE2270" s="1" t="s">
        <v>93</v>
      </c>
      <c r="AF2270" s="1"/>
      <c r="AG2270" s="1"/>
      <c r="AH2270" s="1"/>
      <c r="AI2270" s="1"/>
      <c r="AJ2270" s="1"/>
      <c r="AK2270" s="1"/>
      <c r="AL2270" s="1"/>
      <c r="AM2270" s="1"/>
      <c r="AN2270" s="1"/>
      <c r="AO2270" s="1"/>
      <c r="AP2270" s="1"/>
      <c r="AQ2270" s="1"/>
      <c r="AR2270" s="1"/>
      <c r="AS2270" s="1"/>
      <c r="AT2270" s="1"/>
      <c r="AU2270" s="1"/>
      <c r="AV2270" s="1"/>
      <c r="AW2270" s="1"/>
      <c r="AX2270" s="1"/>
      <c r="AY2270" s="1"/>
      <c r="AZ2270" s="1"/>
      <c r="BA2270" s="1"/>
      <c r="BB2270" s="1"/>
      <c r="BC2270" s="1"/>
      <c r="BD2270" s="1"/>
      <c r="BE2270" s="1"/>
      <c r="BF2270" s="1"/>
      <c r="BG2270" s="1"/>
      <c r="BH2270" s="1"/>
      <c r="BI2270" s="1"/>
      <c r="BJ2270" s="1"/>
      <c r="BK2270" s="1"/>
      <c r="BL2270" s="1"/>
      <c r="BM2270" s="1"/>
      <c r="BN2270" s="1"/>
      <c r="BO2270" s="1"/>
      <c r="BP2270" s="1" t="s">
        <v>9609</v>
      </c>
      <c r="BQ2270" s="3"/>
      <c r="BR2270" s="3"/>
    </row>
    <row r="2271" spans="1:70">
      <c r="A2271" s="1" t="s">
        <v>25368</v>
      </c>
      <c r="B2271" s="1" t="s">
        <v>13846</v>
      </c>
      <c r="C2271" s="1" t="s">
        <v>25435</v>
      </c>
      <c r="D2271" s="1"/>
      <c r="E2271" s="1"/>
      <c r="F2271" s="1"/>
      <c r="G2271" s="1"/>
      <c r="H2271" s="1" t="s">
        <v>25436</v>
      </c>
      <c r="I2271" s="1" t="s">
        <v>25436</v>
      </c>
      <c r="J2271" s="1"/>
      <c r="K2271" s="1"/>
      <c r="L2271" s="1"/>
      <c r="M2271" s="1"/>
      <c r="N2271" s="1"/>
      <c r="O2271" s="1"/>
      <c r="P2271" s="1"/>
      <c r="Q2271" s="1"/>
      <c r="R2271" s="1"/>
      <c r="S2271" s="1"/>
      <c r="T2271" s="1"/>
      <c r="U2271" s="1"/>
      <c r="V2271" s="1"/>
      <c r="W2271" s="1"/>
      <c r="X2271" s="1"/>
      <c r="Y2271" s="1"/>
      <c r="Z2271" s="1"/>
      <c r="AA2271" s="1"/>
      <c r="AB2271" s="1"/>
      <c r="AC2271" s="1"/>
      <c r="AD2271" s="1" t="s">
        <v>93</v>
      </c>
      <c r="AE2271" s="1" t="s">
        <v>93</v>
      </c>
      <c r="AF2271" s="1"/>
      <c r="AG2271" s="1"/>
      <c r="AH2271" s="1"/>
      <c r="AI2271" s="1"/>
      <c r="AJ2271" s="1"/>
      <c r="AK2271" s="1"/>
      <c r="AL2271" s="1"/>
      <c r="AM2271" s="1"/>
      <c r="AN2271" s="1"/>
      <c r="AO2271" s="1"/>
      <c r="AP2271" s="1"/>
      <c r="AQ2271" s="1"/>
      <c r="AR2271" s="1"/>
      <c r="AS2271" s="1"/>
      <c r="AT2271" s="1"/>
      <c r="AU2271" s="1"/>
      <c r="AV2271" s="1"/>
      <c r="AW2271" s="1"/>
      <c r="AX2271" s="1"/>
      <c r="AY2271" s="1"/>
      <c r="AZ2271" s="1"/>
      <c r="BA2271" s="1"/>
      <c r="BB2271" s="1"/>
      <c r="BC2271" s="1"/>
      <c r="BD2271" s="1"/>
      <c r="BE2271" s="1"/>
      <c r="BF2271" s="1"/>
      <c r="BG2271" s="1"/>
      <c r="BH2271" s="1"/>
      <c r="BI2271" s="1"/>
      <c r="BJ2271" s="1"/>
      <c r="BK2271" s="1"/>
      <c r="BL2271" s="1"/>
      <c r="BM2271" s="1"/>
      <c r="BN2271" s="1"/>
      <c r="BO2271" s="1"/>
      <c r="BP2271" s="1" t="s">
        <v>9609</v>
      </c>
      <c r="BQ2271" s="3"/>
      <c r="BR2271" s="3"/>
    </row>
    <row r="2272" spans="1:70">
      <c r="A2272" s="1" t="s">
        <v>25368</v>
      </c>
      <c r="B2272" s="1" t="s">
        <v>13846</v>
      </c>
      <c r="C2272" s="1" t="s">
        <v>25437</v>
      </c>
      <c r="D2272" s="1"/>
      <c r="E2272" s="1"/>
      <c r="F2272" s="1"/>
      <c r="G2272" s="1"/>
      <c r="H2272" s="1" t="s">
        <v>25438</v>
      </c>
      <c r="I2272" s="1" t="s">
        <v>25438</v>
      </c>
      <c r="J2272" s="1"/>
      <c r="K2272" s="1"/>
      <c r="L2272" s="1"/>
      <c r="M2272" s="1"/>
      <c r="N2272" s="1"/>
      <c r="O2272" s="1"/>
      <c r="P2272" s="1"/>
      <c r="Q2272" s="1"/>
      <c r="R2272" s="1"/>
      <c r="S2272" s="1"/>
      <c r="T2272" s="1"/>
      <c r="U2272" s="1"/>
      <c r="V2272" s="1"/>
      <c r="W2272" s="1"/>
      <c r="X2272" s="1"/>
      <c r="Y2272" s="1"/>
      <c r="Z2272" s="1"/>
      <c r="AA2272" s="1"/>
      <c r="AB2272" s="1"/>
      <c r="AC2272" s="1"/>
      <c r="AD2272" s="1" t="s">
        <v>93</v>
      </c>
      <c r="AE2272" s="1" t="s">
        <v>93</v>
      </c>
      <c r="AF2272" s="1"/>
      <c r="AG2272" s="1"/>
      <c r="AH2272" s="1"/>
      <c r="AI2272" s="1"/>
      <c r="AJ2272" s="1"/>
      <c r="AK2272" s="1"/>
      <c r="AL2272" s="1"/>
      <c r="AM2272" s="1"/>
      <c r="AN2272" s="1"/>
      <c r="AO2272" s="1"/>
      <c r="AP2272" s="1"/>
      <c r="AQ2272" s="1"/>
      <c r="AR2272" s="1"/>
      <c r="AS2272" s="1"/>
      <c r="AT2272" s="1"/>
      <c r="AU2272" s="1"/>
      <c r="AV2272" s="1"/>
      <c r="AW2272" s="1"/>
      <c r="AX2272" s="1"/>
      <c r="AY2272" s="1"/>
      <c r="AZ2272" s="1"/>
      <c r="BA2272" s="1"/>
      <c r="BB2272" s="1"/>
      <c r="BC2272" s="1"/>
      <c r="BD2272" s="1"/>
      <c r="BE2272" s="1"/>
      <c r="BF2272" s="1"/>
      <c r="BG2272" s="1"/>
      <c r="BH2272" s="1"/>
      <c r="BI2272" s="1"/>
      <c r="BJ2272" s="1"/>
      <c r="BK2272" s="1"/>
      <c r="BL2272" s="1"/>
      <c r="BM2272" s="1"/>
      <c r="BN2272" s="1"/>
      <c r="BO2272" s="1"/>
      <c r="BP2272" s="1" t="s">
        <v>9609</v>
      </c>
      <c r="BQ2272" s="3"/>
      <c r="BR2272" s="3"/>
    </row>
    <row r="2273" spans="1:70">
      <c r="A2273" s="1" t="s">
        <v>25368</v>
      </c>
      <c r="B2273" s="1" t="s">
        <v>13846</v>
      </c>
      <c r="C2273" s="1" t="s">
        <v>25439</v>
      </c>
      <c r="D2273" s="1"/>
      <c r="E2273" s="1"/>
      <c r="F2273" s="1"/>
      <c r="G2273" s="1"/>
      <c r="H2273" s="1" t="s">
        <v>25440</v>
      </c>
      <c r="I2273" s="1" t="s">
        <v>25440</v>
      </c>
      <c r="J2273" s="1"/>
      <c r="K2273" s="1"/>
      <c r="L2273" s="1"/>
      <c r="M2273" s="1"/>
      <c r="N2273" s="1"/>
      <c r="O2273" s="1"/>
      <c r="P2273" s="1"/>
      <c r="Q2273" s="1"/>
      <c r="R2273" s="1"/>
      <c r="S2273" s="1"/>
      <c r="T2273" s="1"/>
      <c r="U2273" s="1"/>
      <c r="V2273" s="1"/>
      <c r="W2273" s="1"/>
      <c r="X2273" s="1"/>
      <c r="Y2273" s="1"/>
      <c r="Z2273" s="1"/>
      <c r="AA2273" s="1"/>
      <c r="AB2273" s="1"/>
      <c r="AC2273" s="1"/>
      <c r="AD2273" s="1" t="s">
        <v>93</v>
      </c>
      <c r="AE2273" s="1" t="s">
        <v>93</v>
      </c>
      <c r="AF2273" s="1"/>
      <c r="AG2273" s="1"/>
      <c r="AH2273" s="1"/>
      <c r="AI2273" s="1"/>
      <c r="AJ2273" s="1"/>
      <c r="AK2273" s="1"/>
      <c r="AL2273" s="1"/>
      <c r="AM2273" s="1"/>
      <c r="AN2273" s="1"/>
      <c r="AO2273" s="1"/>
      <c r="AP2273" s="1"/>
      <c r="AQ2273" s="1"/>
      <c r="AR2273" s="1"/>
      <c r="AS2273" s="1"/>
      <c r="AT2273" s="1"/>
      <c r="AU2273" s="1"/>
      <c r="AV2273" s="1"/>
      <c r="AW2273" s="1"/>
      <c r="AX2273" s="1"/>
      <c r="AY2273" s="1"/>
      <c r="AZ2273" s="1"/>
      <c r="BA2273" s="1"/>
      <c r="BB2273" s="1"/>
      <c r="BC2273" s="1"/>
      <c r="BD2273" s="1"/>
      <c r="BE2273" s="1"/>
      <c r="BF2273" s="1"/>
      <c r="BG2273" s="1"/>
      <c r="BH2273" s="1"/>
      <c r="BI2273" s="1"/>
      <c r="BJ2273" s="1"/>
      <c r="BK2273" s="1"/>
      <c r="BL2273" s="1"/>
      <c r="BM2273" s="1"/>
      <c r="BN2273" s="1"/>
      <c r="BO2273" s="1"/>
      <c r="BP2273" s="1" t="s">
        <v>9609</v>
      </c>
      <c r="BQ2273" s="3"/>
      <c r="BR2273" s="3"/>
    </row>
    <row r="2274" spans="1:70">
      <c r="A2274" s="1" t="s">
        <v>25368</v>
      </c>
      <c r="B2274" s="1" t="s">
        <v>13846</v>
      </c>
      <c r="C2274" s="1" t="s">
        <v>25441</v>
      </c>
      <c r="D2274" s="1"/>
      <c r="E2274" s="1"/>
      <c r="F2274" s="1"/>
      <c r="G2274" s="1"/>
      <c r="H2274" s="1" t="s">
        <v>25442</v>
      </c>
      <c r="I2274" s="1" t="s">
        <v>25442</v>
      </c>
      <c r="J2274" s="1"/>
      <c r="K2274" s="1"/>
      <c r="L2274" s="1"/>
      <c r="M2274" s="1"/>
      <c r="N2274" s="1"/>
      <c r="O2274" s="1"/>
      <c r="P2274" s="1"/>
      <c r="Q2274" s="1"/>
      <c r="R2274" s="1"/>
      <c r="S2274" s="1"/>
      <c r="T2274" s="1"/>
      <c r="U2274" s="1"/>
      <c r="V2274" s="1"/>
      <c r="W2274" s="1"/>
      <c r="X2274" s="1"/>
      <c r="Y2274" s="1"/>
      <c r="Z2274" s="1"/>
      <c r="AA2274" s="1"/>
      <c r="AB2274" s="1"/>
      <c r="AC2274" s="1"/>
      <c r="AD2274" s="1" t="s">
        <v>93</v>
      </c>
      <c r="AE2274" s="1" t="s">
        <v>93</v>
      </c>
      <c r="AF2274" s="1"/>
      <c r="AG2274" s="1"/>
      <c r="AH2274" s="1"/>
      <c r="AI2274" s="1"/>
      <c r="AJ2274" s="1"/>
      <c r="AK2274" s="1"/>
      <c r="AL2274" s="1"/>
      <c r="AM2274" s="1"/>
      <c r="AN2274" s="1"/>
      <c r="AO2274" s="1"/>
      <c r="AP2274" s="1"/>
      <c r="AQ2274" s="1"/>
      <c r="AR2274" s="1"/>
      <c r="AS2274" s="1"/>
      <c r="AT2274" s="1"/>
      <c r="AU2274" s="1"/>
      <c r="AV2274" s="1"/>
      <c r="AW2274" s="1"/>
      <c r="AX2274" s="1"/>
      <c r="AY2274" s="1"/>
      <c r="AZ2274" s="1"/>
      <c r="BA2274" s="1"/>
      <c r="BB2274" s="1"/>
      <c r="BC2274" s="1"/>
      <c r="BD2274" s="1"/>
      <c r="BE2274" s="1"/>
      <c r="BF2274" s="1"/>
      <c r="BG2274" s="1"/>
      <c r="BH2274" s="1"/>
      <c r="BI2274" s="1"/>
      <c r="BJ2274" s="1"/>
      <c r="BK2274" s="1"/>
      <c r="BL2274" s="1"/>
      <c r="BM2274" s="1"/>
      <c r="BN2274" s="1"/>
      <c r="BO2274" s="1"/>
      <c r="BP2274" s="1" t="s">
        <v>9609</v>
      </c>
      <c r="BQ2274" s="3"/>
      <c r="BR2274" s="3"/>
    </row>
    <row r="2275" spans="1:70">
      <c r="A2275" s="1" t="s">
        <v>25368</v>
      </c>
      <c r="B2275" s="1" t="s">
        <v>13846</v>
      </c>
      <c r="C2275" s="1" t="s">
        <v>25443</v>
      </c>
      <c r="D2275" s="1"/>
      <c r="E2275" s="1"/>
      <c r="F2275" s="1"/>
      <c r="G2275" s="1"/>
      <c r="H2275" s="1" t="s">
        <v>25444</v>
      </c>
      <c r="I2275" s="1" t="s">
        <v>25444</v>
      </c>
      <c r="J2275" s="1"/>
      <c r="K2275" s="1"/>
      <c r="L2275" s="1"/>
      <c r="M2275" s="1"/>
      <c r="N2275" s="1"/>
      <c r="O2275" s="1"/>
      <c r="P2275" s="1"/>
      <c r="Q2275" s="1"/>
      <c r="R2275" s="1"/>
      <c r="S2275" s="1"/>
      <c r="T2275" s="1"/>
      <c r="U2275" s="1"/>
      <c r="V2275" s="1"/>
      <c r="W2275" s="1"/>
      <c r="X2275" s="1"/>
      <c r="Y2275" s="1"/>
      <c r="Z2275" s="1"/>
      <c r="AA2275" s="1"/>
      <c r="AB2275" s="1"/>
      <c r="AC2275" s="1"/>
      <c r="AD2275" s="1" t="s">
        <v>93</v>
      </c>
      <c r="AE2275" s="1" t="s">
        <v>93</v>
      </c>
      <c r="AF2275" s="1"/>
      <c r="AG2275" s="1"/>
      <c r="AH2275" s="1"/>
      <c r="AI2275" s="1"/>
      <c r="AJ2275" s="1"/>
      <c r="AK2275" s="1"/>
      <c r="AL2275" s="1"/>
      <c r="AM2275" s="1"/>
      <c r="AN2275" s="1"/>
      <c r="AO2275" s="1"/>
      <c r="AP2275" s="1"/>
      <c r="AQ2275" s="1"/>
      <c r="AR2275" s="1"/>
      <c r="AS2275" s="1"/>
      <c r="AT2275" s="1"/>
      <c r="AU2275" s="1"/>
      <c r="AV2275" s="1"/>
      <c r="AW2275" s="1"/>
      <c r="AX2275" s="1"/>
      <c r="AY2275" s="1"/>
      <c r="AZ2275" s="1"/>
      <c r="BA2275" s="1"/>
      <c r="BB2275" s="1"/>
      <c r="BC2275" s="1"/>
      <c r="BD2275" s="1"/>
      <c r="BE2275" s="1"/>
      <c r="BF2275" s="1"/>
      <c r="BG2275" s="1"/>
      <c r="BH2275" s="1"/>
      <c r="BI2275" s="1"/>
      <c r="BJ2275" s="1"/>
      <c r="BK2275" s="1"/>
      <c r="BL2275" s="1"/>
      <c r="BM2275" s="1"/>
      <c r="BN2275" s="1"/>
      <c r="BO2275" s="1"/>
      <c r="BP2275" s="1" t="s">
        <v>9609</v>
      </c>
      <c r="BQ2275" s="3"/>
      <c r="BR2275" s="3"/>
    </row>
    <row r="2276" spans="1:70">
      <c r="A2276" s="1" t="s">
        <v>25368</v>
      </c>
      <c r="B2276" s="1" t="s">
        <v>13846</v>
      </c>
      <c r="C2276" s="1" t="s">
        <v>25445</v>
      </c>
      <c r="D2276" s="1"/>
      <c r="E2276" s="1"/>
      <c r="F2276" s="1"/>
      <c r="G2276" s="1"/>
      <c r="H2276" s="1" t="s">
        <v>25446</v>
      </c>
      <c r="I2276" s="1" t="s">
        <v>25446</v>
      </c>
      <c r="J2276" s="1"/>
      <c r="K2276" s="1"/>
      <c r="L2276" s="1"/>
      <c r="M2276" s="1"/>
      <c r="N2276" s="1"/>
      <c r="O2276" s="1"/>
      <c r="P2276" s="1"/>
      <c r="Q2276" s="1"/>
      <c r="R2276" s="1"/>
      <c r="S2276" s="1"/>
      <c r="T2276" s="1"/>
      <c r="U2276" s="1"/>
      <c r="V2276" s="1"/>
      <c r="W2276" s="1"/>
      <c r="X2276" s="1"/>
      <c r="Y2276" s="1"/>
      <c r="Z2276" s="1"/>
      <c r="AA2276" s="1"/>
      <c r="AB2276" s="1"/>
      <c r="AC2276" s="1"/>
      <c r="AD2276" s="1" t="s">
        <v>93</v>
      </c>
      <c r="AE2276" s="1" t="s">
        <v>93</v>
      </c>
      <c r="AF2276" s="1"/>
      <c r="AG2276" s="1"/>
      <c r="AH2276" s="1"/>
      <c r="AI2276" s="1"/>
      <c r="AJ2276" s="1"/>
      <c r="AK2276" s="1"/>
      <c r="AL2276" s="1"/>
      <c r="AM2276" s="1"/>
      <c r="AN2276" s="1"/>
      <c r="AO2276" s="1"/>
      <c r="AP2276" s="1"/>
      <c r="AQ2276" s="1"/>
      <c r="AR2276" s="1"/>
      <c r="AS2276" s="1"/>
      <c r="AT2276" s="1"/>
      <c r="AU2276" s="1"/>
      <c r="AV2276" s="1"/>
      <c r="AW2276" s="1"/>
      <c r="AX2276" s="1"/>
      <c r="AY2276" s="1"/>
      <c r="AZ2276" s="1"/>
      <c r="BA2276" s="1"/>
      <c r="BB2276" s="1"/>
      <c r="BC2276" s="1"/>
      <c r="BD2276" s="1"/>
      <c r="BE2276" s="1"/>
      <c r="BF2276" s="1"/>
      <c r="BG2276" s="1"/>
      <c r="BH2276" s="1"/>
      <c r="BI2276" s="1"/>
      <c r="BJ2276" s="1"/>
      <c r="BK2276" s="1"/>
      <c r="BL2276" s="1"/>
      <c r="BM2276" s="1"/>
      <c r="BN2276" s="1"/>
      <c r="BO2276" s="1"/>
      <c r="BP2276" s="1" t="s">
        <v>9609</v>
      </c>
      <c r="BQ2276" s="3"/>
      <c r="BR2276" s="3"/>
    </row>
    <row r="2277" spans="1:70">
      <c r="A2277" s="1" t="s">
        <v>25368</v>
      </c>
      <c r="B2277" s="1" t="s">
        <v>13846</v>
      </c>
      <c r="C2277" s="1" t="s">
        <v>25447</v>
      </c>
      <c r="D2277" s="1"/>
      <c r="E2277" s="1"/>
      <c r="F2277" s="1"/>
      <c r="G2277" s="1"/>
      <c r="H2277" s="1" t="s">
        <v>25448</v>
      </c>
      <c r="I2277" s="1" t="s">
        <v>25448</v>
      </c>
      <c r="J2277" s="1"/>
      <c r="K2277" s="1"/>
      <c r="L2277" s="1"/>
      <c r="M2277" s="1"/>
      <c r="N2277" s="1"/>
      <c r="O2277" s="1"/>
      <c r="P2277" s="1"/>
      <c r="Q2277" s="1"/>
      <c r="R2277" s="1"/>
      <c r="S2277" s="1"/>
      <c r="T2277" s="1"/>
      <c r="U2277" s="1"/>
      <c r="V2277" s="1"/>
      <c r="W2277" s="1"/>
      <c r="X2277" s="1"/>
      <c r="Y2277" s="1"/>
      <c r="Z2277" s="1"/>
      <c r="AA2277" s="1"/>
      <c r="AB2277" s="1"/>
      <c r="AC2277" s="1"/>
      <c r="AD2277" s="1" t="s">
        <v>93</v>
      </c>
      <c r="AE2277" s="1" t="s">
        <v>93</v>
      </c>
      <c r="AF2277" s="1"/>
      <c r="AG2277" s="1"/>
      <c r="AH2277" s="1"/>
      <c r="AI2277" s="1"/>
      <c r="AJ2277" s="1"/>
      <c r="AK2277" s="1"/>
      <c r="AL2277" s="1"/>
      <c r="AM2277" s="1"/>
      <c r="AN2277" s="1"/>
      <c r="AO2277" s="1"/>
      <c r="AP2277" s="1"/>
      <c r="AQ2277" s="1"/>
      <c r="AR2277" s="1"/>
      <c r="AS2277" s="1"/>
      <c r="AT2277" s="1"/>
      <c r="AU2277" s="1"/>
      <c r="AV2277" s="1"/>
      <c r="AW2277" s="1"/>
      <c r="AX2277" s="1"/>
      <c r="AY2277" s="1"/>
      <c r="AZ2277" s="1"/>
      <c r="BA2277" s="1"/>
      <c r="BB2277" s="1"/>
      <c r="BC2277" s="1"/>
      <c r="BD2277" s="1"/>
      <c r="BE2277" s="1"/>
      <c r="BF2277" s="1"/>
      <c r="BG2277" s="1"/>
      <c r="BH2277" s="1"/>
      <c r="BI2277" s="1"/>
      <c r="BJ2277" s="1"/>
      <c r="BK2277" s="1"/>
      <c r="BL2277" s="1"/>
      <c r="BM2277" s="1"/>
      <c r="BN2277" s="1"/>
      <c r="BO2277" s="1"/>
      <c r="BP2277" s="1" t="s">
        <v>9609</v>
      </c>
      <c r="BQ2277" s="3"/>
      <c r="BR2277" s="3"/>
    </row>
    <row r="2278" spans="1:70">
      <c r="A2278" s="1" t="s">
        <v>25368</v>
      </c>
      <c r="B2278" s="1" t="s">
        <v>13846</v>
      </c>
      <c r="C2278" s="1" t="s">
        <v>25449</v>
      </c>
      <c r="D2278" s="1"/>
      <c r="E2278" s="1"/>
      <c r="F2278" s="1"/>
      <c r="G2278" s="1"/>
      <c r="H2278" s="1" t="s">
        <v>25450</v>
      </c>
      <c r="I2278" s="1" t="s">
        <v>25450</v>
      </c>
      <c r="J2278" s="1"/>
      <c r="K2278" s="1"/>
      <c r="L2278" s="1"/>
      <c r="M2278" s="1"/>
      <c r="N2278" s="1"/>
      <c r="O2278" s="1"/>
      <c r="P2278" s="1"/>
      <c r="Q2278" s="1"/>
      <c r="R2278" s="1"/>
      <c r="S2278" s="1"/>
      <c r="T2278" s="1"/>
      <c r="U2278" s="1"/>
      <c r="V2278" s="1"/>
      <c r="W2278" s="1"/>
      <c r="X2278" s="1"/>
      <c r="Y2278" s="1"/>
      <c r="Z2278" s="1"/>
      <c r="AA2278" s="1"/>
      <c r="AB2278" s="1"/>
      <c r="AC2278" s="1"/>
      <c r="AD2278" s="1" t="s">
        <v>93</v>
      </c>
      <c r="AE2278" s="1" t="s">
        <v>93</v>
      </c>
      <c r="AF2278" s="1"/>
      <c r="AG2278" s="1"/>
      <c r="AH2278" s="1"/>
      <c r="AI2278" s="1"/>
      <c r="AJ2278" s="1"/>
      <c r="AK2278" s="1"/>
      <c r="AL2278" s="1"/>
      <c r="AM2278" s="1"/>
      <c r="AN2278" s="1"/>
      <c r="AO2278" s="1"/>
      <c r="AP2278" s="1"/>
      <c r="AQ2278" s="1"/>
      <c r="AR2278" s="1"/>
      <c r="AS2278" s="1"/>
      <c r="AT2278" s="1"/>
      <c r="AU2278" s="1"/>
      <c r="AV2278" s="1"/>
      <c r="AW2278" s="1"/>
      <c r="AX2278" s="1"/>
      <c r="AY2278" s="1"/>
      <c r="AZ2278" s="1"/>
      <c r="BA2278" s="1"/>
      <c r="BB2278" s="1"/>
      <c r="BC2278" s="1"/>
      <c r="BD2278" s="1"/>
      <c r="BE2278" s="1"/>
      <c r="BF2278" s="1"/>
      <c r="BG2278" s="1"/>
      <c r="BH2278" s="1"/>
      <c r="BI2278" s="1"/>
      <c r="BJ2278" s="1"/>
      <c r="BK2278" s="1"/>
      <c r="BL2278" s="1"/>
      <c r="BM2278" s="1"/>
      <c r="BN2278" s="1"/>
      <c r="BO2278" s="1"/>
      <c r="BP2278" s="1" t="s">
        <v>9609</v>
      </c>
      <c r="BQ2278" s="3"/>
      <c r="BR2278" s="3"/>
    </row>
    <row r="2279" spans="1:70">
      <c r="A2279" s="1" t="s">
        <v>25368</v>
      </c>
      <c r="B2279" s="1" t="s">
        <v>13846</v>
      </c>
      <c r="C2279" s="1" t="s">
        <v>25451</v>
      </c>
      <c r="D2279" s="1"/>
      <c r="E2279" s="1"/>
      <c r="F2279" s="1"/>
      <c r="G2279" s="1"/>
      <c r="H2279" s="1" t="s">
        <v>25452</v>
      </c>
      <c r="I2279" s="1" t="s">
        <v>25452</v>
      </c>
      <c r="J2279" s="1"/>
      <c r="K2279" s="1"/>
      <c r="L2279" s="1"/>
      <c r="M2279" s="1"/>
      <c r="N2279" s="1"/>
      <c r="O2279" s="1"/>
      <c r="P2279" s="1"/>
      <c r="Q2279" s="1"/>
      <c r="R2279" s="1"/>
      <c r="S2279" s="1"/>
      <c r="T2279" s="1"/>
      <c r="U2279" s="1"/>
      <c r="V2279" s="1"/>
      <c r="W2279" s="1"/>
      <c r="X2279" s="1"/>
      <c r="Y2279" s="1"/>
      <c r="Z2279" s="1"/>
      <c r="AA2279" s="1"/>
      <c r="AB2279" s="1"/>
      <c r="AC2279" s="1"/>
      <c r="AD2279" s="1" t="s">
        <v>93</v>
      </c>
      <c r="AE2279" s="1" t="s">
        <v>93</v>
      </c>
      <c r="AF2279" s="1"/>
      <c r="AG2279" s="1"/>
      <c r="AH2279" s="1"/>
      <c r="AI2279" s="1"/>
      <c r="AJ2279" s="1"/>
      <c r="AK2279" s="1"/>
      <c r="AL2279" s="1"/>
      <c r="AM2279" s="1"/>
      <c r="AN2279" s="1"/>
      <c r="AO2279" s="1"/>
      <c r="AP2279" s="1"/>
      <c r="AQ2279" s="1"/>
      <c r="AR2279" s="1"/>
      <c r="AS2279" s="1"/>
      <c r="AT2279" s="1"/>
      <c r="AU2279" s="1"/>
      <c r="AV2279" s="1"/>
      <c r="AW2279" s="1"/>
      <c r="AX2279" s="1"/>
      <c r="AY2279" s="1"/>
      <c r="AZ2279" s="1"/>
      <c r="BA2279" s="1"/>
      <c r="BB2279" s="1"/>
      <c r="BC2279" s="1"/>
      <c r="BD2279" s="1"/>
      <c r="BE2279" s="1"/>
      <c r="BF2279" s="1"/>
      <c r="BG2279" s="1"/>
      <c r="BH2279" s="1"/>
      <c r="BI2279" s="1"/>
      <c r="BJ2279" s="1"/>
      <c r="BK2279" s="1"/>
      <c r="BL2279" s="1"/>
      <c r="BM2279" s="1"/>
      <c r="BN2279" s="1"/>
      <c r="BO2279" s="1"/>
      <c r="BP2279" s="1" t="s">
        <v>9609</v>
      </c>
      <c r="BQ2279" s="3"/>
      <c r="BR2279" s="3"/>
    </row>
    <row r="2280" spans="1:70">
      <c r="A2280" s="1" t="s">
        <v>25368</v>
      </c>
      <c r="B2280" s="1" t="s">
        <v>13846</v>
      </c>
      <c r="C2280" s="1" t="s">
        <v>25453</v>
      </c>
      <c r="D2280" s="1"/>
      <c r="E2280" s="1"/>
      <c r="F2280" s="1"/>
      <c r="G2280" s="1"/>
      <c r="H2280" s="1" t="s">
        <v>25454</v>
      </c>
      <c r="I2280" s="1" t="s">
        <v>25454</v>
      </c>
      <c r="J2280" s="1"/>
      <c r="K2280" s="1"/>
      <c r="L2280" s="1"/>
      <c r="M2280" s="1"/>
      <c r="N2280" s="1"/>
      <c r="O2280" s="1"/>
      <c r="P2280" s="1"/>
      <c r="Q2280" s="1"/>
      <c r="R2280" s="1"/>
      <c r="S2280" s="1"/>
      <c r="T2280" s="1"/>
      <c r="U2280" s="1"/>
      <c r="V2280" s="1"/>
      <c r="W2280" s="1"/>
      <c r="X2280" s="1"/>
      <c r="Y2280" s="1"/>
      <c r="Z2280" s="1"/>
      <c r="AA2280" s="1"/>
      <c r="AB2280" s="1"/>
      <c r="AC2280" s="1"/>
      <c r="AD2280" s="1" t="s">
        <v>93</v>
      </c>
      <c r="AE2280" s="1" t="s">
        <v>93</v>
      </c>
      <c r="AF2280" s="1"/>
      <c r="AG2280" s="1"/>
      <c r="AH2280" s="1"/>
      <c r="AI2280" s="1"/>
      <c r="AJ2280" s="1"/>
      <c r="AK2280" s="1"/>
      <c r="AL2280" s="1"/>
      <c r="AM2280" s="1"/>
      <c r="AN2280" s="1"/>
      <c r="AO2280" s="1"/>
      <c r="AP2280" s="1"/>
      <c r="AQ2280" s="1"/>
      <c r="AR2280" s="1"/>
      <c r="AS2280" s="1"/>
      <c r="AT2280" s="1"/>
      <c r="AU2280" s="1"/>
      <c r="AV2280" s="1"/>
      <c r="AW2280" s="1"/>
      <c r="AX2280" s="1"/>
      <c r="AY2280" s="1"/>
      <c r="AZ2280" s="1"/>
      <c r="BA2280" s="1"/>
      <c r="BB2280" s="1"/>
      <c r="BC2280" s="1"/>
      <c r="BD2280" s="1"/>
      <c r="BE2280" s="1"/>
      <c r="BF2280" s="1"/>
      <c r="BG2280" s="1"/>
      <c r="BH2280" s="1"/>
      <c r="BI2280" s="1"/>
      <c r="BJ2280" s="1"/>
      <c r="BK2280" s="1"/>
      <c r="BL2280" s="1"/>
      <c r="BM2280" s="1"/>
      <c r="BN2280" s="1"/>
      <c r="BO2280" s="1"/>
      <c r="BP2280" s="1" t="s">
        <v>9609</v>
      </c>
      <c r="BQ2280" s="3"/>
      <c r="BR2280" s="3"/>
    </row>
    <row r="2281" spans="1:70">
      <c r="A2281" s="1" t="s">
        <v>25368</v>
      </c>
      <c r="B2281" s="1" t="s">
        <v>13846</v>
      </c>
      <c r="C2281" s="1" t="s">
        <v>25455</v>
      </c>
      <c r="D2281" s="1"/>
      <c r="E2281" s="1"/>
      <c r="F2281" s="1"/>
      <c r="G2281" s="1"/>
      <c r="H2281" s="1" t="s">
        <v>25456</v>
      </c>
      <c r="I2281" s="1" t="s">
        <v>25456</v>
      </c>
      <c r="J2281" s="1"/>
      <c r="K2281" s="1"/>
      <c r="L2281" s="1"/>
      <c r="M2281" s="1"/>
      <c r="N2281" s="1"/>
      <c r="O2281" s="1"/>
      <c r="P2281" s="1"/>
      <c r="Q2281" s="1"/>
      <c r="R2281" s="1"/>
      <c r="S2281" s="1"/>
      <c r="T2281" s="1"/>
      <c r="U2281" s="1"/>
      <c r="V2281" s="1"/>
      <c r="W2281" s="1"/>
      <c r="X2281" s="1"/>
      <c r="Y2281" s="1"/>
      <c r="Z2281" s="1"/>
      <c r="AA2281" s="1"/>
      <c r="AB2281" s="1"/>
      <c r="AC2281" s="1"/>
      <c r="AD2281" s="1" t="s">
        <v>93</v>
      </c>
      <c r="AE2281" s="1" t="s">
        <v>93</v>
      </c>
      <c r="AF2281" s="1"/>
      <c r="AG2281" s="1"/>
      <c r="AH2281" s="1"/>
      <c r="AI2281" s="1"/>
      <c r="AJ2281" s="1"/>
      <c r="AK2281" s="1"/>
      <c r="AL2281" s="1"/>
      <c r="AM2281" s="1"/>
      <c r="AN2281" s="1"/>
      <c r="AO2281" s="1"/>
      <c r="AP2281" s="1"/>
      <c r="AQ2281" s="1"/>
      <c r="AR2281" s="1"/>
      <c r="AS2281" s="1"/>
      <c r="AT2281" s="1"/>
      <c r="AU2281" s="1"/>
      <c r="AV2281" s="1"/>
      <c r="AW2281" s="1"/>
      <c r="AX2281" s="1"/>
      <c r="AY2281" s="1"/>
      <c r="AZ2281" s="1"/>
      <c r="BA2281" s="1"/>
      <c r="BB2281" s="1"/>
      <c r="BC2281" s="1"/>
      <c r="BD2281" s="1"/>
      <c r="BE2281" s="1"/>
      <c r="BF2281" s="1"/>
      <c r="BG2281" s="1"/>
      <c r="BH2281" s="1"/>
      <c r="BI2281" s="1"/>
      <c r="BJ2281" s="1"/>
      <c r="BK2281" s="1"/>
      <c r="BL2281" s="1"/>
      <c r="BM2281" s="1"/>
      <c r="BN2281" s="1"/>
      <c r="BO2281" s="1"/>
      <c r="BP2281" s="1" t="s">
        <v>9609</v>
      </c>
      <c r="BQ2281" s="3"/>
      <c r="BR2281" s="3"/>
    </row>
    <row r="2282" spans="1:70">
      <c r="A2282" s="1" t="s">
        <v>25368</v>
      </c>
      <c r="B2282" s="1" t="s">
        <v>13846</v>
      </c>
      <c r="C2282" s="1" t="s">
        <v>25457</v>
      </c>
      <c r="D2282" s="1"/>
      <c r="E2282" s="1"/>
      <c r="F2282" s="1"/>
      <c r="G2282" s="1"/>
      <c r="H2282" s="1" t="s">
        <v>25458</v>
      </c>
      <c r="I2282" s="1" t="s">
        <v>25458</v>
      </c>
      <c r="J2282" s="1"/>
      <c r="K2282" s="1"/>
      <c r="L2282" s="1"/>
      <c r="M2282" s="1"/>
      <c r="N2282" s="1"/>
      <c r="O2282" s="1"/>
      <c r="P2282" s="1"/>
      <c r="Q2282" s="1"/>
      <c r="R2282" s="1"/>
      <c r="S2282" s="1"/>
      <c r="T2282" s="1"/>
      <c r="U2282" s="1"/>
      <c r="V2282" s="1"/>
      <c r="W2282" s="1"/>
      <c r="X2282" s="1"/>
      <c r="Y2282" s="1"/>
      <c r="Z2282" s="1"/>
      <c r="AA2282" s="1"/>
      <c r="AB2282" s="1"/>
      <c r="AC2282" s="1"/>
      <c r="AD2282" s="1" t="s">
        <v>93</v>
      </c>
      <c r="AE2282" s="1" t="s">
        <v>93</v>
      </c>
      <c r="AF2282" s="1"/>
      <c r="AG2282" s="1"/>
      <c r="AH2282" s="1"/>
      <c r="AI2282" s="1"/>
      <c r="AJ2282" s="1"/>
      <c r="AK2282" s="1"/>
      <c r="AL2282" s="1"/>
      <c r="AM2282" s="1"/>
      <c r="AN2282" s="1"/>
      <c r="AO2282" s="1"/>
      <c r="AP2282" s="1"/>
      <c r="AQ2282" s="1"/>
      <c r="AR2282" s="1"/>
      <c r="AS2282" s="1"/>
      <c r="AT2282" s="1"/>
      <c r="AU2282" s="1"/>
      <c r="AV2282" s="1"/>
      <c r="AW2282" s="1"/>
      <c r="AX2282" s="1"/>
      <c r="AY2282" s="1"/>
      <c r="AZ2282" s="1"/>
      <c r="BA2282" s="1"/>
      <c r="BB2282" s="1"/>
      <c r="BC2282" s="1"/>
      <c r="BD2282" s="1"/>
      <c r="BE2282" s="1"/>
      <c r="BF2282" s="1"/>
      <c r="BG2282" s="1"/>
      <c r="BH2282" s="1"/>
      <c r="BI2282" s="1"/>
      <c r="BJ2282" s="1"/>
      <c r="BK2282" s="1"/>
      <c r="BL2282" s="1"/>
      <c r="BM2282" s="1"/>
      <c r="BN2282" s="1"/>
      <c r="BO2282" s="1"/>
      <c r="BP2282" s="1" t="s">
        <v>9609</v>
      </c>
      <c r="BQ2282" s="3"/>
      <c r="BR2282" s="3"/>
    </row>
    <row r="2283" spans="1:70">
      <c r="A2283" s="1" t="s">
        <v>25368</v>
      </c>
      <c r="B2283" s="1" t="s">
        <v>13846</v>
      </c>
      <c r="C2283" s="1" t="s">
        <v>25459</v>
      </c>
      <c r="D2283" s="1"/>
      <c r="E2283" s="1"/>
      <c r="F2283" s="1"/>
      <c r="G2283" s="1"/>
      <c r="H2283" s="1" t="s">
        <v>25460</v>
      </c>
      <c r="I2283" s="1" t="s">
        <v>25460</v>
      </c>
      <c r="J2283" s="1"/>
      <c r="K2283" s="1"/>
      <c r="L2283" s="1"/>
      <c r="M2283" s="1"/>
      <c r="N2283" s="1"/>
      <c r="O2283" s="1"/>
      <c r="P2283" s="1"/>
      <c r="Q2283" s="1"/>
      <c r="R2283" s="1"/>
      <c r="S2283" s="1"/>
      <c r="T2283" s="1"/>
      <c r="U2283" s="1"/>
      <c r="V2283" s="1"/>
      <c r="W2283" s="1"/>
      <c r="X2283" s="1"/>
      <c r="Y2283" s="1"/>
      <c r="Z2283" s="1"/>
      <c r="AA2283" s="1"/>
      <c r="AB2283" s="1"/>
      <c r="AC2283" s="1"/>
      <c r="AD2283" s="1" t="s">
        <v>93</v>
      </c>
      <c r="AE2283" s="1" t="s">
        <v>93</v>
      </c>
      <c r="AF2283" s="1"/>
      <c r="AG2283" s="1"/>
      <c r="AH2283" s="1"/>
      <c r="AI2283" s="1"/>
      <c r="AJ2283" s="1"/>
      <c r="AK2283" s="1"/>
      <c r="AL2283" s="1"/>
      <c r="AM2283" s="1"/>
      <c r="AN2283" s="1"/>
      <c r="AO2283" s="1"/>
      <c r="AP2283" s="1"/>
      <c r="AQ2283" s="1"/>
      <c r="AR2283" s="1"/>
      <c r="AS2283" s="1"/>
      <c r="AT2283" s="1"/>
      <c r="AU2283" s="1"/>
      <c r="AV2283" s="1"/>
      <c r="AW2283" s="1"/>
      <c r="AX2283" s="1"/>
      <c r="AY2283" s="1"/>
      <c r="AZ2283" s="1"/>
      <c r="BA2283" s="1"/>
      <c r="BB2283" s="1"/>
      <c r="BC2283" s="1"/>
      <c r="BD2283" s="1"/>
      <c r="BE2283" s="1"/>
      <c r="BF2283" s="1"/>
      <c r="BG2283" s="1"/>
      <c r="BH2283" s="1"/>
      <c r="BI2283" s="1"/>
      <c r="BJ2283" s="1"/>
      <c r="BK2283" s="1"/>
      <c r="BL2283" s="1"/>
      <c r="BM2283" s="1"/>
      <c r="BN2283" s="1"/>
      <c r="BO2283" s="1"/>
      <c r="BP2283" s="1" t="s">
        <v>9609</v>
      </c>
      <c r="BQ2283" s="3"/>
      <c r="BR2283" s="3"/>
    </row>
    <row r="2284" spans="1:70">
      <c r="A2284" s="1" t="s">
        <v>25368</v>
      </c>
      <c r="B2284" s="1" t="s">
        <v>13846</v>
      </c>
      <c r="C2284" s="1" t="s">
        <v>25461</v>
      </c>
      <c r="D2284" s="1"/>
      <c r="E2284" s="1"/>
      <c r="F2284" s="1"/>
      <c r="G2284" s="1"/>
      <c r="H2284" s="1" t="s">
        <v>25462</v>
      </c>
      <c r="I2284" s="1" t="s">
        <v>25462</v>
      </c>
      <c r="J2284" s="1"/>
      <c r="K2284" s="1"/>
      <c r="L2284" s="1"/>
      <c r="M2284" s="1"/>
      <c r="N2284" s="1"/>
      <c r="O2284" s="1"/>
      <c r="P2284" s="1"/>
      <c r="Q2284" s="1"/>
      <c r="R2284" s="1"/>
      <c r="S2284" s="1"/>
      <c r="T2284" s="1"/>
      <c r="U2284" s="1"/>
      <c r="V2284" s="1"/>
      <c r="W2284" s="1"/>
      <c r="X2284" s="1"/>
      <c r="Y2284" s="1"/>
      <c r="Z2284" s="1"/>
      <c r="AA2284" s="1"/>
      <c r="AB2284" s="1"/>
      <c r="AC2284" s="1"/>
      <c r="AD2284" s="1" t="s">
        <v>93</v>
      </c>
      <c r="AE2284" s="1" t="s">
        <v>93</v>
      </c>
      <c r="AF2284" s="1"/>
      <c r="AG2284" s="1"/>
      <c r="AH2284" s="1"/>
      <c r="AI2284" s="1"/>
      <c r="AJ2284" s="1"/>
      <c r="AK2284" s="1"/>
      <c r="AL2284" s="1"/>
      <c r="AM2284" s="1"/>
      <c r="AN2284" s="1"/>
      <c r="AO2284" s="1"/>
      <c r="AP2284" s="1"/>
      <c r="AQ2284" s="1"/>
      <c r="AR2284" s="1"/>
      <c r="AS2284" s="1"/>
      <c r="AT2284" s="1"/>
      <c r="AU2284" s="1"/>
      <c r="AV2284" s="1"/>
      <c r="AW2284" s="1"/>
      <c r="AX2284" s="1"/>
      <c r="AY2284" s="1"/>
      <c r="AZ2284" s="1"/>
      <c r="BA2284" s="1"/>
      <c r="BB2284" s="1"/>
      <c r="BC2284" s="1"/>
      <c r="BD2284" s="1"/>
      <c r="BE2284" s="1"/>
      <c r="BF2284" s="1"/>
      <c r="BG2284" s="1"/>
      <c r="BH2284" s="1"/>
      <c r="BI2284" s="1"/>
      <c r="BJ2284" s="1"/>
      <c r="BK2284" s="1"/>
      <c r="BL2284" s="1"/>
      <c r="BM2284" s="1"/>
      <c r="BN2284" s="1"/>
      <c r="BO2284" s="1"/>
      <c r="BP2284" s="1" t="s">
        <v>9609</v>
      </c>
      <c r="BQ2284" s="3"/>
      <c r="BR2284" s="3"/>
    </row>
    <row r="2285" spans="1:70">
      <c r="A2285" s="1" t="s">
        <v>25368</v>
      </c>
      <c r="B2285" s="1" t="s">
        <v>13846</v>
      </c>
      <c r="C2285" s="1" t="s">
        <v>25463</v>
      </c>
      <c r="D2285" s="1"/>
      <c r="E2285" s="1"/>
      <c r="F2285" s="1"/>
      <c r="G2285" s="1"/>
      <c r="H2285" s="1" t="s">
        <v>25464</v>
      </c>
      <c r="I2285" s="1" t="s">
        <v>25464</v>
      </c>
      <c r="J2285" s="1"/>
      <c r="K2285" s="1"/>
      <c r="L2285" s="1"/>
      <c r="M2285" s="1"/>
      <c r="N2285" s="1"/>
      <c r="O2285" s="1"/>
      <c r="P2285" s="1"/>
      <c r="Q2285" s="1"/>
      <c r="R2285" s="1"/>
      <c r="S2285" s="1"/>
      <c r="T2285" s="1"/>
      <c r="U2285" s="1"/>
      <c r="V2285" s="1"/>
      <c r="W2285" s="1"/>
      <c r="X2285" s="1"/>
      <c r="Y2285" s="1"/>
      <c r="Z2285" s="1"/>
      <c r="AA2285" s="1"/>
      <c r="AB2285" s="1"/>
      <c r="AC2285" s="1"/>
      <c r="AD2285" s="1" t="s">
        <v>93</v>
      </c>
      <c r="AE2285" s="1" t="s">
        <v>93</v>
      </c>
      <c r="AF2285" s="1"/>
      <c r="AG2285" s="1"/>
      <c r="AH2285" s="1"/>
      <c r="AI2285" s="1"/>
      <c r="AJ2285" s="1"/>
      <c r="AK2285" s="1"/>
      <c r="AL2285" s="1"/>
      <c r="AM2285" s="1"/>
      <c r="AN2285" s="1"/>
      <c r="AO2285" s="1"/>
      <c r="AP2285" s="1"/>
      <c r="AQ2285" s="1"/>
      <c r="AR2285" s="1"/>
      <c r="AS2285" s="1"/>
      <c r="AT2285" s="1"/>
      <c r="AU2285" s="1"/>
      <c r="AV2285" s="1"/>
      <c r="AW2285" s="1"/>
      <c r="AX2285" s="1"/>
      <c r="AY2285" s="1"/>
      <c r="AZ2285" s="1"/>
      <c r="BA2285" s="1"/>
      <c r="BB2285" s="1"/>
      <c r="BC2285" s="1"/>
      <c r="BD2285" s="1"/>
      <c r="BE2285" s="1"/>
      <c r="BF2285" s="1"/>
      <c r="BG2285" s="1"/>
      <c r="BH2285" s="1"/>
      <c r="BI2285" s="1"/>
      <c r="BJ2285" s="1"/>
      <c r="BK2285" s="1"/>
      <c r="BL2285" s="1"/>
      <c r="BM2285" s="1"/>
      <c r="BN2285" s="1"/>
      <c r="BO2285" s="1"/>
      <c r="BP2285" s="1" t="s">
        <v>9609</v>
      </c>
      <c r="BQ2285" s="3"/>
      <c r="BR2285" s="3"/>
    </row>
    <row r="2286" spans="1:70">
      <c r="A2286" s="1" t="s">
        <v>25368</v>
      </c>
      <c r="B2286" s="1" t="s">
        <v>13846</v>
      </c>
      <c r="C2286" s="1" t="s">
        <v>25465</v>
      </c>
      <c r="D2286" s="1"/>
      <c r="E2286" s="1"/>
      <c r="F2286" s="1"/>
      <c r="G2286" s="1"/>
      <c r="H2286" s="1" t="s">
        <v>25466</v>
      </c>
      <c r="I2286" s="1" t="s">
        <v>25466</v>
      </c>
      <c r="J2286" s="1"/>
      <c r="K2286" s="1"/>
      <c r="L2286" s="1"/>
      <c r="M2286" s="1"/>
      <c r="N2286" s="1"/>
      <c r="O2286" s="1"/>
      <c r="P2286" s="1"/>
      <c r="Q2286" s="1"/>
      <c r="R2286" s="1"/>
      <c r="S2286" s="1"/>
      <c r="T2286" s="1"/>
      <c r="U2286" s="1"/>
      <c r="V2286" s="1"/>
      <c r="W2286" s="1"/>
      <c r="X2286" s="1"/>
      <c r="Y2286" s="1"/>
      <c r="Z2286" s="1"/>
      <c r="AA2286" s="1"/>
      <c r="AB2286" s="1"/>
      <c r="AC2286" s="1"/>
      <c r="AD2286" s="1" t="s">
        <v>93</v>
      </c>
      <c r="AE2286" s="1" t="s">
        <v>93</v>
      </c>
      <c r="AF2286" s="1"/>
      <c r="AG2286" s="1"/>
      <c r="AH2286" s="1"/>
      <c r="AI2286" s="1"/>
      <c r="AJ2286" s="1"/>
      <c r="AK2286" s="1"/>
      <c r="AL2286" s="1"/>
      <c r="AM2286" s="1"/>
      <c r="AN2286" s="1"/>
      <c r="AO2286" s="1"/>
      <c r="AP2286" s="1"/>
      <c r="AQ2286" s="1"/>
      <c r="AR2286" s="1"/>
      <c r="AS2286" s="1"/>
      <c r="AT2286" s="1"/>
      <c r="AU2286" s="1"/>
      <c r="AV2286" s="1"/>
      <c r="AW2286" s="1"/>
      <c r="AX2286" s="1"/>
      <c r="AY2286" s="1"/>
      <c r="AZ2286" s="1"/>
      <c r="BA2286" s="1"/>
      <c r="BB2286" s="1"/>
      <c r="BC2286" s="1"/>
      <c r="BD2286" s="1"/>
      <c r="BE2286" s="1"/>
      <c r="BF2286" s="1"/>
      <c r="BG2286" s="1"/>
      <c r="BH2286" s="1"/>
      <c r="BI2286" s="1"/>
      <c r="BJ2286" s="1"/>
      <c r="BK2286" s="1"/>
      <c r="BL2286" s="1"/>
      <c r="BM2286" s="1"/>
      <c r="BN2286" s="1"/>
      <c r="BO2286" s="1"/>
      <c r="BP2286" s="1" t="s">
        <v>9609</v>
      </c>
      <c r="BQ2286" s="3"/>
      <c r="BR2286" s="3"/>
    </row>
    <row r="2287" spans="1:70">
      <c r="A2287" s="1" t="s">
        <v>25368</v>
      </c>
      <c r="B2287" s="1" t="s">
        <v>13846</v>
      </c>
      <c r="C2287" s="1" t="s">
        <v>25467</v>
      </c>
      <c r="D2287" s="1"/>
      <c r="E2287" s="1"/>
      <c r="F2287" s="1"/>
      <c r="G2287" s="1"/>
      <c r="H2287" s="1" t="s">
        <v>25468</v>
      </c>
      <c r="I2287" s="1" t="s">
        <v>25468</v>
      </c>
      <c r="J2287" s="1"/>
      <c r="K2287" s="1"/>
      <c r="L2287" s="1"/>
      <c r="M2287" s="1"/>
      <c r="N2287" s="1"/>
      <c r="O2287" s="1"/>
      <c r="P2287" s="1"/>
      <c r="Q2287" s="1"/>
      <c r="R2287" s="1"/>
      <c r="S2287" s="1"/>
      <c r="T2287" s="1"/>
      <c r="U2287" s="1"/>
      <c r="V2287" s="1"/>
      <c r="W2287" s="1"/>
      <c r="X2287" s="1"/>
      <c r="Y2287" s="1"/>
      <c r="Z2287" s="1"/>
      <c r="AA2287" s="1"/>
      <c r="AB2287" s="1"/>
      <c r="AC2287" s="1"/>
      <c r="AD2287" s="1" t="s">
        <v>93</v>
      </c>
      <c r="AE2287" s="1" t="s">
        <v>93</v>
      </c>
      <c r="AF2287" s="1"/>
      <c r="AG2287" s="1"/>
      <c r="AH2287" s="1"/>
      <c r="AI2287" s="1"/>
      <c r="AJ2287" s="1"/>
      <c r="AK2287" s="1"/>
      <c r="AL2287" s="1"/>
      <c r="AM2287" s="1"/>
      <c r="AN2287" s="1"/>
      <c r="AO2287" s="1"/>
      <c r="AP2287" s="1"/>
      <c r="AQ2287" s="1"/>
      <c r="AR2287" s="1"/>
      <c r="AS2287" s="1"/>
      <c r="AT2287" s="1"/>
      <c r="AU2287" s="1"/>
      <c r="AV2287" s="1"/>
      <c r="AW2287" s="1"/>
      <c r="AX2287" s="1"/>
      <c r="AY2287" s="1"/>
      <c r="AZ2287" s="1"/>
      <c r="BA2287" s="1"/>
      <c r="BB2287" s="1"/>
      <c r="BC2287" s="1"/>
      <c r="BD2287" s="1"/>
      <c r="BE2287" s="1"/>
      <c r="BF2287" s="1"/>
      <c r="BG2287" s="1"/>
      <c r="BH2287" s="1"/>
      <c r="BI2287" s="1"/>
      <c r="BJ2287" s="1"/>
      <c r="BK2287" s="1"/>
      <c r="BL2287" s="1"/>
      <c r="BM2287" s="1"/>
      <c r="BN2287" s="1"/>
      <c r="BO2287" s="1"/>
      <c r="BP2287" s="1" t="s">
        <v>9609</v>
      </c>
      <c r="BQ2287" s="3"/>
      <c r="BR2287" s="3"/>
    </row>
    <row r="2288" spans="1:70">
      <c r="A2288" s="1" t="s">
        <v>25368</v>
      </c>
      <c r="B2288" s="1" t="s">
        <v>13846</v>
      </c>
      <c r="C2288" s="1" t="s">
        <v>25469</v>
      </c>
      <c r="D2288" s="1"/>
      <c r="E2288" s="1"/>
      <c r="F2288" s="1"/>
      <c r="G2288" s="1"/>
      <c r="H2288" s="1" t="s">
        <v>25470</v>
      </c>
      <c r="I2288" s="1" t="s">
        <v>25470</v>
      </c>
      <c r="J2288" s="1"/>
      <c r="K2288" s="1"/>
      <c r="L2288" s="1"/>
      <c r="M2288" s="1"/>
      <c r="N2288" s="1"/>
      <c r="O2288" s="1"/>
      <c r="P2288" s="1"/>
      <c r="Q2288" s="1"/>
      <c r="R2288" s="1"/>
      <c r="S2288" s="1"/>
      <c r="T2288" s="1"/>
      <c r="U2288" s="1"/>
      <c r="V2288" s="1"/>
      <c r="W2288" s="1"/>
      <c r="X2288" s="1"/>
      <c r="Y2288" s="1"/>
      <c r="Z2288" s="1"/>
      <c r="AA2288" s="1"/>
      <c r="AB2288" s="1"/>
      <c r="AC2288" s="1"/>
      <c r="AD2288" s="1" t="s">
        <v>93</v>
      </c>
      <c r="AE2288" s="1" t="s">
        <v>93</v>
      </c>
      <c r="AF2288" s="1"/>
      <c r="AG2288" s="1"/>
      <c r="AH2288" s="1"/>
      <c r="AI2288" s="1"/>
      <c r="AJ2288" s="1"/>
      <c r="AK2288" s="1"/>
      <c r="AL2288" s="1"/>
      <c r="AM2288" s="1"/>
      <c r="AN2288" s="1"/>
      <c r="AO2288" s="1"/>
      <c r="AP2288" s="1"/>
      <c r="AQ2288" s="1"/>
      <c r="AR2288" s="1"/>
      <c r="AS2288" s="1"/>
      <c r="AT2288" s="1"/>
      <c r="AU2288" s="1"/>
      <c r="AV2288" s="1"/>
      <c r="AW2288" s="1"/>
      <c r="AX2288" s="1"/>
      <c r="AY2288" s="1"/>
      <c r="AZ2288" s="1"/>
      <c r="BA2288" s="1"/>
      <c r="BB2288" s="1"/>
      <c r="BC2288" s="1"/>
      <c r="BD2288" s="1"/>
      <c r="BE2288" s="1"/>
      <c r="BF2288" s="1"/>
      <c r="BG2288" s="1"/>
      <c r="BH2288" s="1"/>
      <c r="BI2288" s="1"/>
      <c r="BJ2288" s="1"/>
      <c r="BK2288" s="1"/>
      <c r="BL2288" s="1"/>
      <c r="BM2288" s="1"/>
      <c r="BN2288" s="1"/>
      <c r="BO2288" s="1"/>
      <c r="BP2288" s="1" t="s">
        <v>9609</v>
      </c>
      <c r="BQ2288" s="3"/>
      <c r="BR2288" s="3"/>
    </row>
    <row r="2289" spans="1:70">
      <c r="A2289" s="1" t="s">
        <v>25368</v>
      </c>
      <c r="B2289" s="1" t="s">
        <v>13846</v>
      </c>
      <c r="C2289" s="1" t="s">
        <v>25471</v>
      </c>
      <c r="D2289" s="1"/>
      <c r="E2289" s="1"/>
      <c r="F2289" s="1"/>
      <c r="G2289" s="1"/>
      <c r="H2289" s="1" t="s">
        <v>25472</v>
      </c>
      <c r="I2289" s="1" t="s">
        <v>25472</v>
      </c>
      <c r="J2289" s="1"/>
      <c r="K2289" s="1"/>
      <c r="L2289" s="1"/>
      <c r="M2289" s="1"/>
      <c r="N2289" s="1"/>
      <c r="O2289" s="1"/>
      <c r="P2289" s="1"/>
      <c r="Q2289" s="1"/>
      <c r="R2289" s="1"/>
      <c r="S2289" s="1"/>
      <c r="T2289" s="1"/>
      <c r="U2289" s="1"/>
      <c r="V2289" s="1"/>
      <c r="W2289" s="1"/>
      <c r="X2289" s="1"/>
      <c r="Y2289" s="1"/>
      <c r="Z2289" s="1"/>
      <c r="AA2289" s="1"/>
      <c r="AB2289" s="1"/>
      <c r="AC2289" s="1"/>
      <c r="AD2289" s="1" t="s">
        <v>93</v>
      </c>
      <c r="AE2289" s="1" t="s">
        <v>93</v>
      </c>
      <c r="AF2289" s="1"/>
      <c r="AG2289" s="1"/>
      <c r="AH2289" s="1"/>
      <c r="AI2289" s="1"/>
      <c r="AJ2289" s="1"/>
      <c r="AK2289" s="1"/>
      <c r="AL2289" s="1"/>
      <c r="AM2289" s="1"/>
      <c r="AN2289" s="1"/>
      <c r="AO2289" s="1"/>
      <c r="AP2289" s="1"/>
      <c r="AQ2289" s="1"/>
      <c r="AR2289" s="1"/>
      <c r="AS2289" s="1"/>
      <c r="AT2289" s="1"/>
      <c r="AU2289" s="1"/>
      <c r="AV2289" s="1"/>
      <c r="AW2289" s="1"/>
      <c r="AX2289" s="1"/>
      <c r="AY2289" s="1"/>
      <c r="AZ2289" s="1"/>
      <c r="BA2289" s="1"/>
      <c r="BB2289" s="1"/>
      <c r="BC2289" s="1"/>
      <c r="BD2289" s="1"/>
      <c r="BE2289" s="1"/>
      <c r="BF2289" s="1"/>
      <c r="BG2289" s="1"/>
      <c r="BH2289" s="1"/>
      <c r="BI2289" s="1"/>
      <c r="BJ2289" s="1"/>
      <c r="BK2289" s="1"/>
      <c r="BL2289" s="1"/>
      <c r="BM2289" s="1"/>
      <c r="BN2289" s="1"/>
      <c r="BO2289" s="1"/>
      <c r="BP2289" s="1" t="s">
        <v>9609</v>
      </c>
      <c r="BQ2289" s="3"/>
      <c r="BR2289" s="3"/>
    </row>
    <row r="2290" spans="1:70">
      <c r="A2290" s="1" t="s">
        <v>25368</v>
      </c>
      <c r="B2290" s="1" t="s">
        <v>13846</v>
      </c>
      <c r="C2290" s="1" t="s">
        <v>25473</v>
      </c>
      <c r="D2290" s="1"/>
      <c r="E2290" s="1"/>
      <c r="F2290" s="1"/>
      <c r="G2290" s="1"/>
      <c r="H2290" s="1" t="s">
        <v>25474</v>
      </c>
      <c r="I2290" s="1" t="s">
        <v>25474</v>
      </c>
      <c r="J2290" s="1"/>
      <c r="K2290" s="1"/>
      <c r="L2290" s="1"/>
      <c r="M2290" s="1"/>
      <c r="N2290" s="1"/>
      <c r="O2290" s="1"/>
      <c r="P2290" s="1"/>
      <c r="Q2290" s="1"/>
      <c r="R2290" s="1"/>
      <c r="S2290" s="1"/>
      <c r="T2290" s="1"/>
      <c r="U2290" s="1"/>
      <c r="V2290" s="1"/>
      <c r="W2290" s="1"/>
      <c r="X2290" s="1"/>
      <c r="Y2290" s="1"/>
      <c r="Z2290" s="1"/>
      <c r="AA2290" s="1"/>
      <c r="AB2290" s="1"/>
      <c r="AC2290" s="1"/>
      <c r="AD2290" s="1" t="s">
        <v>93</v>
      </c>
      <c r="AE2290" s="1" t="s">
        <v>93</v>
      </c>
      <c r="AF2290" s="1"/>
      <c r="AG2290" s="1"/>
      <c r="AH2290" s="1"/>
      <c r="AI2290" s="1"/>
      <c r="AJ2290" s="1"/>
      <c r="AK2290" s="1"/>
      <c r="AL2290" s="1"/>
      <c r="AM2290" s="1"/>
      <c r="AN2290" s="1"/>
      <c r="AO2290" s="1"/>
      <c r="AP2290" s="1"/>
      <c r="AQ2290" s="1"/>
      <c r="AR2290" s="1"/>
      <c r="AS2290" s="1"/>
      <c r="AT2290" s="1"/>
      <c r="AU2290" s="1"/>
      <c r="AV2290" s="1"/>
      <c r="AW2290" s="1"/>
      <c r="AX2290" s="1"/>
      <c r="AY2290" s="1"/>
      <c r="AZ2290" s="1"/>
      <c r="BA2290" s="1"/>
      <c r="BB2290" s="1"/>
      <c r="BC2290" s="1"/>
      <c r="BD2290" s="1"/>
      <c r="BE2290" s="1"/>
      <c r="BF2290" s="1"/>
      <c r="BG2290" s="1"/>
      <c r="BH2290" s="1"/>
      <c r="BI2290" s="1"/>
      <c r="BJ2290" s="1"/>
      <c r="BK2290" s="1"/>
      <c r="BL2290" s="1"/>
      <c r="BM2290" s="1"/>
      <c r="BN2290" s="1"/>
      <c r="BO2290" s="1"/>
      <c r="BP2290" s="1" t="s">
        <v>9609</v>
      </c>
      <c r="BQ2290" s="3"/>
      <c r="BR2290" s="3"/>
    </row>
    <row r="2291" spans="1:70">
      <c r="A2291" s="1" t="s">
        <v>25368</v>
      </c>
      <c r="B2291" s="1" t="s">
        <v>13846</v>
      </c>
      <c r="C2291" s="1" t="s">
        <v>25475</v>
      </c>
      <c r="D2291" s="1"/>
      <c r="E2291" s="1"/>
      <c r="F2291" s="1"/>
      <c r="G2291" s="1"/>
      <c r="H2291" s="1" t="s">
        <v>25476</v>
      </c>
      <c r="I2291" s="1" t="s">
        <v>25476</v>
      </c>
      <c r="J2291" s="1"/>
      <c r="K2291" s="1"/>
      <c r="L2291" s="1"/>
      <c r="M2291" s="1"/>
      <c r="N2291" s="1"/>
      <c r="O2291" s="1"/>
      <c r="P2291" s="1"/>
      <c r="Q2291" s="1"/>
      <c r="R2291" s="1"/>
      <c r="S2291" s="1"/>
      <c r="T2291" s="1"/>
      <c r="U2291" s="1"/>
      <c r="V2291" s="1"/>
      <c r="W2291" s="1"/>
      <c r="X2291" s="1"/>
      <c r="Y2291" s="1"/>
      <c r="Z2291" s="1"/>
      <c r="AA2291" s="1"/>
      <c r="AB2291" s="1"/>
      <c r="AC2291" s="1"/>
      <c r="AD2291" s="1" t="s">
        <v>93</v>
      </c>
      <c r="AE2291" s="1" t="s">
        <v>93</v>
      </c>
      <c r="AF2291" s="1"/>
      <c r="AG2291" s="1"/>
      <c r="AH2291" s="1"/>
      <c r="AI2291" s="1"/>
      <c r="AJ2291" s="1"/>
      <c r="AK2291" s="1"/>
      <c r="AL2291" s="1"/>
      <c r="AM2291" s="1"/>
      <c r="AN2291" s="1"/>
      <c r="AO2291" s="1"/>
      <c r="AP2291" s="1"/>
      <c r="AQ2291" s="1"/>
      <c r="AR2291" s="1"/>
      <c r="AS2291" s="1"/>
      <c r="AT2291" s="1"/>
      <c r="AU2291" s="1"/>
      <c r="AV2291" s="1"/>
      <c r="AW2291" s="1"/>
      <c r="AX2291" s="1"/>
      <c r="AY2291" s="1"/>
      <c r="AZ2291" s="1"/>
      <c r="BA2291" s="1"/>
      <c r="BB2291" s="1"/>
      <c r="BC2291" s="1"/>
      <c r="BD2291" s="1"/>
      <c r="BE2291" s="1"/>
      <c r="BF2291" s="1"/>
      <c r="BG2291" s="1"/>
      <c r="BH2291" s="1"/>
      <c r="BI2291" s="1"/>
      <c r="BJ2291" s="1"/>
      <c r="BK2291" s="1"/>
      <c r="BL2291" s="1"/>
      <c r="BM2291" s="1"/>
      <c r="BN2291" s="1"/>
      <c r="BO2291" s="1"/>
      <c r="BP2291" s="1" t="s">
        <v>9609</v>
      </c>
      <c r="BQ2291" s="3"/>
      <c r="BR2291" s="3"/>
    </row>
    <row r="2292" spans="1:70">
      <c r="A2292" s="1" t="s">
        <v>25368</v>
      </c>
      <c r="B2292" s="1" t="s">
        <v>13846</v>
      </c>
      <c r="C2292" s="1" t="s">
        <v>25477</v>
      </c>
      <c r="D2292" s="1"/>
      <c r="E2292" s="1"/>
      <c r="F2292" s="1"/>
      <c r="G2292" s="1"/>
      <c r="H2292" s="1" t="s">
        <v>25478</v>
      </c>
      <c r="I2292" s="1" t="s">
        <v>25478</v>
      </c>
      <c r="J2292" s="1"/>
      <c r="K2292" s="1"/>
      <c r="L2292" s="1"/>
      <c r="M2292" s="1"/>
      <c r="N2292" s="1"/>
      <c r="O2292" s="1"/>
      <c r="P2292" s="1"/>
      <c r="Q2292" s="1"/>
      <c r="R2292" s="1"/>
      <c r="S2292" s="1"/>
      <c r="T2292" s="1"/>
      <c r="U2292" s="1"/>
      <c r="V2292" s="1"/>
      <c r="W2292" s="1"/>
      <c r="X2292" s="1"/>
      <c r="Y2292" s="1"/>
      <c r="Z2292" s="1"/>
      <c r="AA2292" s="1"/>
      <c r="AB2292" s="1"/>
      <c r="AC2292" s="1"/>
      <c r="AD2292" s="1" t="s">
        <v>93</v>
      </c>
      <c r="AE2292" s="1" t="s">
        <v>93</v>
      </c>
      <c r="AF2292" s="1"/>
      <c r="AG2292" s="1"/>
      <c r="AH2292" s="1"/>
      <c r="AI2292" s="1"/>
      <c r="AJ2292" s="1"/>
      <c r="AK2292" s="1"/>
      <c r="AL2292" s="1"/>
      <c r="AM2292" s="1"/>
      <c r="AN2292" s="1"/>
      <c r="AO2292" s="1"/>
      <c r="AP2292" s="1"/>
      <c r="AQ2292" s="1"/>
      <c r="AR2292" s="1"/>
      <c r="AS2292" s="1"/>
      <c r="AT2292" s="1"/>
      <c r="AU2292" s="1"/>
      <c r="AV2292" s="1"/>
      <c r="AW2292" s="1"/>
      <c r="AX2292" s="1"/>
      <c r="AY2292" s="1"/>
      <c r="AZ2292" s="1"/>
      <c r="BA2292" s="1"/>
      <c r="BB2292" s="1"/>
      <c r="BC2292" s="1"/>
      <c r="BD2292" s="1"/>
      <c r="BE2292" s="1"/>
      <c r="BF2292" s="1"/>
      <c r="BG2292" s="1"/>
      <c r="BH2292" s="1"/>
      <c r="BI2292" s="1"/>
      <c r="BJ2292" s="1"/>
      <c r="BK2292" s="1"/>
      <c r="BL2292" s="1"/>
      <c r="BM2292" s="1"/>
      <c r="BN2292" s="1"/>
      <c r="BO2292" s="1"/>
      <c r="BP2292" s="1" t="s">
        <v>9609</v>
      </c>
      <c r="BQ2292" s="3"/>
      <c r="BR2292" s="3"/>
    </row>
    <row r="2293" spans="1:70">
      <c r="A2293" s="1" t="s">
        <v>25368</v>
      </c>
      <c r="B2293" s="1" t="s">
        <v>13846</v>
      </c>
      <c r="C2293" s="1" t="s">
        <v>25479</v>
      </c>
      <c r="D2293" s="1"/>
      <c r="E2293" s="1"/>
      <c r="F2293" s="1"/>
      <c r="G2293" s="1"/>
      <c r="H2293" s="1" t="s">
        <v>25480</v>
      </c>
      <c r="I2293" s="1" t="s">
        <v>25480</v>
      </c>
      <c r="J2293" s="1"/>
      <c r="K2293" s="1"/>
      <c r="L2293" s="1"/>
      <c r="M2293" s="1"/>
      <c r="N2293" s="1"/>
      <c r="O2293" s="1"/>
      <c r="P2293" s="1"/>
      <c r="Q2293" s="1"/>
      <c r="R2293" s="1"/>
      <c r="S2293" s="1"/>
      <c r="T2293" s="1"/>
      <c r="U2293" s="1"/>
      <c r="V2293" s="1"/>
      <c r="W2293" s="1"/>
      <c r="X2293" s="1"/>
      <c r="Y2293" s="1"/>
      <c r="Z2293" s="1"/>
      <c r="AA2293" s="1"/>
      <c r="AB2293" s="1"/>
      <c r="AC2293" s="1"/>
      <c r="AD2293" s="1" t="s">
        <v>93</v>
      </c>
      <c r="AE2293" s="1" t="s">
        <v>93</v>
      </c>
      <c r="AF2293" s="1"/>
      <c r="AG2293" s="1"/>
      <c r="AH2293" s="1"/>
      <c r="AI2293" s="1"/>
      <c r="AJ2293" s="1"/>
      <c r="AK2293" s="1"/>
      <c r="AL2293" s="1"/>
      <c r="AM2293" s="1"/>
      <c r="AN2293" s="1"/>
      <c r="AO2293" s="1"/>
      <c r="AP2293" s="1"/>
      <c r="AQ2293" s="1"/>
      <c r="AR2293" s="1"/>
      <c r="AS2293" s="1"/>
      <c r="AT2293" s="1"/>
      <c r="AU2293" s="1"/>
      <c r="AV2293" s="1"/>
      <c r="AW2293" s="1"/>
      <c r="AX2293" s="1"/>
      <c r="AY2293" s="1"/>
      <c r="AZ2293" s="1"/>
      <c r="BA2293" s="1"/>
      <c r="BB2293" s="1"/>
      <c r="BC2293" s="1"/>
      <c r="BD2293" s="1"/>
      <c r="BE2293" s="1"/>
      <c r="BF2293" s="1"/>
      <c r="BG2293" s="1"/>
      <c r="BH2293" s="1"/>
      <c r="BI2293" s="1"/>
      <c r="BJ2293" s="1"/>
      <c r="BK2293" s="1"/>
      <c r="BL2293" s="1"/>
      <c r="BM2293" s="1"/>
      <c r="BN2293" s="1"/>
      <c r="BO2293" s="1"/>
      <c r="BP2293" s="1" t="s">
        <v>9609</v>
      </c>
      <c r="BQ2293" s="3"/>
      <c r="BR2293" s="3"/>
    </row>
    <row r="2294" spans="1:70">
      <c r="A2294" s="1" t="s">
        <v>25368</v>
      </c>
      <c r="B2294" s="1" t="s">
        <v>13846</v>
      </c>
      <c r="C2294" s="1" t="s">
        <v>25481</v>
      </c>
      <c r="D2294" s="1"/>
      <c r="E2294" s="1"/>
      <c r="F2294" s="1"/>
      <c r="G2294" s="1"/>
      <c r="H2294" s="1" t="s">
        <v>25482</v>
      </c>
      <c r="I2294" s="1" t="s">
        <v>25482</v>
      </c>
      <c r="J2294" s="1"/>
      <c r="K2294" s="1"/>
      <c r="L2294" s="1"/>
      <c r="M2294" s="1"/>
      <c r="N2294" s="1"/>
      <c r="O2294" s="1"/>
      <c r="P2294" s="1"/>
      <c r="Q2294" s="1"/>
      <c r="R2294" s="1"/>
      <c r="S2294" s="1"/>
      <c r="T2294" s="1"/>
      <c r="U2294" s="1"/>
      <c r="V2294" s="1"/>
      <c r="W2294" s="1"/>
      <c r="X2294" s="1"/>
      <c r="Y2294" s="1"/>
      <c r="Z2294" s="1"/>
      <c r="AA2294" s="1"/>
      <c r="AB2294" s="1"/>
      <c r="AC2294" s="1"/>
      <c r="AD2294" s="1" t="s">
        <v>93</v>
      </c>
      <c r="AE2294" s="1" t="s">
        <v>93</v>
      </c>
      <c r="AF2294" s="1"/>
      <c r="AG2294" s="1"/>
      <c r="AH2294" s="1"/>
      <c r="AI2294" s="1"/>
      <c r="AJ2294" s="1"/>
      <c r="AK2294" s="1"/>
      <c r="AL2294" s="1"/>
      <c r="AM2294" s="1"/>
      <c r="AN2294" s="1"/>
      <c r="AO2294" s="1"/>
      <c r="AP2294" s="1"/>
      <c r="AQ2294" s="1"/>
      <c r="AR2294" s="1"/>
      <c r="AS2294" s="1"/>
      <c r="AT2294" s="1"/>
      <c r="AU2294" s="1"/>
      <c r="AV2294" s="1"/>
      <c r="AW2294" s="1"/>
      <c r="AX2294" s="1"/>
      <c r="AY2294" s="1"/>
      <c r="AZ2294" s="1"/>
      <c r="BA2294" s="1"/>
      <c r="BB2294" s="1"/>
      <c r="BC2294" s="1"/>
      <c r="BD2294" s="1"/>
      <c r="BE2294" s="1"/>
      <c r="BF2294" s="1"/>
      <c r="BG2294" s="1"/>
      <c r="BH2294" s="1"/>
      <c r="BI2294" s="1"/>
      <c r="BJ2294" s="1"/>
      <c r="BK2294" s="1"/>
      <c r="BL2294" s="1"/>
      <c r="BM2294" s="1"/>
      <c r="BN2294" s="1"/>
      <c r="BO2294" s="1"/>
      <c r="BP2294" s="1" t="s">
        <v>9609</v>
      </c>
      <c r="BQ2294" s="3"/>
      <c r="BR2294" s="3"/>
    </row>
    <row r="2295" spans="1:70">
      <c r="A2295" s="1" t="s">
        <v>25368</v>
      </c>
      <c r="B2295" s="1" t="s">
        <v>13846</v>
      </c>
      <c r="C2295" s="1" t="s">
        <v>25483</v>
      </c>
      <c r="D2295" s="1"/>
      <c r="E2295" s="1"/>
      <c r="F2295" s="1"/>
      <c r="G2295" s="1"/>
      <c r="H2295" s="1" t="s">
        <v>25484</v>
      </c>
      <c r="I2295" s="1" t="s">
        <v>25484</v>
      </c>
      <c r="J2295" s="1"/>
      <c r="K2295" s="1"/>
      <c r="L2295" s="1"/>
      <c r="M2295" s="1"/>
      <c r="N2295" s="1"/>
      <c r="O2295" s="1"/>
      <c r="P2295" s="1"/>
      <c r="Q2295" s="1"/>
      <c r="R2295" s="1"/>
      <c r="S2295" s="1"/>
      <c r="T2295" s="1"/>
      <c r="U2295" s="1"/>
      <c r="V2295" s="1"/>
      <c r="W2295" s="1"/>
      <c r="X2295" s="1"/>
      <c r="Y2295" s="1"/>
      <c r="Z2295" s="1"/>
      <c r="AA2295" s="1"/>
      <c r="AB2295" s="1"/>
      <c r="AC2295" s="1"/>
      <c r="AD2295" s="1" t="s">
        <v>93</v>
      </c>
      <c r="AE2295" s="1" t="s">
        <v>93</v>
      </c>
      <c r="AF2295" s="1"/>
      <c r="AG2295" s="1"/>
      <c r="AH2295" s="1"/>
      <c r="AI2295" s="1"/>
      <c r="AJ2295" s="1"/>
      <c r="AK2295" s="1"/>
      <c r="AL2295" s="1"/>
      <c r="AM2295" s="1"/>
      <c r="AN2295" s="1"/>
      <c r="AO2295" s="1"/>
      <c r="AP2295" s="1"/>
      <c r="AQ2295" s="1"/>
      <c r="AR2295" s="1"/>
      <c r="AS2295" s="1"/>
      <c r="AT2295" s="1"/>
      <c r="AU2295" s="1"/>
      <c r="AV2295" s="1"/>
      <c r="AW2295" s="1"/>
      <c r="AX2295" s="1"/>
      <c r="AY2295" s="1"/>
      <c r="AZ2295" s="1"/>
      <c r="BA2295" s="1"/>
      <c r="BB2295" s="1"/>
      <c r="BC2295" s="1"/>
      <c r="BD2295" s="1"/>
      <c r="BE2295" s="1"/>
      <c r="BF2295" s="1"/>
      <c r="BG2295" s="1"/>
      <c r="BH2295" s="1"/>
      <c r="BI2295" s="1"/>
      <c r="BJ2295" s="1"/>
      <c r="BK2295" s="1"/>
      <c r="BL2295" s="1"/>
      <c r="BM2295" s="1"/>
      <c r="BN2295" s="1"/>
      <c r="BO2295" s="1"/>
      <c r="BP2295" s="1" t="s">
        <v>9609</v>
      </c>
      <c r="BQ2295" s="3"/>
      <c r="BR2295" s="3"/>
    </row>
    <row r="2296" spans="1:70">
      <c r="A2296" s="1" t="s">
        <v>25368</v>
      </c>
      <c r="B2296" s="1" t="s">
        <v>13846</v>
      </c>
      <c r="C2296" s="1" t="s">
        <v>25485</v>
      </c>
      <c r="D2296" s="1"/>
      <c r="E2296" s="1"/>
      <c r="F2296" s="1"/>
      <c r="G2296" s="1"/>
      <c r="H2296" s="1" t="s">
        <v>25486</v>
      </c>
      <c r="I2296" s="1" t="s">
        <v>25486</v>
      </c>
      <c r="J2296" s="1"/>
      <c r="K2296" s="1"/>
      <c r="L2296" s="1"/>
      <c r="M2296" s="1"/>
      <c r="N2296" s="1"/>
      <c r="O2296" s="1"/>
      <c r="P2296" s="1"/>
      <c r="Q2296" s="1"/>
      <c r="R2296" s="1"/>
      <c r="S2296" s="1"/>
      <c r="T2296" s="1"/>
      <c r="U2296" s="1"/>
      <c r="V2296" s="1"/>
      <c r="W2296" s="1"/>
      <c r="X2296" s="1"/>
      <c r="Y2296" s="1"/>
      <c r="Z2296" s="1"/>
      <c r="AA2296" s="1"/>
      <c r="AB2296" s="1"/>
      <c r="AC2296" s="1"/>
      <c r="AD2296" s="1" t="s">
        <v>93</v>
      </c>
      <c r="AE2296" s="1" t="s">
        <v>93</v>
      </c>
      <c r="AF2296" s="1"/>
      <c r="AG2296" s="1"/>
      <c r="AH2296" s="1"/>
      <c r="AI2296" s="1"/>
      <c r="AJ2296" s="1"/>
      <c r="AK2296" s="1"/>
      <c r="AL2296" s="1"/>
      <c r="AM2296" s="1"/>
      <c r="AN2296" s="1"/>
      <c r="AO2296" s="1"/>
      <c r="AP2296" s="1"/>
      <c r="AQ2296" s="1"/>
      <c r="AR2296" s="1"/>
      <c r="AS2296" s="1"/>
      <c r="AT2296" s="1"/>
      <c r="AU2296" s="1"/>
      <c r="AV2296" s="1"/>
      <c r="AW2296" s="1"/>
      <c r="AX2296" s="1"/>
      <c r="AY2296" s="1"/>
      <c r="AZ2296" s="1"/>
      <c r="BA2296" s="1"/>
      <c r="BB2296" s="1"/>
      <c r="BC2296" s="1"/>
      <c r="BD2296" s="1"/>
      <c r="BE2296" s="1"/>
      <c r="BF2296" s="1"/>
      <c r="BG2296" s="1"/>
      <c r="BH2296" s="1"/>
      <c r="BI2296" s="1"/>
      <c r="BJ2296" s="1"/>
      <c r="BK2296" s="1"/>
      <c r="BL2296" s="1"/>
      <c r="BM2296" s="1"/>
      <c r="BN2296" s="1"/>
      <c r="BO2296" s="1"/>
      <c r="BP2296" s="1" t="s">
        <v>9609</v>
      </c>
      <c r="BQ2296" s="3"/>
      <c r="BR2296" s="3"/>
    </row>
    <row r="2297" spans="1:70">
      <c r="A2297" s="1" t="s">
        <v>25368</v>
      </c>
      <c r="B2297" s="1" t="s">
        <v>13846</v>
      </c>
      <c r="C2297" s="1" t="s">
        <v>25487</v>
      </c>
      <c r="D2297" s="1"/>
      <c r="E2297" s="1"/>
      <c r="F2297" s="1"/>
      <c r="G2297" s="1"/>
      <c r="H2297" s="1" t="s">
        <v>25488</v>
      </c>
      <c r="I2297" s="1" t="s">
        <v>25488</v>
      </c>
      <c r="J2297" s="1"/>
      <c r="K2297" s="1"/>
      <c r="L2297" s="1"/>
      <c r="M2297" s="1"/>
      <c r="N2297" s="1"/>
      <c r="O2297" s="1"/>
      <c r="P2297" s="1"/>
      <c r="Q2297" s="1"/>
      <c r="R2297" s="1"/>
      <c r="S2297" s="1"/>
      <c r="T2297" s="1"/>
      <c r="U2297" s="1"/>
      <c r="V2297" s="1"/>
      <c r="W2297" s="1"/>
      <c r="X2297" s="1"/>
      <c r="Y2297" s="1"/>
      <c r="Z2297" s="1"/>
      <c r="AA2297" s="1"/>
      <c r="AB2297" s="1"/>
      <c r="AC2297" s="1"/>
      <c r="AD2297" s="1" t="s">
        <v>93</v>
      </c>
      <c r="AE2297" s="1" t="s">
        <v>93</v>
      </c>
      <c r="AF2297" s="1"/>
      <c r="AG2297" s="1"/>
      <c r="AH2297" s="1"/>
      <c r="AI2297" s="1"/>
      <c r="AJ2297" s="1"/>
      <c r="AK2297" s="1"/>
      <c r="AL2297" s="1"/>
      <c r="AM2297" s="1"/>
      <c r="AN2297" s="1"/>
      <c r="AO2297" s="1"/>
      <c r="AP2297" s="1"/>
      <c r="AQ2297" s="1"/>
      <c r="AR2297" s="1"/>
      <c r="AS2297" s="1"/>
      <c r="AT2297" s="1"/>
      <c r="AU2297" s="1"/>
      <c r="AV2297" s="1"/>
      <c r="AW2297" s="1"/>
      <c r="AX2297" s="1"/>
      <c r="AY2297" s="1"/>
      <c r="AZ2297" s="1"/>
      <c r="BA2297" s="1"/>
      <c r="BB2297" s="1"/>
      <c r="BC2297" s="1"/>
      <c r="BD2297" s="1"/>
      <c r="BE2297" s="1"/>
      <c r="BF2297" s="1"/>
      <c r="BG2297" s="1"/>
      <c r="BH2297" s="1"/>
      <c r="BI2297" s="1"/>
      <c r="BJ2297" s="1"/>
      <c r="BK2297" s="1"/>
      <c r="BL2297" s="1"/>
      <c r="BM2297" s="1"/>
      <c r="BN2297" s="1"/>
      <c r="BO2297" s="1"/>
      <c r="BP2297" s="1" t="s">
        <v>9609</v>
      </c>
      <c r="BQ2297" s="3"/>
      <c r="BR2297" s="3"/>
    </row>
    <row r="2298" spans="1:70">
      <c r="A2298" s="1" t="s">
        <v>25368</v>
      </c>
      <c r="B2298" s="1" t="s">
        <v>13846</v>
      </c>
      <c r="C2298" s="1" t="s">
        <v>25489</v>
      </c>
      <c r="D2298" s="1"/>
      <c r="E2298" s="1"/>
      <c r="F2298" s="1"/>
      <c r="G2298" s="1"/>
      <c r="H2298" s="1" t="s">
        <v>25490</v>
      </c>
      <c r="I2298" s="1" t="s">
        <v>25490</v>
      </c>
      <c r="J2298" s="1"/>
      <c r="K2298" s="1"/>
      <c r="L2298" s="1"/>
      <c r="M2298" s="1"/>
      <c r="N2298" s="1"/>
      <c r="O2298" s="1"/>
      <c r="P2298" s="1"/>
      <c r="Q2298" s="1"/>
      <c r="R2298" s="1"/>
      <c r="S2298" s="1"/>
      <c r="T2298" s="1"/>
      <c r="U2298" s="1"/>
      <c r="V2298" s="1"/>
      <c r="W2298" s="1"/>
      <c r="X2298" s="1"/>
      <c r="Y2298" s="1"/>
      <c r="Z2298" s="1"/>
      <c r="AA2298" s="1"/>
      <c r="AB2298" s="1"/>
      <c r="AC2298" s="1"/>
      <c r="AD2298" s="1" t="s">
        <v>93</v>
      </c>
      <c r="AE2298" s="1" t="s">
        <v>93</v>
      </c>
      <c r="AF2298" s="1"/>
      <c r="AG2298" s="1"/>
      <c r="AH2298" s="1"/>
      <c r="AI2298" s="1"/>
      <c r="AJ2298" s="1"/>
      <c r="AK2298" s="1"/>
      <c r="AL2298" s="1"/>
      <c r="AM2298" s="1"/>
      <c r="AN2298" s="1"/>
      <c r="AO2298" s="1"/>
      <c r="AP2298" s="1"/>
      <c r="AQ2298" s="1"/>
      <c r="AR2298" s="1"/>
      <c r="AS2298" s="1"/>
      <c r="AT2298" s="1"/>
      <c r="AU2298" s="1"/>
      <c r="AV2298" s="1"/>
      <c r="AW2298" s="1"/>
      <c r="AX2298" s="1"/>
      <c r="AY2298" s="1"/>
      <c r="AZ2298" s="1"/>
      <c r="BA2298" s="1"/>
      <c r="BB2298" s="1"/>
      <c r="BC2298" s="1"/>
      <c r="BD2298" s="1"/>
      <c r="BE2298" s="1"/>
      <c r="BF2298" s="1"/>
      <c r="BG2298" s="1"/>
      <c r="BH2298" s="1"/>
      <c r="BI2298" s="1"/>
      <c r="BJ2298" s="1"/>
      <c r="BK2298" s="1"/>
      <c r="BL2298" s="1"/>
      <c r="BM2298" s="1"/>
      <c r="BN2298" s="1"/>
      <c r="BO2298" s="1"/>
      <c r="BP2298" s="1" t="s">
        <v>9609</v>
      </c>
      <c r="BQ2298" s="3"/>
      <c r="BR2298" s="3"/>
    </row>
    <row r="2299" spans="1:70">
      <c r="A2299" s="1" t="s">
        <v>25368</v>
      </c>
      <c r="B2299" s="1" t="s">
        <v>13846</v>
      </c>
      <c r="C2299" s="1" t="s">
        <v>25491</v>
      </c>
      <c r="D2299" s="1"/>
      <c r="E2299" s="1"/>
      <c r="F2299" s="1"/>
      <c r="G2299" s="1"/>
      <c r="H2299" s="1" t="s">
        <v>25492</v>
      </c>
      <c r="I2299" s="1" t="s">
        <v>25492</v>
      </c>
      <c r="J2299" s="1"/>
      <c r="K2299" s="1"/>
      <c r="L2299" s="1"/>
      <c r="M2299" s="1"/>
      <c r="N2299" s="1"/>
      <c r="O2299" s="1"/>
      <c r="P2299" s="1"/>
      <c r="Q2299" s="1"/>
      <c r="R2299" s="1"/>
      <c r="S2299" s="1"/>
      <c r="T2299" s="1"/>
      <c r="U2299" s="1"/>
      <c r="V2299" s="1"/>
      <c r="W2299" s="1"/>
      <c r="X2299" s="1"/>
      <c r="Y2299" s="1"/>
      <c r="Z2299" s="1"/>
      <c r="AA2299" s="1"/>
      <c r="AB2299" s="1"/>
      <c r="AC2299" s="1"/>
      <c r="AD2299" s="1" t="s">
        <v>93</v>
      </c>
      <c r="AE2299" s="1" t="s">
        <v>93</v>
      </c>
      <c r="AF2299" s="1"/>
      <c r="AG2299" s="1"/>
      <c r="AH2299" s="1"/>
      <c r="AI2299" s="1"/>
      <c r="AJ2299" s="1"/>
      <c r="AK2299" s="1"/>
      <c r="AL2299" s="1"/>
      <c r="AM2299" s="1"/>
      <c r="AN2299" s="1"/>
      <c r="AO2299" s="1"/>
      <c r="AP2299" s="1"/>
      <c r="AQ2299" s="1"/>
      <c r="AR2299" s="1"/>
      <c r="AS2299" s="1"/>
      <c r="AT2299" s="1"/>
      <c r="AU2299" s="1"/>
      <c r="AV2299" s="1"/>
      <c r="AW2299" s="1"/>
      <c r="AX2299" s="1"/>
      <c r="AY2299" s="1"/>
      <c r="AZ2299" s="1"/>
      <c r="BA2299" s="1"/>
      <c r="BB2299" s="1"/>
      <c r="BC2299" s="1"/>
      <c r="BD2299" s="1"/>
      <c r="BE2299" s="1"/>
      <c r="BF2299" s="1"/>
      <c r="BG2299" s="1"/>
      <c r="BH2299" s="1"/>
      <c r="BI2299" s="1"/>
      <c r="BJ2299" s="1"/>
      <c r="BK2299" s="1"/>
      <c r="BL2299" s="1"/>
      <c r="BM2299" s="1"/>
      <c r="BN2299" s="1"/>
      <c r="BO2299" s="1"/>
      <c r="BP2299" s="1" t="s">
        <v>9609</v>
      </c>
      <c r="BQ2299" s="3"/>
      <c r="BR2299" s="3"/>
    </row>
    <row r="2300" spans="1:70">
      <c r="A2300" s="1" t="s">
        <v>25368</v>
      </c>
      <c r="B2300" s="1" t="s">
        <v>13846</v>
      </c>
      <c r="C2300" s="1" t="s">
        <v>25493</v>
      </c>
      <c r="D2300" s="1"/>
      <c r="E2300" s="1"/>
      <c r="F2300" s="1"/>
      <c r="G2300" s="1"/>
      <c r="H2300" s="1" t="s">
        <v>25494</v>
      </c>
      <c r="I2300" s="1" t="s">
        <v>25494</v>
      </c>
      <c r="J2300" s="1"/>
      <c r="K2300" s="1"/>
      <c r="L2300" s="1"/>
      <c r="M2300" s="1"/>
      <c r="N2300" s="1"/>
      <c r="O2300" s="1"/>
      <c r="P2300" s="1"/>
      <c r="Q2300" s="1"/>
      <c r="R2300" s="1"/>
      <c r="S2300" s="1"/>
      <c r="T2300" s="1"/>
      <c r="U2300" s="1"/>
      <c r="V2300" s="1"/>
      <c r="W2300" s="1"/>
      <c r="X2300" s="1"/>
      <c r="Y2300" s="1"/>
      <c r="Z2300" s="1"/>
      <c r="AA2300" s="1"/>
      <c r="AB2300" s="1"/>
      <c r="AC2300" s="1"/>
      <c r="AD2300" s="1" t="s">
        <v>93</v>
      </c>
      <c r="AE2300" s="1" t="s">
        <v>93</v>
      </c>
      <c r="AF2300" s="1"/>
      <c r="AG2300" s="1"/>
      <c r="AH2300" s="1"/>
      <c r="AI2300" s="1"/>
      <c r="AJ2300" s="1"/>
      <c r="AK2300" s="1"/>
      <c r="AL2300" s="1"/>
      <c r="AM2300" s="1"/>
      <c r="AN2300" s="1"/>
      <c r="AO2300" s="1"/>
      <c r="AP2300" s="1"/>
      <c r="AQ2300" s="1"/>
      <c r="AR2300" s="1"/>
      <c r="AS2300" s="1"/>
      <c r="AT2300" s="1"/>
      <c r="AU2300" s="1"/>
      <c r="AV2300" s="1"/>
      <c r="AW2300" s="1"/>
      <c r="AX2300" s="1"/>
      <c r="AY2300" s="1"/>
      <c r="AZ2300" s="1"/>
      <c r="BA2300" s="1"/>
      <c r="BB2300" s="1"/>
      <c r="BC2300" s="1"/>
      <c r="BD2300" s="1"/>
      <c r="BE2300" s="1"/>
      <c r="BF2300" s="1"/>
      <c r="BG2300" s="1"/>
      <c r="BH2300" s="1"/>
      <c r="BI2300" s="1"/>
      <c r="BJ2300" s="1"/>
      <c r="BK2300" s="1"/>
      <c r="BL2300" s="1"/>
      <c r="BM2300" s="1"/>
      <c r="BN2300" s="1"/>
      <c r="BO2300" s="1"/>
      <c r="BP2300" s="1" t="s">
        <v>9609</v>
      </c>
      <c r="BQ2300" s="3"/>
      <c r="BR2300" s="3"/>
    </row>
    <row r="2301" spans="1:70">
      <c r="A2301" s="1" t="s">
        <v>25368</v>
      </c>
      <c r="B2301" s="1" t="s">
        <v>13846</v>
      </c>
      <c r="C2301" s="1" t="s">
        <v>25495</v>
      </c>
      <c r="D2301" s="1"/>
      <c r="E2301" s="1"/>
      <c r="F2301" s="1"/>
      <c r="G2301" s="1"/>
      <c r="H2301" s="1" t="s">
        <v>25496</v>
      </c>
      <c r="I2301" s="1" t="s">
        <v>25496</v>
      </c>
      <c r="J2301" s="1"/>
      <c r="K2301" s="1"/>
      <c r="L2301" s="1"/>
      <c r="M2301" s="1"/>
      <c r="N2301" s="1"/>
      <c r="O2301" s="1"/>
      <c r="P2301" s="1"/>
      <c r="Q2301" s="1"/>
      <c r="R2301" s="1"/>
      <c r="S2301" s="1"/>
      <c r="T2301" s="1"/>
      <c r="U2301" s="1"/>
      <c r="V2301" s="1"/>
      <c r="W2301" s="1"/>
      <c r="X2301" s="1"/>
      <c r="Y2301" s="1"/>
      <c r="Z2301" s="1"/>
      <c r="AA2301" s="1"/>
      <c r="AB2301" s="1"/>
      <c r="AC2301" s="1"/>
      <c r="AD2301" s="1" t="s">
        <v>93</v>
      </c>
      <c r="AE2301" s="1" t="s">
        <v>93</v>
      </c>
      <c r="AF2301" s="1"/>
      <c r="AG2301" s="1"/>
      <c r="AH2301" s="1"/>
      <c r="AI2301" s="1"/>
      <c r="AJ2301" s="1"/>
      <c r="AK2301" s="1"/>
      <c r="AL2301" s="1"/>
      <c r="AM2301" s="1"/>
      <c r="AN2301" s="1"/>
      <c r="AO2301" s="1"/>
      <c r="AP2301" s="1"/>
      <c r="AQ2301" s="1"/>
      <c r="AR2301" s="1"/>
      <c r="AS2301" s="1"/>
      <c r="AT2301" s="1"/>
      <c r="AU2301" s="1"/>
      <c r="AV2301" s="1"/>
      <c r="AW2301" s="1"/>
      <c r="AX2301" s="1"/>
      <c r="AY2301" s="1"/>
      <c r="AZ2301" s="1"/>
      <c r="BA2301" s="1"/>
      <c r="BB2301" s="1"/>
      <c r="BC2301" s="1"/>
      <c r="BD2301" s="1"/>
      <c r="BE2301" s="1"/>
      <c r="BF2301" s="1"/>
      <c r="BG2301" s="1"/>
      <c r="BH2301" s="1"/>
      <c r="BI2301" s="1"/>
      <c r="BJ2301" s="1"/>
      <c r="BK2301" s="1"/>
      <c r="BL2301" s="1"/>
      <c r="BM2301" s="1"/>
      <c r="BN2301" s="1"/>
      <c r="BO2301" s="1"/>
      <c r="BP2301" s="1" t="s">
        <v>9609</v>
      </c>
      <c r="BQ2301" s="3"/>
      <c r="BR2301" s="3"/>
    </row>
    <row r="2302" spans="1:70">
      <c r="A2302" s="1" t="s">
        <v>25368</v>
      </c>
      <c r="B2302" s="1" t="s">
        <v>13846</v>
      </c>
      <c r="C2302" s="1" t="s">
        <v>25497</v>
      </c>
      <c r="D2302" s="1"/>
      <c r="E2302" s="1"/>
      <c r="F2302" s="1"/>
      <c r="G2302" s="1"/>
      <c r="H2302" s="1" t="s">
        <v>25498</v>
      </c>
      <c r="I2302" s="1" t="s">
        <v>25498</v>
      </c>
      <c r="J2302" s="1"/>
      <c r="K2302" s="1"/>
      <c r="L2302" s="1"/>
      <c r="M2302" s="1"/>
      <c r="N2302" s="1"/>
      <c r="O2302" s="1"/>
      <c r="P2302" s="1"/>
      <c r="Q2302" s="1"/>
      <c r="R2302" s="1"/>
      <c r="S2302" s="1"/>
      <c r="T2302" s="1"/>
      <c r="U2302" s="1"/>
      <c r="V2302" s="1"/>
      <c r="W2302" s="1"/>
      <c r="X2302" s="1"/>
      <c r="Y2302" s="1"/>
      <c r="Z2302" s="1"/>
      <c r="AA2302" s="1"/>
      <c r="AB2302" s="1"/>
      <c r="AC2302" s="1"/>
      <c r="AD2302" s="1" t="s">
        <v>93</v>
      </c>
      <c r="AE2302" s="1" t="s">
        <v>93</v>
      </c>
      <c r="AF2302" s="1"/>
      <c r="AG2302" s="1"/>
      <c r="AH2302" s="1"/>
      <c r="AI2302" s="1"/>
      <c r="AJ2302" s="1"/>
      <c r="AK2302" s="1"/>
      <c r="AL2302" s="1"/>
      <c r="AM2302" s="1"/>
      <c r="AN2302" s="1"/>
      <c r="AO2302" s="1"/>
      <c r="AP2302" s="1"/>
      <c r="AQ2302" s="1"/>
      <c r="AR2302" s="1"/>
      <c r="AS2302" s="1"/>
      <c r="AT2302" s="1"/>
      <c r="AU2302" s="1"/>
      <c r="AV2302" s="1"/>
      <c r="AW2302" s="1"/>
      <c r="AX2302" s="1"/>
      <c r="AY2302" s="1"/>
      <c r="AZ2302" s="1"/>
      <c r="BA2302" s="1"/>
      <c r="BB2302" s="1"/>
      <c r="BC2302" s="1"/>
      <c r="BD2302" s="1"/>
      <c r="BE2302" s="1"/>
      <c r="BF2302" s="1"/>
      <c r="BG2302" s="1"/>
      <c r="BH2302" s="1"/>
      <c r="BI2302" s="1"/>
      <c r="BJ2302" s="1"/>
      <c r="BK2302" s="1"/>
      <c r="BL2302" s="1"/>
      <c r="BM2302" s="1"/>
      <c r="BN2302" s="1"/>
      <c r="BO2302" s="1"/>
      <c r="BP2302" s="1" t="s">
        <v>9609</v>
      </c>
      <c r="BQ2302" s="3"/>
      <c r="BR2302" s="3"/>
    </row>
    <row r="2303" spans="1:70">
      <c r="A2303" s="1" t="s">
        <v>25368</v>
      </c>
      <c r="B2303" s="1" t="s">
        <v>13846</v>
      </c>
      <c r="C2303" s="1" t="s">
        <v>25499</v>
      </c>
      <c r="D2303" s="1"/>
      <c r="E2303" s="1"/>
      <c r="F2303" s="1"/>
      <c r="G2303" s="1"/>
      <c r="H2303" s="1" t="s">
        <v>25500</v>
      </c>
      <c r="I2303" s="1" t="s">
        <v>25500</v>
      </c>
      <c r="J2303" s="1"/>
      <c r="K2303" s="1"/>
      <c r="L2303" s="1"/>
      <c r="M2303" s="1"/>
      <c r="N2303" s="1"/>
      <c r="O2303" s="1"/>
      <c r="P2303" s="1"/>
      <c r="Q2303" s="1"/>
      <c r="R2303" s="1"/>
      <c r="S2303" s="1"/>
      <c r="T2303" s="1"/>
      <c r="U2303" s="1"/>
      <c r="V2303" s="1"/>
      <c r="W2303" s="1"/>
      <c r="X2303" s="1"/>
      <c r="Y2303" s="1"/>
      <c r="Z2303" s="1"/>
      <c r="AA2303" s="1"/>
      <c r="AB2303" s="1"/>
      <c r="AC2303" s="1"/>
      <c r="AD2303" s="1" t="s">
        <v>93</v>
      </c>
      <c r="AE2303" s="1" t="s">
        <v>93</v>
      </c>
      <c r="AF2303" s="1"/>
      <c r="AG2303" s="1"/>
      <c r="AH2303" s="1"/>
      <c r="AI2303" s="1"/>
      <c r="AJ2303" s="1"/>
      <c r="AK2303" s="1"/>
      <c r="AL2303" s="1"/>
      <c r="AM2303" s="1"/>
      <c r="AN2303" s="1"/>
      <c r="AO2303" s="1"/>
      <c r="AP2303" s="1"/>
      <c r="AQ2303" s="1"/>
      <c r="AR2303" s="1"/>
      <c r="AS2303" s="1"/>
      <c r="AT2303" s="1"/>
      <c r="AU2303" s="1"/>
      <c r="AV2303" s="1"/>
      <c r="AW2303" s="1"/>
      <c r="AX2303" s="1"/>
      <c r="AY2303" s="1"/>
      <c r="AZ2303" s="1"/>
      <c r="BA2303" s="1"/>
      <c r="BB2303" s="1"/>
      <c r="BC2303" s="1"/>
      <c r="BD2303" s="1"/>
      <c r="BE2303" s="1"/>
      <c r="BF2303" s="1"/>
      <c r="BG2303" s="1"/>
      <c r="BH2303" s="1"/>
      <c r="BI2303" s="1"/>
      <c r="BJ2303" s="1"/>
      <c r="BK2303" s="1"/>
      <c r="BL2303" s="1"/>
      <c r="BM2303" s="1"/>
      <c r="BN2303" s="1"/>
      <c r="BO2303" s="1"/>
      <c r="BP2303" s="1" t="s">
        <v>9609</v>
      </c>
      <c r="BQ2303" s="3"/>
      <c r="BR2303" s="3"/>
    </row>
    <row r="2304" spans="1:70">
      <c r="A2304" s="1" t="s">
        <v>25368</v>
      </c>
      <c r="B2304" s="1" t="s">
        <v>13846</v>
      </c>
      <c r="C2304" s="1" t="s">
        <v>25501</v>
      </c>
      <c r="D2304" s="1"/>
      <c r="E2304" s="1"/>
      <c r="F2304" s="1"/>
      <c r="G2304" s="1"/>
      <c r="H2304" s="1" t="s">
        <v>25502</v>
      </c>
      <c r="I2304" s="1" t="s">
        <v>25502</v>
      </c>
      <c r="J2304" s="1"/>
      <c r="K2304" s="1"/>
      <c r="L2304" s="1"/>
      <c r="M2304" s="1"/>
      <c r="N2304" s="1"/>
      <c r="O2304" s="1"/>
      <c r="P2304" s="1"/>
      <c r="Q2304" s="1"/>
      <c r="R2304" s="1"/>
      <c r="S2304" s="1"/>
      <c r="T2304" s="1"/>
      <c r="U2304" s="1"/>
      <c r="V2304" s="1"/>
      <c r="W2304" s="1"/>
      <c r="X2304" s="1"/>
      <c r="Y2304" s="1"/>
      <c r="Z2304" s="1"/>
      <c r="AA2304" s="1"/>
      <c r="AB2304" s="1"/>
      <c r="AC2304" s="1"/>
      <c r="AD2304" s="1" t="s">
        <v>93</v>
      </c>
      <c r="AE2304" s="1" t="s">
        <v>93</v>
      </c>
      <c r="AF2304" s="1"/>
      <c r="AG2304" s="1"/>
      <c r="AH2304" s="1"/>
      <c r="AI2304" s="1"/>
      <c r="AJ2304" s="1"/>
      <c r="AK2304" s="1"/>
      <c r="AL2304" s="1"/>
      <c r="AM2304" s="1"/>
      <c r="AN2304" s="1"/>
      <c r="AO2304" s="1"/>
      <c r="AP2304" s="1"/>
      <c r="AQ2304" s="1"/>
      <c r="AR2304" s="1"/>
      <c r="AS2304" s="1"/>
      <c r="AT2304" s="1"/>
      <c r="AU2304" s="1"/>
      <c r="AV2304" s="1"/>
      <c r="AW2304" s="1"/>
      <c r="AX2304" s="1"/>
      <c r="AY2304" s="1"/>
      <c r="AZ2304" s="1"/>
      <c r="BA2304" s="1"/>
      <c r="BB2304" s="1"/>
      <c r="BC2304" s="1"/>
      <c r="BD2304" s="1"/>
      <c r="BE2304" s="1"/>
      <c r="BF2304" s="1"/>
      <c r="BG2304" s="1"/>
      <c r="BH2304" s="1"/>
      <c r="BI2304" s="1"/>
      <c r="BJ2304" s="1"/>
      <c r="BK2304" s="1"/>
      <c r="BL2304" s="1"/>
      <c r="BM2304" s="1"/>
      <c r="BN2304" s="1"/>
      <c r="BO2304" s="1"/>
      <c r="BP2304" s="1" t="s">
        <v>9609</v>
      </c>
      <c r="BQ2304" s="3"/>
      <c r="BR2304" s="3"/>
    </row>
    <row r="2305" spans="1:70">
      <c r="A2305" s="1" t="s">
        <v>25368</v>
      </c>
      <c r="B2305" s="1" t="s">
        <v>13846</v>
      </c>
      <c r="C2305" s="1" t="s">
        <v>25503</v>
      </c>
      <c r="D2305" s="1"/>
      <c r="E2305" s="1"/>
      <c r="F2305" s="1"/>
      <c r="G2305" s="1"/>
      <c r="H2305" s="1" t="s">
        <v>25504</v>
      </c>
      <c r="I2305" s="1" t="s">
        <v>25504</v>
      </c>
      <c r="J2305" s="1"/>
      <c r="K2305" s="1"/>
      <c r="L2305" s="1"/>
      <c r="M2305" s="1"/>
      <c r="N2305" s="1"/>
      <c r="O2305" s="1"/>
      <c r="P2305" s="1"/>
      <c r="Q2305" s="1"/>
      <c r="R2305" s="1"/>
      <c r="S2305" s="1"/>
      <c r="T2305" s="1"/>
      <c r="U2305" s="1"/>
      <c r="V2305" s="1"/>
      <c r="W2305" s="1"/>
      <c r="X2305" s="1"/>
      <c r="Y2305" s="1"/>
      <c r="Z2305" s="1"/>
      <c r="AA2305" s="1"/>
      <c r="AB2305" s="1"/>
      <c r="AC2305" s="1"/>
      <c r="AD2305" s="1" t="s">
        <v>93</v>
      </c>
      <c r="AE2305" s="1" t="s">
        <v>93</v>
      </c>
      <c r="AF2305" s="1"/>
      <c r="AG2305" s="1"/>
      <c r="AH2305" s="1"/>
      <c r="AI2305" s="1"/>
      <c r="AJ2305" s="1"/>
      <c r="AK2305" s="1"/>
      <c r="AL2305" s="1"/>
      <c r="AM2305" s="1"/>
      <c r="AN2305" s="1"/>
      <c r="AO2305" s="1"/>
      <c r="AP2305" s="1"/>
      <c r="AQ2305" s="1"/>
      <c r="AR2305" s="1"/>
      <c r="AS2305" s="1"/>
      <c r="AT2305" s="1"/>
      <c r="AU2305" s="1"/>
      <c r="AV2305" s="1"/>
      <c r="AW2305" s="1"/>
      <c r="AX2305" s="1"/>
      <c r="AY2305" s="1"/>
      <c r="AZ2305" s="1"/>
      <c r="BA2305" s="1"/>
      <c r="BB2305" s="1"/>
      <c r="BC2305" s="1"/>
      <c r="BD2305" s="1"/>
      <c r="BE2305" s="1"/>
      <c r="BF2305" s="1"/>
      <c r="BG2305" s="1"/>
      <c r="BH2305" s="1"/>
      <c r="BI2305" s="1"/>
      <c r="BJ2305" s="1"/>
      <c r="BK2305" s="1"/>
      <c r="BL2305" s="1"/>
      <c r="BM2305" s="1"/>
      <c r="BN2305" s="1"/>
      <c r="BO2305" s="1"/>
      <c r="BP2305" s="1" t="s">
        <v>9609</v>
      </c>
      <c r="BQ2305" s="3"/>
      <c r="BR2305" s="3"/>
    </row>
    <row r="2306" spans="1:70">
      <c r="A2306" s="1" t="s">
        <v>25368</v>
      </c>
      <c r="B2306" s="1" t="s">
        <v>13846</v>
      </c>
      <c r="C2306" s="1" t="s">
        <v>25505</v>
      </c>
      <c r="D2306" s="1"/>
      <c r="E2306" s="1"/>
      <c r="F2306" s="1"/>
      <c r="G2306" s="1"/>
      <c r="H2306" s="1" t="s">
        <v>25506</v>
      </c>
      <c r="I2306" s="1" t="s">
        <v>25506</v>
      </c>
      <c r="J2306" s="1"/>
      <c r="K2306" s="1"/>
      <c r="L2306" s="1"/>
      <c r="M2306" s="1"/>
      <c r="N2306" s="1"/>
      <c r="O2306" s="1"/>
      <c r="P2306" s="1"/>
      <c r="Q2306" s="1"/>
      <c r="R2306" s="1"/>
      <c r="S2306" s="1"/>
      <c r="T2306" s="1"/>
      <c r="U2306" s="1"/>
      <c r="V2306" s="1"/>
      <c r="W2306" s="1"/>
      <c r="X2306" s="1"/>
      <c r="Y2306" s="1"/>
      <c r="Z2306" s="1"/>
      <c r="AA2306" s="1"/>
      <c r="AB2306" s="1"/>
      <c r="AC2306" s="1"/>
      <c r="AD2306" s="1" t="s">
        <v>93</v>
      </c>
      <c r="AE2306" s="1" t="s">
        <v>93</v>
      </c>
      <c r="AF2306" s="1"/>
      <c r="AG2306" s="1"/>
      <c r="AH2306" s="1"/>
      <c r="AI2306" s="1"/>
      <c r="AJ2306" s="1"/>
      <c r="AK2306" s="1"/>
      <c r="AL2306" s="1"/>
      <c r="AM2306" s="1"/>
      <c r="AN2306" s="1"/>
      <c r="AO2306" s="1"/>
      <c r="AP2306" s="1"/>
      <c r="AQ2306" s="1"/>
      <c r="AR2306" s="1"/>
      <c r="AS2306" s="1"/>
      <c r="AT2306" s="1"/>
      <c r="AU2306" s="1"/>
      <c r="AV2306" s="1"/>
      <c r="AW2306" s="1"/>
      <c r="AX2306" s="1"/>
      <c r="AY2306" s="1"/>
      <c r="AZ2306" s="1"/>
      <c r="BA2306" s="1"/>
      <c r="BB2306" s="1"/>
      <c r="BC2306" s="1"/>
      <c r="BD2306" s="1"/>
      <c r="BE2306" s="1"/>
      <c r="BF2306" s="1"/>
      <c r="BG2306" s="1"/>
      <c r="BH2306" s="1"/>
      <c r="BI2306" s="1"/>
      <c r="BJ2306" s="1"/>
      <c r="BK2306" s="1"/>
      <c r="BL2306" s="1"/>
      <c r="BM2306" s="1"/>
      <c r="BN2306" s="1"/>
      <c r="BO2306" s="1"/>
      <c r="BP2306" s="1" t="s">
        <v>9609</v>
      </c>
      <c r="BQ2306" s="3"/>
      <c r="BR2306" s="3"/>
    </row>
    <row r="2307" spans="1:70">
      <c r="A2307" s="1" t="s">
        <v>25368</v>
      </c>
      <c r="B2307" s="1" t="s">
        <v>13846</v>
      </c>
      <c r="C2307" s="1" t="s">
        <v>25507</v>
      </c>
      <c r="D2307" s="1"/>
      <c r="E2307" s="1"/>
      <c r="F2307" s="1"/>
      <c r="G2307" s="1"/>
      <c r="H2307" s="1" t="s">
        <v>25508</v>
      </c>
      <c r="I2307" s="1" t="s">
        <v>25508</v>
      </c>
      <c r="J2307" s="1"/>
      <c r="K2307" s="1"/>
      <c r="L2307" s="1"/>
      <c r="M2307" s="1"/>
      <c r="N2307" s="1"/>
      <c r="O2307" s="1"/>
      <c r="P2307" s="1"/>
      <c r="Q2307" s="1"/>
      <c r="R2307" s="1"/>
      <c r="S2307" s="1"/>
      <c r="T2307" s="1"/>
      <c r="U2307" s="1"/>
      <c r="V2307" s="1"/>
      <c r="W2307" s="1"/>
      <c r="X2307" s="1"/>
      <c r="Y2307" s="1"/>
      <c r="Z2307" s="1"/>
      <c r="AA2307" s="1"/>
      <c r="AB2307" s="1"/>
      <c r="AC2307" s="1"/>
      <c r="AD2307" s="1" t="s">
        <v>93</v>
      </c>
      <c r="AE2307" s="1" t="s">
        <v>93</v>
      </c>
      <c r="AF2307" s="1"/>
      <c r="AG2307" s="1"/>
      <c r="AH2307" s="1"/>
      <c r="AI2307" s="1"/>
      <c r="AJ2307" s="1"/>
      <c r="AK2307" s="1"/>
      <c r="AL2307" s="1"/>
      <c r="AM2307" s="1"/>
      <c r="AN2307" s="1"/>
      <c r="AO2307" s="1"/>
      <c r="AP2307" s="1"/>
      <c r="AQ2307" s="1"/>
      <c r="AR2307" s="1"/>
      <c r="AS2307" s="1"/>
      <c r="AT2307" s="1"/>
      <c r="AU2307" s="1"/>
      <c r="AV2307" s="1"/>
      <c r="AW2307" s="1"/>
      <c r="AX2307" s="1"/>
      <c r="AY2307" s="1"/>
      <c r="AZ2307" s="1"/>
      <c r="BA2307" s="1"/>
      <c r="BB2307" s="1"/>
      <c r="BC2307" s="1"/>
      <c r="BD2307" s="1"/>
      <c r="BE2307" s="1"/>
      <c r="BF2307" s="1"/>
      <c r="BG2307" s="1"/>
      <c r="BH2307" s="1"/>
      <c r="BI2307" s="1"/>
      <c r="BJ2307" s="1"/>
      <c r="BK2307" s="1"/>
      <c r="BL2307" s="1"/>
      <c r="BM2307" s="1"/>
      <c r="BN2307" s="1"/>
      <c r="BO2307" s="1"/>
      <c r="BP2307" s="1" t="s">
        <v>9609</v>
      </c>
      <c r="BQ2307" s="3"/>
      <c r="BR2307" s="3"/>
    </row>
    <row r="2308" spans="1:70">
      <c r="A2308" s="1" t="s">
        <v>25368</v>
      </c>
      <c r="B2308" s="1" t="s">
        <v>13846</v>
      </c>
      <c r="C2308" s="1" t="s">
        <v>25509</v>
      </c>
      <c r="D2308" s="1"/>
      <c r="E2308" s="1"/>
      <c r="F2308" s="1"/>
      <c r="G2308" s="1"/>
      <c r="H2308" s="1" t="s">
        <v>25510</v>
      </c>
      <c r="I2308" s="1" t="s">
        <v>25510</v>
      </c>
      <c r="J2308" s="1"/>
      <c r="K2308" s="1"/>
      <c r="L2308" s="1"/>
      <c r="M2308" s="1"/>
      <c r="N2308" s="1"/>
      <c r="O2308" s="1"/>
      <c r="P2308" s="1"/>
      <c r="Q2308" s="1"/>
      <c r="R2308" s="1"/>
      <c r="S2308" s="1"/>
      <c r="T2308" s="1"/>
      <c r="U2308" s="1"/>
      <c r="V2308" s="1"/>
      <c r="W2308" s="1"/>
      <c r="X2308" s="1"/>
      <c r="Y2308" s="1"/>
      <c r="Z2308" s="1"/>
      <c r="AA2308" s="1"/>
      <c r="AB2308" s="1"/>
      <c r="AC2308" s="1"/>
      <c r="AD2308" s="1" t="s">
        <v>93</v>
      </c>
      <c r="AE2308" s="1" t="s">
        <v>93</v>
      </c>
      <c r="AF2308" s="1"/>
      <c r="AG2308" s="1"/>
      <c r="AH2308" s="1"/>
      <c r="AI2308" s="1"/>
      <c r="AJ2308" s="1"/>
      <c r="AK2308" s="1"/>
      <c r="AL2308" s="1"/>
      <c r="AM2308" s="1"/>
      <c r="AN2308" s="1"/>
      <c r="AO2308" s="1"/>
      <c r="AP2308" s="1"/>
      <c r="AQ2308" s="1"/>
      <c r="AR2308" s="1"/>
      <c r="AS2308" s="1"/>
      <c r="AT2308" s="1"/>
      <c r="AU2308" s="1"/>
      <c r="AV2308" s="1"/>
      <c r="AW2308" s="1"/>
      <c r="AX2308" s="1"/>
      <c r="AY2308" s="1"/>
      <c r="AZ2308" s="1"/>
      <c r="BA2308" s="1"/>
      <c r="BB2308" s="1"/>
      <c r="BC2308" s="1"/>
      <c r="BD2308" s="1"/>
      <c r="BE2308" s="1"/>
      <c r="BF2308" s="1"/>
      <c r="BG2308" s="1"/>
      <c r="BH2308" s="1"/>
      <c r="BI2308" s="1"/>
      <c r="BJ2308" s="1"/>
      <c r="BK2308" s="1"/>
      <c r="BL2308" s="1"/>
      <c r="BM2308" s="1"/>
      <c r="BN2308" s="1"/>
      <c r="BO2308" s="1"/>
      <c r="BP2308" s="1" t="s">
        <v>9609</v>
      </c>
      <c r="BQ2308" s="3"/>
      <c r="BR2308" s="3"/>
    </row>
    <row r="2309" spans="1:70">
      <c r="A2309" s="1" t="s">
        <v>25368</v>
      </c>
      <c r="B2309" s="1" t="s">
        <v>13846</v>
      </c>
      <c r="C2309" s="1" t="s">
        <v>25511</v>
      </c>
      <c r="D2309" s="1"/>
      <c r="E2309" s="1"/>
      <c r="F2309" s="1"/>
      <c r="G2309" s="1"/>
      <c r="H2309" s="1" t="s">
        <v>25512</v>
      </c>
      <c r="I2309" s="1" t="s">
        <v>25512</v>
      </c>
      <c r="J2309" s="1"/>
      <c r="K2309" s="1"/>
      <c r="L2309" s="1"/>
      <c r="M2309" s="1"/>
      <c r="N2309" s="1"/>
      <c r="O2309" s="1"/>
      <c r="P2309" s="1"/>
      <c r="Q2309" s="1"/>
      <c r="R2309" s="1"/>
      <c r="S2309" s="1"/>
      <c r="T2309" s="1"/>
      <c r="U2309" s="1"/>
      <c r="V2309" s="1"/>
      <c r="W2309" s="1"/>
      <c r="X2309" s="1"/>
      <c r="Y2309" s="1"/>
      <c r="Z2309" s="1"/>
      <c r="AA2309" s="1"/>
      <c r="AB2309" s="1"/>
      <c r="AC2309" s="1"/>
      <c r="AD2309" s="1" t="s">
        <v>93</v>
      </c>
      <c r="AE2309" s="1" t="s">
        <v>93</v>
      </c>
      <c r="AF2309" s="1"/>
      <c r="AG2309" s="1"/>
      <c r="AH2309" s="1"/>
      <c r="AI2309" s="1"/>
      <c r="AJ2309" s="1"/>
      <c r="AK2309" s="1"/>
      <c r="AL2309" s="1"/>
      <c r="AM2309" s="1"/>
      <c r="AN2309" s="1"/>
      <c r="AO2309" s="1"/>
      <c r="AP2309" s="1"/>
      <c r="AQ2309" s="1"/>
      <c r="AR2309" s="1"/>
      <c r="AS2309" s="1"/>
      <c r="AT2309" s="1"/>
      <c r="AU2309" s="1"/>
      <c r="AV2309" s="1"/>
      <c r="AW2309" s="1"/>
      <c r="AX2309" s="1"/>
      <c r="AY2309" s="1"/>
      <c r="AZ2309" s="1"/>
      <c r="BA2309" s="1"/>
      <c r="BB2309" s="1"/>
      <c r="BC2309" s="1"/>
      <c r="BD2309" s="1"/>
      <c r="BE2309" s="1"/>
      <c r="BF2309" s="1"/>
      <c r="BG2309" s="1"/>
      <c r="BH2309" s="1"/>
      <c r="BI2309" s="1"/>
      <c r="BJ2309" s="1"/>
      <c r="BK2309" s="1"/>
      <c r="BL2309" s="1"/>
      <c r="BM2309" s="1"/>
      <c r="BN2309" s="1"/>
      <c r="BO2309" s="1"/>
      <c r="BP2309" s="1" t="s">
        <v>9609</v>
      </c>
      <c r="BQ2309" s="3"/>
      <c r="BR2309" s="3"/>
    </row>
    <row r="2310" spans="1:70">
      <c r="A2310" s="1" t="s">
        <v>25368</v>
      </c>
      <c r="B2310" s="1" t="s">
        <v>13846</v>
      </c>
      <c r="C2310" s="1" t="s">
        <v>25513</v>
      </c>
      <c r="D2310" s="1"/>
      <c r="E2310" s="1"/>
      <c r="F2310" s="1"/>
      <c r="G2310" s="1"/>
      <c r="H2310" s="1" t="s">
        <v>25514</v>
      </c>
      <c r="I2310" s="1" t="s">
        <v>25514</v>
      </c>
      <c r="J2310" s="1"/>
      <c r="K2310" s="1"/>
      <c r="L2310" s="1"/>
      <c r="M2310" s="1"/>
      <c r="N2310" s="1"/>
      <c r="O2310" s="1"/>
      <c r="P2310" s="1"/>
      <c r="Q2310" s="1"/>
      <c r="R2310" s="1"/>
      <c r="S2310" s="1"/>
      <c r="T2310" s="1"/>
      <c r="U2310" s="1"/>
      <c r="V2310" s="1"/>
      <c r="W2310" s="1"/>
      <c r="X2310" s="1"/>
      <c r="Y2310" s="1"/>
      <c r="Z2310" s="1"/>
      <c r="AA2310" s="1"/>
      <c r="AB2310" s="1"/>
      <c r="AC2310" s="1"/>
      <c r="AD2310" s="1" t="s">
        <v>93</v>
      </c>
      <c r="AE2310" s="1" t="s">
        <v>93</v>
      </c>
      <c r="AF2310" s="1"/>
      <c r="AG2310" s="1"/>
      <c r="AH2310" s="1"/>
      <c r="AI2310" s="1"/>
      <c r="AJ2310" s="1"/>
      <c r="AK2310" s="1"/>
      <c r="AL2310" s="1"/>
      <c r="AM2310" s="1"/>
      <c r="AN2310" s="1"/>
      <c r="AO2310" s="1"/>
      <c r="AP2310" s="1"/>
      <c r="AQ2310" s="1"/>
      <c r="AR2310" s="1"/>
      <c r="AS2310" s="1"/>
      <c r="AT2310" s="1"/>
      <c r="AU2310" s="1"/>
      <c r="AV2310" s="1"/>
      <c r="AW2310" s="1"/>
      <c r="AX2310" s="1"/>
      <c r="AY2310" s="1"/>
      <c r="AZ2310" s="1"/>
      <c r="BA2310" s="1"/>
      <c r="BB2310" s="1"/>
      <c r="BC2310" s="1"/>
      <c r="BD2310" s="1"/>
      <c r="BE2310" s="1"/>
      <c r="BF2310" s="1"/>
      <c r="BG2310" s="1"/>
      <c r="BH2310" s="1"/>
      <c r="BI2310" s="1"/>
      <c r="BJ2310" s="1"/>
      <c r="BK2310" s="1"/>
      <c r="BL2310" s="1"/>
      <c r="BM2310" s="1"/>
      <c r="BN2310" s="1"/>
      <c r="BO2310" s="1"/>
      <c r="BP2310" s="1" t="s">
        <v>9609</v>
      </c>
      <c r="BQ2310" s="3"/>
      <c r="BR2310" s="3"/>
    </row>
    <row r="2311" spans="1:70">
      <c r="A2311" s="1" t="s">
        <v>25368</v>
      </c>
      <c r="B2311" s="1" t="s">
        <v>13846</v>
      </c>
      <c r="C2311" s="1" t="s">
        <v>25515</v>
      </c>
      <c r="D2311" s="1"/>
      <c r="E2311" s="1"/>
      <c r="F2311" s="1"/>
      <c r="G2311" s="1"/>
      <c r="H2311" s="1" t="s">
        <v>25516</v>
      </c>
      <c r="I2311" s="1" t="s">
        <v>25516</v>
      </c>
      <c r="J2311" s="1"/>
      <c r="K2311" s="1"/>
      <c r="L2311" s="1"/>
      <c r="M2311" s="1"/>
      <c r="N2311" s="1"/>
      <c r="O2311" s="1"/>
      <c r="P2311" s="1"/>
      <c r="Q2311" s="1"/>
      <c r="R2311" s="1"/>
      <c r="S2311" s="1"/>
      <c r="T2311" s="1"/>
      <c r="U2311" s="1"/>
      <c r="V2311" s="1"/>
      <c r="W2311" s="1"/>
      <c r="X2311" s="1"/>
      <c r="Y2311" s="1"/>
      <c r="Z2311" s="1"/>
      <c r="AA2311" s="1"/>
      <c r="AB2311" s="1"/>
      <c r="AC2311" s="1"/>
      <c r="AD2311" s="1" t="s">
        <v>93</v>
      </c>
      <c r="AE2311" s="1" t="s">
        <v>93</v>
      </c>
      <c r="AF2311" s="1"/>
      <c r="AG2311" s="1"/>
      <c r="AH2311" s="1"/>
      <c r="AI2311" s="1"/>
      <c r="AJ2311" s="1"/>
      <c r="AK2311" s="1"/>
      <c r="AL2311" s="1"/>
      <c r="AM2311" s="1"/>
      <c r="AN2311" s="1"/>
      <c r="AO2311" s="1"/>
      <c r="AP2311" s="1"/>
      <c r="AQ2311" s="1"/>
      <c r="AR2311" s="1"/>
      <c r="AS2311" s="1"/>
      <c r="AT2311" s="1"/>
      <c r="AU2311" s="1"/>
      <c r="AV2311" s="1"/>
      <c r="AW2311" s="1"/>
      <c r="AX2311" s="1"/>
      <c r="AY2311" s="1"/>
      <c r="AZ2311" s="1"/>
      <c r="BA2311" s="1"/>
      <c r="BB2311" s="1"/>
      <c r="BC2311" s="1"/>
      <c r="BD2311" s="1"/>
      <c r="BE2311" s="1"/>
      <c r="BF2311" s="1"/>
      <c r="BG2311" s="1"/>
      <c r="BH2311" s="1"/>
      <c r="BI2311" s="1"/>
      <c r="BJ2311" s="1"/>
      <c r="BK2311" s="1"/>
      <c r="BL2311" s="1"/>
      <c r="BM2311" s="1"/>
      <c r="BN2311" s="1"/>
      <c r="BO2311" s="1"/>
      <c r="BP2311" s="1" t="s">
        <v>9609</v>
      </c>
      <c r="BQ2311" s="3"/>
      <c r="BR2311" s="3"/>
    </row>
    <row r="2312" spans="1:70">
      <c r="A2312" s="1" t="s">
        <v>25368</v>
      </c>
      <c r="B2312" s="1" t="s">
        <v>13846</v>
      </c>
      <c r="C2312" s="1" t="s">
        <v>25517</v>
      </c>
      <c r="D2312" s="1"/>
      <c r="E2312" s="1"/>
      <c r="F2312" s="1"/>
      <c r="G2312" s="1"/>
      <c r="H2312" s="1" t="s">
        <v>25518</v>
      </c>
      <c r="I2312" s="1" t="s">
        <v>25518</v>
      </c>
      <c r="J2312" s="1"/>
      <c r="K2312" s="1"/>
      <c r="L2312" s="1"/>
      <c r="M2312" s="1"/>
      <c r="N2312" s="1"/>
      <c r="O2312" s="1"/>
      <c r="P2312" s="1"/>
      <c r="Q2312" s="1"/>
      <c r="R2312" s="1"/>
      <c r="S2312" s="1"/>
      <c r="T2312" s="1"/>
      <c r="U2312" s="1"/>
      <c r="V2312" s="1"/>
      <c r="W2312" s="1"/>
      <c r="X2312" s="1"/>
      <c r="Y2312" s="1"/>
      <c r="Z2312" s="1"/>
      <c r="AA2312" s="1"/>
      <c r="AB2312" s="1"/>
      <c r="AC2312" s="1"/>
      <c r="AD2312" s="1" t="s">
        <v>93</v>
      </c>
      <c r="AE2312" s="1" t="s">
        <v>93</v>
      </c>
      <c r="AF2312" s="1"/>
      <c r="AG2312" s="1"/>
      <c r="AH2312" s="1"/>
      <c r="AI2312" s="1"/>
      <c r="AJ2312" s="1"/>
      <c r="AK2312" s="1"/>
      <c r="AL2312" s="1"/>
      <c r="AM2312" s="1"/>
      <c r="AN2312" s="1"/>
      <c r="AO2312" s="1"/>
      <c r="AP2312" s="1"/>
      <c r="AQ2312" s="1"/>
      <c r="AR2312" s="1"/>
      <c r="AS2312" s="1"/>
      <c r="AT2312" s="1"/>
      <c r="AU2312" s="1"/>
      <c r="AV2312" s="1"/>
      <c r="AW2312" s="1"/>
      <c r="AX2312" s="1"/>
      <c r="AY2312" s="1"/>
      <c r="AZ2312" s="1"/>
      <c r="BA2312" s="1"/>
      <c r="BB2312" s="1"/>
      <c r="BC2312" s="1"/>
      <c r="BD2312" s="1"/>
      <c r="BE2312" s="1"/>
      <c r="BF2312" s="1"/>
      <c r="BG2312" s="1"/>
      <c r="BH2312" s="1"/>
      <c r="BI2312" s="1"/>
      <c r="BJ2312" s="1"/>
      <c r="BK2312" s="1"/>
      <c r="BL2312" s="1"/>
      <c r="BM2312" s="1"/>
      <c r="BN2312" s="1"/>
      <c r="BO2312" s="1"/>
      <c r="BP2312" s="1" t="s">
        <v>9609</v>
      </c>
      <c r="BQ2312" s="3"/>
      <c r="BR2312" s="3"/>
    </row>
    <row r="2313" spans="1:70">
      <c r="A2313" s="1" t="s">
        <v>25368</v>
      </c>
      <c r="B2313" s="1" t="s">
        <v>13846</v>
      </c>
      <c r="C2313" s="1" t="s">
        <v>25519</v>
      </c>
      <c r="D2313" s="1" t="s">
        <v>25520</v>
      </c>
      <c r="E2313" s="1"/>
      <c r="F2313" s="1" t="s">
        <v>25521</v>
      </c>
      <c r="G2313" s="1" t="s">
        <v>25522</v>
      </c>
      <c r="H2313" s="1" t="s">
        <v>25523</v>
      </c>
      <c r="I2313" s="1" t="s">
        <v>25524</v>
      </c>
      <c r="J2313" s="1">
        <v>9470225575</v>
      </c>
      <c r="K2313" s="1" t="s">
        <v>79</v>
      </c>
      <c r="L2313" s="1" t="s">
        <v>11236</v>
      </c>
      <c r="M2313" s="1" t="s">
        <v>81</v>
      </c>
      <c r="N2313" s="1" t="s">
        <v>82</v>
      </c>
      <c r="O2313" s="1" t="s">
        <v>25525</v>
      </c>
      <c r="P2313" s="1" t="s">
        <v>84</v>
      </c>
      <c r="Q2313" s="1">
        <v>319998548246</v>
      </c>
      <c r="R2313" s="1" t="s">
        <v>25526</v>
      </c>
      <c r="S2313" s="1">
        <v>8804108986</v>
      </c>
      <c r="T2313" s="1" t="s">
        <v>906</v>
      </c>
      <c r="U2313" s="1" t="s">
        <v>25527</v>
      </c>
      <c r="V2313" s="1">
        <v>7491089864</v>
      </c>
      <c r="W2313" s="1" t="s">
        <v>89</v>
      </c>
      <c r="X2313" s="1" t="s">
        <v>25528</v>
      </c>
      <c r="Y2313" s="1" t="s">
        <v>635</v>
      </c>
      <c r="Z2313" s="1" t="s">
        <v>636</v>
      </c>
      <c r="AA2313" s="1" t="s">
        <v>25529</v>
      </c>
      <c r="AB2313" s="1" t="s">
        <v>9205</v>
      </c>
      <c r="AC2313" s="1" t="s">
        <v>1714</v>
      </c>
      <c r="AD2313" s="1" t="s">
        <v>93</v>
      </c>
      <c r="AE2313" s="1" t="s">
        <v>93</v>
      </c>
      <c r="AF2313" s="1" t="s">
        <v>11808</v>
      </c>
      <c r="AG2313" s="1" t="s">
        <v>758</v>
      </c>
      <c r="AH2313" s="1" t="s">
        <v>1088</v>
      </c>
      <c r="AI2313" s="1" t="s">
        <v>1089</v>
      </c>
      <c r="AJ2313" s="1">
        <v>89.3</v>
      </c>
      <c r="AK2313" s="1">
        <v>9.4</v>
      </c>
      <c r="AL2313" s="1" t="s">
        <v>4940</v>
      </c>
      <c r="AM2313" s="1" t="s">
        <v>758</v>
      </c>
      <c r="AN2313" s="1" t="s">
        <v>689</v>
      </c>
      <c r="AO2313" s="1" t="s">
        <v>281</v>
      </c>
      <c r="AP2313" s="1">
        <v>77</v>
      </c>
      <c r="AQ2313" s="1">
        <v>8.1</v>
      </c>
      <c r="AR2313" s="1"/>
      <c r="AS2313" s="1"/>
      <c r="AT2313" s="1"/>
      <c r="AU2313" s="1"/>
      <c r="AV2313" s="1"/>
      <c r="AW2313" s="1"/>
      <c r="AX2313" s="1" t="s">
        <v>25530</v>
      </c>
      <c r="AY2313" s="1" t="s">
        <v>25531</v>
      </c>
      <c r="AZ2313" s="1" t="s">
        <v>1043</v>
      </c>
      <c r="BA2313" s="1" t="s">
        <v>1378</v>
      </c>
      <c r="BB2313" s="1">
        <v>77.91</v>
      </c>
      <c r="BC2313" s="1">
        <v>8.58</v>
      </c>
      <c r="BD2313" s="1"/>
      <c r="BE2313" s="1"/>
      <c r="BF2313" s="1"/>
      <c r="BG2313" s="1"/>
      <c r="BH2313" s="1"/>
      <c r="BI2313" s="1"/>
      <c r="BJ2313" s="1" t="s">
        <v>25532</v>
      </c>
      <c r="BK2313" s="1" t="s">
        <v>25533</v>
      </c>
      <c r="BL2313" s="1" t="s">
        <v>4948</v>
      </c>
      <c r="BM2313" s="1"/>
      <c r="BN2313" s="1"/>
      <c r="BO2313" s="1"/>
      <c r="BP2313" s="1" t="s">
        <v>9609</v>
      </c>
      <c r="BQ2313" s="3"/>
      <c r="BR2313" s="3"/>
    </row>
    <row r="2314" spans="1:70">
      <c r="A2314" s="1" t="s">
        <v>25368</v>
      </c>
      <c r="B2314" s="1" t="s">
        <v>13846</v>
      </c>
      <c r="C2314" s="1" t="s">
        <v>25534</v>
      </c>
      <c r="D2314" s="1"/>
      <c r="E2314" s="1"/>
      <c r="F2314" s="1"/>
      <c r="G2314" s="1"/>
      <c r="H2314" s="1" t="s">
        <v>25535</v>
      </c>
      <c r="I2314" s="1" t="s">
        <v>25535</v>
      </c>
      <c r="J2314" s="1"/>
      <c r="K2314" s="1"/>
      <c r="L2314" s="1"/>
      <c r="M2314" s="1"/>
      <c r="N2314" s="1"/>
      <c r="O2314" s="1"/>
      <c r="P2314" s="1"/>
      <c r="Q2314" s="1"/>
      <c r="R2314" s="1"/>
      <c r="S2314" s="1"/>
      <c r="T2314" s="1"/>
      <c r="U2314" s="1"/>
      <c r="V2314" s="1"/>
      <c r="W2314" s="1"/>
      <c r="X2314" s="1"/>
      <c r="Y2314" s="1"/>
      <c r="Z2314" s="1"/>
      <c r="AA2314" s="1"/>
      <c r="AB2314" s="1"/>
      <c r="AC2314" s="1"/>
      <c r="AD2314" s="1" t="s">
        <v>93</v>
      </c>
      <c r="AE2314" s="1" t="s">
        <v>93</v>
      </c>
      <c r="AF2314" s="1"/>
      <c r="AG2314" s="1"/>
      <c r="AH2314" s="1"/>
      <c r="AI2314" s="1"/>
      <c r="AJ2314" s="1"/>
      <c r="AK2314" s="1"/>
      <c r="AL2314" s="1"/>
      <c r="AM2314" s="1"/>
      <c r="AN2314" s="1"/>
      <c r="AO2314" s="1"/>
      <c r="AP2314" s="1"/>
      <c r="AQ2314" s="1"/>
      <c r="AR2314" s="1"/>
      <c r="AS2314" s="1"/>
      <c r="AT2314" s="1"/>
      <c r="AU2314" s="1"/>
      <c r="AV2314" s="1"/>
      <c r="AW2314" s="1"/>
      <c r="AX2314" s="1"/>
      <c r="AY2314" s="1"/>
      <c r="AZ2314" s="1"/>
      <c r="BA2314" s="1"/>
      <c r="BB2314" s="1"/>
      <c r="BC2314" s="1"/>
      <c r="BD2314" s="1"/>
      <c r="BE2314" s="1"/>
      <c r="BF2314" s="1"/>
      <c r="BG2314" s="1"/>
      <c r="BH2314" s="1"/>
      <c r="BI2314" s="1"/>
      <c r="BJ2314" s="1"/>
      <c r="BK2314" s="1"/>
      <c r="BL2314" s="1"/>
      <c r="BM2314" s="1"/>
      <c r="BN2314" s="1"/>
      <c r="BO2314" s="1"/>
      <c r="BP2314" s="1" t="s">
        <v>9609</v>
      </c>
      <c r="BQ2314" s="3"/>
      <c r="BR2314" s="3"/>
    </row>
    <row r="2315" spans="1:70">
      <c r="A2315" s="1" t="s">
        <v>25368</v>
      </c>
      <c r="B2315" s="1" t="s">
        <v>13846</v>
      </c>
      <c r="C2315" s="1" t="s">
        <v>25536</v>
      </c>
      <c r="D2315" s="1"/>
      <c r="E2315" s="1"/>
      <c r="F2315" s="1"/>
      <c r="G2315" s="1"/>
      <c r="H2315" s="1" t="s">
        <v>25537</v>
      </c>
      <c r="I2315" s="1" t="s">
        <v>25537</v>
      </c>
      <c r="J2315" s="1"/>
      <c r="K2315" s="1"/>
      <c r="L2315" s="1"/>
      <c r="M2315" s="1"/>
      <c r="N2315" s="1"/>
      <c r="O2315" s="1"/>
      <c r="P2315" s="1"/>
      <c r="Q2315" s="1"/>
      <c r="R2315" s="1"/>
      <c r="S2315" s="1"/>
      <c r="T2315" s="1"/>
      <c r="U2315" s="1"/>
      <c r="V2315" s="1"/>
      <c r="W2315" s="1"/>
      <c r="X2315" s="1"/>
      <c r="Y2315" s="1"/>
      <c r="Z2315" s="1"/>
      <c r="AA2315" s="1"/>
      <c r="AB2315" s="1"/>
      <c r="AC2315" s="1"/>
      <c r="AD2315" s="1" t="s">
        <v>93</v>
      </c>
      <c r="AE2315" s="1" t="s">
        <v>93</v>
      </c>
      <c r="AF2315" s="1"/>
      <c r="AG2315" s="1"/>
      <c r="AH2315" s="1"/>
      <c r="AI2315" s="1"/>
      <c r="AJ2315" s="1"/>
      <c r="AK2315" s="1"/>
      <c r="AL2315" s="1"/>
      <c r="AM2315" s="1"/>
      <c r="AN2315" s="1"/>
      <c r="AO2315" s="1"/>
      <c r="AP2315" s="1"/>
      <c r="AQ2315" s="1"/>
      <c r="AR2315" s="1"/>
      <c r="AS2315" s="1"/>
      <c r="AT2315" s="1"/>
      <c r="AU2315" s="1"/>
      <c r="AV2315" s="1"/>
      <c r="AW2315" s="1"/>
      <c r="AX2315" s="1"/>
      <c r="AY2315" s="1"/>
      <c r="AZ2315" s="1"/>
      <c r="BA2315" s="1"/>
      <c r="BB2315" s="1"/>
      <c r="BC2315" s="1"/>
      <c r="BD2315" s="1"/>
      <c r="BE2315" s="1"/>
      <c r="BF2315" s="1"/>
      <c r="BG2315" s="1"/>
      <c r="BH2315" s="1"/>
      <c r="BI2315" s="1"/>
      <c r="BJ2315" s="1"/>
      <c r="BK2315" s="1"/>
      <c r="BL2315" s="1"/>
      <c r="BM2315" s="1"/>
      <c r="BN2315" s="1"/>
      <c r="BO2315" s="1"/>
      <c r="BP2315" s="1" t="s">
        <v>9609</v>
      </c>
      <c r="BQ2315" s="3"/>
      <c r="BR2315" s="3"/>
    </row>
    <row r="2316" spans="1:70">
      <c r="A2316" s="1" t="s">
        <v>25368</v>
      </c>
      <c r="B2316" s="1" t="s">
        <v>13846</v>
      </c>
      <c r="C2316" s="1" t="s">
        <v>25538</v>
      </c>
      <c r="D2316" s="1"/>
      <c r="E2316" s="1"/>
      <c r="F2316" s="1"/>
      <c r="G2316" s="1"/>
      <c r="H2316" s="1" t="s">
        <v>25539</v>
      </c>
      <c r="I2316" s="1" t="s">
        <v>25539</v>
      </c>
      <c r="J2316" s="1"/>
      <c r="K2316" s="1"/>
      <c r="L2316" s="1"/>
      <c r="M2316" s="1"/>
      <c r="N2316" s="1"/>
      <c r="O2316" s="1"/>
      <c r="P2316" s="1"/>
      <c r="Q2316" s="1"/>
      <c r="R2316" s="1"/>
      <c r="S2316" s="1"/>
      <c r="T2316" s="1"/>
      <c r="U2316" s="1"/>
      <c r="V2316" s="1"/>
      <c r="W2316" s="1"/>
      <c r="X2316" s="1"/>
      <c r="Y2316" s="1"/>
      <c r="Z2316" s="1"/>
      <c r="AA2316" s="1"/>
      <c r="AB2316" s="1"/>
      <c r="AC2316" s="1"/>
      <c r="AD2316" s="1" t="s">
        <v>93</v>
      </c>
      <c r="AE2316" s="1" t="s">
        <v>93</v>
      </c>
      <c r="AF2316" s="1"/>
      <c r="AG2316" s="1"/>
      <c r="AH2316" s="1"/>
      <c r="AI2316" s="1"/>
      <c r="AJ2316" s="1"/>
      <c r="AK2316" s="1"/>
      <c r="AL2316" s="1"/>
      <c r="AM2316" s="1"/>
      <c r="AN2316" s="1"/>
      <c r="AO2316" s="1"/>
      <c r="AP2316" s="1"/>
      <c r="AQ2316" s="1"/>
      <c r="AR2316" s="1"/>
      <c r="AS2316" s="1"/>
      <c r="AT2316" s="1"/>
      <c r="AU2316" s="1"/>
      <c r="AV2316" s="1"/>
      <c r="AW2316" s="1"/>
      <c r="AX2316" s="1"/>
      <c r="AY2316" s="1"/>
      <c r="AZ2316" s="1"/>
      <c r="BA2316" s="1"/>
      <c r="BB2316" s="1"/>
      <c r="BC2316" s="1"/>
      <c r="BD2316" s="1"/>
      <c r="BE2316" s="1"/>
      <c r="BF2316" s="1"/>
      <c r="BG2316" s="1"/>
      <c r="BH2316" s="1"/>
      <c r="BI2316" s="1"/>
      <c r="BJ2316" s="1"/>
      <c r="BK2316" s="1"/>
      <c r="BL2316" s="1"/>
      <c r="BM2316" s="1"/>
      <c r="BN2316" s="1"/>
      <c r="BO2316" s="1"/>
      <c r="BP2316" s="1" t="s">
        <v>9609</v>
      </c>
      <c r="BQ2316" s="3"/>
      <c r="BR2316" s="3"/>
    </row>
    <row r="2317" spans="1:70">
      <c r="A2317" s="1" t="s">
        <v>25368</v>
      </c>
      <c r="B2317" s="1" t="s">
        <v>13846</v>
      </c>
      <c r="C2317" s="1" t="s">
        <v>25540</v>
      </c>
      <c r="D2317" s="1"/>
      <c r="E2317" s="1"/>
      <c r="F2317" s="1"/>
      <c r="G2317" s="1"/>
      <c r="H2317" s="1" t="s">
        <v>25541</v>
      </c>
      <c r="I2317" s="1" t="s">
        <v>25541</v>
      </c>
      <c r="J2317" s="1"/>
      <c r="K2317" s="1"/>
      <c r="L2317" s="1"/>
      <c r="M2317" s="1"/>
      <c r="N2317" s="1"/>
      <c r="O2317" s="1"/>
      <c r="P2317" s="1"/>
      <c r="Q2317" s="1"/>
      <c r="R2317" s="1"/>
      <c r="S2317" s="1"/>
      <c r="T2317" s="1"/>
      <c r="U2317" s="1"/>
      <c r="V2317" s="1"/>
      <c r="W2317" s="1"/>
      <c r="X2317" s="1"/>
      <c r="Y2317" s="1"/>
      <c r="Z2317" s="1"/>
      <c r="AA2317" s="1"/>
      <c r="AB2317" s="1"/>
      <c r="AC2317" s="1"/>
      <c r="AD2317" s="1" t="s">
        <v>93</v>
      </c>
      <c r="AE2317" s="1" t="s">
        <v>93</v>
      </c>
      <c r="AF2317" s="1"/>
      <c r="AG2317" s="1"/>
      <c r="AH2317" s="1"/>
      <c r="AI2317" s="1"/>
      <c r="AJ2317" s="1"/>
      <c r="AK2317" s="1"/>
      <c r="AL2317" s="1"/>
      <c r="AM2317" s="1"/>
      <c r="AN2317" s="1"/>
      <c r="AO2317" s="1"/>
      <c r="AP2317" s="1"/>
      <c r="AQ2317" s="1"/>
      <c r="AR2317" s="1"/>
      <c r="AS2317" s="1"/>
      <c r="AT2317" s="1"/>
      <c r="AU2317" s="1"/>
      <c r="AV2317" s="1"/>
      <c r="AW2317" s="1"/>
      <c r="AX2317" s="1"/>
      <c r="AY2317" s="1"/>
      <c r="AZ2317" s="1"/>
      <c r="BA2317" s="1"/>
      <c r="BB2317" s="1"/>
      <c r="BC2317" s="1"/>
      <c r="BD2317" s="1"/>
      <c r="BE2317" s="1"/>
      <c r="BF2317" s="1"/>
      <c r="BG2317" s="1"/>
      <c r="BH2317" s="1"/>
      <c r="BI2317" s="1"/>
      <c r="BJ2317" s="1"/>
      <c r="BK2317" s="1"/>
      <c r="BL2317" s="1"/>
      <c r="BM2317" s="1"/>
      <c r="BN2317" s="1"/>
      <c r="BO2317" s="1"/>
      <c r="BP2317" s="1" t="s">
        <v>9609</v>
      </c>
      <c r="BQ2317" s="3"/>
      <c r="BR2317" s="3"/>
    </row>
    <row r="2318" spans="1:70">
      <c r="A2318" s="1" t="s">
        <v>25368</v>
      </c>
      <c r="B2318" s="1" t="s">
        <v>13846</v>
      </c>
      <c r="C2318" s="1" t="s">
        <v>25542</v>
      </c>
      <c r="D2318" s="1"/>
      <c r="E2318" s="1"/>
      <c r="F2318" s="1"/>
      <c r="G2318" s="1"/>
      <c r="H2318" s="1" t="s">
        <v>25543</v>
      </c>
      <c r="I2318" s="1" t="s">
        <v>25543</v>
      </c>
      <c r="J2318" s="1"/>
      <c r="K2318" s="1"/>
      <c r="L2318" s="1"/>
      <c r="M2318" s="1"/>
      <c r="N2318" s="1"/>
      <c r="O2318" s="1"/>
      <c r="P2318" s="1"/>
      <c r="Q2318" s="1"/>
      <c r="R2318" s="1"/>
      <c r="S2318" s="1"/>
      <c r="T2318" s="1"/>
      <c r="U2318" s="1"/>
      <c r="V2318" s="1"/>
      <c r="W2318" s="1"/>
      <c r="X2318" s="1"/>
      <c r="Y2318" s="1"/>
      <c r="Z2318" s="1"/>
      <c r="AA2318" s="1"/>
      <c r="AB2318" s="1"/>
      <c r="AC2318" s="1"/>
      <c r="AD2318" s="1" t="s">
        <v>93</v>
      </c>
      <c r="AE2318" s="1" t="s">
        <v>93</v>
      </c>
      <c r="AF2318" s="1"/>
      <c r="AG2318" s="1"/>
      <c r="AH2318" s="1"/>
      <c r="AI2318" s="1"/>
      <c r="AJ2318" s="1"/>
      <c r="AK2318" s="1"/>
      <c r="AL2318" s="1"/>
      <c r="AM2318" s="1"/>
      <c r="AN2318" s="1"/>
      <c r="AO2318" s="1"/>
      <c r="AP2318" s="1"/>
      <c r="AQ2318" s="1"/>
      <c r="AR2318" s="1"/>
      <c r="AS2318" s="1"/>
      <c r="AT2318" s="1"/>
      <c r="AU2318" s="1"/>
      <c r="AV2318" s="1"/>
      <c r="AW2318" s="1"/>
      <c r="AX2318" s="1"/>
      <c r="AY2318" s="1"/>
      <c r="AZ2318" s="1"/>
      <c r="BA2318" s="1"/>
      <c r="BB2318" s="1"/>
      <c r="BC2318" s="1"/>
      <c r="BD2318" s="1"/>
      <c r="BE2318" s="1"/>
      <c r="BF2318" s="1"/>
      <c r="BG2318" s="1"/>
      <c r="BH2318" s="1"/>
      <c r="BI2318" s="1"/>
      <c r="BJ2318" s="1"/>
      <c r="BK2318" s="1"/>
      <c r="BL2318" s="1"/>
      <c r="BM2318" s="1"/>
      <c r="BN2318" s="1"/>
      <c r="BO2318" s="1"/>
      <c r="BP2318" s="1" t="s">
        <v>9609</v>
      </c>
      <c r="BQ2318" s="3"/>
      <c r="BR2318" s="3"/>
    </row>
    <row r="2319" spans="1:70">
      <c r="A2319" s="1" t="s">
        <v>25368</v>
      </c>
      <c r="B2319" s="1" t="s">
        <v>13846</v>
      </c>
      <c r="C2319" s="1" t="s">
        <v>25544</v>
      </c>
      <c r="D2319" s="1"/>
      <c r="E2319" s="1"/>
      <c r="F2319" s="1"/>
      <c r="G2319" s="1"/>
      <c r="H2319" s="1" t="s">
        <v>25545</v>
      </c>
      <c r="I2319" s="1" t="s">
        <v>25545</v>
      </c>
      <c r="J2319" s="1"/>
      <c r="K2319" s="1"/>
      <c r="L2319" s="1"/>
      <c r="M2319" s="1"/>
      <c r="N2319" s="1"/>
      <c r="O2319" s="1"/>
      <c r="P2319" s="1"/>
      <c r="Q2319" s="1"/>
      <c r="R2319" s="1"/>
      <c r="S2319" s="1"/>
      <c r="T2319" s="1"/>
      <c r="U2319" s="1"/>
      <c r="V2319" s="1"/>
      <c r="W2319" s="1"/>
      <c r="X2319" s="1"/>
      <c r="Y2319" s="1"/>
      <c r="Z2319" s="1"/>
      <c r="AA2319" s="1"/>
      <c r="AB2319" s="1"/>
      <c r="AC2319" s="1"/>
      <c r="AD2319" s="1" t="s">
        <v>93</v>
      </c>
      <c r="AE2319" s="1" t="s">
        <v>93</v>
      </c>
      <c r="AF2319" s="1"/>
      <c r="AG2319" s="1"/>
      <c r="AH2319" s="1"/>
      <c r="AI2319" s="1"/>
      <c r="AJ2319" s="1"/>
      <c r="AK2319" s="1"/>
      <c r="AL2319" s="1"/>
      <c r="AM2319" s="1"/>
      <c r="AN2319" s="1"/>
      <c r="AO2319" s="1"/>
      <c r="AP2319" s="1"/>
      <c r="AQ2319" s="1"/>
      <c r="AR2319" s="1"/>
      <c r="AS2319" s="1"/>
      <c r="AT2319" s="1"/>
      <c r="AU2319" s="1"/>
      <c r="AV2319" s="1"/>
      <c r="AW2319" s="1"/>
      <c r="AX2319" s="1"/>
      <c r="AY2319" s="1"/>
      <c r="AZ2319" s="1"/>
      <c r="BA2319" s="1"/>
      <c r="BB2319" s="1"/>
      <c r="BC2319" s="1"/>
      <c r="BD2319" s="1"/>
      <c r="BE2319" s="1"/>
      <c r="BF2319" s="1"/>
      <c r="BG2319" s="1"/>
      <c r="BH2319" s="1"/>
      <c r="BI2319" s="1"/>
      <c r="BJ2319" s="1"/>
      <c r="BK2319" s="1"/>
      <c r="BL2319" s="1"/>
      <c r="BM2319" s="1"/>
      <c r="BN2319" s="1"/>
      <c r="BO2319" s="1"/>
      <c r="BP2319" s="1" t="s">
        <v>9609</v>
      </c>
      <c r="BQ2319" s="3"/>
      <c r="BR2319" s="3"/>
    </row>
    <row r="2320" spans="1:70">
      <c r="A2320" s="1" t="s">
        <v>25368</v>
      </c>
      <c r="B2320" s="1" t="s">
        <v>13846</v>
      </c>
      <c r="C2320" s="1" t="s">
        <v>25546</v>
      </c>
      <c r="D2320" s="1"/>
      <c r="E2320" s="1"/>
      <c r="F2320" s="1"/>
      <c r="G2320" s="1"/>
      <c r="H2320" s="1" t="s">
        <v>25547</v>
      </c>
      <c r="I2320" s="1" t="s">
        <v>25547</v>
      </c>
      <c r="J2320" s="1"/>
      <c r="K2320" s="1"/>
      <c r="L2320" s="1"/>
      <c r="M2320" s="1"/>
      <c r="N2320" s="1"/>
      <c r="O2320" s="1"/>
      <c r="P2320" s="1"/>
      <c r="Q2320" s="1"/>
      <c r="R2320" s="1"/>
      <c r="S2320" s="1"/>
      <c r="T2320" s="1"/>
      <c r="U2320" s="1"/>
      <c r="V2320" s="1"/>
      <c r="W2320" s="1"/>
      <c r="X2320" s="1"/>
      <c r="Y2320" s="1"/>
      <c r="Z2320" s="1"/>
      <c r="AA2320" s="1"/>
      <c r="AB2320" s="1"/>
      <c r="AC2320" s="1"/>
      <c r="AD2320" s="1" t="s">
        <v>93</v>
      </c>
      <c r="AE2320" s="1" t="s">
        <v>93</v>
      </c>
      <c r="AF2320" s="1"/>
      <c r="AG2320" s="1"/>
      <c r="AH2320" s="1"/>
      <c r="AI2320" s="1"/>
      <c r="AJ2320" s="1"/>
      <c r="AK2320" s="1"/>
      <c r="AL2320" s="1"/>
      <c r="AM2320" s="1"/>
      <c r="AN2320" s="1"/>
      <c r="AO2320" s="1"/>
      <c r="AP2320" s="1"/>
      <c r="AQ2320" s="1"/>
      <c r="AR2320" s="1"/>
      <c r="AS2320" s="1"/>
      <c r="AT2320" s="1"/>
      <c r="AU2320" s="1"/>
      <c r="AV2320" s="1"/>
      <c r="AW2320" s="1"/>
      <c r="AX2320" s="1"/>
      <c r="AY2320" s="1"/>
      <c r="AZ2320" s="1"/>
      <c r="BA2320" s="1"/>
      <c r="BB2320" s="1"/>
      <c r="BC2320" s="1"/>
      <c r="BD2320" s="1"/>
      <c r="BE2320" s="1"/>
      <c r="BF2320" s="1"/>
      <c r="BG2320" s="1"/>
      <c r="BH2320" s="1"/>
      <c r="BI2320" s="1"/>
      <c r="BJ2320" s="1"/>
      <c r="BK2320" s="1"/>
      <c r="BL2320" s="1"/>
      <c r="BM2320" s="1"/>
      <c r="BN2320" s="1"/>
      <c r="BO2320" s="1"/>
      <c r="BP2320" s="1" t="s">
        <v>9609</v>
      </c>
      <c r="BQ2320" s="3"/>
      <c r="BR2320" s="3"/>
    </row>
    <row r="2321" spans="1:70">
      <c r="A2321" s="1" t="s">
        <v>25368</v>
      </c>
      <c r="B2321" s="1" t="s">
        <v>13846</v>
      </c>
      <c r="C2321" s="1" t="s">
        <v>25548</v>
      </c>
      <c r="D2321" s="1"/>
      <c r="E2321" s="1"/>
      <c r="F2321" s="1"/>
      <c r="G2321" s="1"/>
      <c r="H2321" s="1" t="s">
        <v>25549</v>
      </c>
      <c r="I2321" s="1" t="s">
        <v>25549</v>
      </c>
      <c r="J2321" s="1"/>
      <c r="K2321" s="1"/>
      <c r="L2321" s="1"/>
      <c r="M2321" s="1"/>
      <c r="N2321" s="1"/>
      <c r="O2321" s="1"/>
      <c r="P2321" s="1"/>
      <c r="Q2321" s="1"/>
      <c r="R2321" s="1"/>
      <c r="S2321" s="1"/>
      <c r="T2321" s="1"/>
      <c r="U2321" s="1"/>
      <c r="V2321" s="1"/>
      <c r="W2321" s="1"/>
      <c r="X2321" s="1"/>
      <c r="Y2321" s="1"/>
      <c r="Z2321" s="1"/>
      <c r="AA2321" s="1"/>
      <c r="AB2321" s="1"/>
      <c r="AC2321" s="1"/>
      <c r="AD2321" s="1" t="s">
        <v>93</v>
      </c>
      <c r="AE2321" s="1" t="s">
        <v>93</v>
      </c>
      <c r="AF2321" s="1"/>
      <c r="AG2321" s="1"/>
      <c r="AH2321" s="1"/>
      <c r="AI2321" s="1"/>
      <c r="AJ2321" s="1"/>
      <c r="AK2321" s="1"/>
      <c r="AL2321" s="1"/>
      <c r="AM2321" s="1"/>
      <c r="AN2321" s="1"/>
      <c r="AO2321" s="1"/>
      <c r="AP2321" s="1"/>
      <c r="AQ2321" s="1"/>
      <c r="AR2321" s="1"/>
      <c r="AS2321" s="1"/>
      <c r="AT2321" s="1"/>
      <c r="AU2321" s="1"/>
      <c r="AV2321" s="1"/>
      <c r="AW2321" s="1"/>
      <c r="AX2321" s="1"/>
      <c r="AY2321" s="1"/>
      <c r="AZ2321" s="1"/>
      <c r="BA2321" s="1"/>
      <c r="BB2321" s="1"/>
      <c r="BC2321" s="1"/>
      <c r="BD2321" s="1"/>
      <c r="BE2321" s="1"/>
      <c r="BF2321" s="1"/>
      <c r="BG2321" s="1"/>
      <c r="BH2321" s="1"/>
      <c r="BI2321" s="1"/>
      <c r="BJ2321" s="1"/>
      <c r="BK2321" s="1"/>
      <c r="BL2321" s="1"/>
      <c r="BM2321" s="1"/>
      <c r="BN2321" s="1"/>
      <c r="BO2321" s="1"/>
      <c r="BP2321" s="1" t="s">
        <v>9609</v>
      </c>
      <c r="BQ2321" s="3"/>
      <c r="BR2321" s="3"/>
    </row>
    <row r="2322" spans="1:70">
      <c r="A2322" s="1" t="s">
        <v>25368</v>
      </c>
      <c r="B2322" s="1" t="s">
        <v>13846</v>
      </c>
      <c r="C2322" s="1" t="s">
        <v>25550</v>
      </c>
      <c r="D2322" s="1"/>
      <c r="E2322" s="1"/>
      <c r="F2322" s="1"/>
      <c r="G2322" s="1"/>
      <c r="H2322" s="1" t="s">
        <v>25551</v>
      </c>
      <c r="I2322" s="1" t="s">
        <v>25551</v>
      </c>
      <c r="J2322" s="1"/>
      <c r="K2322" s="1"/>
      <c r="L2322" s="1"/>
      <c r="M2322" s="1"/>
      <c r="N2322" s="1"/>
      <c r="O2322" s="1"/>
      <c r="P2322" s="1"/>
      <c r="Q2322" s="1"/>
      <c r="R2322" s="1"/>
      <c r="S2322" s="1"/>
      <c r="T2322" s="1"/>
      <c r="U2322" s="1"/>
      <c r="V2322" s="1"/>
      <c r="W2322" s="1"/>
      <c r="X2322" s="1"/>
      <c r="Y2322" s="1"/>
      <c r="Z2322" s="1"/>
      <c r="AA2322" s="1"/>
      <c r="AB2322" s="1"/>
      <c r="AC2322" s="1"/>
      <c r="AD2322" s="1" t="s">
        <v>93</v>
      </c>
      <c r="AE2322" s="1" t="s">
        <v>93</v>
      </c>
      <c r="AF2322" s="1"/>
      <c r="AG2322" s="1"/>
      <c r="AH2322" s="1"/>
      <c r="AI2322" s="1"/>
      <c r="AJ2322" s="1"/>
      <c r="AK2322" s="1"/>
      <c r="AL2322" s="1"/>
      <c r="AM2322" s="1"/>
      <c r="AN2322" s="1"/>
      <c r="AO2322" s="1"/>
      <c r="AP2322" s="1"/>
      <c r="AQ2322" s="1"/>
      <c r="AR2322" s="1"/>
      <c r="AS2322" s="1"/>
      <c r="AT2322" s="1"/>
      <c r="AU2322" s="1"/>
      <c r="AV2322" s="1"/>
      <c r="AW2322" s="1"/>
      <c r="AX2322" s="1"/>
      <c r="AY2322" s="1"/>
      <c r="AZ2322" s="1"/>
      <c r="BA2322" s="1"/>
      <c r="BB2322" s="1"/>
      <c r="BC2322" s="1"/>
      <c r="BD2322" s="1"/>
      <c r="BE2322" s="1"/>
      <c r="BF2322" s="1"/>
      <c r="BG2322" s="1"/>
      <c r="BH2322" s="1"/>
      <c r="BI2322" s="1"/>
      <c r="BJ2322" s="1"/>
      <c r="BK2322" s="1"/>
      <c r="BL2322" s="1"/>
      <c r="BM2322" s="1"/>
      <c r="BN2322" s="1"/>
      <c r="BO2322" s="1"/>
      <c r="BP2322" s="1" t="s">
        <v>9609</v>
      </c>
      <c r="BQ2322" s="3"/>
      <c r="BR2322" s="3"/>
    </row>
    <row r="2323" spans="1:70">
      <c r="A2323" s="1" t="s">
        <v>25368</v>
      </c>
      <c r="B2323" s="1" t="s">
        <v>13846</v>
      </c>
      <c r="C2323" s="1" t="s">
        <v>25552</v>
      </c>
      <c r="D2323" s="1"/>
      <c r="E2323" s="1"/>
      <c r="F2323" s="1"/>
      <c r="G2323" s="1"/>
      <c r="H2323" s="1" t="s">
        <v>25553</v>
      </c>
      <c r="I2323" s="1" t="s">
        <v>25553</v>
      </c>
      <c r="J2323" s="1"/>
      <c r="K2323" s="1"/>
      <c r="L2323" s="1"/>
      <c r="M2323" s="1"/>
      <c r="N2323" s="1"/>
      <c r="O2323" s="1"/>
      <c r="P2323" s="1"/>
      <c r="Q2323" s="1"/>
      <c r="R2323" s="1"/>
      <c r="S2323" s="1"/>
      <c r="T2323" s="1"/>
      <c r="U2323" s="1"/>
      <c r="V2323" s="1"/>
      <c r="W2323" s="1"/>
      <c r="X2323" s="1"/>
      <c r="Y2323" s="1"/>
      <c r="Z2323" s="1"/>
      <c r="AA2323" s="1"/>
      <c r="AB2323" s="1"/>
      <c r="AC2323" s="1"/>
      <c r="AD2323" s="1" t="s">
        <v>93</v>
      </c>
      <c r="AE2323" s="1" t="s">
        <v>93</v>
      </c>
      <c r="AF2323" s="1"/>
      <c r="AG2323" s="1"/>
      <c r="AH2323" s="1"/>
      <c r="AI2323" s="1"/>
      <c r="AJ2323" s="1"/>
      <c r="AK2323" s="1"/>
      <c r="AL2323" s="1"/>
      <c r="AM2323" s="1"/>
      <c r="AN2323" s="1"/>
      <c r="AO2323" s="1"/>
      <c r="AP2323" s="1"/>
      <c r="AQ2323" s="1"/>
      <c r="AR2323" s="1"/>
      <c r="AS2323" s="1"/>
      <c r="AT2323" s="1"/>
      <c r="AU2323" s="1"/>
      <c r="AV2323" s="1"/>
      <c r="AW2323" s="1"/>
      <c r="AX2323" s="1"/>
      <c r="AY2323" s="1"/>
      <c r="AZ2323" s="1"/>
      <c r="BA2323" s="1"/>
      <c r="BB2323" s="1"/>
      <c r="BC2323" s="1"/>
      <c r="BD2323" s="1"/>
      <c r="BE2323" s="1"/>
      <c r="BF2323" s="1"/>
      <c r="BG2323" s="1"/>
      <c r="BH2323" s="1"/>
      <c r="BI2323" s="1"/>
      <c r="BJ2323" s="1"/>
      <c r="BK2323" s="1"/>
      <c r="BL2323" s="1"/>
      <c r="BM2323" s="1"/>
      <c r="BN2323" s="1"/>
      <c r="BO2323" s="1"/>
      <c r="BP2323" s="1" t="s">
        <v>9609</v>
      </c>
      <c r="BQ2323" s="3"/>
      <c r="BR2323" s="3"/>
    </row>
    <row r="2324" spans="1:70">
      <c r="A2324" s="1" t="s">
        <v>25368</v>
      </c>
      <c r="B2324" s="1" t="s">
        <v>13846</v>
      </c>
      <c r="C2324" s="1" t="s">
        <v>25554</v>
      </c>
      <c r="D2324" s="1"/>
      <c r="E2324" s="1"/>
      <c r="F2324" s="1"/>
      <c r="G2324" s="1"/>
      <c r="H2324" s="1" t="s">
        <v>25555</v>
      </c>
      <c r="I2324" s="1" t="s">
        <v>25555</v>
      </c>
      <c r="J2324" s="1"/>
      <c r="K2324" s="1"/>
      <c r="L2324" s="1"/>
      <c r="M2324" s="1"/>
      <c r="N2324" s="1"/>
      <c r="O2324" s="1"/>
      <c r="P2324" s="1"/>
      <c r="Q2324" s="1"/>
      <c r="R2324" s="1"/>
      <c r="S2324" s="1"/>
      <c r="T2324" s="1"/>
      <c r="U2324" s="1"/>
      <c r="V2324" s="1"/>
      <c r="W2324" s="1"/>
      <c r="X2324" s="1"/>
      <c r="Y2324" s="1"/>
      <c r="Z2324" s="1"/>
      <c r="AA2324" s="1"/>
      <c r="AB2324" s="1"/>
      <c r="AC2324" s="1"/>
      <c r="AD2324" s="1" t="s">
        <v>93</v>
      </c>
      <c r="AE2324" s="1" t="s">
        <v>93</v>
      </c>
      <c r="AF2324" s="1"/>
      <c r="AG2324" s="1"/>
      <c r="AH2324" s="1"/>
      <c r="AI2324" s="1"/>
      <c r="AJ2324" s="1"/>
      <c r="AK2324" s="1"/>
      <c r="AL2324" s="1"/>
      <c r="AM2324" s="1"/>
      <c r="AN2324" s="1"/>
      <c r="AO2324" s="1"/>
      <c r="AP2324" s="1"/>
      <c r="AQ2324" s="1"/>
      <c r="AR2324" s="1"/>
      <c r="AS2324" s="1"/>
      <c r="AT2324" s="1"/>
      <c r="AU2324" s="1"/>
      <c r="AV2324" s="1"/>
      <c r="AW2324" s="1"/>
      <c r="AX2324" s="1"/>
      <c r="AY2324" s="1"/>
      <c r="AZ2324" s="1"/>
      <c r="BA2324" s="1"/>
      <c r="BB2324" s="1"/>
      <c r="BC2324" s="1"/>
      <c r="BD2324" s="1"/>
      <c r="BE2324" s="1"/>
      <c r="BF2324" s="1"/>
      <c r="BG2324" s="1"/>
      <c r="BH2324" s="1"/>
      <c r="BI2324" s="1"/>
      <c r="BJ2324" s="1"/>
      <c r="BK2324" s="1"/>
      <c r="BL2324" s="1"/>
      <c r="BM2324" s="1"/>
      <c r="BN2324" s="1"/>
      <c r="BO2324" s="1"/>
      <c r="BP2324" s="1" t="s">
        <v>9609</v>
      </c>
      <c r="BQ2324" s="3"/>
      <c r="BR2324" s="3"/>
    </row>
    <row r="2325" spans="1:70">
      <c r="A2325" s="1" t="s">
        <v>25368</v>
      </c>
      <c r="B2325" s="1" t="s">
        <v>13846</v>
      </c>
      <c r="C2325" s="1" t="s">
        <v>25556</v>
      </c>
      <c r="D2325" s="1"/>
      <c r="E2325" s="1"/>
      <c r="F2325" s="1"/>
      <c r="G2325" s="1"/>
      <c r="H2325" s="1" t="s">
        <v>25557</v>
      </c>
      <c r="I2325" s="1" t="s">
        <v>25557</v>
      </c>
      <c r="J2325" s="1"/>
      <c r="K2325" s="1"/>
      <c r="L2325" s="1"/>
      <c r="M2325" s="1"/>
      <c r="N2325" s="1"/>
      <c r="O2325" s="1"/>
      <c r="P2325" s="1"/>
      <c r="Q2325" s="1"/>
      <c r="R2325" s="1"/>
      <c r="S2325" s="1"/>
      <c r="T2325" s="1"/>
      <c r="U2325" s="1"/>
      <c r="V2325" s="1"/>
      <c r="W2325" s="1"/>
      <c r="X2325" s="1"/>
      <c r="Y2325" s="1"/>
      <c r="Z2325" s="1"/>
      <c r="AA2325" s="1"/>
      <c r="AB2325" s="1"/>
      <c r="AC2325" s="1"/>
      <c r="AD2325" s="1" t="s">
        <v>93</v>
      </c>
      <c r="AE2325" s="1" t="s">
        <v>93</v>
      </c>
      <c r="AF2325" s="1"/>
      <c r="AG2325" s="1"/>
      <c r="AH2325" s="1"/>
      <c r="AI2325" s="1"/>
      <c r="AJ2325" s="1"/>
      <c r="AK2325" s="1"/>
      <c r="AL2325" s="1"/>
      <c r="AM2325" s="1"/>
      <c r="AN2325" s="1"/>
      <c r="AO2325" s="1"/>
      <c r="AP2325" s="1"/>
      <c r="AQ2325" s="1"/>
      <c r="AR2325" s="1"/>
      <c r="AS2325" s="1"/>
      <c r="AT2325" s="1"/>
      <c r="AU2325" s="1"/>
      <c r="AV2325" s="1"/>
      <c r="AW2325" s="1"/>
      <c r="AX2325" s="1"/>
      <c r="AY2325" s="1"/>
      <c r="AZ2325" s="1"/>
      <c r="BA2325" s="1"/>
      <c r="BB2325" s="1"/>
      <c r="BC2325" s="1"/>
      <c r="BD2325" s="1"/>
      <c r="BE2325" s="1"/>
      <c r="BF2325" s="1"/>
      <c r="BG2325" s="1"/>
      <c r="BH2325" s="1"/>
      <c r="BI2325" s="1"/>
      <c r="BJ2325" s="1"/>
      <c r="BK2325" s="1"/>
      <c r="BL2325" s="1"/>
      <c r="BM2325" s="1"/>
      <c r="BN2325" s="1"/>
      <c r="BO2325" s="1"/>
      <c r="BP2325" s="1" t="s">
        <v>9609</v>
      </c>
      <c r="BQ2325" s="3"/>
      <c r="BR2325" s="3"/>
    </row>
    <row r="2326" spans="1:70">
      <c r="A2326" s="1" t="s">
        <v>25368</v>
      </c>
      <c r="B2326" s="1" t="s">
        <v>13846</v>
      </c>
      <c r="C2326" s="1" t="s">
        <v>25558</v>
      </c>
      <c r="D2326" s="1"/>
      <c r="E2326" s="1"/>
      <c r="F2326" s="1"/>
      <c r="G2326" s="1"/>
      <c r="H2326" s="1" t="s">
        <v>25559</v>
      </c>
      <c r="I2326" s="1" t="s">
        <v>25559</v>
      </c>
      <c r="J2326" s="1"/>
      <c r="K2326" s="1"/>
      <c r="L2326" s="1"/>
      <c r="M2326" s="1"/>
      <c r="N2326" s="1"/>
      <c r="O2326" s="1"/>
      <c r="P2326" s="1"/>
      <c r="Q2326" s="1"/>
      <c r="R2326" s="1"/>
      <c r="S2326" s="1"/>
      <c r="T2326" s="1"/>
      <c r="U2326" s="1"/>
      <c r="V2326" s="1"/>
      <c r="W2326" s="1"/>
      <c r="X2326" s="1"/>
      <c r="Y2326" s="1"/>
      <c r="Z2326" s="1"/>
      <c r="AA2326" s="1"/>
      <c r="AB2326" s="1"/>
      <c r="AC2326" s="1"/>
      <c r="AD2326" s="1" t="s">
        <v>93</v>
      </c>
      <c r="AE2326" s="1" t="s">
        <v>93</v>
      </c>
      <c r="AF2326" s="1"/>
      <c r="AG2326" s="1"/>
      <c r="AH2326" s="1"/>
      <c r="AI2326" s="1"/>
      <c r="AJ2326" s="1"/>
      <c r="AK2326" s="1"/>
      <c r="AL2326" s="1"/>
      <c r="AM2326" s="1"/>
      <c r="AN2326" s="1"/>
      <c r="AO2326" s="1"/>
      <c r="AP2326" s="1"/>
      <c r="AQ2326" s="1"/>
      <c r="AR2326" s="1"/>
      <c r="AS2326" s="1"/>
      <c r="AT2326" s="1"/>
      <c r="AU2326" s="1"/>
      <c r="AV2326" s="1"/>
      <c r="AW2326" s="1"/>
      <c r="AX2326" s="1"/>
      <c r="AY2326" s="1"/>
      <c r="AZ2326" s="1"/>
      <c r="BA2326" s="1"/>
      <c r="BB2326" s="1"/>
      <c r="BC2326" s="1"/>
      <c r="BD2326" s="1"/>
      <c r="BE2326" s="1"/>
      <c r="BF2326" s="1"/>
      <c r="BG2326" s="1"/>
      <c r="BH2326" s="1"/>
      <c r="BI2326" s="1"/>
      <c r="BJ2326" s="1"/>
      <c r="BK2326" s="1"/>
      <c r="BL2326" s="1"/>
      <c r="BM2326" s="1"/>
      <c r="BN2326" s="1"/>
      <c r="BO2326" s="1"/>
      <c r="BP2326" s="1" t="s">
        <v>9609</v>
      </c>
      <c r="BQ2326" s="3"/>
      <c r="BR2326" s="3"/>
    </row>
    <row r="2327" spans="1:70">
      <c r="A2327" s="1" t="s">
        <v>25368</v>
      </c>
      <c r="B2327" s="1" t="s">
        <v>13846</v>
      </c>
      <c r="C2327" s="1" t="s">
        <v>25560</v>
      </c>
      <c r="D2327" s="1"/>
      <c r="E2327" s="1"/>
      <c r="F2327" s="1"/>
      <c r="G2327" s="1"/>
      <c r="H2327" s="1" t="s">
        <v>25561</v>
      </c>
      <c r="I2327" s="1" t="s">
        <v>25561</v>
      </c>
      <c r="J2327" s="1"/>
      <c r="K2327" s="1"/>
      <c r="L2327" s="1"/>
      <c r="M2327" s="1"/>
      <c r="N2327" s="1"/>
      <c r="O2327" s="1"/>
      <c r="P2327" s="1"/>
      <c r="Q2327" s="1"/>
      <c r="R2327" s="1"/>
      <c r="S2327" s="1"/>
      <c r="T2327" s="1"/>
      <c r="U2327" s="1"/>
      <c r="V2327" s="1"/>
      <c r="W2327" s="1"/>
      <c r="X2327" s="1"/>
      <c r="Y2327" s="1"/>
      <c r="Z2327" s="1"/>
      <c r="AA2327" s="1"/>
      <c r="AB2327" s="1"/>
      <c r="AC2327" s="1"/>
      <c r="AD2327" s="1" t="s">
        <v>93</v>
      </c>
      <c r="AE2327" s="1" t="s">
        <v>93</v>
      </c>
      <c r="AF2327" s="1"/>
      <c r="AG2327" s="1"/>
      <c r="AH2327" s="1"/>
      <c r="AI2327" s="1"/>
      <c r="AJ2327" s="1"/>
      <c r="AK2327" s="1"/>
      <c r="AL2327" s="1"/>
      <c r="AM2327" s="1"/>
      <c r="AN2327" s="1"/>
      <c r="AO2327" s="1"/>
      <c r="AP2327" s="1"/>
      <c r="AQ2327" s="1"/>
      <c r="AR2327" s="1"/>
      <c r="AS2327" s="1"/>
      <c r="AT2327" s="1"/>
      <c r="AU2327" s="1"/>
      <c r="AV2327" s="1"/>
      <c r="AW2327" s="1"/>
      <c r="AX2327" s="1"/>
      <c r="AY2327" s="1"/>
      <c r="AZ2327" s="1"/>
      <c r="BA2327" s="1"/>
      <c r="BB2327" s="1"/>
      <c r="BC2327" s="1"/>
      <c r="BD2327" s="1"/>
      <c r="BE2327" s="1"/>
      <c r="BF2327" s="1"/>
      <c r="BG2327" s="1"/>
      <c r="BH2327" s="1"/>
      <c r="BI2327" s="1"/>
      <c r="BJ2327" s="1"/>
      <c r="BK2327" s="1"/>
      <c r="BL2327" s="1"/>
      <c r="BM2327" s="1"/>
      <c r="BN2327" s="1"/>
      <c r="BO2327" s="1"/>
      <c r="BP2327" s="1" t="s">
        <v>9609</v>
      </c>
      <c r="BQ2327" s="3"/>
      <c r="BR2327" s="3"/>
    </row>
    <row r="2328" spans="1:70">
      <c r="A2328" s="1" t="s">
        <v>25368</v>
      </c>
      <c r="B2328" s="1" t="s">
        <v>13846</v>
      </c>
      <c r="C2328" s="1" t="s">
        <v>25562</v>
      </c>
      <c r="D2328" s="1"/>
      <c r="E2328" s="1"/>
      <c r="F2328" s="1"/>
      <c r="G2328" s="1"/>
      <c r="H2328" s="1" t="s">
        <v>25563</v>
      </c>
      <c r="I2328" s="1" t="s">
        <v>25563</v>
      </c>
      <c r="J2328" s="1"/>
      <c r="K2328" s="1"/>
      <c r="L2328" s="1"/>
      <c r="M2328" s="1"/>
      <c r="N2328" s="1"/>
      <c r="O2328" s="1"/>
      <c r="P2328" s="1"/>
      <c r="Q2328" s="1"/>
      <c r="R2328" s="1"/>
      <c r="S2328" s="1"/>
      <c r="T2328" s="1"/>
      <c r="U2328" s="1"/>
      <c r="V2328" s="1"/>
      <c r="W2328" s="1"/>
      <c r="X2328" s="1"/>
      <c r="Y2328" s="1"/>
      <c r="Z2328" s="1"/>
      <c r="AA2328" s="1"/>
      <c r="AB2328" s="1"/>
      <c r="AC2328" s="1"/>
      <c r="AD2328" s="1" t="s">
        <v>93</v>
      </c>
      <c r="AE2328" s="1" t="s">
        <v>93</v>
      </c>
      <c r="AF2328" s="1"/>
      <c r="AG2328" s="1"/>
      <c r="AH2328" s="1"/>
      <c r="AI2328" s="1"/>
      <c r="AJ2328" s="1"/>
      <c r="AK2328" s="1"/>
      <c r="AL2328" s="1"/>
      <c r="AM2328" s="1"/>
      <c r="AN2328" s="1"/>
      <c r="AO2328" s="1"/>
      <c r="AP2328" s="1"/>
      <c r="AQ2328" s="1"/>
      <c r="AR2328" s="1"/>
      <c r="AS2328" s="1"/>
      <c r="AT2328" s="1"/>
      <c r="AU2328" s="1"/>
      <c r="AV2328" s="1"/>
      <c r="AW2328" s="1"/>
      <c r="AX2328" s="1"/>
      <c r="AY2328" s="1"/>
      <c r="AZ2328" s="1"/>
      <c r="BA2328" s="1"/>
      <c r="BB2328" s="1"/>
      <c r="BC2328" s="1"/>
      <c r="BD2328" s="1"/>
      <c r="BE2328" s="1"/>
      <c r="BF2328" s="1"/>
      <c r="BG2328" s="1"/>
      <c r="BH2328" s="1"/>
      <c r="BI2328" s="1"/>
      <c r="BJ2328" s="1"/>
      <c r="BK2328" s="1"/>
      <c r="BL2328" s="1"/>
      <c r="BM2328" s="1"/>
      <c r="BN2328" s="1"/>
      <c r="BO2328" s="1"/>
      <c r="BP2328" s="1" t="s">
        <v>9609</v>
      </c>
      <c r="BQ2328" s="3"/>
      <c r="BR2328" s="3"/>
    </row>
    <row r="2329" spans="1:70">
      <c r="A2329" s="1" t="s">
        <v>25368</v>
      </c>
      <c r="B2329" s="1" t="s">
        <v>13846</v>
      </c>
      <c r="C2329" s="1" t="s">
        <v>25564</v>
      </c>
      <c r="D2329" s="1"/>
      <c r="E2329" s="1"/>
      <c r="F2329" s="1"/>
      <c r="G2329" s="1"/>
      <c r="H2329" s="1" t="s">
        <v>25565</v>
      </c>
      <c r="I2329" s="1" t="s">
        <v>25565</v>
      </c>
      <c r="J2329" s="1"/>
      <c r="K2329" s="1"/>
      <c r="L2329" s="1"/>
      <c r="M2329" s="1"/>
      <c r="N2329" s="1"/>
      <c r="O2329" s="1"/>
      <c r="P2329" s="1"/>
      <c r="Q2329" s="1"/>
      <c r="R2329" s="1"/>
      <c r="S2329" s="1"/>
      <c r="T2329" s="1"/>
      <c r="U2329" s="1"/>
      <c r="V2329" s="1"/>
      <c r="W2329" s="1"/>
      <c r="X2329" s="1"/>
      <c r="Y2329" s="1"/>
      <c r="Z2329" s="1"/>
      <c r="AA2329" s="1"/>
      <c r="AB2329" s="1"/>
      <c r="AC2329" s="1"/>
      <c r="AD2329" s="1" t="s">
        <v>93</v>
      </c>
      <c r="AE2329" s="1" t="s">
        <v>93</v>
      </c>
      <c r="AF2329" s="1"/>
      <c r="AG2329" s="1"/>
      <c r="AH2329" s="1"/>
      <c r="AI2329" s="1"/>
      <c r="AJ2329" s="1"/>
      <c r="AK2329" s="1"/>
      <c r="AL2329" s="1"/>
      <c r="AM2329" s="1"/>
      <c r="AN2329" s="1"/>
      <c r="AO2329" s="1"/>
      <c r="AP2329" s="1"/>
      <c r="AQ2329" s="1"/>
      <c r="AR2329" s="1"/>
      <c r="AS2329" s="1"/>
      <c r="AT2329" s="1"/>
      <c r="AU2329" s="1"/>
      <c r="AV2329" s="1"/>
      <c r="AW2329" s="1"/>
      <c r="AX2329" s="1"/>
      <c r="AY2329" s="1"/>
      <c r="AZ2329" s="1"/>
      <c r="BA2329" s="1"/>
      <c r="BB2329" s="1"/>
      <c r="BC2329" s="1"/>
      <c r="BD2329" s="1"/>
      <c r="BE2329" s="1"/>
      <c r="BF2329" s="1"/>
      <c r="BG2329" s="1"/>
      <c r="BH2329" s="1"/>
      <c r="BI2329" s="1"/>
      <c r="BJ2329" s="1"/>
      <c r="BK2329" s="1"/>
      <c r="BL2329" s="1"/>
      <c r="BM2329" s="1"/>
      <c r="BN2329" s="1"/>
      <c r="BO2329" s="1"/>
      <c r="BP2329" s="1" t="s">
        <v>9609</v>
      </c>
      <c r="BQ2329" s="3"/>
      <c r="BR2329" s="3"/>
    </row>
    <row r="2330" spans="1:70">
      <c r="A2330" s="1" t="s">
        <v>25368</v>
      </c>
      <c r="B2330" s="1" t="s">
        <v>13846</v>
      </c>
      <c r="C2330" s="1" t="s">
        <v>25566</v>
      </c>
      <c r="D2330" s="1"/>
      <c r="E2330" s="1"/>
      <c r="F2330" s="1"/>
      <c r="G2330" s="1"/>
      <c r="H2330" s="1" t="s">
        <v>25567</v>
      </c>
      <c r="I2330" s="1" t="s">
        <v>25567</v>
      </c>
      <c r="J2330" s="1"/>
      <c r="K2330" s="1"/>
      <c r="L2330" s="1"/>
      <c r="M2330" s="1"/>
      <c r="N2330" s="1"/>
      <c r="O2330" s="1"/>
      <c r="P2330" s="1"/>
      <c r="Q2330" s="1"/>
      <c r="R2330" s="1"/>
      <c r="S2330" s="1"/>
      <c r="T2330" s="1"/>
      <c r="U2330" s="1"/>
      <c r="V2330" s="1"/>
      <c r="W2330" s="1"/>
      <c r="X2330" s="1"/>
      <c r="Y2330" s="1"/>
      <c r="Z2330" s="1"/>
      <c r="AA2330" s="1"/>
      <c r="AB2330" s="1"/>
      <c r="AC2330" s="1"/>
      <c r="AD2330" s="1" t="s">
        <v>93</v>
      </c>
      <c r="AE2330" s="1" t="s">
        <v>93</v>
      </c>
      <c r="AF2330" s="1"/>
      <c r="AG2330" s="1"/>
      <c r="AH2330" s="1"/>
      <c r="AI2330" s="1"/>
      <c r="AJ2330" s="1"/>
      <c r="AK2330" s="1"/>
      <c r="AL2330" s="1"/>
      <c r="AM2330" s="1"/>
      <c r="AN2330" s="1"/>
      <c r="AO2330" s="1"/>
      <c r="AP2330" s="1"/>
      <c r="AQ2330" s="1"/>
      <c r="AR2330" s="1"/>
      <c r="AS2330" s="1"/>
      <c r="AT2330" s="1"/>
      <c r="AU2330" s="1"/>
      <c r="AV2330" s="1"/>
      <c r="AW2330" s="1"/>
      <c r="AX2330" s="1"/>
      <c r="AY2330" s="1"/>
      <c r="AZ2330" s="1"/>
      <c r="BA2330" s="1"/>
      <c r="BB2330" s="1"/>
      <c r="BC2330" s="1"/>
      <c r="BD2330" s="1"/>
      <c r="BE2330" s="1"/>
      <c r="BF2330" s="1"/>
      <c r="BG2330" s="1"/>
      <c r="BH2330" s="1"/>
      <c r="BI2330" s="1"/>
      <c r="BJ2330" s="1"/>
      <c r="BK2330" s="1"/>
      <c r="BL2330" s="1"/>
      <c r="BM2330" s="1"/>
      <c r="BN2330" s="1"/>
      <c r="BO2330" s="1"/>
      <c r="BP2330" s="1" t="s">
        <v>9609</v>
      </c>
      <c r="BQ2330" s="3"/>
      <c r="BR2330" s="3"/>
    </row>
    <row r="2331" spans="1:70">
      <c r="A2331" s="1" t="s">
        <v>25368</v>
      </c>
      <c r="B2331" s="1" t="s">
        <v>13846</v>
      </c>
      <c r="C2331" s="1" t="s">
        <v>25568</v>
      </c>
      <c r="D2331" s="1"/>
      <c r="E2331" s="1"/>
      <c r="F2331" s="1"/>
      <c r="G2331" s="1"/>
      <c r="H2331" s="1" t="s">
        <v>25569</v>
      </c>
      <c r="I2331" s="1" t="s">
        <v>25569</v>
      </c>
      <c r="J2331" s="1"/>
      <c r="K2331" s="1"/>
      <c r="L2331" s="1"/>
      <c r="M2331" s="1"/>
      <c r="N2331" s="1"/>
      <c r="O2331" s="1"/>
      <c r="P2331" s="1"/>
      <c r="Q2331" s="1"/>
      <c r="R2331" s="1"/>
      <c r="S2331" s="1"/>
      <c r="T2331" s="1"/>
      <c r="U2331" s="1"/>
      <c r="V2331" s="1"/>
      <c r="W2331" s="1"/>
      <c r="X2331" s="1"/>
      <c r="Y2331" s="1"/>
      <c r="Z2331" s="1"/>
      <c r="AA2331" s="1"/>
      <c r="AB2331" s="1"/>
      <c r="AC2331" s="1"/>
      <c r="AD2331" s="1" t="s">
        <v>93</v>
      </c>
      <c r="AE2331" s="1" t="s">
        <v>93</v>
      </c>
      <c r="AF2331" s="1"/>
      <c r="AG2331" s="1"/>
      <c r="AH2331" s="1"/>
      <c r="AI2331" s="1"/>
      <c r="AJ2331" s="1"/>
      <c r="AK2331" s="1"/>
      <c r="AL2331" s="1"/>
      <c r="AM2331" s="1"/>
      <c r="AN2331" s="1"/>
      <c r="AO2331" s="1"/>
      <c r="AP2331" s="1"/>
      <c r="AQ2331" s="1"/>
      <c r="AR2331" s="1"/>
      <c r="AS2331" s="1"/>
      <c r="AT2331" s="1"/>
      <c r="AU2331" s="1"/>
      <c r="AV2331" s="1"/>
      <c r="AW2331" s="1"/>
      <c r="AX2331" s="1"/>
      <c r="AY2331" s="1"/>
      <c r="AZ2331" s="1"/>
      <c r="BA2331" s="1"/>
      <c r="BB2331" s="1"/>
      <c r="BC2331" s="1"/>
      <c r="BD2331" s="1"/>
      <c r="BE2331" s="1"/>
      <c r="BF2331" s="1"/>
      <c r="BG2331" s="1"/>
      <c r="BH2331" s="1"/>
      <c r="BI2331" s="1"/>
      <c r="BJ2331" s="1"/>
      <c r="BK2331" s="1"/>
      <c r="BL2331" s="1"/>
      <c r="BM2331" s="1"/>
      <c r="BN2331" s="1"/>
      <c r="BO2331" s="1"/>
      <c r="BP2331" s="1" t="s">
        <v>9609</v>
      </c>
      <c r="BQ2331" s="3"/>
      <c r="BR2331" s="3"/>
    </row>
    <row r="2332" spans="1:70">
      <c r="A2332" s="1" t="s">
        <v>25368</v>
      </c>
      <c r="B2332" s="1" t="s">
        <v>13846</v>
      </c>
      <c r="C2332" s="1" t="s">
        <v>25570</v>
      </c>
      <c r="D2332" s="1"/>
      <c r="E2332" s="1"/>
      <c r="F2332" s="1"/>
      <c r="G2332" s="1"/>
      <c r="H2332" s="1" t="s">
        <v>25571</v>
      </c>
      <c r="I2332" s="1" t="s">
        <v>25571</v>
      </c>
      <c r="J2332" s="1"/>
      <c r="K2332" s="1"/>
      <c r="L2332" s="1"/>
      <c r="M2332" s="1"/>
      <c r="N2332" s="1"/>
      <c r="O2332" s="1"/>
      <c r="P2332" s="1"/>
      <c r="Q2332" s="1"/>
      <c r="R2332" s="1"/>
      <c r="S2332" s="1"/>
      <c r="T2332" s="1"/>
      <c r="U2332" s="1"/>
      <c r="V2332" s="1"/>
      <c r="W2332" s="1"/>
      <c r="X2332" s="1"/>
      <c r="Y2332" s="1"/>
      <c r="Z2332" s="1"/>
      <c r="AA2332" s="1"/>
      <c r="AB2332" s="1"/>
      <c r="AC2332" s="1"/>
      <c r="AD2332" s="1" t="s">
        <v>93</v>
      </c>
      <c r="AE2332" s="1" t="s">
        <v>93</v>
      </c>
      <c r="AF2332" s="1"/>
      <c r="AG2332" s="1"/>
      <c r="AH2332" s="1"/>
      <c r="AI2332" s="1"/>
      <c r="AJ2332" s="1"/>
      <c r="AK2332" s="1"/>
      <c r="AL2332" s="1"/>
      <c r="AM2332" s="1"/>
      <c r="AN2332" s="1"/>
      <c r="AO2332" s="1"/>
      <c r="AP2332" s="1"/>
      <c r="AQ2332" s="1"/>
      <c r="AR2332" s="1"/>
      <c r="AS2332" s="1"/>
      <c r="AT2332" s="1"/>
      <c r="AU2332" s="1"/>
      <c r="AV2332" s="1"/>
      <c r="AW2332" s="1"/>
      <c r="AX2332" s="1"/>
      <c r="AY2332" s="1"/>
      <c r="AZ2332" s="1"/>
      <c r="BA2332" s="1"/>
      <c r="BB2332" s="1"/>
      <c r="BC2332" s="1"/>
      <c r="BD2332" s="1"/>
      <c r="BE2332" s="1"/>
      <c r="BF2332" s="1"/>
      <c r="BG2332" s="1"/>
      <c r="BH2332" s="1"/>
      <c r="BI2332" s="1"/>
      <c r="BJ2332" s="1"/>
      <c r="BK2332" s="1"/>
      <c r="BL2332" s="1"/>
      <c r="BM2332" s="1"/>
      <c r="BN2332" s="1"/>
      <c r="BO2332" s="1"/>
      <c r="BP2332" s="1" t="s">
        <v>9609</v>
      </c>
      <c r="BQ2332" s="3"/>
      <c r="BR2332" s="3"/>
    </row>
    <row r="2333" spans="1:70">
      <c r="A2333" s="1" t="s">
        <v>25368</v>
      </c>
      <c r="B2333" s="1" t="s">
        <v>13846</v>
      </c>
      <c r="C2333" s="1" t="s">
        <v>25572</v>
      </c>
      <c r="D2333" s="1"/>
      <c r="E2333" s="1"/>
      <c r="F2333" s="1"/>
      <c r="G2333" s="1"/>
      <c r="H2333" s="1" t="s">
        <v>25573</v>
      </c>
      <c r="I2333" s="1" t="s">
        <v>25573</v>
      </c>
      <c r="J2333" s="1"/>
      <c r="K2333" s="1"/>
      <c r="L2333" s="1"/>
      <c r="M2333" s="1"/>
      <c r="N2333" s="1"/>
      <c r="O2333" s="1"/>
      <c r="P2333" s="1"/>
      <c r="Q2333" s="1"/>
      <c r="R2333" s="1"/>
      <c r="S2333" s="1"/>
      <c r="T2333" s="1"/>
      <c r="U2333" s="1"/>
      <c r="V2333" s="1"/>
      <c r="W2333" s="1"/>
      <c r="X2333" s="1"/>
      <c r="Y2333" s="1"/>
      <c r="Z2333" s="1"/>
      <c r="AA2333" s="1"/>
      <c r="AB2333" s="1"/>
      <c r="AC2333" s="1"/>
      <c r="AD2333" s="1" t="s">
        <v>93</v>
      </c>
      <c r="AE2333" s="1" t="s">
        <v>93</v>
      </c>
      <c r="AF2333" s="1"/>
      <c r="AG2333" s="1"/>
      <c r="AH2333" s="1"/>
      <c r="AI2333" s="1"/>
      <c r="AJ2333" s="1"/>
      <c r="AK2333" s="1"/>
      <c r="AL2333" s="1"/>
      <c r="AM2333" s="1"/>
      <c r="AN2333" s="1"/>
      <c r="AO2333" s="1"/>
      <c r="AP2333" s="1"/>
      <c r="AQ2333" s="1"/>
      <c r="AR2333" s="1"/>
      <c r="AS2333" s="1"/>
      <c r="AT2333" s="1"/>
      <c r="AU2333" s="1"/>
      <c r="AV2333" s="1"/>
      <c r="AW2333" s="1"/>
      <c r="AX2333" s="1"/>
      <c r="AY2333" s="1"/>
      <c r="AZ2333" s="1"/>
      <c r="BA2333" s="1"/>
      <c r="BB2333" s="1"/>
      <c r="BC2333" s="1"/>
      <c r="BD2333" s="1"/>
      <c r="BE2333" s="1"/>
      <c r="BF2333" s="1"/>
      <c r="BG2333" s="1"/>
      <c r="BH2333" s="1"/>
      <c r="BI2333" s="1"/>
      <c r="BJ2333" s="1"/>
      <c r="BK2333" s="1"/>
      <c r="BL2333" s="1"/>
      <c r="BM2333" s="1"/>
      <c r="BN2333" s="1"/>
      <c r="BO2333" s="1"/>
      <c r="BP2333" s="1" t="s">
        <v>9609</v>
      </c>
      <c r="BQ2333" s="3"/>
      <c r="BR2333" s="3"/>
    </row>
    <row r="2334" spans="1:70">
      <c r="A2334" s="1" t="s">
        <v>25368</v>
      </c>
      <c r="B2334" s="1" t="s">
        <v>13846</v>
      </c>
      <c r="C2334" s="1" t="s">
        <v>25574</v>
      </c>
      <c r="D2334" s="1"/>
      <c r="E2334" s="1"/>
      <c r="F2334" s="1"/>
      <c r="G2334" s="1"/>
      <c r="H2334" s="1" t="s">
        <v>25575</v>
      </c>
      <c r="I2334" s="1" t="s">
        <v>25575</v>
      </c>
      <c r="J2334" s="1"/>
      <c r="K2334" s="1"/>
      <c r="L2334" s="1"/>
      <c r="M2334" s="1"/>
      <c r="N2334" s="1"/>
      <c r="O2334" s="1"/>
      <c r="P2334" s="1"/>
      <c r="Q2334" s="1"/>
      <c r="R2334" s="1"/>
      <c r="S2334" s="1"/>
      <c r="T2334" s="1"/>
      <c r="U2334" s="1"/>
      <c r="V2334" s="1"/>
      <c r="W2334" s="1"/>
      <c r="X2334" s="1"/>
      <c r="Y2334" s="1"/>
      <c r="Z2334" s="1"/>
      <c r="AA2334" s="1"/>
      <c r="AB2334" s="1"/>
      <c r="AC2334" s="1"/>
      <c r="AD2334" s="1" t="s">
        <v>93</v>
      </c>
      <c r="AE2334" s="1" t="s">
        <v>93</v>
      </c>
      <c r="AF2334" s="1"/>
      <c r="AG2334" s="1"/>
      <c r="AH2334" s="1"/>
      <c r="AI2334" s="1"/>
      <c r="AJ2334" s="1"/>
      <c r="AK2334" s="1"/>
      <c r="AL2334" s="1"/>
      <c r="AM2334" s="1"/>
      <c r="AN2334" s="1"/>
      <c r="AO2334" s="1"/>
      <c r="AP2334" s="1"/>
      <c r="AQ2334" s="1"/>
      <c r="AR2334" s="1"/>
      <c r="AS2334" s="1"/>
      <c r="AT2334" s="1"/>
      <c r="AU2334" s="1"/>
      <c r="AV2334" s="1"/>
      <c r="AW2334" s="1"/>
      <c r="AX2334" s="1"/>
      <c r="AY2334" s="1"/>
      <c r="AZ2334" s="1"/>
      <c r="BA2334" s="1"/>
      <c r="BB2334" s="1"/>
      <c r="BC2334" s="1"/>
      <c r="BD2334" s="1"/>
      <c r="BE2334" s="1"/>
      <c r="BF2334" s="1"/>
      <c r="BG2334" s="1"/>
      <c r="BH2334" s="1"/>
      <c r="BI2334" s="1"/>
      <c r="BJ2334" s="1"/>
      <c r="BK2334" s="1"/>
      <c r="BL2334" s="1"/>
      <c r="BM2334" s="1"/>
      <c r="BN2334" s="1"/>
      <c r="BO2334" s="1"/>
      <c r="BP2334" s="1" t="s">
        <v>9609</v>
      </c>
      <c r="BQ2334" s="3"/>
      <c r="BR2334" s="3"/>
    </row>
    <row r="2335" spans="1:70">
      <c r="A2335" s="1" t="s">
        <v>25368</v>
      </c>
      <c r="B2335" s="1" t="s">
        <v>13846</v>
      </c>
      <c r="C2335" s="1" t="s">
        <v>25576</v>
      </c>
      <c r="D2335" s="1"/>
      <c r="E2335" s="1"/>
      <c r="F2335" s="1"/>
      <c r="G2335" s="1"/>
      <c r="H2335" s="1" t="s">
        <v>25577</v>
      </c>
      <c r="I2335" s="1" t="s">
        <v>25577</v>
      </c>
      <c r="J2335" s="1"/>
      <c r="K2335" s="1"/>
      <c r="L2335" s="1"/>
      <c r="M2335" s="1"/>
      <c r="N2335" s="1"/>
      <c r="O2335" s="1"/>
      <c r="P2335" s="1"/>
      <c r="Q2335" s="1"/>
      <c r="R2335" s="1"/>
      <c r="S2335" s="1"/>
      <c r="T2335" s="1"/>
      <c r="U2335" s="1"/>
      <c r="V2335" s="1"/>
      <c r="W2335" s="1"/>
      <c r="X2335" s="1"/>
      <c r="Y2335" s="1"/>
      <c r="Z2335" s="1"/>
      <c r="AA2335" s="1"/>
      <c r="AB2335" s="1"/>
      <c r="AC2335" s="1"/>
      <c r="AD2335" s="1" t="s">
        <v>93</v>
      </c>
      <c r="AE2335" s="1" t="s">
        <v>93</v>
      </c>
      <c r="AF2335" s="1"/>
      <c r="AG2335" s="1"/>
      <c r="AH2335" s="1"/>
      <c r="AI2335" s="1"/>
      <c r="AJ2335" s="1"/>
      <c r="AK2335" s="1"/>
      <c r="AL2335" s="1"/>
      <c r="AM2335" s="1"/>
      <c r="AN2335" s="1"/>
      <c r="AO2335" s="1"/>
      <c r="AP2335" s="1"/>
      <c r="AQ2335" s="1"/>
      <c r="AR2335" s="1"/>
      <c r="AS2335" s="1"/>
      <c r="AT2335" s="1"/>
      <c r="AU2335" s="1"/>
      <c r="AV2335" s="1"/>
      <c r="AW2335" s="1"/>
      <c r="AX2335" s="1"/>
      <c r="AY2335" s="1"/>
      <c r="AZ2335" s="1"/>
      <c r="BA2335" s="1"/>
      <c r="BB2335" s="1"/>
      <c r="BC2335" s="1"/>
      <c r="BD2335" s="1"/>
      <c r="BE2335" s="1"/>
      <c r="BF2335" s="1"/>
      <c r="BG2335" s="1"/>
      <c r="BH2335" s="1"/>
      <c r="BI2335" s="1"/>
      <c r="BJ2335" s="1"/>
      <c r="BK2335" s="1"/>
      <c r="BL2335" s="1"/>
      <c r="BM2335" s="1"/>
      <c r="BN2335" s="1"/>
      <c r="BO2335" s="1"/>
      <c r="BP2335" s="1" t="s">
        <v>9609</v>
      </c>
      <c r="BQ2335" s="3"/>
      <c r="BR2335" s="3"/>
    </row>
    <row r="2336" spans="1:70">
      <c r="A2336" s="1" t="s">
        <v>25368</v>
      </c>
      <c r="B2336" s="1" t="s">
        <v>13846</v>
      </c>
      <c r="C2336" s="1" t="s">
        <v>25578</v>
      </c>
      <c r="D2336" s="1"/>
      <c r="E2336" s="1"/>
      <c r="F2336" s="1"/>
      <c r="G2336" s="1"/>
      <c r="H2336" s="1" t="s">
        <v>25579</v>
      </c>
      <c r="I2336" s="1" t="s">
        <v>25579</v>
      </c>
      <c r="J2336" s="1"/>
      <c r="K2336" s="1"/>
      <c r="L2336" s="1"/>
      <c r="M2336" s="1"/>
      <c r="N2336" s="1"/>
      <c r="O2336" s="1"/>
      <c r="P2336" s="1"/>
      <c r="Q2336" s="1"/>
      <c r="R2336" s="1"/>
      <c r="S2336" s="1"/>
      <c r="T2336" s="1"/>
      <c r="U2336" s="1"/>
      <c r="V2336" s="1"/>
      <c r="W2336" s="1"/>
      <c r="X2336" s="1"/>
      <c r="Y2336" s="1"/>
      <c r="Z2336" s="1"/>
      <c r="AA2336" s="1"/>
      <c r="AB2336" s="1"/>
      <c r="AC2336" s="1"/>
      <c r="AD2336" s="1" t="s">
        <v>93</v>
      </c>
      <c r="AE2336" s="1" t="s">
        <v>93</v>
      </c>
      <c r="AF2336" s="1"/>
      <c r="AG2336" s="1"/>
      <c r="AH2336" s="1"/>
      <c r="AI2336" s="1"/>
      <c r="AJ2336" s="1"/>
      <c r="AK2336" s="1"/>
      <c r="AL2336" s="1"/>
      <c r="AM2336" s="1"/>
      <c r="AN2336" s="1"/>
      <c r="AO2336" s="1"/>
      <c r="AP2336" s="1"/>
      <c r="AQ2336" s="1"/>
      <c r="AR2336" s="1"/>
      <c r="AS2336" s="1"/>
      <c r="AT2336" s="1"/>
      <c r="AU2336" s="1"/>
      <c r="AV2336" s="1"/>
      <c r="AW2336" s="1"/>
      <c r="AX2336" s="1"/>
      <c r="AY2336" s="1"/>
      <c r="AZ2336" s="1"/>
      <c r="BA2336" s="1"/>
      <c r="BB2336" s="1"/>
      <c r="BC2336" s="1"/>
      <c r="BD2336" s="1"/>
      <c r="BE2336" s="1"/>
      <c r="BF2336" s="1"/>
      <c r="BG2336" s="1"/>
      <c r="BH2336" s="1"/>
      <c r="BI2336" s="1"/>
      <c r="BJ2336" s="1"/>
      <c r="BK2336" s="1"/>
      <c r="BL2336" s="1"/>
      <c r="BM2336" s="1"/>
      <c r="BN2336" s="1"/>
      <c r="BO2336" s="1"/>
      <c r="BP2336" s="1" t="s">
        <v>9609</v>
      </c>
      <c r="BQ2336" s="3"/>
      <c r="BR2336" s="3"/>
    </row>
    <row r="2337" spans="1:70">
      <c r="A2337" s="1" t="s">
        <v>25368</v>
      </c>
      <c r="B2337" s="1" t="s">
        <v>13846</v>
      </c>
      <c r="C2337" s="1" t="s">
        <v>25580</v>
      </c>
      <c r="D2337" s="1"/>
      <c r="E2337" s="1"/>
      <c r="F2337" s="1"/>
      <c r="G2337" s="1"/>
      <c r="H2337" s="1" t="s">
        <v>25581</v>
      </c>
      <c r="I2337" s="1" t="s">
        <v>25581</v>
      </c>
      <c r="J2337" s="1"/>
      <c r="K2337" s="1"/>
      <c r="L2337" s="1"/>
      <c r="M2337" s="1"/>
      <c r="N2337" s="1"/>
      <c r="O2337" s="1"/>
      <c r="P2337" s="1"/>
      <c r="Q2337" s="1"/>
      <c r="R2337" s="1"/>
      <c r="S2337" s="1"/>
      <c r="T2337" s="1"/>
      <c r="U2337" s="1"/>
      <c r="V2337" s="1"/>
      <c r="W2337" s="1"/>
      <c r="X2337" s="1"/>
      <c r="Y2337" s="1"/>
      <c r="Z2337" s="1"/>
      <c r="AA2337" s="1"/>
      <c r="AB2337" s="1"/>
      <c r="AC2337" s="1"/>
      <c r="AD2337" s="1" t="s">
        <v>93</v>
      </c>
      <c r="AE2337" s="1" t="s">
        <v>93</v>
      </c>
      <c r="AF2337" s="1"/>
      <c r="AG2337" s="1"/>
      <c r="AH2337" s="1"/>
      <c r="AI2337" s="1"/>
      <c r="AJ2337" s="1"/>
      <c r="AK2337" s="1"/>
      <c r="AL2337" s="1"/>
      <c r="AM2337" s="1"/>
      <c r="AN2337" s="1"/>
      <c r="AO2337" s="1"/>
      <c r="AP2337" s="1"/>
      <c r="AQ2337" s="1"/>
      <c r="AR2337" s="1"/>
      <c r="AS2337" s="1"/>
      <c r="AT2337" s="1"/>
      <c r="AU2337" s="1"/>
      <c r="AV2337" s="1"/>
      <c r="AW2337" s="1"/>
      <c r="AX2337" s="1"/>
      <c r="AY2337" s="1"/>
      <c r="AZ2337" s="1"/>
      <c r="BA2337" s="1"/>
      <c r="BB2337" s="1"/>
      <c r="BC2337" s="1"/>
      <c r="BD2337" s="1"/>
      <c r="BE2337" s="1"/>
      <c r="BF2337" s="1"/>
      <c r="BG2337" s="1"/>
      <c r="BH2337" s="1"/>
      <c r="BI2337" s="1"/>
      <c r="BJ2337" s="1"/>
      <c r="BK2337" s="1"/>
      <c r="BL2337" s="1"/>
      <c r="BM2337" s="1"/>
      <c r="BN2337" s="1"/>
      <c r="BO2337" s="1"/>
      <c r="BP2337" s="1" t="s">
        <v>9609</v>
      </c>
      <c r="BQ2337" s="3"/>
      <c r="BR2337" s="3"/>
    </row>
    <row r="2338" spans="1:70">
      <c r="A2338" s="1" t="s">
        <v>25368</v>
      </c>
      <c r="B2338" s="1" t="s">
        <v>13846</v>
      </c>
      <c r="C2338" s="1" t="s">
        <v>25582</v>
      </c>
      <c r="D2338" s="1"/>
      <c r="E2338" s="1"/>
      <c r="F2338" s="1"/>
      <c r="G2338" s="1"/>
      <c r="H2338" s="1" t="s">
        <v>25583</v>
      </c>
      <c r="I2338" s="1" t="s">
        <v>25583</v>
      </c>
      <c r="J2338" s="1"/>
      <c r="K2338" s="1"/>
      <c r="L2338" s="1"/>
      <c r="M2338" s="1"/>
      <c r="N2338" s="1"/>
      <c r="O2338" s="1"/>
      <c r="P2338" s="1"/>
      <c r="Q2338" s="1"/>
      <c r="R2338" s="1"/>
      <c r="S2338" s="1"/>
      <c r="T2338" s="1"/>
      <c r="U2338" s="1"/>
      <c r="V2338" s="1"/>
      <c r="W2338" s="1"/>
      <c r="X2338" s="1"/>
      <c r="Y2338" s="1"/>
      <c r="Z2338" s="1"/>
      <c r="AA2338" s="1"/>
      <c r="AB2338" s="1"/>
      <c r="AC2338" s="1"/>
      <c r="AD2338" s="1" t="s">
        <v>93</v>
      </c>
      <c r="AE2338" s="1" t="s">
        <v>93</v>
      </c>
      <c r="AF2338" s="1"/>
      <c r="AG2338" s="1"/>
      <c r="AH2338" s="1"/>
      <c r="AI2338" s="1"/>
      <c r="AJ2338" s="1"/>
      <c r="AK2338" s="1"/>
      <c r="AL2338" s="1"/>
      <c r="AM2338" s="1"/>
      <c r="AN2338" s="1"/>
      <c r="AO2338" s="1"/>
      <c r="AP2338" s="1"/>
      <c r="AQ2338" s="1"/>
      <c r="AR2338" s="1"/>
      <c r="AS2338" s="1"/>
      <c r="AT2338" s="1"/>
      <c r="AU2338" s="1"/>
      <c r="AV2338" s="1"/>
      <c r="AW2338" s="1"/>
      <c r="AX2338" s="1"/>
      <c r="AY2338" s="1"/>
      <c r="AZ2338" s="1"/>
      <c r="BA2338" s="1"/>
      <c r="BB2338" s="1"/>
      <c r="BC2338" s="1"/>
      <c r="BD2338" s="1"/>
      <c r="BE2338" s="1"/>
      <c r="BF2338" s="1"/>
      <c r="BG2338" s="1"/>
      <c r="BH2338" s="1"/>
      <c r="BI2338" s="1"/>
      <c r="BJ2338" s="1"/>
      <c r="BK2338" s="1"/>
      <c r="BL2338" s="1"/>
      <c r="BM2338" s="1"/>
      <c r="BN2338" s="1"/>
      <c r="BO2338" s="1"/>
      <c r="BP2338" s="1" t="s">
        <v>9609</v>
      </c>
      <c r="BQ2338" s="3"/>
      <c r="BR2338" s="3"/>
    </row>
    <row r="2339" spans="1:70">
      <c r="A2339" s="1" t="s">
        <v>25368</v>
      </c>
      <c r="B2339" s="1" t="s">
        <v>13846</v>
      </c>
      <c r="C2339" s="1" t="s">
        <v>25584</v>
      </c>
      <c r="D2339" s="1"/>
      <c r="E2339" s="1"/>
      <c r="F2339" s="1"/>
      <c r="G2339" s="1"/>
      <c r="H2339" s="1" t="s">
        <v>25585</v>
      </c>
      <c r="I2339" s="1" t="s">
        <v>25585</v>
      </c>
      <c r="J2339" s="1"/>
      <c r="K2339" s="1"/>
      <c r="L2339" s="1"/>
      <c r="M2339" s="1"/>
      <c r="N2339" s="1"/>
      <c r="O2339" s="1"/>
      <c r="P2339" s="1"/>
      <c r="Q2339" s="1"/>
      <c r="R2339" s="1"/>
      <c r="S2339" s="1"/>
      <c r="T2339" s="1"/>
      <c r="U2339" s="1"/>
      <c r="V2339" s="1"/>
      <c r="W2339" s="1"/>
      <c r="X2339" s="1"/>
      <c r="Y2339" s="1"/>
      <c r="Z2339" s="1"/>
      <c r="AA2339" s="1"/>
      <c r="AB2339" s="1"/>
      <c r="AC2339" s="1"/>
      <c r="AD2339" s="1" t="s">
        <v>93</v>
      </c>
      <c r="AE2339" s="1" t="s">
        <v>93</v>
      </c>
      <c r="AF2339" s="1"/>
      <c r="AG2339" s="1"/>
      <c r="AH2339" s="1"/>
      <c r="AI2339" s="1"/>
      <c r="AJ2339" s="1"/>
      <c r="AK2339" s="1"/>
      <c r="AL2339" s="1"/>
      <c r="AM2339" s="1"/>
      <c r="AN2339" s="1"/>
      <c r="AO2339" s="1"/>
      <c r="AP2339" s="1"/>
      <c r="AQ2339" s="1"/>
      <c r="AR2339" s="1"/>
      <c r="AS2339" s="1"/>
      <c r="AT2339" s="1"/>
      <c r="AU2339" s="1"/>
      <c r="AV2339" s="1"/>
      <c r="AW2339" s="1"/>
      <c r="AX2339" s="1"/>
      <c r="AY2339" s="1"/>
      <c r="AZ2339" s="1"/>
      <c r="BA2339" s="1"/>
      <c r="BB2339" s="1"/>
      <c r="BC2339" s="1"/>
      <c r="BD2339" s="1"/>
      <c r="BE2339" s="1"/>
      <c r="BF2339" s="1"/>
      <c r="BG2339" s="1"/>
      <c r="BH2339" s="1"/>
      <c r="BI2339" s="1"/>
      <c r="BJ2339" s="1"/>
      <c r="BK2339" s="1"/>
      <c r="BL2339" s="1"/>
      <c r="BM2339" s="1"/>
      <c r="BN2339" s="1"/>
      <c r="BO2339" s="1"/>
      <c r="BP2339" s="1" t="s">
        <v>9609</v>
      </c>
      <c r="BQ2339" s="3"/>
      <c r="BR2339" s="3"/>
    </row>
    <row r="2340" spans="1:70">
      <c r="A2340" s="1" t="s">
        <v>25368</v>
      </c>
      <c r="B2340" s="1" t="s">
        <v>13846</v>
      </c>
      <c r="C2340" s="1" t="s">
        <v>25586</v>
      </c>
      <c r="D2340" s="1"/>
      <c r="E2340" s="1"/>
      <c r="F2340" s="1"/>
      <c r="G2340" s="1"/>
      <c r="H2340" s="1" t="s">
        <v>25587</v>
      </c>
      <c r="I2340" s="1" t="s">
        <v>25587</v>
      </c>
      <c r="J2340" s="1"/>
      <c r="K2340" s="1"/>
      <c r="L2340" s="1"/>
      <c r="M2340" s="1"/>
      <c r="N2340" s="1"/>
      <c r="O2340" s="1"/>
      <c r="P2340" s="1"/>
      <c r="Q2340" s="1"/>
      <c r="R2340" s="1"/>
      <c r="S2340" s="1"/>
      <c r="T2340" s="1"/>
      <c r="U2340" s="1"/>
      <c r="V2340" s="1"/>
      <c r="W2340" s="1"/>
      <c r="X2340" s="1"/>
      <c r="Y2340" s="1"/>
      <c r="Z2340" s="1"/>
      <c r="AA2340" s="1"/>
      <c r="AB2340" s="1"/>
      <c r="AC2340" s="1"/>
      <c r="AD2340" s="1" t="s">
        <v>93</v>
      </c>
      <c r="AE2340" s="1" t="s">
        <v>93</v>
      </c>
      <c r="AF2340" s="1"/>
      <c r="AG2340" s="1"/>
      <c r="AH2340" s="1"/>
      <c r="AI2340" s="1"/>
      <c r="AJ2340" s="1"/>
      <c r="AK2340" s="1"/>
      <c r="AL2340" s="1"/>
      <c r="AM2340" s="1"/>
      <c r="AN2340" s="1"/>
      <c r="AO2340" s="1"/>
      <c r="AP2340" s="1"/>
      <c r="AQ2340" s="1"/>
      <c r="AR2340" s="1"/>
      <c r="AS2340" s="1"/>
      <c r="AT2340" s="1"/>
      <c r="AU2340" s="1"/>
      <c r="AV2340" s="1"/>
      <c r="AW2340" s="1"/>
      <c r="AX2340" s="1"/>
      <c r="AY2340" s="1"/>
      <c r="AZ2340" s="1"/>
      <c r="BA2340" s="1"/>
      <c r="BB2340" s="1"/>
      <c r="BC2340" s="1"/>
      <c r="BD2340" s="1"/>
      <c r="BE2340" s="1"/>
      <c r="BF2340" s="1"/>
      <c r="BG2340" s="1"/>
      <c r="BH2340" s="1"/>
      <c r="BI2340" s="1"/>
      <c r="BJ2340" s="1"/>
      <c r="BK2340" s="1"/>
      <c r="BL2340" s="1"/>
      <c r="BM2340" s="1"/>
      <c r="BN2340" s="1"/>
      <c r="BO2340" s="1"/>
      <c r="BP2340" s="1" t="s">
        <v>9609</v>
      </c>
      <c r="BQ2340" s="3"/>
      <c r="BR2340" s="3"/>
    </row>
    <row r="2341" spans="1:70">
      <c r="A2341" s="1" t="s">
        <v>25368</v>
      </c>
      <c r="B2341" s="1" t="s">
        <v>13846</v>
      </c>
      <c r="C2341" s="1" t="s">
        <v>25588</v>
      </c>
      <c r="D2341" s="1"/>
      <c r="E2341" s="1"/>
      <c r="F2341" s="1"/>
      <c r="G2341" s="1"/>
      <c r="H2341" s="1" t="s">
        <v>25589</v>
      </c>
      <c r="I2341" s="1" t="s">
        <v>25589</v>
      </c>
      <c r="J2341" s="1"/>
      <c r="K2341" s="1"/>
      <c r="L2341" s="1"/>
      <c r="M2341" s="1"/>
      <c r="N2341" s="1"/>
      <c r="O2341" s="1"/>
      <c r="P2341" s="1"/>
      <c r="Q2341" s="1"/>
      <c r="R2341" s="1"/>
      <c r="S2341" s="1"/>
      <c r="T2341" s="1"/>
      <c r="U2341" s="1"/>
      <c r="V2341" s="1"/>
      <c r="W2341" s="1"/>
      <c r="X2341" s="1"/>
      <c r="Y2341" s="1"/>
      <c r="Z2341" s="1"/>
      <c r="AA2341" s="1"/>
      <c r="AB2341" s="1"/>
      <c r="AC2341" s="1"/>
      <c r="AD2341" s="1" t="s">
        <v>93</v>
      </c>
      <c r="AE2341" s="1" t="s">
        <v>93</v>
      </c>
      <c r="AF2341" s="1"/>
      <c r="AG2341" s="1"/>
      <c r="AH2341" s="1"/>
      <c r="AI2341" s="1"/>
      <c r="AJ2341" s="1"/>
      <c r="AK2341" s="1"/>
      <c r="AL2341" s="1"/>
      <c r="AM2341" s="1"/>
      <c r="AN2341" s="1"/>
      <c r="AO2341" s="1"/>
      <c r="AP2341" s="1"/>
      <c r="AQ2341" s="1"/>
      <c r="AR2341" s="1"/>
      <c r="AS2341" s="1"/>
      <c r="AT2341" s="1"/>
      <c r="AU2341" s="1"/>
      <c r="AV2341" s="1"/>
      <c r="AW2341" s="1"/>
      <c r="AX2341" s="1"/>
      <c r="AY2341" s="1"/>
      <c r="AZ2341" s="1"/>
      <c r="BA2341" s="1"/>
      <c r="BB2341" s="1"/>
      <c r="BC2341" s="1"/>
      <c r="BD2341" s="1"/>
      <c r="BE2341" s="1"/>
      <c r="BF2341" s="1"/>
      <c r="BG2341" s="1"/>
      <c r="BH2341" s="1"/>
      <c r="BI2341" s="1"/>
      <c r="BJ2341" s="1"/>
      <c r="BK2341" s="1"/>
      <c r="BL2341" s="1"/>
      <c r="BM2341" s="1"/>
      <c r="BN2341" s="1"/>
      <c r="BO2341" s="1"/>
      <c r="BP2341" s="1" t="s">
        <v>9609</v>
      </c>
      <c r="BQ2341" s="3"/>
      <c r="BR2341" s="3"/>
    </row>
    <row r="2342" spans="1:70">
      <c r="A2342" s="1" t="s">
        <v>25368</v>
      </c>
      <c r="B2342" s="1" t="s">
        <v>13846</v>
      </c>
      <c r="C2342" s="1" t="s">
        <v>25590</v>
      </c>
      <c r="D2342" s="1"/>
      <c r="E2342" s="1"/>
      <c r="F2342" s="1"/>
      <c r="G2342" s="1"/>
      <c r="H2342" s="1" t="s">
        <v>25591</v>
      </c>
      <c r="I2342" s="1" t="s">
        <v>25591</v>
      </c>
      <c r="J2342" s="1"/>
      <c r="K2342" s="1"/>
      <c r="L2342" s="1"/>
      <c r="M2342" s="1"/>
      <c r="N2342" s="1"/>
      <c r="O2342" s="1"/>
      <c r="P2342" s="1"/>
      <c r="Q2342" s="1"/>
      <c r="R2342" s="1"/>
      <c r="S2342" s="1"/>
      <c r="T2342" s="1"/>
      <c r="U2342" s="1"/>
      <c r="V2342" s="1"/>
      <c r="W2342" s="1"/>
      <c r="X2342" s="1"/>
      <c r="Y2342" s="1"/>
      <c r="Z2342" s="1"/>
      <c r="AA2342" s="1"/>
      <c r="AB2342" s="1"/>
      <c r="AC2342" s="1"/>
      <c r="AD2342" s="1" t="s">
        <v>93</v>
      </c>
      <c r="AE2342" s="1" t="s">
        <v>93</v>
      </c>
      <c r="AF2342" s="1"/>
      <c r="AG2342" s="1"/>
      <c r="AH2342" s="1"/>
      <c r="AI2342" s="1"/>
      <c r="AJ2342" s="1"/>
      <c r="AK2342" s="1"/>
      <c r="AL2342" s="1"/>
      <c r="AM2342" s="1"/>
      <c r="AN2342" s="1"/>
      <c r="AO2342" s="1"/>
      <c r="AP2342" s="1"/>
      <c r="AQ2342" s="1"/>
      <c r="AR2342" s="1"/>
      <c r="AS2342" s="1"/>
      <c r="AT2342" s="1"/>
      <c r="AU2342" s="1"/>
      <c r="AV2342" s="1"/>
      <c r="AW2342" s="1"/>
      <c r="AX2342" s="1"/>
      <c r="AY2342" s="1"/>
      <c r="AZ2342" s="1"/>
      <c r="BA2342" s="1"/>
      <c r="BB2342" s="1"/>
      <c r="BC2342" s="1"/>
      <c r="BD2342" s="1"/>
      <c r="BE2342" s="1"/>
      <c r="BF2342" s="1"/>
      <c r="BG2342" s="1"/>
      <c r="BH2342" s="1"/>
      <c r="BI2342" s="1"/>
      <c r="BJ2342" s="1"/>
      <c r="BK2342" s="1"/>
      <c r="BL2342" s="1"/>
      <c r="BM2342" s="1"/>
      <c r="BN2342" s="1"/>
      <c r="BO2342" s="1"/>
      <c r="BP2342" s="1" t="s">
        <v>9609</v>
      </c>
      <c r="BQ2342" s="3"/>
      <c r="BR2342" s="3"/>
    </row>
    <row r="2343" spans="1:70">
      <c r="A2343" s="1" t="s">
        <v>25368</v>
      </c>
      <c r="B2343" s="1" t="s">
        <v>13846</v>
      </c>
      <c r="C2343" s="1" t="s">
        <v>25592</v>
      </c>
      <c r="D2343" s="1"/>
      <c r="E2343" s="1"/>
      <c r="F2343" s="1"/>
      <c r="G2343" s="1"/>
      <c r="H2343" s="1" t="s">
        <v>25593</v>
      </c>
      <c r="I2343" s="1" t="s">
        <v>25593</v>
      </c>
      <c r="J2343" s="1"/>
      <c r="K2343" s="1"/>
      <c r="L2343" s="1"/>
      <c r="M2343" s="1"/>
      <c r="N2343" s="1"/>
      <c r="O2343" s="1"/>
      <c r="P2343" s="1"/>
      <c r="Q2343" s="1"/>
      <c r="R2343" s="1"/>
      <c r="S2343" s="1"/>
      <c r="T2343" s="1"/>
      <c r="U2343" s="1"/>
      <c r="V2343" s="1"/>
      <c r="W2343" s="1"/>
      <c r="X2343" s="1"/>
      <c r="Y2343" s="1"/>
      <c r="Z2343" s="1"/>
      <c r="AA2343" s="1"/>
      <c r="AB2343" s="1"/>
      <c r="AC2343" s="1"/>
      <c r="AD2343" s="1" t="s">
        <v>93</v>
      </c>
      <c r="AE2343" s="1" t="s">
        <v>93</v>
      </c>
      <c r="AF2343" s="1"/>
      <c r="AG2343" s="1"/>
      <c r="AH2343" s="1"/>
      <c r="AI2343" s="1"/>
      <c r="AJ2343" s="1"/>
      <c r="AK2343" s="1"/>
      <c r="AL2343" s="1"/>
      <c r="AM2343" s="1"/>
      <c r="AN2343" s="1"/>
      <c r="AO2343" s="1"/>
      <c r="AP2343" s="1"/>
      <c r="AQ2343" s="1"/>
      <c r="AR2343" s="1"/>
      <c r="AS2343" s="1"/>
      <c r="AT2343" s="1"/>
      <c r="AU2343" s="1"/>
      <c r="AV2343" s="1"/>
      <c r="AW2343" s="1"/>
      <c r="AX2343" s="1"/>
      <c r="AY2343" s="1"/>
      <c r="AZ2343" s="1"/>
      <c r="BA2343" s="1"/>
      <c r="BB2343" s="1"/>
      <c r="BC2343" s="1"/>
      <c r="BD2343" s="1"/>
      <c r="BE2343" s="1"/>
      <c r="BF2343" s="1"/>
      <c r="BG2343" s="1"/>
      <c r="BH2343" s="1"/>
      <c r="BI2343" s="1"/>
      <c r="BJ2343" s="1"/>
      <c r="BK2343" s="1"/>
      <c r="BL2343" s="1"/>
      <c r="BM2343" s="1"/>
      <c r="BN2343" s="1"/>
      <c r="BO2343" s="1"/>
      <c r="BP2343" s="1" t="s">
        <v>9609</v>
      </c>
      <c r="BQ2343" s="3"/>
      <c r="BR2343" s="3"/>
    </row>
    <row r="2344" spans="1:70">
      <c r="A2344" s="1" t="s">
        <v>25368</v>
      </c>
      <c r="B2344" s="1" t="s">
        <v>13846</v>
      </c>
      <c r="C2344" s="1" t="s">
        <v>25594</v>
      </c>
      <c r="D2344" s="1"/>
      <c r="E2344" s="1"/>
      <c r="F2344" s="1"/>
      <c r="G2344" s="1"/>
      <c r="H2344" s="1" t="s">
        <v>25595</v>
      </c>
      <c r="I2344" s="1" t="s">
        <v>25595</v>
      </c>
      <c r="J2344" s="1"/>
      <c r="K2344" s="1"/>
      <c r="L2344" s="1"/>
      <c r="M2344" s="1"/>
      <c r="N2344" s="1"/>
      <c r="O2344" s="1"/>
      <c r="P2344" s="1"/>
      <c r="Q2344" s="1"/>
      <c r="R2344" s="1"/>
      <c r="S2344" s="1"/>
      <c r="T2344" s="1"/>
      <c r="U2344" s="1"/>
      <c r="V2344" s="1"/>
      <c r="W2344" s="1"/>
      <c r="X2344" s="1"/>
      <c r="Y2344" s="1"/>
      <c r="Z2344" s="1"/>
      <c r="AA2344" s="1"/>
      <c r="AB2344" s="1"/>
      <c r="AC2344" s="1"/>
      <c r="AD2344" s="1" t="s">
        <v>93</v>
      </c>
      <c r="AE2344" s="1" t="s">
        <v>93</v>
      </c>
      <c r="AF2344" s="1"/>
      <c r="AG2344" s="1"/>
      <c r="AH2344" s="1"/>
      <c r="AI2344" s="1"/>
      <c r="AJ2344" s="1"/>
      <c r="AK2344" s="1"/>
      <c r="AL2344" s="1"/>
      <c r="AM2344" s="1"/>
      <c r="AN2344" s="1"/>
      <c r="AO2344" s="1"/>
      <c r="AP2344" s="1"/>
      <c r="AQ2344" s="1"/>
      <c r="AR2344" s="1"/>
      <c r="AS2344" s="1"/>
      <c r="AT2344" s="1"/>
      <c r="AU2344" s="1"/>
      <c r="AV2344" s="1"/>
      <c r="AW2344" s="1"/>
      <c r="AX2344" s="1"/>
      <c r="AY2344" s="1"/>
      <c r="AZ2344" s="1"/>
      <c r="BA2344" s="1"/>
      <c r="BB2344" s="1"/>
      <c r="BC2344" s="1"/>
      <c r="BD2344" s="1"/>
      <c r="BE2344" s="1"/>
      <c r="BF2344" s="1"/>
      <c r="BG2344" s="1"/>
      <c r="BH2344" s="1"/>
      <c r="BI2344" s="1"/>
      <c r="BJ2344" s="1"/>
      <c r="BK2344" s="1"/>
      <c r="BL2344" s="1"/>
      <c r="BM2344" s="1"/>
      <c r="BN2344" s="1"/>
      <c r="BO2344" s="1"/>
      <c r="BP2344" s="1" t="s">
        <v>9609</v>
      </c>
      <c r="BQ2344" s="3"/>
      <c r="BR2344" s="3"/>
    </row>
    <row r="2345" spans="1:70">
      <c r="A2345" s="1" t="s">
        <v>25368</v>
      </c>
      <c r="B2345" s="1" t="s">
        <v>13846</v>
      </c>
      <c r="C2345" s="1" t="s">
        <v>25596</v>
      </c>
      <c r="D2345" s="1"/>
      <c r="E2345" s="1"/>
      <c r="F2345" s="1"/>
      <c r="G2345" s="1"/>
      <c r="H2345" s="1" t="s">
        <v>25597</v>
      </c>
      <c r="I2345" s="1" t="s">
        <v>25597</v>
      </c>
      <c r="J2345" s="1"/>
      <c r="K2345" s="1"/>
      <c r="L2345" s="1"/>
      <c r="M2345" s="1"/>
      <c r="N2345" s="1"/>
      <c r="O2345" s="1"/>
      <c r="P2345" s="1"/>
      <c r="Q2345" s="1"/>
      <c r="R2345" s="1"/>
      <c r="S2345" s="1"/>
      <c r="T2345" s="1"/>
      <c r="U2345" s="1"/>
      <c r="V2345" s="1"/>
      <c r="W2345" s="1"/>
      <c r="X2345" s="1"/>
      <c r="Y2345" s="1"/>
      <c r="Z2345" s="1"/>
      <c r="AA2345" s="1"/>
      <c r="AB2345" s="1"/>
      <c r="AC2345" s="1"/>
      <c r="AD2345" s="1" t="s">
        <v>93</v>
      </c>
      <c r="AE2345" s="1" t="s">
        <v>93</v>
      </c>
      <c r="AF2345" s="1"/>
      <c r="AG2345" s="1"/>
      <c r="AH2345" s="1"/>
      <c r="AI2345" s="1"/>
      <c r="AJ2345" s="1"/>
      <c r="AK2345" s="1"/>
      <c r="AL2345" s="1"/>
      <c r="AM2345" s="1"/>
      <c r="AN2345" s="1"/>
      <c r="AO2345" s="1"/>
      <c r="AP2345" s="1"/>
      <c r="AQ2345" s="1"/>
      <c r="AR2345" s="1"/>
      <c r="AS2345" s="1"/>
      <c r="AT2345" s="1"/>
      <c r="AU2345" s="1"/>
      <c r="AV2345" s="1"/>
      <c r="AW2345" s="1"/>
      <c r="AX2345" s="1"/>
      <c r="AY2345" s="1"/>
      <c r="AZ2345" s="1"/>
      <c r="BA2345" s="1"/>
      <c r="BB2345" s="1"/>
      <c r="BC2345" s="1"/>
      <c r="BD2345" s="1"/>
      <c r="BE2345" s="1"/>
      <c r="BF2345" s="1"/>
      <c r="BG2345" s="1"/>
      <c r="BH2345" s="1"/>
      <c r="BI2345" s="1"/>
      <c r="BJ2345" s="1"/>
      <c r="BK2345" s="1"/>
      <c r="BL2345" s="1"/>
      <c r="BM2345" s="1"/>
      <c r="BN2345" s="1"/>
      <c r="BO2345" s="1"/>
      <c r="BP2345" s="1" t="s">
        <v>9609</v>
      </c>
      <c r="BQ2345" s="3"/>
      <c r="BR2345" s="3"/>
    </row>
    <row r="2346" spans="1:70">
      <c r="A2346" s="1" t="s">
        <v>25368</v>
      </c>
      <c r="B2346" s="1" t="s">
        <v>13846</v>
      </c>
      <c r="C2346" s="1" t="s">
        <v>25598</v>
      </c>
      <c r="D2346" s="1"/>
      <c r="E2346" s="1"/>
      <c r="F2346" s="1"/>
      <c r="G2346" s="1"/>
      <c r="H2346" s="1" t="s">
        <v>25599</v>
      </c>
      <c r="I2346" s="1" t="s">
        <v>25599</v>
      </c>
      <c r="J2346" s="1"/>
      <c r="K2346" s="1"/>
      <c r="L2346" s="1"/>
      <c r="M2346" s="1"/>
      <c r="N2346" s="1"/>
      <c r="O2346" s="1"/>
      <c r="P2346" s="1"/>
      <c r="Q2346" s="1"/>
      <c r="R2346" s="1"/>
      <c r="S2346" s="1"/>
      <c r="T2346" s="1"/>
      <c r="U2346" s="1"/>
      <c r="V2346" s="1"/>
      <c r="W2346" s="1"/>
      <c r="X2346" s="1"/>
      <c r="Y2346" s="1"/>
      <c r="Z2346" s="1"/>
      <c r="AA2346" s="1"/>
      <c r="AB2346" s="1"/>
      <c r="AC2346" s="1"/>
      <c r="AD2346" s="1" t="s">
        <v>93</v>
      </c>
      <c r="AE2346" s="1" t="s">
        <v>93</v>
      </c>
      <c r="AF2346" s="1"/>
      <c r="AG2346" s="1"/>
      <c r="AH2346" s="1"/>
      <c r="AI2346" s="1"/>
      <c r="AJ2346" s="1"/>
      <c r="AK2346" s="1"/>
      <c r="AL2346" s="1"/>
      <c r="AM2346" s="1"/>
      <c r="AN2346" s="1"/>
      <c r="AO2346" s="1"/>
      <c r="AP2346" s="1"/>
      <c r="AQ2346" s="1"/>
      <c r="AR2346" s="1"/>
      <c r="AS2346" s="1"/>
      <c r="AT2346" s="1"/>
      <c r="AU2346" s="1"/>
      <c r="AV2346" s="1"/>
      <c r="AW2346" s="1"/>
      <c r="AX2346" s="1"/>
      <c r="AY2346" s="1"/>
      <c r="AZ2346" s="1"/>
      <c r="BA2346" s="1"/>
      <c r="BB2346" s="1"/>
      <c r="BC2346" s="1"/>
      <c r="BD2346" s="1"/>
      <c r="BE2346" s="1"/>
      <c r="BF2346" s="1"/>
      <c r="BG2346" s="1"/>
      <c r="BH2346" s="1"/>
      <c r="BI2346" s="1"/>
      <c r="BJ2346" s="1"/>
      <c r="BK2346" s="1"/>
      <c r="BL2346" s="1"/>
      <c r="BM2346" s="1"/>
      <c r="BN2346" s="1"/>
      <c r="BO2346" s="1"/>
      <c r="BP2346" s="1" t="s">
        <v>9609</v>
      </c>
      <c r="BQ2346" s="3"/>
      <c r="BR2346" s="3"/>
    </row>
    <row r="2347" spans="1:70">
      <c r="A2347" s="1" t="s">
        <v>25368</v>
      </c>
      <c r="B2347" s="1" t="s">
        <v>13846</v>
      </c>
      <c r="C2347" s="1" t="s">
        <v>25600</v>
      </c>
      <c r="D2347" s="1"/>
      <c r="E2347" s="1"/>
      <c r="F2347" s="1"/>
      <c r="G2347" s="1"/>
      <c r="H2347" s="1" t="s">
        <v>25601</v>
      </c>
      <c r="I2347" s="1" t="s">
        <v>25601</v>
      </c>
      <c r="J2347" s="1"/>
      <c r="K2347" s="1"/>
      <c r="L2347" s="1"/>
      <c r="M2347" s="1"/>
      <c r="N2347" s="1"/>
      <c r="O2347" s="1"/>
      <c r="P2347" s="1"/>
      <c r="Q2347" s="1"/>
      <c r="R2347" s="1"/>
      <c r="S2347" s="1"/>
      <c r="T2347" s="1"/>
      <c r="U2347" s="1"/>
      <c r="V2347" s="1"/>
      <c r="W2347" s="1"/>
      <c r="X2347" s="1"/>
      <c r="Y2347" s="1"/>
      <c r="Z2347" s="1"/>
      <c r="AA2347" s="1"/>
      <c r="AB2347" s="1"/>
      <c r="AC2347" s="1"/>
      <c r="AD2347" s="1" t="s">
        <v>93</v>
      </c>
      <c r="AE2347" s="1" t="s">
        <v>93</v>
      </c>
      <c r="AF2347" s="1"/>
      <c r="AG2347" s="1"/>
      <c r="AH2347" s="1"/>
      <c r="AI2347" s="1"/>
      <c r="AJ2347" s="1"/>
      <c r="AK2347" s="1"/>
      <c r="AL2347" s="1"/>
      <c r="AM2347" s="1"/>
      <c r="AN2347" s="1"/>
      <c r="AO2347" s="1"/>
      <c r="AP2347" s="1"/>
      <c r="AQ2347" s="1"/>
      <c r="AR2347" s="1"/>
      <c r="AS2347" s="1"/>
      <c r="AT2347" s="1"/>
      <c r="AU2347" s="1"/>
      <c r="AV2347" s="1"/>
      <c r="AW2347" s="1"/>
      <c r="AX2347" s="1"/>
      <c r="AY2347" s="1"/>
      <c r="AZ2347" s="1"/>
      <c r="BA2347" s="1"/>
      <c r="BB2347" s="1"/>
      <c r="BC2347" s="1"/>
      <c r="BD2347" s="1"/>
      <c r="BE2347" s="1"/>
      <c r="BF2347" s="1"/>
      <c r="BG2347" s="1"/>
      <c r="BH2347" s="1"/>
      <c r="BI2347" s="1"/>
      <c r="BJ2347" s="1"/>
      <c r="BK2347" s="1"/>
      <c r="BL2347" s="1"/>
      <c r="BM2347" s="1"/>
      <c r="BN2347" s="1"/>
      <c r="BO2347" s="1"/>
      <c r="BP2347" s="1" t="s">
        <v>9609</v>
      </c>
      <c r="BQ2347" s="3"/>
      <c r="BR2347" s="3"/>
    </row>
    <row r="2348" spans="1:70">
      <c r="A2348" s="1" t="s">
        <v>25368</v>
      </c>
      <c r="B2348" s="1" t="s">
        <v>13846</v>
      </c>
      <c r="C2348" s="1" t="s">
        <v>25602</v>
      </c>
      <c r="D2348" s="1"/>
      <c r="E2348" s="1"/>
      <c r="F2348" s="1"/>
      <c r="G2348" s="1"/>
      <c r="H2348" s="1" t="s">
        <v>25603</v>
      </c>
      <c r="I2348" s="1" t="s">
        <v>25603</v>
      </c>
      <c r="J2348" s="1"/>
      <c r="K2348" s="1"/>
      <c r="L2348" s="1"/>
      <c r="M2348" s="1"/>
      <c r="N2348" s="1"/>
      <c r="O2348" s="1"/>
      <c r="P2348" s="1"/>
      <c r="Q2348" s="1"/>
      <c r="R2348" s="1"/>
      <c r="S2348" s="1"/>
      <c r="T2348" s="1"/>
      <c r="U2348" s="1"/>
      <c r="V2348" s="1"/>
      <c r="W2348" s="1"/>
      <c r="X2348" s="1"/>
      <c r="Y2348" s="1"/>
      <c r="Z2348" s="1"/>
      <c r="AA2348" s="1"/>
      <c r="AB2348" s="1"/>
      <c r="AC2348" s="1"/>
      <c r="AD2348" s="1" t="s">
        <v>93</v>
      </c>
      <c r="AE2348" s="1" t="s">
        <v>93</v>
      </c>
      <c r="AF2348" s="1"/>
      <c r="AG2348" s="1"/>
      <c r="AH2348" s="1"/>
      <c r="AI2348" s="1"/>
      <c r="AJ2348" s="1"/>
      <c r="AK2348" s="1"/>
      <c r="AL2348" s="1"/>
      <c r="AM2348" s="1"/>
      <c r="AN2348" s="1"/>
      <c r="AO2348" s="1"/>
      <c r="AP2348" s="1"/>
      <c r="AQ2348" s="1"/>
      <c r="AR2348" s="1"/>
      <c r="AS2348" s="1"/>
      <c r="AT2348" s="1"/>
      <c r="AU2348" s="1"/>
      <c r="AV2348" s="1"/>
      <c r="AW2348" s="1"/>
      <c r="AX2348" s="1"/>
      <c r="AY2348" s="1"/>
      <c r="AZ2348" s="1"/>
      <c r="BA2348" s="1"/>
      <c r="BB2348" s="1"/>
      <c r="BC2348" s="1"/>
      <c r="BD2348" s="1"/>
      <c r="BE2348" s="1"/>
      <c r="BF2348" s="1"/>
      <c r="BG2348" s="1"/>
      <c r="BH2348" s="1"/>
      <c r="BI2348" s="1"/>
      <c r="BJ2348" s="1"/>
      <c r="BK2348" s="1"/>
      <c r="BL2348" s="1"/>
      <c r="BM2348" s="1"/>
      <c r="BN2348" s="1"/>
      <c r="BO2348" s="1"/>
      <c r="BP2348" s="1" t="s">
        <v>9609</v>
      </c>
      <c r="BQ2348" s="3"/>
      <c r="BR2348" s="3"/>
    </row>
    <row r="2349" spans="1:70">
      <c r="A2349" s="1" t="s">
        <v>25368</v>
      </c>
      <c r="B2349" s="1" t="s">
        <v>13846</v>
      </c>
      <c r="C2349" s="1" t="s">
        <v>25604</v>
      </c>
      <c r="D2349" s="1"/>
      <c r="E2349" s="1"/>
      <c r="F2349" s="1"/>
      <c r="G2349" s="1"/>
      <c r="H2349" s="1" t="s">
        <v>25605</v>
      </c>
      <c r="I2349" s="1" t="s">
        <v>25605</v>
      </c>
      <c r="J2349" s="1"/>
      <c r="K2349" s="1"/>
      <c r="L2349" s="1"/>
      <c r="M2349" s="1"/>
      <c r="N2349" s="1"/>
      <c r="O2349" s="1"/>
      <c r="P2349" s="1"/>
      <c r="Q2349" s="1"/>
      <c r="R2349" s="1"/>
      <c r="S2349" s="1"/>
      <c r="T2349" s="1"/>
      <c r="U2349" s="1"/>
      <c r="V2349" s="1"/>
      <c r="W2349" s="1"/>
      <c r="X2349" s="1"/>
      <c r="Y2349" s="1"/>
      <c r="Z2349" s="1"/>
      <c r="AA2349" s="1"/>
      <c r="AB2349" s="1"/>
      <c r="AC2349" s="1"/>
      <c r="AD2349" s="1" t="s">
        <v>93</v>
      </c>
      <c r="AE2349" s="1" t="s">
        <v>93</v>
      </c>
      <c r="AF2349" s="1"/>
      <c r="AG2349" s="1"/>
      <c r="AH2349" s="1"/>
      <c r="AI2349" s="1"/>
      <c r="AJ2349" s="1"/>
      <c r="AK2349" s="1"/>
      <c r="AL2349" s="1"/>
      <c r="AM2349" s="1"/>
      <c r="AN2349" s="1"/>
      <c r="AO2349" s="1"/>
      <c r="AP2349" s="1"/>
      <c r="AQ2349" s="1"/>
      <c r="AR2349" s="1"/>
      <c r="AS2349" s="1"/>
      <c r="AT2349" s="1"/>
      <c r="AU2349" s="1"/>
      <c r="AV2349" s="1"/>
      <c r="AW2349" s="1"/>
      <c r="AX2349" s="1"/>
      <c r="AY2349" s="1"/>
      <c r="AZ2349" s="1"/>
      <c r="BA2349" s="1"/>
      <c r="BB2349" s="1"/>
      <c r="BC2349" s="1"/>
      <c r="BD2349" s="1"/>
      <c r="BE2349" s="1"/>
      <c r="BF2349" s="1"/>
      <c r="BG2349" s="1"/>
      <c r="BH2349" s="1"/>
      <c r="BI2349" s="1"/>
      <c r="BJ2349" s="1"/>
      <c r="BK2349" s="1"/>
      <c r="BL2349" s="1"/>
      <c r="BM2349" s="1"/>
      <c r="BN2349" s="1"/>
      <c r="BO2349" s="1"/>
      <c r="BP2349" s="1" t="s">
        <v>9609</v>
      </c>
      <c r="BQ2349" s="3"/>
      <c r="BR2349" s="3"/>
    </row>
    <row r="2350" spans="1:70">
      <c r="A2350" s="1" t="s">
        <v>25368</v>
      </c>
      <c r="B2350" s="1" t="s">
        <v>13846</v>
      </c>
      <c r="C2350" s="1" t="s">
        <v>25606</v>
      </c>
      <c r="D2350" s="1"/>
      <c r="E2350" s="1"/>
      <c r="F2350" s="1"/>
      <c r="G2350" s="1"/>
      <c r="H2350" s="1" t="s">
        <v>25607</v>
      </c>
      <c r="I2350" s="1" t="s">
        <v>25607</v>
      </c>
      <c r="J2350" s="1"/>
      <c r="K2350" s="1"/>
      <c r="L2350" s="1"/>
      <c r="M2350" s="1"/>
      <c r="N2350" s="1"/>
      <c r="O2350" s="1"/>
      <c r="P2350" s="1"/>
      <c r="Q2350" s="1"/>
      <c r="R2350" s="1"/>
      <c r="S2350" s="1"/>
      <c r="T2350" s="1"/>
      <c r="U2350" s="1"/>
      <c r="V2350" s="1"/>
      <c r="W2350" s="1"/>
      <c r="X2350" s="1"/>
      <c r="Y2350" s="1"/>
      <c r="Z2350" s="1"/>
      <c r="AA2350" s="1"/>
      <c r="AB2350" s="1"/>
      <c r="AC2350" s="1"/>
      <c r="AD2350" s="1" t="s">
        <v>93</v>
      </c>
      <c r="AE2350" s="1" t="s">
        <v>93</v>
      </c>
      <c r="AF2350" s="1"/>
      <c r="AG2350" s="1"/>
      <c r="AH2350" s="1"/>
      <c r="AI2350" s="1"/>
      <c r="AJ2350" s="1"/>
      <c r="AK2350" s="1"/>
      <c r="AL2350" s="1"/>
      <c r="AM2350" s="1"/>
      <c r="AN2350" s="1"/>
      <c r="AO2350" s="1"/>
      <c r="AP2350" s="1"/>
      <c r="AQ2350" s="1"/>
      <c r="AR2350" s="1"/>
      <c r="AS2350" s="1"/>
      <c r="AT2350" s="1"/>
      <c r="AU2350" s="1"/>
      <c r="AV2350" s="1"/>
      <c r="AW2350" s="1"/>
      <c r="AX2350" s="1"/>
      <c r="AY2350" s="1"/>
      <c r="AZ2350" s="1"/>
      <c r="BA2350" s="1"/>
      <c r="BB2350" s="1"/>
      <c r="BC2350" s="1"/>
      <c r="BD2350" s="1"/>
      <c r="BE2350" s="1"/>
      <c r="BF2350" s="1"/>
      <c r="BG2350" s="1"/>
      <c r="BH2350" s="1"/>
      <c r="BI2350" s="1"/>
      <c r="BJ2350" s="1"/>
      <c r="BK2350" s="1"/>
      <c r="BL2350" s="1"/>
      <c r="BM2350" s="1"/>
      <c r="BN2350" s="1"/>
      <c r="BO2350" s="1"/>
      <c r="BP2350" s="1" t="s">
        <v>9609</v>
      </c>
      <c r="BQ2350" s="3"/>
      <c r="BR2350" s="3"/>
    </row>
    <row r="2351" spans="1:70">
      <c r="A2351" s="1" t="s">
        <v>25368</v>
      </c>
      <c r="B2351" s="1" t="s">
        <v>13846</v>
      </c>
      <c r="C2351" s="1" t="s">
        <v>25608</v>
      </c>
      <c r="D2351" s="1"/>
      <c r="E2351" s="1"/>
      <c r="F2351" s="1"/>
      <c r="G2351" s="1"/>
      <c r="H2351" s="1" t="s">
        <v>25609</v>
      </c>
      <c r="I2351" s="1" t="s">
        <v>25609</v>
      </c>
      <c r="J2351" s="1"/>
      <c r="K2351" s="1"/>
      <c r="L2351" s="1"/>
      <c r="M2351" s="1"/>
      <c r="N2351" s="1"/>
      <c r="O2351" s="1"/>
      <c r="P2351" s="1"/>
      <c r="Q2351" s="1"/>
      <c r="R2351" s="1"/>
      <c r="S2351" s="1"/>
      <c r="T2351" s="1"/>
      <c r="U2351" s="1"/>
      <c r="V2351" s="1"/>
      <c r="W2351" s="1"/>
      <c r="X2351" s="1"/>
      <c r="Y2351" s="1"/>
      <c r="Z2351" s="1"/>
      <c r="AA2351" s="1"/>
      <c r="AB2351" s="1"/>
      <c r="AC2351" s="1"/>
      <c r="AD2351" s="1" t="s">
        <v>93</v>
      </c>
      <c r="AE2351" s="1" t="s">
        <v>93</v>
      </c>
      <c r="AF2351" s="1"/>
      <c r="AG2351" s="1"/>
      <c r="AH2351" s="1"/>
      <c r="AI2351" s="1"/>
      <c r="AJ2351" s="1"/>
      <c r="AK2351" s="1"/>
      <c r="AL2351" s="1"/>
      <c r="AM2351" s="1"/>
      <c r="AN2351" s="1"/>
      <c r="AO2351" s="1"/>
      <c r="AP2351" s="1"/>
      <c r="AQ2351" s="1"/>
      <c r="AR2351" s="1"/>
      <c r="AS2351" s="1"/>
      <c r="AT2351" s="1"/>
      <c r="AU2351" s="1"/>
      <c r="AV2351" s="1"/>
      <c r="AW2351" s="1"/>
      <c r="AX2351" s="1"/>
      <c r="AY2351" s="1"/>
      <c r="AZ2351" s="1"/>
      <c r="BA2351" s="1"/>
      <c r="BB2351" s="1"/>
      <c r="BC2351" s="1"/>
      <c r="BD2351" s="1"/>
      <c r="BE2351" s="1"/>
      <c r="BF2351" s="1"/>
      <c r="BG2351" s="1"/>
      <c r="BH2351" s="1"/>
      <c r="BI2351" s="1"/>
      <c r="BJ2351" s="1"/>
      <c r="BK2351" s="1"/>
      <c r="BL2351" s="1"/>
      <c r="BM2351" s="1"/>
      <c r="BN2351" s="1"/>
      <c r="BO2351" s="1"/>
      <c r="BP2351" s="1" t="s">
        <v>9609</v>
      </c>
      <c r="BQ2351" s="3"/>
      <c r="BR2351" s="3"/>
    </row>
    <row r="2352" spans="1:70">
      <c r="A2352" s="1" t="s">
        <v>25368</v>
      </c>
      <c r="B2352" s="1" t="s">
        <v>13846</v>
      </c>
      <c r="C2352" s="1" t="s">
        <v>25610</v>
      </c>
      <c r="D2352" s="1"/>
      <c r="E2352" s="1"/>
      <c r="F2352" s="1"/>
      <c r="G2352" s="1"/>
      <c r="H2352" s="1" t="s">
        <v>25611</v>
      </c>
      <c r="I2352" s="1" t="s">
        <v>25611</v>
      </c>
      <c r="J2352" s="1"/>
      <c r="K2352" s="1"/>
      <c r="L2352" s="1"/>
      <c r="M2352" s="1"/>
      <c r="N2352" s="1"/>
      <c r="O2352" s="1"/>
      <c r="P2352" s="1"/>
      <c r="Q2352" s="1"/>
      <c r="R2352" s="1"/>
      <c r="S2352" s="1"/>
      <c r="T2352" s="1"/>
      <c r="U2352" s="1"/>
      <c r="V2352" s="1"/>
      <c r="W2352" s="1"/>
      <c r="X2352" s="1"/>
      <c r="Y2352" s="1"/>
      <c r="Z2352" s="1"/>
      <c r="AA2352" s="1"/>
      <c r="AB2352" s="1"/>
      <c r="AC2352" s="1"/>
      <c r="AD2352" s="1" t="s">
        <v>93</v>
      </c>
      <c r="AE2352" s="1" t="s">
        <v>93</v>
      </c>
      <c r="AF2352" s="1"/>
      <c r="AG2352" s="1"/>
      <c r="AH2352" s="1"/>
      <c r="AI2352" s="1"/>
      <c r="AJ2352" s="1"/>
      <c r="AK2352" s="1"/>
      <c r="AL2352" s="1"/>
      <c r="AM2352" s="1"/>
      <c r="AN2352" s="1"/>
      <c r="AO2352" s="1"/>
      <c r="AP2352" s="1"/>
      <c r="AQ2352" s="1"/>
      <c r="AR2352" s="1"/>
      <c r="AS2352" s="1"/>
      <c r="AT2352" s="1"/>
      <c r="AU2352" s="1"/>
      <c r="AV2352" s="1"/>
      <c r="AW2352" s="1"/>
      <c r="AX2352" s="1"/>
      <c r="AY2352" s="1"/>
      <c r="AZ2352" s="1"/>
      <c r="BA2352" s="1"/>
      <c r="BB2352" s="1"/>
      <c r="BC2352" s="1"/>
      <c r="BD2352" s="1"/>
      <c r="BE2352" s="1"/>
      <c r="BF2352" s="1"/>
      <c r="BG2352" s="1"/>
      <c r="BH2352" s="1"/>
      <c r="BI2352" s="1"/>
      <c r="BJ2352" s="1"/>
      <c r="BK2352" s="1"/>
      <c r="BL2352" s="1"/>
      <c r="BM2352" s="1"/>
      <c r="BN2352" s="1"/>
      <c r="BO2352" s="1"/>
      <c r="BP2352" s="1" t="s">
        <v>9609</v>
      </c>
      <c r="BQ2352" s="3"/>
      <c r="BR2352" s="3"/>
    </row>
    <row r="2353" spans="1:70">
      <c r="A2353" s="1" t="s">
        <v>25368</v>
      </c>
      <c r="B2353" s="1" t="s">
        <v>13846</v>
      </c>
      <c r="C2353" s="1" t="s">
        <v>25612</v>
      </c>
      <c r="D2353" s="1"/>
      <c r="E2353" s="1"/>
      <c r="F2353" s="1"/>
      <c r="G2353" s="1"/>
      <c r="H2353" s="1" t="s">
        <v>25613</v>
      </c>
      <c r="I2353" s="1" t="s">
        <v>25613</v>
      </c>
      <c r="J2353" s="1"/>
      <c r="K2353" s="1"/>
      <c r="L2353" s="1"/>
      <c r="M2353" s="1"/>
      <c r="N2353" s="1"/>
      <c r="O2353" s="1"/>
      <c r="P2353" s="1"/>
      <c r="Q2353" s="1"/>
      <c r="R2353" s="1"/>
      <c r="S2353" s="1"/>
      <c r="T2353" s="1"/>
      <c r="U2353" s="1"/>
      <c r="V2353" s="1"/>
      <c r="W2353" s="1"/>
      <c r="X2353" s="1"/>
      <c r="Y2353" s="1"/>
      <c r="Z2353" s="1"/>
      <c r="AA2353" s="1"/>
      <c r="AB2353" s="1"/>
      <c r="AC2353" s="1"/>
      <c r="AD2353" s="1" t="s">
        <v>93</v>
      </c>
      <c r="AE2353" s="1" t="s">
        <v>93</v>
      </c>
      <c r="AF2353" s="1"/>
      <c r="AG2353" s="1"/>
      <c r="AH2353" s="1"/>
      <c r="AI2353" s="1"/>
      <c r="AJ2353" s="1"/>
      <c r="AK2353" s="1"/>
      <c r="AL2353" s="1"/>
      <c r="AM2353" s="1"/>
      <c r="AN2353" s="1"/>
      <c r="AO2353" s="1"/>
      <c r="AP2353" s="1"/>
      <c r="AQ2353" s="1"/>
      <c r="AR2353" s="1"/>
      <c r="AS2353" s="1"/>
      <c r="AT2353" s="1"/>
      <c r="AU2353" s="1"/>
      <c r="AV2353" s="1"/>
      <c r="AW2353" s="1"/>
      <c r="AX2353" s="1"/>
      <c r="AY2353" s="1"/>
      <c r="AZ2353" s="1"/>
      <c r="BA2353" s="1"/>
      <c r="BB2353" s="1"/>
      <c r="BC2353" s="1"/>
      <c r="BD2353" s="1"/>
      <c r="BE2353" s="1"/>
      <c r="BF2353" s="1"/>
      <c r="BG2353" s="1"/>
      <c r="BH2353" s="1"/>
      <c r="BI2353" s="1"/>
      <c r="BJ2353" s="1"/>
      <c r="BK2353" s="1"/>
      <c r="BL2353" s="1"/>
      <c r="BM2353" s="1"/>
      <c r="BN2353" s="1"/>
      <c r="BO2353" s="1"/>
      <c r="BP2353" s="1" t="s">
        <v>9609</v>
      </c>
      <c r="BQ2353" s="3"/>
      <c r="BR2353" s="3"/>
    </row>
    <row r="2354" spans="1:70">
      <c r="A2354" s="1" t="s">
        <v>25368</v>
      </c>
      <c r="B2354" s="1" t="s">
        <v>13846</v>
      </c>
      <c r="C2354" s="1" t="s">
        <v>25614</v>
      </c>
      <c r="D2354" s="1"/>
      <c r="E2354" s="1"/>
      <c r="F2354" s="1"/>
      <c r="G2354" s="1"/>
      <c r="H2354" s="1" t="s">
        <v>25615</v>
      </c>
      <c r="I2354" s="1" t="s">
        <v>25615</v>
      </c>
      <c r="J2354" s="1"/>
      <c r="K2354" s="1"/>
      <c r="L2354" s="1"/>
      <c r="M2354" s="1"/>
      <c r="N2354" s="1"/>
      <c r="O2354" s="1"/>
      <c r="P2354" s="1"/>
      <c r="Q2354" s="1"/>
      <c r="R2354" s="1"/>
      <c r="S2354" s="1"/>
      <c r="T2354" s="1"/>
      <c r="U2354" s="1"/>
      <c r="V2354" s="1"/>
      <c r="W2354" s="1"/>
      <c r="X2354" s="1"/>
      <c r="Y2354" s="1"/>
      <c r="Z2354" s="1"/>
      <c r="AA2354" s="1"/>
      <c r="AB2354" s="1"/>
      <c r="AC2354" s="1"/>
      <c r="AD2354" s="1" t="s">
        <v>93</v>
      </c>
      <c r="AE2354" s="1" t="s">
        <v>93</v>
      </c>
      <c r="AF2354" s="1"/>
      <c r="AG2354" s="1"/>
      <c r="AH2354" s="1"/>
      <c r="AI2354" s="1"/>
      <c r="AJ2354" s="1"/>
      <c r="AK2354" s="1"/>
      <c r="AL2354" s="1"/>
      <c r="AM2354" s="1"/>
      <c r="AN2354" s="1"/>
      <c r="AO2354" s="1"/>
      <c r="AP2354" s="1"/>
      <c r="AQ2354" s="1"/>
      <c r="AR2354" s="1"/>
      <c r="AS2354" s="1"/>
      <c r="AT2354" s="1"/>
      <c r="AU2354" s="1"/>
      <c r="AV2354" s="1"/>
      <c r="AW2354" s="1"/>
      <c r="AX2354" s="1"/>
      <c r="AY2354" s="1"/>
      <c r="AZ2354" s="1"/>
      <c r="BA2354" s="1"/>
      <c r="BB2354" s="1"/>
      <c r="BC2354" s="1"/>
      <c r="BD2354" s="1"/>
      <c r="BE2354" s="1"/>
      <c r="BF2354" s="1"/>
      <c r="BG2354" s="1"/>
      <c r="BH2354" s="1"/>
      <c r="BI2354" s="1"/>
      <c r="BJ2354" s="1"/>
      <c r="BK2354" s="1"/>
      <c r="BL2354" s="1"/>
      <c r="BM2354" s="1"/>
      <c r="BN2354" s="1"/>
      <c r="BO2354" s="1"/>
      <c r="BP2354" s="1" t="s">
        <v>9609</v>
      </c>
      <c r="BQ2354" s="3"/>
      <c r="BR2354" s="3"/>
    </row>
    <row r="2355" spans="1:70">
      <c r="A2355" s="1" t="s">
        <v>25368</v>
      </c>
      <c r="B2355" s="1" t="s">
        <v>13846</v>
      </c>
      <c r="C2355" s="1" t="s">
        <v>25616</v>
      </c>
      <c r="D2355" s="1"/>
      <c r="E2355" s="1"/>
      <c r="F2355" s="1"/>
      <c r="G2355" s="1"/>
      <c r="H2355" s="1" t="s">
        <v>25617</v>
      </c>
      <c r="I2355" s="1" t="s">
        <v>25617</v>
      </c>
      <c r="J2355" s="1"/>
      <c r="K2355" s="1"/>
      <c r="L2355" s="1"/>
      <c r="M2355" s="1"/>
      <c r="N2355" s="1"/>
      <c r="O2355" s="1"/>
      <c r="P2355" s="1"/>
      <c r="Q2355" s="1"/>
      <c r="R2355" s="1"/>
      <c r="S2355" s="1"/>
      <c r="T2355" s="1"/>
      <c r="U2355" s="1"/>
      <c r="V2355" s="1"/>
      <c r="W2355" s="1"/>
      <c r="X2355" s="1"/>
      <c r="Y2355" s="1"/>
      <c r="Z2355" s="1"/>
      <c r="AA2355" s="1"/>
      <c r="AB2355" s="1"/>
      <c r="AC2355" s="1"/>
      <c r="AD2355" s="1" t="s">
        <v>93</v>
      </c>
      <c r="AE2355" s="1" t="s">
        <v>93</v>
      </c>
      <c r="AF2355" s="1"/>
      <c r="AG2355" s="1"/>
      <c r="AH2355" s="1"/>
      <c r="AI2355" s="1"/>
      <c r="AJ2355" s="1"/>
      <c r="AK2355" s="1"/>
      <c r="AL2355" s="1"/>
      <c r="AM2355" s="1"/>
      <c r="AN2355" s="1"/>
      <c r="AO2355" s="1"/>
      <c r="AP2355" s="1"/>
      <c r="AQ2355" s="1"/>
      <c r="AR2355" s="1"/>
      <c r="AS2355" s="1"/>
      <c r="AT2355" s="1"/>
      <c r="AU2355" s="1"/>
      <c r="AV2355" s="1"/>
      <c r="AW2355" s="1"/>
      <c r="AX2355" s="1"/>
      <c r="AY2355" s="1"/>
      <c r="AZ2355" s="1"/>
      <c r="BA2355" s="1"/>
      <c r="BB2355" s="1"/>
      <c r="BC2355" s="1"/>
      <c r="BD2355" s="1"/>
      <c r="BE2355" s="1"/>
      <c r="BF2355" s="1"/>
      <c r="BG2355" s="1"/>
      <c r="BH2355" s="1"/>
      <c r="BI2355" s="1"/>
      <c r="BJ2355" s="1"/>
      <c r="BK2355" s="1"/>
      <c r="BL2355" s="1"/>
      <c r="BM2355" s="1"/>
      <c r="BN2355" s="1"/>
      <c r="BO2355" s="1"/>
      <c r="BP2355" s="1" t="s">
        <v>9609</v>
      </c>
      <c r="BQ2355" s="3"/>
      <c r="BR2355" s="3"/>
    </row>
    <row r="2356" spans="1:70">
      <c r="A2356" s="1" t="s">
        <v>25368</v>
      </c>
      <c r="B2356" s="1" t="s">
        <v>13846</v>
      </c>
      <c r="C2356" s="1" t="s">
        <v>25618</v>
      </c>
      <c r="D2356" s="1"/>
      <c r="E2356" s="1"/>
      <c r="F2356" s="1"/>
      <c r="G2356" s="1"/>
      <c r="H2356" s="1" t="s">
        <v>25619</v>
      </c>
      <c r="I2356" s="1" t="s">
        <v>25619</v>
      </c>
      <c r="J2356" s="1"/>
      <c r="K2356" s="1"/>
      <c r="L2356" s="1"/>
      <c r="M2356" s="1"/>
      <c r="N2356" s="1"/>
      <c r="O2356" s="1"/>
      <c r="P2356" s="1"/>
      <c r="Q2356" s="1"/>
      <c r="R2356" s="1"/>
      <c r="S2356" s="1"/>
      <c r="T2356" s="1"/>
      <c r="U2356" s="1"/>
      <c r="V2356" s="1"/>
      <c r="W2356" s="1"/>
      <c r="X2356" s="1"/>
      <c r="Y2356" s="1"/>
      <c r="Z2356" s="1"/>
      <c r="AA2356" s="1"/>
      <c r="AB2356" s="1"/>
      <c r="AC2356" s="1"/>
      <c r="AD2356" s="1" t="s">
        <v>93</v>
      </c>
      <c r="AE2356" s="1" t="s">
        <v>93</v>
      </c>
      <c r="AF2356" s="1"/>
      <c r="AG2356" s="1"/>
      <c r="AH2356" s="1"/>
      <c r="AI2356" s="1"/>
      <c r="AJ2356" s="1"/>
      <c r="AK2356" s="1"/>
      <c r="AL2356" s="1"/>
      <c r="AM2356" s="1"/>
      <c r="AN2356" s="1"/>
      <c r="AO2356" s="1"/>
      <c r="AP2356" s="1"/>
      <c r="AQ2356" s="1"/>
      <c r="AR2356" s="1"/>
      <c r="AS2356" s="1"/>
      <c r="AT2356" s="1"/>
      <c r="AU2356" s="1"/>
      <c r="AV2356" s="1"/>
      <c r="AW2356" s="1"/>
      <c r="AX2356" s="1"/>
      <c r="AY2356" s="1"/>
      <c r="AZ2356" s="1"/>
      <c r="BA2356" s="1"/>
      <c r="BB2356" s="1"/>
      <c r="BC2356" s="1"/>
      <c r="BD2356" s="1"/>
      <c r="BE2356" s="1"/>
      <c r="BF2356" s="1"/>
      <c r="BG2356" s="1"/>
      <c r="BH2356" s="1"/>
      <c r="BI2356" s="1"/>
      <c r="BJ2356" s="1"/>
      <c r="BK2356" s="1"/>
      <c r="BL2356" s="1"/>
      <c r="BM2356" s="1"/>
      <c r="BN2356" s="1"/>
      <c r="BO2356" s="1"/>
      <c r="BP2356" s="1" t="s">
        <v>9609</v>
      </c>
      <c r="BQ2356" s="3"/>
      <c r="BR2356" s="3"/>
    </row>
    <row r="2357" spans="1:70">
      <c r="A2357" s="1" t="s">
        <v>25368</v>
      </c>
      <c r="B2357" s="1" t="s">
        <v>13846</v>
      </c>
      <c r="C2357" s="1" t="s">
        <v>25620</v>
      </c>
      <c r="D2357" s="1"/>
      <c r="E2357" s="1"/>
      <c r="F2357" s="1"/>
      <c r="G2357" s="1"/>
      <c r="H2357" s="1" t="s">
        <v>25621</v>
      </c>
      <c r="I2357" s="1" t="s">
        <v>25621</v>
      </c>
      <c r="J2357" s="1"/>
      <c r="K2357" s="1"/>
      <c r="L2357" s="1"/>
      <c r="M2357" s="1"/>
      <c r="N2357" s="1"/>
      <c r="O2357" s="1"/>
      <c r="P2357" s="1"/>
      <c r="Q2357" s="1"/>
      <c r="R2357" s="1"/>
      <c r="S2357" s="1"/>
      <c r="T2357" s="1"/>
      <c r="U2357" s="1"/>
      <c r="V2357" s="1"/>
      <c r="W2357" s="1"/>
      <c r="X2357" s="1"/>
      <c r="Y2357" s="1"/>
      <c r="Z2357" s="1"/>
      <c r="AA2357" s="1"/>
      <c r="AB2357" s="1"/>
      <c r="AC2357" s="1"/>
      <c r="AD2357" s="1" t="s">
        <v>93</v>
      </c>
      <c r="AE2357" s="1" t="s">
        <v>93</v>
      </c>
      <c r="AF2357" s="1"/>
      <c r="AG2357" s="1"/>
      <c r="AH2357" s="1"/>
      <c r="AI2357" s="1"/>
      <c r="AJ2357" s="1"/>
      <c r="AK2357" s="1"/>
      <c r="AL2357" s="1"/>
      <c r="AM2357" s="1"/>
      <c r="AN2357" s="1"/>
      <c r="AO2357" s="1"/>
      <c r="AP2357" s="1"/>
      <c r="AQ2357" s="1"/>
      <c r="AR2357" s="1"/>
      <c r="AS2357" s="1"/>
      <c r="AT2357" s="1"/>
      <c r="AU2357" s="1"/>
      <c r="AV2357" s="1"/>
      <c r="AW2357" s="1"/>
      <c r="AX2357" s="1"/>
      <c r="AY2357" s="1"/>
      <c r="AZ2357" s="1"/>
      <c r="BA2357" s="1"/>
      <c r="BB2357" s="1"/>
      <c r="BC2357" s="1"/>
      <c r="BD2357" s="1"/>
      <c r="BE2357" s="1"/>
      <c r="BF2357" s="1"/>
      <c r="BG2357" s="1"/>
      <c r="BH2357" s="1"/>
      <c r="BI2357" s="1"/>
      <c r="BJ2357" s="1"/>
      <c r="BK2357" s="1"/>
      <c r="BL2357" s="1"/>
      <c r="BM2357" s="1"/>
      <c r="BN2357" s="1"/>
      <c r="BO2357" s="1"/>
      <c r="BP2357" s="1" t="s">
        <v>9609</v>
      </c>
      <c r="BQ2357" s="3"/>
      <c r="BR2357" s="3"/>
    </row>
    <row r="2358" spans="1:70">
      <c r="A2358" s="1" t="s">
        <v>25368</v>
      </c>
      <c r="B2358" s="1" t="s">
        <v>13846</v>
      </c>
      <c r="C2358" s="1" t="s">
        <v>25622</v>
      </c>
      <c r="D2358" s="1"/>
      <c r="E2358" s="1"/>
      <c r="F2358" s="1"/>
      <c r="G2358" s="1"/>
      <c r="H2358" s="1" t="s">
        <v>25623</v>
      </c>
      <c r="I2358" s="1" t="s">
        <v>25623</v>
      </c>
      <c r="J2358" s="1"/>
      <c r="K2358" s="1"/>
      <c r="L2358" s="1"/>
      <c r="M2358" s="1"/>
      <c r="N2358" s="1"/>
      <c r="O2358" s="1"/>
      <c r="P2358" s="1"/>
      <c r="Q2358" s="1"/>
      <c r="R2358" s="1"/>
      <c r="S2358" s="1"/>
      <c r="T2358" s="1"/>
      <c r="U2358" s="1"/>
      <c r="V2358" s="1"/>
      <c r="W2358" s="1"/>
      <c r="X2358" s="1"/>
      <c r="Y2358" s="1"/>
      <c r="Z2358" s="1"/>
      <c r="AA2358" s="1"/>
      <c r="AB2358" s="1"/>
      <c r="AC2358" s="1"/>
      <c r="AD2358" s="1" t="s">
        <v>93</v>
      </c>
      <c r="AE2358" s="1" t="s">
        <v>93</v>
      </c>
      <c r="AF2358" s="1"/>
      <c r="AG2358" s="1"/>
      <c r="AH2358" s="1"/>
      <c r="AI2358" s="1"/>
      <c r="AJ2358" s="1"/>
      <c r="AK2358" s="1"/>
      <c r="AL2358" s="1"/>
      <c r="AM2358" s="1"/>
      <c r="AN2358" s="1"/>
      <c r="AO2358" s="1"/>
      <c r="AP2358" s="1"/>
      <c r="AQ2358" s="1"/>
      <c r="AR2358" s="1"/>
      <c r="AS2358" s="1"/>
      <c r="AT2358" s="1"/>
      <c r="AU2358" s="1"/>
      <c r="AV2358" s="1"/>
      <c r="AW2358" s="1"/>
      <c r="AX2358" s="1"/>
      <c r="AY2358" s="1"/>
      <c r="AZ2358" s="1"/>
      <c r="BA2358" s="1"/>
      <c r="BB2358" s="1"/>
      <c r="BC2358" s="1"/>
      <c r="BD2358" s="1"/>
      <c r="BE2358" s="1"/>
      <c r="BF2358" s="1"/>
      <c r="BG2358" s="1"/>
      <c r="BH2358" s="1"/>
      <c r="BI2358" s="1"/>
      <c r="BJ2358" s="1"/>
      <c r="BK2358" s="1"/>
      <c r="BL2358" s="1"/>
      <c r="BM2358" s="1"/>
      <c r="BN2358" s="1"/>
      <c r="BO2358" s="1"/>
      <c r="BP2358" s="1" t="s">
        <v>9609</v>
      </c>
      <c r="BQ2358" s="3"/>
      <c r="BR2358" s="3"/>
    </row>
    <row r="2359" spans="1:70">
      <c r="A2359" s="1" t="s">
        <v>25368</v>
      </c>
      <c r="B2359" s="1" t="s">
        <v>13846</v>
      </c>
      <c r="C2359" s="1" t="s">
        <v>25624</v>
      </c>
      <c r="D2359" s="1"/>
      <c r="E2359" s="1"/>
      <c r="F2359" s="1"/>
      <c r="G2359" s="1"/>
      <c r="H2359" s="1" t="s">
        <v>25625</v>
      </c>
      <c r="I2359" s="1" t="s">
        <v>25625</v>
      </c>
      <c r="J2359" s="1"/>
      <c r="K2359" s="1"/>
      <c r="L2359" s="1"/>
      <c r="M2359" s="1"/>
      <c r="N2359" s="1"/>
      <c r="O2359" s="1"/>
      <c r="P2359" s="1"/>
      <c r="Q2359" s="1"/>
      <c r="R2359" s="1"/>
      <c r="S2359" s="1"/>
      <c r="T2359" s="1"/>
      <c r="U2359" s="1"/>
      <c r="V2359" s="1"/>
      <c r="W2359" s="1"/>
      <c r="X2359" s="1"/>
      <c r="Y2359" s="1"/>
      <c r="Z2359" s="1"/>
      <c r="AA2359" s="1"/>
      <c r="AB2359" s="1"/>
      <c r="AC2359" s="1"/>
      <c r="AD2359" s="1" t="s">
        <v>93</v>
      </c>
      <c r="AE2359" s="1" t="s">
        <v>93</v>
      </c>
      <c r="AF2359" s="1"/>
      <c r="AG2359" s="1"/>
      <c r="AH2359" s="1"/>
      <c r="AI2359" s="1"/>
      <c r="AJ2359" s="1"/>
      <c r="AK2359" s="1"/>
      <c r="AL2359" s="1"/>
      <c r="AM2359" s="1"/>
      <c r="AN2359" s="1"/>
      <c r="AO2359" s="1"/>
      <c r="AP2359" s="1"/>
      <c r="AQ2359" s="1"/>
      <c r="AR2359" s="1"/>
      <c r="AS2359" s="1"/>
      <c r="AT2359" s="1"/>
      <c r="AU2359" s="1"/>
      <c r="AV2359" s="1"/>
      <c r="AW2359" s="1"/>
      <c r="AX2359" s="1"/>
      <c r="AY2359" s="1"/>
      <c r="AZ2359" s="1"/>
      <c r="BA2359" s="1"/>
      <c r="BB2359" s="1"/>
      <c r="BC2359" s="1"/>
      <c r="BD2359" s="1"/>
      <c r="BE2359" s="1"/>
      <c r="BF2359" s="1"/>
      <c r="BG2359" s="1"/>
      <c r="BH2359" s="1"/>
      <c r="BI2359" s="1"/>
      <c r="BJ2359" s="1"/>
      <c r="BK2359" s="1"/>
      <c r="BL2359" s="1"/>
      <c r="BM2359" s="1"/>
      <c r="BN2359" s="1"/>
      <c r="BO2359" s="1"/>
      <c r="BP2359" s="1" t="s">
        <v>9609</v>
      </c>
      <c r="BQ2359" s="3"/>
      <c r="BR2359" s="3"/>
    </row>
    <row r="2360" spans="1:70">
      <c r="A2360" s="1" t="s">
        <v>25368</v>
      </c>
      <c r="B2360" s="1" t="s">
        <v>13846</v>
      </c>
      <c r="C2360" s="1" t="s">
        <v>25626</v>
      </c>
      <c r="D2360" s="1"/>
      <c r="E2360" s="1"/>
      <c r="F2360" s="1"/>
      <c r="G2360" s="1"/>
      <c r="H2360" s="1" t="s">
        <v>25627</v>
      </c>
      <c r="I2360" s="1" t="s">
        <v>25627</v>
      </c>
      <c r="J2360" s="1"/>
      <c r="K2360" s="1"/>
      <c r="L2360" s="1"/>
      <c r="M2360" s="1"/>
      <c r="N2360" s="1"/>
      <c r="O2360" s="1"/>
      <c r="P2360" s="1"/>
      <c r="Q2360" s="1"/>
      <c r="R2360" s="1"/>
      <c r="S2360" s="1"/>
      <c r="T2360" s="1"/>
      <c r="U2360" s="1"/>
      <c r="V2360" s="1"/>
      <c r="W2360" s="1"/>
      <c r="X2360" s="1"/>
      <c r="Y2360" s="1"/>
      <c r="Z2360" s="1"/>
      <c r="AA2360" s="1"/>
      <c r="AB2360" s="1"/>
      <c r="AC2360" s="1"/>
      <c r="AD2360" s="1" t="s">
        <v>93</v>
      </c>
      <c r="AE2360" s="1" t="s">
        <v>93</v>
      </c>
      <c r="AF2360" s="1"/>
      <c r="AG2360" s="1"/>
      <c r="AH2360" s="1"/>
      <c r="AI2360" s="1"/>
      <c r="AJ2360" s="1"/>
      <c r="AK2360" s="1"/>
      <c r="AL2360" s="1"/>
      <c r="AM2360" s="1"/>
      <c r="AN2360" s="1"/>
      <c r="AO2360" s="1"/>
      <c r="AP2360" s="1"/>
      <c r="AQ2360" s="1"/>
      <c r="AR2360" s="1"/>
      <c r="AS2360" s="1"/>
      <c r="AT2360" s="1"/>
      <c r="AU2360" s="1"/>
      <c r="AV2360" s="1"/>
      <c r="AW2360" s="1"/>
      <c r="AX2360" s="1"/>
      <c r="AY2360" s="1"/>
      <c r="AZ2360" s="1"/>
      <c r="BA2360" s="1"/>
      <c r="BB2360" s="1"/>
      <c r="BC2360" s="1"/>
      <c r="BD2360" s="1"/>
      <c r="BE2360" s="1"/>
      <c r="BF2360" s="1"/>
      <c r="BG2360" s="1"/>
      <c r="BH2360" s="1"/>
      <c r="BI2360" s="1"/>
      <c r="BJ2360" s="1"/>
      <c r="BK2360" s="1"/>
      <c r="BL2360" s="1"/>
      <c r="BM2360" s="1"/>
      <c r="BN2360" s="1"/>
      <c r="BO2360" s="1"/>
      <c r="BP2360" s="1" t="s">
        <v>9609</v>
      </c>
      <c r="BQ2360" s="3"/>
      <c r="BR2360" s="3"/>
    </row>
    <row r="2361" spans="1:70">
      <c r="A2361" s="1" t="s">
        <v>25368</v>
      </c>
      <c r="B2361" s="1" t="s">
        <v>13846</v>
      </c>
      <c r="C2361" s="1" t="s">
        <v>25628</v>
      </c>
      <c r="D2361" s="1"/>
      <c r="E2361" s="1"/>
      <c r="F2361" s="1"/>
      <c r="G2361" s="1"/>
      <c r="H2361" s="1" t="s">
        <v>25629</v>
      </c>
      <c r="I2361" s="1" t="s">
        <v>25629</v>
      </c>
      <c r="J2361" s="1"/>
      <c r="K2361" s="1"/>
      <c r="L2361" s="1"/>
      <c r="M2361" s="1"/>
      <c r="N2361" s="1"/>
      <c r="O2361" s="1"/>
      <c r="P2361" s="1"/>
      <c r="Q2361" s="1"/>
      <c r="R2361" s="1"/>
      <c r="S2361" s="1"/>
      <c r="T2361" s="1"/>
      <c r="U2361" s="1"/>
      <c r="V2361" s="1"/>
      <c r="W2361" s="1"/>
      <c r="X2361" s="1"/>
      <c r="Y2361" s="1"/>
      <c r="Z2361" s="1"/>
      <c r="AA2361" s="1"/>
      <c r="AB2361" s="1"/>
      <c r="AC2361" s="1"/>
      <c r="AD2361" s="1" t="s">
        <v>93</v>
      </c>
      <c r="AE2361" s="1" t="s">
        <v>93</v>
      </c>
      <c r="AF2361" s="1"/>
      <c r="AG2361" s="1"/>
      <c r="AH2361" s="1"/>
      <c r="AI2361" s="1"/>
      <c r="AJ2361" s="1"/>
      <c r="AK2361" s="1"/>
      <c r="AL2361" s="1"/>
      <c r="AM2361" s="1"/>
      <c r="AN2361" s="1"/>
      <c r="AO2361" s="1"/>
      <c r="AP2361" s="1"/>
      <c r="AQ2361" s="1"/>
      <c r="AR2361" s="1"/>
      <c r="AS2361" s="1"/>
      <c r="AT2361" s="1"/>
      <c r="AU2361" s="1"/>
      <c r="AV2361" s="1"/>
      <c r="AW2361" s="1"/>
      <c r="AX2361" s="1"/>
      <c r="AY2361" s="1"/>
      <c r="AZ2361" s="1"/>
      <c r="BA2361" s="1"/>
      <c r="BB2361" s="1"/>
      <c r="BC2361" s="1"/>
      <c r="BD2361" s="1"/>
      <c r="BE2361" s="1"/>
      <c r="BF2361" s="1"/>
      <c r="BG2361" s="1"/>
      <c r="BH2361" s="1"/>
      <c r="BI2361" s="1"/>
      <c r="BJ2361" s="1"/>
      <c r="BK2361" s="1"/>
      <c r="BL2361" s="1"/>
      <c r="BM2361" s="1"/>
      <c r="BN2361" s="1"/>
      <c r="BO2361" s="1"/>
      <c r="BP2361" s="1" t="s">
        <v>9609</v>
      </c>
      <c r="BQ2361" s="3"/>
      <c r="BR2361" s="3"/>
    </row>
    <row r="2362" spans="1:70">
      <c r="A2362" s="1" t="s">
        <v>25368</v>
      </c>
      <c r="B2362" s="1" t="s">
        <v>13846</v>
      </c>
      <c r="C2362" s="1" t="s">
        <v>25630</v>
      </c>
      <c r="D2362" s="1"/>
      <c r="E2362" s="1"/>
      <c r="F2362" s="1"/>
      <c r="G2362" s="1"/>
      <c r="H2362" s="1" t="s">
        <v>25631</v>
      </c>
      <c r="I2362" s="1" t="s">
        <v>25631</v>
      </c>
      <c r="J2362" s="1"/>
      <c r="K2362" s="1"/>
      <c r="L2362" s="1"/>
      <c r="M2362" s="1"/>
      <c r="N2362" s="1"/>
      <c r="O2362" s="1"/>
      <c r="P2362" s="1"/>
      <c r="Q2362" s="1"/>
      <c r="R2362" s="1"/>
      <c r="S2362" s="1"/>
      <c r="T2362" s="1"/>
      <c r="U2362" s="1"/>
      <c r="V2362" s="1"/>
      <c r="W2362" s="1"/>
      <c r="X2362" s="1"/>
      <c r="Y2362" s="1"/>
      <c r="Z2362" s="1"/>
      <c r="AA2362" s="1"/>
      <c r="AB2362" s="1"/>
      <c r="AC2362" s="1"/>
      <c r="AD2362" s="1" t="s">
        <v>93</v>
      </c>
      <c r="AE2362" s="1" t="s">
        <v>93</v>
      </c>
      <c r="AF2362" s="1"/>
      <c r="AG2362" s="1"/>
      <c r="AH2362" s="1"/>
      <c r="AI2362" s="1"/>
      <c r="AJ2362" s="1"/>
      <c r="AK2362" s="1"/>
      <c r="AL2362" s="1"/>
      <c r="AM2362" s="1"/>
      <c r="AN2362" s="1"/>
      <c r="AO2362" s="1"/>
      <c r="AP2362" s="1"/>
      <c r="AQ2362" s="1"/>
      <c r="AR2362" s="1"/>
      <c r="AS2362" s="1"/>
      <c r="AT2362" s="1"/>
      <c r="AU2362" s="1"/>
      <c r="AV2362" s="1"/>
      <c r="AW2362" s="1"/>
      <c r="AX2362" s="1"/>
      <c r="AY2362" s="1"/>
      <c r="AZ2362" s="1"/>
      <c r="BA2362" s="1"/>
      <c r="BB2362" s="1"/>
      <c r="BC2362" s="1"/>
      <c r="BD2362" s="1"/>
      <c r="BE2362" s="1"/>
      <c r="BF2362" s="1"/>
      <c r="BG2362" s="1"/>
      <c r="BH2362" s="1"/>
      <c r="BI2362" s="1"/>
      <c r="BJ2362" s="1"/>
      <c r="BK2362" s="1"/>
      <c r="BL2362" s="1"/>
      <c r="BM2362" s="1"/>
      <c r="BN2362" s="1"/>
      <c r="BO2362" s="1"/>
      <c r="BP2362" s="1" t="s">
        <v>9609</v>
      </c>
      <c r="BQ2362" s="3"/>
      <c r="BR2362" s="3"/>
    </row>
    <row r="2363" spans="1:70">
      <c r="A2363" s="1" t="s">
        <v>25368</v>
      </c>
      <c r="B2363" s="1" t="s">
        <v>13846</v>
      </c>
      <c r="C2363" s="1" t="s">
        <v>25632</v>
      </c>
      <c r="D2363" s="1"/>
      <c r="E2363" s="1"/>
      <c r="F2363" s="1"/>
      <c r="G2363" s="1"/>
      <c r="H2363" s="1" t="s">
        <v>25633</v>
      </c>
      <c r="I2363" s="1" t="s">
        <v>25633</v>
      </c>
      <c r="J2363" s="1"/>
      <c r="K2363" s="1"/>
      <c r="L2363" s="1"/>
      <c r="M2363" s="1"/>
      <c r="N2363" s="1"/>
      <c r="O2363" s="1"/>
      <c r="P2363" s="1"/>
      <c r="Q2363" s="1"/>
      <c r="R2363" s="1"/>
      <c r="S2363" s="1"/>
      <c r="T2363" s="1"/>
      <c r="U2363" s="1"/>
      <c r="V2363" s="1"/>
      <c r="W2363" s="1"/>
      <c r="X2363" s="1"/>
      <c r="Y2363" s="1"/>
      <c r="Z2363" s="1"/>
      <c r="AA2363" s="1"/>
      <c r="AB2363" s="1"/>
      <c r="AC2363" s="1"/>
      <c r="AD2363" s="1" t="s">
        <v>93</v>
      </c>
      <c r="AE2363" s="1" t="s">
        <v>93</v>
      </c>
      <c r="AF2363" s="1"/>
      <c r="AG2363" s="1"/>
      <c r="AH2363" s="1"/>
      <c r="AI2363" s="1"/>
      <c r="AJ2363" s="1"/>
      <c r="AK2363" s="1"/>
      <c r="AL2363" s="1"/>
      <c r="AM2363" s="1"/>
      <c r="AN2363" s="1"/>
      <c r="AO2363" s="1"/>
      <c r="AP2363" s="1"/>
      <c r="AQ2363" s="1"/>
      <c r="AR2363" s="1"/>
      <c r="AS2363" s="1"/>
      <c r="AT2363" s="1"/>
      <c r="AU2363" s="1"/>
      <c r="AV2363" s="1"/>
      <c r="AW2363" s="1"/>
      <c r="AX2363" s="1"/>
      <c r="AY2363" s="1"/>
      <c r="AZ2363" s="1"/>
      <c r="BA2363" s="1"/>
      <c r="BB2363" s="1"/>
      <c r="BC2363" s="1"/>
      <c r="BD2363" s="1"/>
      <c r="BE2363" s="1"/>
      <c r="BF2363" s="1"/>
      <c r="BG2363" s="1"/>
      <c r="BH2363" s="1"/>
      <c r="BI2363" s="1"/>
      <c r="BJ2363" s="1"/>
      <c r="BK2363" s="1"/>
      <c r="BL2363" s="1"/>
      <c r="BM2363" s="1"/>
      <c r="BN2363" s="1"/>
      <c r="BO2363" s="1"/>
      <c r="BP2363" s="1" t="s">
        <v>9609</v>
      </c>
      <c r="BQ2363" s="3"/>
      <c r="BR2363" s="3"/>
    </row>
    <row r="2364" spans="1:70">
      <c r="A2364" s="1" t="s">
        <v>25368</v>
      </c>
      <c r="B2364" s="1" t="s">
        <v>13846</v>
      </c>
      <c r="C2364" s="1" t="s">
        <v>25634</v>
      </c>
      <c r="D2364" s="1"/>
      <c r="E2364" s="1"/>
      <c r="F2364" s="1"/>
      <c r="G2364" s="1"/>
      <c r="H2364" s="1" t="s">
        <v>25635</v>
      </c>
      <c r="I2364" s="1" t="s">
        <v>25635</v>
      </c>
      <c r="J2364" s="1"/>
      <c r="K2364" s="1"/>
      <c r="L2364" s="1"/>
      <c r="M2364" s="1"/>
      <c r="N2364" s="1"/>
      <c r="O2364" s="1"/>
      <c r="P2364" s="1"/>
      <c r="Q2364" s="1"/>
      <c r="R2364" s="1"/>
      <c r="S2364" s="1"/>
      <c r="T2364" s="1"/>
      <c r="U2364" s="1"/>
      <c r="V2364" s="1"/>
      <c r="W2364" s="1"/>
      <c r="X2364" s="1"/>
      <c r="Y2364" s="1"/>
      <c r="Z2364" s="1"/>
      <c r="AA2364" s="1"/>
      <c r="AB2364" s="1"/>
      <c r="AC2364" s="1"/>
      <c r="AD2364" s="1" t="s">
        <v>93</v>
      </c>
      <c r="AE2364" s="1" t="s">
        <v>93</v>
      </c>
      <c r="AF2364" s="1"/>
      <c r="AG2364" s="1"/>
      <c r="AH2364" s="1"/>
      <c r="AI2364" s="1"/>
      <c r="AJ2364" s="1"/>
      <c r="AK2364" s="1"/>
      <c r="AL2364" s="1"/>
      <c r="AM2364" s="1"/>
      <c r="AN2364" s="1"/>
      <c r="AO2364" s="1"/>
      <c r="AP2364" s="1"/>
      <c r="AQ2364" s="1"/>
      <c r="AR2364" s="1"/>
      <c r="AS2364" s="1"/>
      <c r="AT2364" s="1"/>
      <c r="AU2364" s="1"/>
      <c r="AV2364" s="1"/>
      <c r="AW2364" s="1"/>
      <c r="AX2364" s="1"/>
      <c r="AY2364" s="1"/>
      <c r="AZ2364" s="1"/>
      <c r="BA2364" s="1"/>
      <c r="BB2364" s="1"/>
      <c r="BC2364" s="1"/>
      <c r="BD2364" s="1"/>
      <c r="BE2364" s="1"/>
      <c r="BF2364" s="1"/>
      <c r="BG2364" s="1"/>
      <c r="BH2364" s="1"/>
      <c r="BI2364" s="1"/>
      <c r="BJ2364" s="1"/>
      <c r="BK2364" s="1"/>
      <c r="BL2364" s="1"/>
      <c r="BM2364" s="1"/>
      <c r="BN2364" s="1"/>
      <c r="BO2364" s="1"/>
      <c r="BP2364" s="1" t="s">
        <v>9609</v>
      </c>
      <c r="BQ2364" s="3"/>
      <c r="BR2364" s="3"/>
    </row>
    <row r="2365" spans="1:70">
      <c r="A2365" s="1" t="s">
        <v>25368</v>
      </c>
      <c r="B2365" s="1" t="s">
        <v>13846</v>
      </c>
      <c r="C2365" s="1" t="s">
        <v>25636</v>
      </c>
      <c r="D2365" s="1"/>
      <c r="E2365" s="1"/>
      <c r="F2365" s="1"/>
      <c r="G2365" s="1"/>
      <c r="H2365" s="1" t="s">
        <v>25637</v>
      </c>
      <c r="I2365" s="1" t="s">
        <v>25637</v>
      </c>
      <c r="J2365" s="1"/>
      <c r="K2365" s="1"/>
      <c r="L2365" s="1"/>
      <c r="M2365" s="1"/>
      <c r="N2365" s="1"/>
      <c r="O2365" s="1"/>
      <c r="P2365" s="1"/>
      <c r="Q2365" s="1"/>
      <c r="R2365" s="1"/>
      <c r="S2365" s="1"/>
      <c r="T2365" s="1"/>
      <c r="U2365" s="1"/>
      <c r="V2365" s="1"/>
      <c r="W2365" s="1"/>
      <c r="X2365" s="1"/>
      <c r="Y2365" s="1"/>
      <c r="Z2365" s="1"/>
      <c r="AA2365" s="1"/>
      <c r="AB2365" s="1"/>
      <c r="AC2365" s="1"/>
      <c r="AD2365" s="1" t="s">
        <v>93</v>
      </c>
      <c r="AE2365" s="1" t="s">
        <v>93</v>
      </c>
      <c r="AF2365" s="1"/>
      <c r="AG2365" s="1"/>
      <c r="AH2365" s="1"/>
      <c r="AI2365" s="1"/>
      <c r="AJ2365" s="1"/>
      <c r="AK2365" s="1"/>
      <c r="AL2365" s="1"/>
      <c r="AM2365" s="1"/>
      <c r="AN2365" s="1"/>
      <c r="AO2365" s="1"/>
      <c r="AP2365" s="1"/>
      <c r="AQ2365" s="1"/>
      <c r="AR2365" s="1"/>
      <c r="AS2365" s="1"/>
      <c r="AT2365" s="1"/>
      <c r="AU2365" s="1"/>
      <c r="AV2365" s="1"/>
      <c r="AW2365" s="1"/>
      <c r="AX2365" s="1"/>
      <c r="AY2365" s="1"/>
      <c r="AZ2365" s="1"/>
      <c r="BA2365" s="1"/>
      <c r="BB2365" s="1"/>
      <c r="BC2365" s="1"/>
      <c r="BD2365" s="1"/>
      <c r="BE2365" s="1"/>
      <c r="BF2365" s="1"/>
      <c r="BG2365" s="1"/>
      <c r="BH2365" s="1"/>
      <c r="BI2365" s="1"/>
      <c r="BJ2365" s="1"/>
      <c r="BK2365" s="1"/>
      <c r="BL2365" s="1"/>
      <c r="BM2365" s="1"/>
      <c r="BN2365" s="1"/>
      <c r="BO2365" s="1"/>
      <c r="BP2365" s="1" t="s">
        <v>9609</v>
      </c>
      <c r="BQ2365" s="3"/>
      <c r="BR2365" s="3"/>
    </row>
    <row r="2366" spans="1:70">
      <c r="A2366" s="1" t="s">
        <v>25368</v>
      </c>
      <c r="B2366" s="1" t="s">
        <v>13846</v>
      </c>
      <c r="C2366" s="1" t="s">
        <v>25638</v>
      </c>
      <c r="D2366" s="1"/>
      <c r="E2366" s="1"/>
      <c r="F2366" s="1"/>
      <c r="G2366" s="1"/>
      <c r="H2366" s="1" t="s">
        <v>25639</v>
      </c>
      <c r="I2366" s="1" t="s">
        <v>25639</v>
      </c>
      <c r="J2366" s="1"/>
      <c r="K2366" s="1"/>
      <c r="L2366" s="1"/>
      <c r="M2366" s="1"/>
      <c r="N2366" s="1"/>
      <c r="O2366" s="1"/>
      <c r="P2366" s="1"/>
      <c r="Q2366" s="1"/>
      <c r="R2366" s="1"/>
      <c r="S2366" s="1"/>
      <c r="T2366" s="1"/>
      <c r="U2366" s="1"/>
      <c r="V2366" s="1"/>
      <c r="W2366" s="1"/>
      <c r="X2366" s="1"/>
      <c r="Y2366" s="1"/>
      <c r="Z2366" s="1"/>
      <c r="AA2366" s="1"/>
      <c r="AB2366" s="1"/>
      <c r="AC2366" s="1"/>
      <c r="AD2366" s="1" t="s">
        <v>93</v>
      </c>
      <c r="AE2366" s="1" t="s">
        <v>93</v>
      </c>
      <c r="AF2366" s="1"/>
      <c r="AG2366" s="1"/>
      <c r="AH2366" s="1"/>
      <c r="AI2366" s="1"/>
      <c r="AJ2366" s="1"/>
      <c r="AK2366" s="1"/>
      <c r="AL2366" s="1"/>
      <c r="AM2366" s="1"/>
      <c r="AN2366" s="1"/>
      <c r="AO2366" s="1"/>
      <c r="AP2366" s="1"/>
      <c r="AQ2366" s="1"/>
      <c r="AR2366" s="1"/>
      <c r="AS2366" s="1"/>
      <c r="AT2366" s="1"/>
      <c r="AU2366" s="1"/>
      <c r="AV2366" s="1"/>
      <c r="AW2366" s="1"/>
      <c r="AX2366" s="1"/>
      <c r="AY2366" s="1"/>
      <c r="AZ2366" s="1"/>
      <c r="BA2366" s="1"/>
      <c r="BB2366" s="1"/>
      <c r="BC2366" s="1"/>
      <c r="BD2366" s="1"/>
      <c r="BE2366" s="1"/>
      <c r="BF2366" s="1"/>
      <c r="BG2366" s="1"/>
      <c r="BH2366" s="1"/>
      <c r="BI2366" s="1"/>
      <c r="BJ2366" s="1"/>
      <c r="BK2366" s="1"/>
      <c r="BL2366" s="1"/>
      <c r="BM2366" s="1"/>
      <c r="BN2366" s="1"/>
      <c r="BO2366" s="1"/>
      <c r="BP2366" s="1" t="s">
        <v>9609</v>
      </c>
      <c r="BQ2366" s="3"/>
      <c r="BR2366" s="3"/>
    </row>
    <row r="2367" spans="1:70">
      <c r="A2367" s="1" t="s">
        <v>25368</v>
      </c>
      <c r="B2367" s="1" t="s">
        <v>13846</v>
      </c>
      <c r="C2367" s="1" t="s">
        <v>25640</v>
      </c>
      <c r="D2367" s="1"/>
      <c r="E2367" s="1"/>
      <c r="F2367" s="1"/>
      <c r="G2367" s="1"/>
      <c r="H2367" s="1" t="s">
        <v>25641</v>
      </c>
      <c r="I2367" s="1" t="s">
        <v>25641</v>
      </c>
      <c r="J2367" s="1"/>
      <c r="K2367" s="1"/>
      <c r="L2367" s="1"/>
      <c r="M2367" s="1"/>
      <c r="N2367" s="1"/>
      <c r="O2367" s="1"/>
      <c r="P2367" s="1"/>
      <c r="Q2367" s="1"/>
      <c r="R2367" s="1"/>
      <c r="S2367" s="1"/>
      <c r="T2367" s="1"/>
      <c r="U2367" s="1"/>
      <c r="V2367" s="1"/>
      <c r="W2367" s="1"/>
      <c r="X2367" s="1"/>
      <c r="Y2367" s="1"/>
      <c r="Z2367" s="1"/>
      <c r="AA2367" s="1"/>
      <c r="AB2367" s="1"/>
      <c r="AC2367" s="1"/>
      <c r="AD2367" s="1" t="s">
        <v>93</v>
      </c>
      <c r="AE2367" s="1" t="s">
        <v>93</v>
      </c>
      <c r="AF2367" s="1"/>
      <c r="AG2367" s="1"/>
      <c r="AH2367" s="1"/>
      <c r="AI2367" s="1"/>
      <c r="AJ2367" s="1"/>
      <c r="AK2367" s="1"/>
      <c r="AL2367" s="1"/>
      <c r="AM2367" s="1"/>
      <c r="AN2367" s="1"/>
      <c r="AO2367" s="1"/>
      <c r="AP2367" s="1"/>
      <c r="AQ2367" s="1"/>
      <c r="AR2367" s="1"/>
      <c r="AS2367" s="1"/>
      <c r="AT2367" s="1"/>
      <c r="AU2367" s="1"/>
      <c r="AV2367" s="1"/>
      <c r="AW2367" s="1"/>
      <c r="AX2367" s="1"/>
      <c r="AY2367" s="1"/>
      <c r="AZ2367" s="1"/>
      <c r="BA2367" s="1"/>
      <c r="BB2367" s="1"/>
      <c r="BC2367" s="1"/>
      <c r="BD2367" s="1"/>
      <c r="BE2367" s="1"/>
      <c r="BF2367" s="1"/>
      <c r="BG2367" s="1"/>
      <c r="BH2367" s="1"/>
      <c r="BI2367" s="1"/>
      <c r="BJ2367" s="1"/>
      <c r="BK2367" s="1"/>
      <c r="BL2367" s="1"/>
      <c r="BM2367" s="1"/>
      <c r="BN2367" s="1"/>
      <c r="BO2367" s="1"/>
      <c r="BP2367" s="1" t="s">
        <v>9609</v>
      </c>
      <c r="BQ2367" s="3"/>
      <c r="BR2367" s="3"/>
    </row>
    <row r="2368" spans="1:70">
      <c r="A2368" s="1" t="s">
        <v>25368</v>
      </c>
      <c r="B2368" s="1" t="s">
        <v>13846</v>
      </c>
      <c r="C2368" s="1" t="s">
        <v>25642</v>
      </c>
      <c r="D2368" s="1"/>
      <c r="E2368" s="1"/>
      <c r="F2368" s="1"/>
      <c r="G2368" s="1"/>
      <c r="H2368" s="1" t="s">
        <v>25643</v>
      </c>
      <c r="I2368" s="1" t="s">
        <v>25643</v>
      </c>
      <c r="J2368" s="1"/>
      <c r="K2368" s="1"/>
      <c r="L2368" s="1"/>
      <c r="M2368" s="1"/>
      <c r="N2368" s="1"/>
      <c r="O2368" s="1"/>
      <c r="P2368" s="1"/>
      <c r="Q2368" s="1"/>
      <c r="R2368" s="1"/>
      <c r="S2368" s="1"/>
      <c r="T2368" s="1"/>
      <c r="U2368" s="1"/>
      <c r="V2368" s="1"/>
      <c r="W2368" s="1"/>
      <c r="X2368" s="1"/>
      <c r="Y2368" s="1"/>
      <c r="Z2368" s="1"/>
      <c r="AA2368" s="1"/>
      <c r="AB2368" s="1"/>
      <c r="AC2368" s="1"/>
      <c r="AD2368" s="1" t="s">
        <v>93</v>
      </c>
      <c r="AE2368" s="1" t="s">
        <v>93</v>
      </c>
      <c r="AF2368" s="1"/>
      <c r="AG2368" s="1"/>
      <c r="AH2368" s="1"/>
      <c r="AI2368" s="1"/>
      <c r="AJ2368" s="1"/>
      <c r="AK2368" s="1"/>
      <c r="AL2368" s="1"/>
      <c r="AM2368" s="1"/>
      <c r="AN2368" s="1"/>
      <c r="AO2368" s="1"/>
      <c r="AP2368" s="1"/>
      <c r="AQ2368" s="1"/>
      <c r="AR2368" s="1"/>
      <c r="AS2368" s="1"/>
      <c r="AT2368" s="1"/>
      <c r="AU2368" s="1"/>
      <c r="AV2368" s="1"/>
      <c r="AW2368" s="1"/>
      <c r="AX2368" s="1"/>
      <c r="AY2368" s="1"/>
      <c r="AZ2368" s="1"/>
      <c r="BA2368" s="1"/>
      <c r="BB2368" s="1"/>
      <c r="BC2368" s="1"/>
      <c r="BD2368" s="1"/>
      <c r="BE2368" s="1"/>
      <c r="BF2368" s="1"/>
      <c r="BG2368" s="1"/>
      <c r="BH2368" s="1"/>
      <c r="BI2368" s="1"/>
      <c r="BJ2368" s="1"/>
      <c r="BK2368" s="1"/>
      <c r="BL2368" s="1"/>
      <c r="BM2368" s="1"/>
      <c r="BN2368" s="1"/>
      <c r="BO2368" s="1"/>
      <c r="BP2368" s="1" t="s">
        <v>9609</v>
      </c>
      <c r="BQ2368" s="3"/>
      <c r="BR2368" s="3"/>
    </row>
    <row r="2369" spans="1:70">
      <c r="A2369" s="1" t="s">
        <v>25368</v>
      </c>
      <c r="B2369" s="1" t="s">
        <v>13846</v>
      </c>
      <c r="C2369" s="1" t="s">
        <v>25644</v>
      </c>
      <c r="D2369" s="1"/>
      <c r="E2369" s="1"/>
      <c r="F2369" s="1"/>
      <c r="G2369" s="1"/>
      <c r="H2369" s="1" t="s">
        <v>25645</v>
      </c>
      <c r="I2369" s="1" t="s">
        <v>25645</v>
      </c>
      <c r="J2369" s="1"/>
      <c r="K2369" s="1"/>
      <c r="L2369" s="1"/>
      <c r="M2369" s="1"/>
      <c r="N2369" s="1"/>
      <c r="O2369" s="1"/>
      <c r="P2369" s="1"/>
      <c r="Q2369" s="1"/>
      <c r="R2369" s="1"/>
      <c r="S2369" s="1"/>
      <c r="T2369" s="1"/>
      <c r="U2369" s="1"/>
      <c r="V2369" s="1"/>
      <c r="W2369" s="1"/>
      <c r="X2369" s="1"/>
      <c r="Y2369" s="1"/>
      <c r="Z2369" s="1"/>
      <c r="AA2369" s="1"/>
      <c r="AB2369" s="1"/>
      <c r="AC2369" s="1"/>
      <c r="AD2369" s="1" t="s">
        <v>93</v>
      </c>
      <c r="AE2369" s="1" t="s">
        <v>93</v>
      </c>
      <c r="AF2369" s="1"/>
      <c r="AG2369" s="1"/>
      <c r="AH2369" s="1"/>
      <c r="AI2369" s="1"/>
      <c r="AJ2369" s="1"/>
      <c r="AK2369" s="1"/>
      <c r="AL2369" s="1"/>
      <c r="AM2369" s="1"/>
      <c r="AN2369" s="1"/>
      <c r="AO2369" s="1"/>
      <c r="AP2369" s="1"/>
      <c r="AQ2369" s="1"/>
      <c r="AR2369" s="1"/>
      <c r="AS2369" s="1"/>
      <c r="AT2369" s="1"/>
      <c r="AU2369" s="1"/>
      <c r="AV2369" s="1"/>
      <c r="AW2369" s="1"/>
      <c r="AX2369" s="1"/>
      <c r="AY2369" s="1"/>
      <c r="AZ2369" s="1"/>
      <c r="BA2369" s="1"/>
      <c r="BB2369" s="1"/>
      <c r="BC2369" s="1"/>
      <c r="BD2369" s="1"/>
      <c r="BE2369" s="1"/>
      <c r="BF2369" s="1"/>
      <c r="BG2369" s="1"/>
      <c r="BH2369" s="1"/>
      <c r="BI2369" s="1"/>
      <c r="BJ2369" s="1"/>
      <c r="BK2369" s="1"/>
      <c r="BL2369" s="1"/>
      <c r="BM2369" s="1"/>
      <c r="BN2369" s="1"/>
      <c r="BO2369" s="1"/>
      <c r="BP2369" s="1" t="s">
        <v>9609</v>
      </c>
      <c r="BQ2369" s="3"/>
      <c r="BR2369" s="3"/>
    </row>
    <row r="2370" spans="1:70">
      <c r="A2370" s="1" t="s">
        <v>25368</v>
      </c>
      <c r="B2370" s="1" t="s">
        <v>13846</v>
      </c>
      <c r="C2370" s="1" t="s">
        <v>25646</v>
      </c>
      <c r="D2370" s="1"/>
      <c r="E2370" s="1"/>
      <c r="F2370" s="1"/>
      <c r="G2370" s="1"/>
      <c r="H2370" s="1" t="s">
        <v>25647</v>
      </c>
      <c r="I2370" s="1" t="s">
        <v>25647</v>
      </c>
      <c r="J2370" s="1"/>
      <c r="K2370" s="1"/>
      <c r="L2370" s="1"/>
      <c r="M2370" s="1"/>
      <c r="N2370" s="1"/>
      <c r="O2370" s="1"/>
      <c r="P2370" s="1"/>
      <c r="Q2370" s="1"/>
      <c r="R2370" s="1"/>
      <c r="S2370" s="1"/>
      <c r="T2370" s="1"/>
      <c r="U2370" s="1"/>
      <c r="V2370" s="1"/>
      <c r="W2370" s="1"/>
      <c r="X2370" s="1"/>
      <c r="Y2370" s="1"/>
      <c r="Z2370" s="1"/>
      <c r="AA2370" s="1"/>
      <c r="AB2370" s="1"/>
      <c r="AC2370" s="1"/>
      <c r="AD2370" s="1" t="s">
        <v>93</v>
      </c>
      <c r="AE2370" s="1" t="s">
        <v>93</v>
      </c>
      <c r="AF2370" s="1"/>
      <c r="AG2370" s="1"/>
      <c r="AH2370" s="1"/>
      <c r="AI2370" s="1"/>
      <c r="AJ2370" s="1"/>
      <c r="AK2370" s="1"/>
      <c r="AL2370" s="1"/>
      <c r="AM2370" s="1"/>
      <c r="AN2370" s="1"/>
      <c r="AO2370" s="1"/>
      <c r="AP2370" s="1"/>
      <c r="AQ2370" s="1"/>
      <c r="AR2370" s="1"/>
      <c r="AS2370" s="1"/>
      <c r="AT2370" s="1"/>
      <c r="AU2370" s="1"/>
      <c r="AV2370" s="1"/>
      <c r="AW2370" s="1"/>
      <c r="AX2370" s="1"/>
      <c r="AY2370" s="1"/>
      <c r="AZ2370" s="1"/>
      <c r="BA2370" s="1"/>
      <c r="BB2370" s="1"/>
      <c r="BC2370" s="1"/>
      <c r="BD2370" s="1"/>
      <c r="BE2370" s="1"/>
      <c r="BF2370" s="1"/>
      <c r="BG2370" s="1"/>
      <c r="BH2370" s="1"/>
      <c r="BI2370" s="1"/>
      <c r="BJ2370" s="1"/>
      <c r="BK2370" s="1"/>
      <c r="BL2370" s="1"/>
      <c r="BM2370" s="1"/>
      <c r="BN2370" s="1"/>
      <c r="BO2370" s="1"/>
      <c r="BP2370" s="1" t="s">
        <v>9609</v>
      </c>
      <c r="BQ2370" s="3"/>
      <c r="BR2370" s="3"/>
    </row>
    <row r="2371" spans="1:70">
      <c r="A2371" s="1" t="s">
        <v>25368</v>
      </c>
      <c r="B2371" s="1" t="s">
        <v>13846</v>
      </c>
      <c r="C2371" s="1" t="s">
        <v>25648</v>
      </c>
      <c r="D2371" s="1"/>
      <c r="E2371" s="1"/>
      <c r="F2371" s="1"/>
      <c r="G2371" s="1"/>
      <c r="H2371" s="1" t="s">
        <v>25649</v>
      </c>
      <c r="I2371" s="1" t="s">
        <v>25649</v>
      </c>
      <c r="J2371" s="1"/>
      <c r="K2371" s="1"/>
      <c r="L2371" s="1"/>
      <c r="M2371" s="1"/>
      <c r="N2371" s="1"/>
      <c r="O2371" s="1"/>
      <c r="P2371" s="1"/>
      <c r="Q2371" s="1"/>
      <c r="R2371" s="1"/>
      <c r="S2371" s="1"/>
      <c r="T2371" s="1"/>
      <c r="U2371" s="1"/>
      <c r="V2371" s="1"/>
      <c r="W2371" s="1"/>
      <c r="X2371" s="1"/>
      <c r="Y2371" s="1"/>
      <c r="Z2371" s="1"/>
      <c r="AA2371" s="1"/>
      <c r="AB2371" s="1"/>
      <c r="AC2371" s="1"/>
      <c r="AD2371" s="1" t="s">
        <v>93</v>
      </c>
      <c r="AE2371" s="1" t="s">
        <v>93</v>
      </c>
      <c r="AF2371" s="1"/>
      <c r="AG2371" s="1"/>
      <c r="AH2371" s="1"/>
      <c r="AI2371" s="1"/>
      <c r="AJ2371" s="1"/>
      <c r="AK2371" s="1"/>
      <c r="AL2371" s="1"/>
      <c r="AM2371" s="1"/>
      <c r="AN2371" s="1"/>
      <c r="AO2371" s="1"/>
      <c r="AP2371" s="1"/>
      <c r="AQ2371" s="1"/>
      <c r="AR2371" s="1"/>
      <c r="AS2371" s="1"/>
      <c r="AT2371" s="1"/>
      <c r="AU2371" s="1"/>
      <c r="AV2371" s="1"/>
      <c r="AW2371" s="1"/>
      <c r="AX2371" s="1"/>
      <c r="AY2371" s="1"/>
      <c r="AZ2371" s="1"/>
      <c r="BA2371" s="1"/>
      <c r="BB2371" s="1"/>
      <c r="BC2371" s="1"/>
      <c r="BD2371" s="1"/>
      <c r="BE2371" s="1"/>
      <c r="BF2371" s="1"/>
      <c r="BG2371" s="1"/>
      <c r="BH2371" s="1"/>
      <c r="BI2371" s="1"/>
      <c r="BJ2371" s="1"/>
      <c r="BK2371" s="1"/>
      <c r="BL2371" s="1"/>
      <c r="BM2371" s="1"/>
      <c r="BN2371" s="1"/>
      <c r="BO2371" s="1"/>
      <c r="BP2371" s="1" t="s">
        <v>9609</v>
      </c>
      <c r="BQ2371" s="3"/>
      <c r="BR2371" s="3"/>
    </row>
    <row r="2372" spans="1:70">
      <c r="A2372" s="1" t="s">
        <v>25368</v>
      </c>
      <c r="B2372" s="1" t="s">
        <v>13846</v>
      </c>
      <c r="C2372" s="1" t="s">
        <v>25650</v>
      </c>
      <c r="D2372" s="1"/>
      <c r="E2372" s="1"/>
      <c r="F2372" s="1"/>
      <c r="G2372" s="1"/>
      <c r="H2372" s="1" t="s">
        <v>25651</v>
      </c>
      <c r="I2372" s="1" t="s">
        <v>25651</v>
      </c>
      <c r="J2372" s="1"/>
      <c r="K2372" s="1"/>
      <c r="L2372" s="1"/>
      <c r="M2372" s="1"/>
      <c r="N2372" s="1"/>
      <c r="O2372" s="1"/>
      <c r="P2372" s="1"/>
      <c r="Q2372" s="1"/>
      <c r="R2372" s="1"/>
      <c r="S2372" s="1"/>
      <c r="T2372" s="1"/>
      <c r="U2372" s="1"/>
      <c r="V2372" s="1"/>
      <c r="W2372" s="1"/>
      <c r="X2372" s="1"/>
      <c r="Y2372" s="1"/>
      <c r="Z2372" s="1"/>
      <c r="AA2372" s="1"/>
      <c r="AB2372" s="1"/>
      <c r="AC2372" s="1"/>
      <c r="AD2372" s="1" t="s">
        <v>93</v>
      </c>
      <c r="AE2372" s="1" t="s">
        <v>93</v>
      </c>
      <c r="AF2372" s="1"/>
      <c r="AG2372" s="1"/>
      <c r="AH2372" s="1"/>
      <c r="AI2372" s="1"/>
      <c r="AJ2372" s="1"/>
      <c r="AK2372" s="1"/>
      <c r="AL2372" s="1"/>
      <c r="AM2372" s="1"/>
      <c r="AN2372" s="1"/>
      <c r="AO2372" s="1"/>
      <c r="AP2372" s="1"/>
      <c r="AQ2372" s="1"/>
      <c r="AR2372" s="1"/>
      <c r="AS2372" s="1"/>
      <c r="AT2372" s="1"/>
      <c r="AU2372" s="1"/>
      <c r="AV2372" s="1"/>
      <c r="AW2372" s="1"/>
      <c r="AX2372" s="1"/>
      <c r="AY2372" s="1"/>
      <c r="AZ2372" s="1"/>
      <c r="BA2372" s="1"/>
      <c r="BB2372" s="1"/>
      <c r="BC2372" s="1"/>
      <c r="BD2372" s="1"/>
      <c r="BE2372" s="1"/>
      <c r="BF2372" s="1"/>
      <c r="BG2372" s="1"/>
      <c r="BH2372" s="1"/>
      <c r="BI2372" s="1"/>
      <c r="BJ2372" s="1"/>
      <c r="BK2372" s="1"/>
      <c r="BL2372" s="1"/>
      <c r="BM2372" s="1"/>
      <c r="BN2372" s="1"/>
      <c r="BO2372" s="1"/>
      <c r="BP2372" s="1" t="s">
        <v>9609</v>
      </c>
      <c r="BQ2372" s="3"/>
      <c r="BR2372" s="3"/>
    </row>
    <row r="2373" spans="1:70">
      <c r="A2373" s="1" t="s">
        <v>25368</v>
      </c>
      <c r="B2373" s="1" t="s">
        <v>13846</v>
      </c>
      <c r="C2373" s="1" t="s">
        <v>25652</v>
      </c>
      <c r="D2373" s="1"/>
      <c r="E2373" s="1"/>
      <c r="F2373" s="1"/>
      <c r="G2373" s="1"/>
      <c r="H2373" s="1" t="s">
        <v>25653</v>
      </c>
      <c r="I2373" s="1" t="s">
        <v>25653</v>
      </c>
      <c r="J2373" s="1"/>
      <c r="K2373" s="1"/>
      <c r="L2373" s="1"/>
      <c r="M2373" s="1"/>
      <c r="N2373" s="1"/>
      <c r="O2373" s="1"/>
      <c r="P2373" s="1"/>
      <c r="Q2373" s="1"/>
      <c r="R2373" s="1"/>
      <c r="S2373" s="1"/>
      <c r="T2373" s="1"/>
      <c r="U2373" s="1"/>
      <c r="V2373" s="1"/>
      <c r="W2373" s="1"/>
      <c r="X2373" s="1"/>
      <c r="Y2373" s="1"/>
      <c r="Z2373" s="1"/>
      <c r="AA2373" s="1"/>
      <c r="AB2373" s="1"/>
      <c r="AC2373" s="1"/>
      <c r="AD2373" s="1" t="s">
        <v>93</v>
      </c>
      <c r="AE2373" s="1" t="s">
        <v>93</v>
      </c>
      <c r="AF2373" s="1"/>
      <c r="AG2373" s="1"/>
      <c r="AH2373" s="1"/>
      <c r="AI2373" s="1"/>
      <c r="AJ2373" s="1"/>
      <c r="AK2373" s="1"/>
      <c r="AL2373" s="1"/>
      <c r="AM2373" s="1"/>
      <c r="AN2373" s="1"/>
      <c r="AO2373" s="1"/>
      <c r="AP2373" s="1"/>
      <c r="AQ2373" s="1"/>
      <c r="AR2373" s="1"/>
      <c r="AS2373" s="1"/>
      <c r="AT2373" s="1"/>
      <c r="AU2373" s="1"/>
      <c r="AV2373" s="1"/>
      <c r="AW2373" s="1"/>
      <c r="AX2373" s="1"/>
      <c r="AY2373" s="1"/>
      <c r="AZ2373" s="1"/>
      <c r="BA2373" s="1"/>
      <c r="BB2373" s="1"/>
      <c r="BC2373" s="1"/>
      <c r="BD2373" s="1"/>
      <c r="BE2373" s="1"/>
      <c r="BF2373" s="1"/>
      <c r="BG2373" s="1"/>
      <c r="BH2373" s="1"/>
      <c r="BI2373" s="1"/>
      <c r="BJ2373" s="1"/>
      <c r="BK2373" s="1"/>
      <c r="BL2373" s="1"/>
      <c r="BM2373" s="1"/>
      <c r="BN2373" s="1"/>
      <c r="BO2373" s="1"/>
      <c r="BP2373" s="1" t="s">
        <v>9609</v>
      </c>
      <c r="BQ2373" s="3"/>
      <c r="BR2373" s="3"/>
    </row>
    <row r="2374" spans="1:70">
      <c r="A2374" s="1" t="s">
        <v>25368</v>
      </c>
      <c r="B2374" s="1" t="s">
        <v>13846</v>
      </c>
      <c r="C2374" s="1" t="s">
        <v>25654</v>
      </c>
      <c r="D2374" s="1"/>
      <c r="E2374" s="1"/>
      <c r="F2374" s="1"/>
      <c r="G2374" s="1"/>
      <c r="H2374" s="1" t="s">
        <v>25655</v>
      </c>
      <c r="I2374" s="1" t="s">
        <v>25655</v>
      </c>
      <c r="J2374" s="1"/>
      <c r="K2374" s="1"/>
      <c r="L2374" s="1"/>
      <c r="M2374" s="1"/>
      <c r="N2374" s="1"/>
      <c r="O2374" s="1"/>
      <c r="P2374" s="1"/>
      <c r="Q2374" s="1"/>
      <c r="R2374" s="1"/>
      <c r="S2374" s="1"/>
      <c r="T2374" s="1"/>
      <c r="U2374" s="1"/>
      <c r="V2374" s="1"/>
      <c r="W2374" s="1"/>
      <c r="X2374" s="1"/>
      <c r="Y2374" s="1"/>
      <c r="Z2374" s="1"/>
      <c r="AA2374" s="1"/>
      <c r="AB2374" s="1"/>
      <c r="AC2374" s="1"/>
      <c r="AD2374" s="1" t="s">
        <v>93</v>
      </c>
      <c r="AE2374" s="1" t="s">
        <v>93</v>
      </c>
      <c r="AF2374" s="1"/>
      <c r="AG2374" s="1"/>
      <c r="AH2374" s="1"/>
      <c r="AI2374" s="1"/>
      <c r="AJ2374" s="1"/>
      <c r="AK2374" s="1"/>
      <c r="AL2374" s="1"/>
      <c r="AM2374" s="1"/>
      <c r="AN2374" s="1"/>
      <c r="AO2374" s="1"/>
      <c r="AP2374" s="1"/>
      <c r="AQ2374" s="1"/>
      <c r="AR2374" s="1"/>
      <c r="AS2374" s="1"/>
      <c r="AT2374" s="1"/>
      <c r="AU2374" s="1"/>
      <c r="AV2374" s="1"/>
      <c r="AW2374" s="1"/>
      <c r="AX2374" s="1"/>
      <c r="AY2374" s="1"/>
      <c r="AZ2374" s="1"/>
      <c r="BA2374" s="1"/>
      <c r="BB2374" s="1"/>
      <c r="BC2374" s="1"/>
      <c r="BD2374" s="1"/>
      <c r="BE2374" s="1"/>
      <c r="BF2374" s="1"/>
      <c r="BG2374" s="1"/>
      <c r="BH2374" s="1"/>
      <c r="BI2374" s="1"/>
      <c r="BJ2374" s="1"/>
      <c r="BK2374" s="1"/>
      <c r="BL2374" s="1"/>
      <c r="BM2374" s="1"/>
      <c r="BN2374" s="1"/>
      <c r="BO2374" s="1"/>
      <c r="BP2374" s="1" t="s">
        <v>9609</v>
      </c>
      <c r="BQ2374" s="3"/>
      <c r="BR2374" s="3"/>
    </row>
    <row r="2375" spans="1:70">
      <c r="A2375" s="1" t="s">
        <v>25368</v>
      </c>
      <c r="B2375" s="1" t="s">
        <v>13846</v>
      </c>
      <c r="C2375" s="1" t="s">
        <v>25656</v>
      </c>
      <c r="D2375" s="1"/>
      <c r="E2375" s="1"/>
      <c r="F2375" s="1"/>
      <c r="G2375" s="1"/>
      <c r="H2375" s="1" t="s">
        <v>25657</v>
      </c>
      <c r="I2375" s="1" t="s">
        <v>25657</v>
      </c>
      <c r="J2375" s="1"/>
      <c r="K2375" s="1"/>
      <c r="L2375" s="1"/>
      <c r="M2375" s="1"/>
      <c r="N2375" s="1"/>
      <c r="O2375" s="1"/>
      <c r="P2375" s="1"/>
      <c r="Q2375" s="1"/>
      <c r="R2375" s="1"/>
      <c r="S2375" s="1"/>
      <c r="T2375" s="1"/>
      <c r="U2375" s="1"/>
      <c r="V2375" s="1"/>
      <c r="W2375" s="1"/>
      <c r="X2375" s="1"/>
      <c r="Y2375" s="1"/>
      <c r="Z2375" s="1"/>
      <c r="AA2375" s="1"/>
      <c r="AB2375" s="1"/>
      <c r="AC2375" s="1"/>
      <c r="AD2375" s="1" t="s">
        <v>93</v>
      </c>
      <c r="AE2375" s="1" t="s">
        <v>93</v>
      </c>
      <c r="AF2375" s="1"/>
      <c r="AG2375" s="1"/>
      <c r="AH2375" s="1"/>
      <c r="AI2375" s="1"/>
      <c r="AJ2375" s="1"/>
      <c r="AK2375" s="1"/>
      <c r="AL2375" s="1"/>
      <c r="AM2375" s="1"/>
      <c r="AN2375" s="1"/>
      <c r="AO2375" s="1"/>
      <c r="AP2375" s="1"/>
      <c r="AQ2375" s="1"/>
      <c r="AR2375" s="1"/>
      <c r="AS2375" s="1"/>
      <c r="AT2375" s="1"/>
      <c r="AU2375" s="1"/>
      <c r="AV2375" s="1"/>
      <c r="AW2375" s="1"/>
      <c r="AX2375" s="1"/>
      <c r="AY2375" s="1"/>
      <c r="AZ2375" s="1"/>
      <c r="BA2375" s="1"/>
      <c r="BB2375" s="1"/>
      <c r="BC2375" s="1"/>
      <c r="BD2375" s="1"/>
      <c r="BE2375" s="1"/>
      <c r="BF2375" s="1"/>
      <c r="BG2375" s="1"/>
      <c r="BH2375" s="1"/>
      <c r="BI2375" s="1"/>
      <c r="BJ2375" s="1"/>
      <c r="BK2375" s="1"/>
      <c r="BL2375" s="1"/>
      <c r="BM2375" s="1"/>
      <c r="BN2375" s="1"/>
      <c r="BO2375" s="1"/>
      <c r="BP2375" s="1" t="s">
        <v>9609</v>
      </c>
      <c r="BQ2375" s="3"/>
      <c r="BR2375" s="3"/>
    </row>
    <row r="2376" spans="1:70">
      <c r="A2376" s="1" t="s">
        <v>25368</v>
      </c>
      <c r="B2376" s="1" t="s">
        <v>13846</v>
      </c>
      <c r="C2376" s="1" t="s">
        <v>25658</v>
      </c>
      <c r="D2376" s="1"/>
      <c r="E2376" s="1"/>
      <c r="F2376" s="1"/>
      <c r="G2376" s="1"/>
      <c r="H2376" s="1" t="s">
        <v>25659</v>
      </c>
      <c r="I2376" s="1" t="s">
        <v>25659</v>
      </c>
      <c r="J2376" s="1"/>
      <c r="K2376" s="1"/>
      <c r="L2376" s="1"/>
      <c r="M2376" s="1"/>
      <c r="N2376" s="1"/>
      <c r="O2376" s="1"/>
      <c r="P2376" s="1"/>
      <c r="Q2376" s="1"/>
      <c r="R2376" s="1"/>
      <c r="S2376" s="1"/>
      <c r="T2376" s="1"/>
      <c r="U2376" s="1"/>
      <c r="V2376" s="1"/>
      <c r="W2376" s="1"/>
      <c r="X2376" s="1"/>
      <c r="Y2376" s="1"/>
      <c r="Z2376" s="1"/>
      <c r="AA2376" s="1"/>
      <c r="AB2376" s="1"/>
      <c r="AC2376" s="1"/>
      <c r="AD2376" s="1" t="s">
        <v>93</v>
      </c>
      <c r="AE2376" s="1" t="s">
        <v>93</v>
      </c>
      <c r="AF2376" s="1"/>
      <c r="AG2376" s="1"/>
      <c r="AH2376" s="1"/>
      <c r="AI2376" s="1"/>
      <c r="AJ2376" s="1"/>
      <c r="AK2376" s="1"/>
      <c r="AL2376" s="1"/>
      <c r="AM2376" s="1"/>
      <c r="AN2376" s="1"/>
      <c r="AO2376" s="1"/>
      <c r="AP2376" s="1"/>
      <c r="AQ2376" s="1"/>
      <c r="AR2376" s="1"/>
      <c r="AS2376" s="1"/>
      <c r="AT2376" s="1"/>
      <c r="AU2376" s="1"/>
      <c r="AV2376" s="1"/>
      <c r="AW2376" s="1"/>
      <c r="AX2376" s="1"/>
      <c r="AY2376" s="1"/>
      <c r="AZ2376" s="1"/>
      <c r="BA2376" s="1"/>
      <c r="BB2376" s="1"/>
      <c r="BC2376" s="1"/>
      <c r="BD2376" s="1"/>
      <c r="BE2376" s="1"/>
      <c r="BF2376" s="1"/>
      <c r="BG2376" s="1"/>
      <c r="BH2376" s="1"/>
      <c r="BI2376" s="1"/>
      <c r="BJ2376" s="1"/>
      <c r="BK2376" s="1"/>
      <c r="BL2376" s="1"/>
      <c r="BM2376" s="1"/>
      <c r="BN2376" s="1"/>
      <c r="BO2376" s="1"/>
      <c r="BP2376" s="1" t="s">
        <v>9609</v>
      </c>
      <c r="BQ2376" s="3"/>
      <c r="BR2376" s="3"/>
    </row>
    <row r="2377" spans="1:70">
      <c r="A2377" s="1" t="s">
        <v>25368</v>
      </c>
      <c r="B2377" s="1" t="s">
        <v>13846</v>
      </c>
      <c r="C2377" s="1" t="s">
        <v>25660</v>
      </c>
      <c r="D2377" s="1"/>
      <c r="E2377" s="1"/>
      <c r="F2377" s="1"/>
      <c r="G2377" s="1"/>
      <c r="H2377" s="1" t="s">
        <v>25661</v>
      </c>
      <c r="I2377" s="1" t="s">
        <v>25661</v>
      </c>
      <c r="J2377" s="1"/>
      <c r="K2377" s="1"/>
      <c r="L2377" s="1"/>
      <c r="M2377" s="1"/>
      <c r="N2377" s="1"/>
      <c r="O2377" s="1"/>
      <c r="P2377" s="1"/>
      <c r="Q2377" s="1"/>
      <c r="R2377" s="1"/>
      <c r="S2377" s="1"/>
      <c r="T2377" s="1"/>
      <c r="U2377" s="1"/>
      <c r="V2377" s="1"/>
      <c r="W2377" s="1"/>
      <c r="X2377" s="1"/>
      <c r="Y2377" s="1"/>
      <c r="Z2377" s="1"/>
      <c r="AA2377" s="1"/>
      <c r="AB2377" s="1"/>
      <c r="AC2377" s="1"/>
      <c r="AD2377" s="1" t="s">
        <v>93</v>
      </c>
      <c r="AE2377" s="1" t="s">
        <v>93</v>
      </c>
      <c r="AF2377" s="1"/>
      <c r="AG2377" s="1"/>
      <c r="AH2377" s="1"/>
      <c r="AI2377" s="1"/>
      <c r="AJ2377" s="1"/>
      <c r="AK2377" s="1"/>
      <c r="AL2377" s="1"/>
      <c r="AM2377" s="1"/>
      <c r="AN2377" s="1"/>
      <c r="AO2377" s="1"/>
      <c r="AP2377" s="1"/>
      <c r="AQ2377" s="1"/>
      <c r="AR2377" s="1"/>
      <c r="AS2377" s="1"/>
      <c r="AT2377" s="1"/>
      <c r="AU2377" s="1"/>
      <c r="AV2377" s="1"/>
      <c r="AW2377" s="1"/>
      <c r="AX2377" s="1"/>
      <c r="AY2377" s="1"/>
      <c r="AZ2377" s="1"/>
      <c r="BA2377" s="1"/>
      <c r="BB2377" s="1"/>
      <c r="BC2377" s="1"/>
      <c r="BD2377" s="1"/>
      <c r="BE2377" s="1"/>
      <c r="BF2377" s="1"/>
      <c r="BG2377" s="1"/>
      <c r="BH2377" s="1"/>
      <c r="BI2377" s="1"/>
      <c r="BJ2377" s="1"/>
      <c r="BK2377" s="1"/>
      <c r="BL2377" s="1"/>
      <c r="BM2377" s="1"/>
      <c r="BN2377" s="1"/>
      <c r="BO2377" s="1"/>
      <c r="BP2377" s="1" t="s">
        <v>9609</v>
      </c>
      <c r="BQ2377" s="3"/>
      <c r="BR2377" s="3"/>
    </row>
    <row r="2378" spans="1:70">
      <c r="A2378" s="1" t="s">
        <v>25368</v>
      </c>
      <c r="B2378" s="1" t="s">
        <v>13846</v>
      </c>
      <c r="C2378" s="1" t="s">
        <v>25662</v>
      </c>
      <c r="D2378" s="1"/>
      <c r="E2378" s="1"/>
      <c r="F2378" s="1"/>
      <c r="G2378" s="1"/>
      <c r="H2378" s="1" t="s">
        <v>25663</v>
      </c>
      <c r="I2378" s="1" t="s">
        <v>25663</v>
      </c>
      <c r="J2378" s="1"/>
      <c r="K2378" s="1"/>
      <c r="L2378" s="1"/>
      <c r="M2378" s="1"/>
      <c r="N2378" s="1"/>
      <c r="O2378" s="1"/>
      <c r="P2378" s="1"/>
      <c r="Q2378" s="1"/>
      <c r="R2378" s="1"/>
      <c r="S2378" s="1"/>
      <c r="T2378" s="1"/>
      <c r="U2378" s="1"/>
      <c r="V2378" s="1"/>
      <c r="W2378" s="1"/>
      <c r="X2378" s="1"/>
      <c r="Y2378" s="1"/>
      <c r="Z2378" s="1"/>
      <c r="AA2378" s="1"/>
      <c r="AB2378" s="1"/>
      <c r="AC2378" s="1"/>
      <c r="AD2378" s="1" t="s">
        <v>93</v>
      </c>
      <c r="AE2378" s="1" t="s">
        <v>93</v>
      </c>
      <c r="AF2378" s="1"/>
      <c r="AG2378" s="1"/>
      <c r="AH2378" s="1"/>
      <c r="AI2378" s="1"/>
      <c r="AJ2378" s="1"/>
      <c r="AK2378" s="1"/>
      <c r="AL2378" s="1"/>
      <c r="AM2378" s="1"/>
      <c r="AN2378" s="1"/>
      <c r="AO2378" s="1"/>
      <c r="AP2378" s="1"/>
      <c r="AQ2378" s="1"/>
      <c r="AR2378" s="1"/>
      <c r="AS2378" s="1"/>
      <c r="AT2378" s="1"/>
      <c r="AU2378" s="1"/>
      <c r="AV2378" s="1"/>
      <c r="AW2378" s="1"/>
      <c r="AX2378" s="1"/>
      <c r="AY2378" s="1"/>
      <c r="AZ2378" s="1"/>
      <c r="BA2378" s="1"/>
      <c r="BB2378" s="1"/>
      <c r="BC2378" s="1"/>
      <c r="BD2378" s="1"/>
      <c r="BE2378" s="1"/>
      <c r="BF2378" s="1"/>
      <c r="BG2378" s="1"/>
      <c r="BH2378" s="1"/>
      <c r="BI2378" s="1"/>
      <c r="BJ2378" s="1"/>
      <c r="BK2378" s="1"/>
      <c r="BL2378" s="1"/>
      <c r="BM2378" s="1"/>
      <c r="BN2378" s="1"/>
      <c r="BO2378" s="1"/>
      <c r="BP2378" s="1" t="s">
        <v>9609</v>
      </c>
      <c r="BQ2378" s="3"/>
      <c r="BR2378" s="3"/>
    </row>
    <row r="2379" spans="1:70">
      <c r="A2379" s="1" t="s">
        <v>25368</v>
      </c>
      <c r="B2379" s="1" t="s">
        <v>13846</v>
      </c>
      <c r="C2379" s="1" t="s">
        <v>25664</v>
      </c>
      <c r="D2379" s="1"/>
      <c r="E2379" s="1"/>
      <c r="F2379" s="1"/>
      <c r="G2379" s="1"/>
      <c r="H2379" s="1" t="s">
        <v>25665</v>
      </c>
      <c r="I2379" s="1" t="s">
        <v>25665</v>
      </c>
      <c r="J2379" s="1"/>
      <c r="K2379" s="1"/>
      <c r="L2379" s="1"/>
      <c r="M2379" s="1"/>
      <c r="N2379" s="1"/>
      <c r="O2379" s="1"/>
      <c r="P2379" s="1"/>
      <c r="Q2379" s="1"/>
      <c r="R2379" s="1"/>
      <c r="S2379" s="1"/>
      <c r="T2379" s="1"/>
      <c r="U2379" s="1"/>
      <c r="V2379" s="1"/>
      <c r="W2379" s="1"/>
      <c r="X2379" s="1"/>
      <c r="Y2379" s="1"/>
      <c r="Z2379" s="1"/>
      <c r="AA2379" s="1"/>
      <c r="AB2379" s="1"/>
      <c r="AC2379" s="1"/>
      <c r="AD2379" s="1" t="s">
        <v>93</v>
      </c>
      <c r="AE2379" s="1" t="s">
        <v>93</v>
      </c>
      <c r="AF2379" s="1"/>
      <c r="AG2379" s="1"/>
      <c r="AH2379" s="1"/>
      <c r="AI2379" s="1"/>
      <c r="AJ2379" s="1"/>
      <c r="AK2379" s="1"/>
      <c r="AL2379" s="1"/>
      <c r="AM2379" s="1"/>
      <c r="AN2379" s="1"/>
      <c r="AO2379" s="1"/>
      <c r="AP2379" s="1"/>
      <c r="AQ2379" s="1"/>
      <c r="AR2379" s="1"/>
      <c r="AS2379" s="1"/>
      <c r="AT2379" s="1"/>
      <c r="AU2379" s="1"/>
      <c r="AV2379" s="1"/>
      <c r="AW2379" s="1"/>
      <c r="AX2379" s="1"/>
      <c r="AY2379" s="1"/>
      <c r="AZ2379" s="1"/>
      <c r="BA2379" s="1"/>
      <c r="BB2379" s="1"/>
      <c r="BC2379" s="1"/>
      <c r="BD2379" s="1"/>
      <c r="BE2379" s="1"/>
      <c r="BF2379" s="1"/>
      <c r="BG2379" s="1"/>
      <c r="BH2379" s="1"/>
      <c r="BI2379" s="1"/>
      <c r="BJ2379" s="1"/>
      <c r="BK2379" s="1"/>
      <c r="BL2379" s="1"/>
      <c r="BM2379" s="1"/>
      <c r="BN2379" s="1"/>
      <c r="BO2379" s="1"/>
      <c r="BP2379" s="1" t="s">
        <v>9609</v>
      </c>
      <c r="BQ2379" s="3"/>
      <c r="BR2379" s="3"/>
    </row>
    <row r="2380" spans="1:70">
      <c r="A2380" s="1" t="s">
        <v>19644</v>
      </c>
      <c r="B2380" s="1" t="s">
        <v>13846</v>
      </c>
      <c r="C2380" s="1" t="s">
        <v>25666</v>
      </c>
      <c r="D2380" s="1"/>
      <c r="E2380" s="1"/>
      <c r="F2380" s="1"/>
      <c r="G2380" s="1"/>
      <c r="H2380" s="1" t="s">
        <v>25667</v>
      </c>
      <c r="I2380" s="1" t="s">
        <v>25667</v>
      </c>
      <c r="J2380" s="1"/>
      <c r="K2380" s="1"/>
      <c r="L2380" s="1"/>
      <c r="M2380" s="1"/>
      <c r="N2380" s="1"/>
      <c r="O2380" s="1"/>
      <c r="P2380" s="1"/>
      <c r="Q2380" s="1"/>
      <c r="R2380" s="1"/>
      <c r="S2380" s="1"/>
      <c r="T2380" s="1"/>
      <c r="U2380" s="1"/>
      <c r="V2380" s="1"/>
      <c r="W2380" s="1"/>
      <c r="X2380" s="1"/>
      <c r="Y2380" s="1"/>
      <c r="Z2380" s="1"/>
      <c r="AA2380" s="1"/>
      <c r="AB2380" s="1"/>
      <c r="AC2380" s="1"/>
      <c r="AD2380" s="1" t="s">
        <v>93</v>
      </c>
      <c r="AE2380" s="1" t="s">
        <v>93</v>
      </c>
      <c r="AF2380" s="1"/>
      <c r="AG2380" s="1"/>
      <c r="AH2380" s="1"/>
      <c r="AI2380" s="1"/>
      <c r="AJ2380" s="1"/>
      <c r="AK2380" s="1"/>
      <c r="AL2380" s="1"/>
      <c r="AM2380" s="1"/>
      <c r="AN2380" s="1"/>
      <c r="AO2380" s="1"/>
      <c r="AP2380" s="1"/>
      <c r="AQ2380" s="1"/>
      <c r="AR2380" s="1"/>
      <c r="AS2380" s="1"/>
      <c r="AT2380" s="1"/>
      <c r="AU2380" s="1"/>
      <c r="AV2380" s="1"/>
      <c r="AW2380" s="1"/>
      <c r="AX2380" s="1"/>
      <c r="AY2380" s="1"/>
      <c r="AZ2380" s="1"/>
      <c r="BA2380" s="1"/>
      <c r="BB2380" s="1"/>
      <c r="BC2380" s="1"/>
      <c r="BD2380" s="1"/>
      <c r="BE2380" s="1"/>
      <c r="BF2380" s="1"/>
      <c r="BG2380" s="1"/>
      <c r="BH2380" s="1"/>
      <c r="BI2380" s="1"/>
      <c r="BJ2380" s="1"/>
      <c r="BK2380" s="1"/>
      <c r="BL2380" s="1"/>
      <c r="BM2380" s="1"/>
      <c r="BN2380" s="1"/>
      <c r="BO2380" s="1"/>
      <c r="BP2380" s="1" t="s">
        <v>9609</v>
      </c>
      <c r="BQ2380" s="3"/>
      <c r="BR2380" s="3"/>
    </row>
    <row r="2381" spans="1:70">
      <c r="A2381" s="1" t="s">
        <v>19644</v>
      </c>
      <c r="B2381" s="1" t="s">
        <v>13846</v>
      </c>
      <c r="C2381" s="1" t="s">
        <v>25668</v>
      </c>
      <c r="D2381" s="1"/>
      <c r="E2381" s="1"/>
      <c r="F2381" s="1"/>
      <c r="G2381" s="1"/>
      <c r="H2381" s="1" t="s">
        <v>25669</v>
      </c>
      <c r="I2381" s="1" t="s">
        <v>25669</v>
      </c>
      <c r="J2381" s="1"/>
      <c r="K2381" s="1"/>
      <c r="L2381" s="1"/>
      <c r="M2381" s="1"/>
      <c r="N2381" s="1"/>
      <c r="O2381" s="1"/>
      <c r="P2381" s="1"/>
      <c r="Q2381" s="1"/>
      <c r="R2381" s="1"/>
      <c r="S2381" s="1"/>
      <c r="T2381" s="1"/>
      <c r="U2381" s="1"/>
      <c r="V2381" s="1"/>
      <c r="W2381" s="1"/>
      <c r="X2381" s="1"/>
      <c r="Y2381" s="1"/>
      <c r="Z2381" s="1"/>
      <c r="AA2381" s="1"/>
      <c r="AB2381" s="1"/>
      <c r="AC2381" s="1"/>
      <c r="AD2381" s="1" t="s">
        <v>93</v>
      </c>
      <c r="AE2381" s="1" t="s">
        <v>93</v>
      </c>
      <c r="AF2381" s="1"/>
      <c r="AG2381" s="1"/>
      <c r="AH2381" s="1"/>
      <c r="AI2381" s="1"/>
      <c r="AJ2381" s="1"/>
      <c r="AK2381" s="1"/>
      <c r="AL2381" s="1"/>
      <c r="AM2381" s="1"/>
      <c r="AN2381" s="1"/>
      <c r="AO2381" s="1"/>
      <c r="AP2381" s="1"/>
      <c r="AQ2381" s="1"/>
      <c r="AR2381" s="1"/>
      <c r="AS2381" s="1"/>
      <c r="AT2381" s="1"/>
      <c r="AU2381" s="1"/>
      <c r="AV2381" s="1"/>
      <c r="AW2381" s="1"/>
      <c r="AX2381" s="1"/>
      <c r="AY2381" s="1"/>
      <c r="AZ2381" s="1"/>
      <c r="BA2381" s="1"/>
      <c r="BB2381" s="1"/>
      <c r="BC2381" s="1"/>
      <c r="BD2381" s="1"/>
      <c r="BE2381" s="1"/>
      <c r="BF2381" s="1"/>
      <c r="BG2381" s="1"/>
      <c r="BH2381" s="1"/>
      <c r="BI2381" s="1"/>
      <c r="BJ2381" s="1"/>
      <c r="BK2381" s="1"/>
      <c r="BL2381" s="1"/>
      <c r="BM2381" s="1"/>
      <c r="BN2381" s="1"/>
      <c r="BO2381" s="1"/>
      <c r="BP2381" s="1" t="s">
        <v>9609</v>
      </c>
      <c r="BQ2381" s="3"/>
      <c r="BR2381" s="3"/>
    </row>
    <row r="2382" spans="1:70">
      <c r="A2382" s="1" t="s">
        <v>19644</v>
      </c>
      <c r="B2382" s="1" t="s">
        <v>13846</v>
      </c>
      <c r="C2382" s="1" t="s">
        <v>25670</v>
      </c>
      <c r="D2382" s="1"/>
      <c r="E2382" s="1"/>
      <c r="F2382" s="1"/>
      <c r="G2382" s="1"/>
      <c r="H2382" s="1" t="s">
        <v>25671</v>
      </c>
      <c r="I2382" s="1" t="s">
        <v>25671</v>
      </c>
      <c r="J2382" s="1"/>
      <c r="K2382" s="1"/>
      <c r="L2382" s="1"/>
      <c r="M2382" s="1"/>
      <c r="N2382" s="1"/>
      <c r="O2382" s="1"/>
      <c r="P2382" s="1"/>
      <c r="Q2382" s="1"/>
      <c r="R2382" s="1"/>
      <c r="S2382" s="1"/>
      <c r="T2382" s="1"/>
      <c r="U2382" s="1"/>
      <c r="V2382" s="1"/>
      <c r="W2382" s="1"/>
      <c r="X2382" s="1"/>
      <c r="Y2382" s="1"/>
      <c r="Z2382" s="1"/>
      <c r="AA2382" s="1"/>
      <c r="AB2382" s="1"/>
      <c r="AC2382" s="1"/>
      <c r="AD2382" s="1" t="s">
        <v>93</v>
      </c>
      <c r="AE2382" s="1" t="s">
        <v>93</v>
      </c>
      <c r="AF2382" s="1"/>
      <c r="AG2382" s="1"/>
      <c r="AH2382" s="1"/>
      <c r="AI2382" s="1"/>
      <c r="AJ2382" s="1"/>
      <c r="AK2382" s="1"/>
      <c r="AL2382" s="1"/>
      <c r="AM2382" s="1"/>
      <c r="AN2382" s="1"/>
      <c r="AO2382" s="1"/>
      <c r="AP2382" s="1"/>
      <c r="AQ2382" s="1"/>
      <c r="AR2382" s="1"/>
      <c r="AS2382" s="1"/>
      <c r="AT2382" s="1"/>
      <c r="AU2382" s="1"/>
      <c r="AV2382" s="1"/>
      <c r="AW2382" s="1"/>
      <c r="AX2382" s="1"/>
      <c r="AY2382" s="1"/>
      <c r="AZ2382" s="1"/>
      <c r="BA2382" s="1"/>
      <c r="BB2382" s="1"/>
      <c r="BC2382" s="1"/>
      <c r="BD2382" s="1"/>
      <c r="BE2382" s="1"/>
      <c r="BF2382" s="1"/>
      <c r="BG2382" s="1"/>
      <c r="BH2382" s="1"/>
      <c r="BI2382" s="1"/>
      <c r="BJ2382" s="1"/>
      <c r="BK2382" s="1"/>
      <c r="BL2382" s="1"/>
      <c r="BM2382" s="1"/>
      <c r="BN2382" s="1"/>
      <c r="BO2382" s="1"/>
      <c r="BP2382" s="1" t="s">
        <v>9609</v>
      </c>
      <c r="BQ2382" s="3"/>
      <c r="BR2382" s="3"/>
    </row>
    <row r="2383" spans="1:70">
      <c r="A2383" s="1" t="s">
        <v>19644</v>
      </c>
      <c r="B2383" s="1" t="s">
        <v>13846</v>
      </c>
      <c r="C2383" s="1" t="s">
        <v>25672</v>
      </c>
      <c r="D2383" s="1"/>
      <c r="E2383" s="1"/>
      <c r="F2383" s="1"/>
      <c r="G2383" s="1"/>
      <c r="H2383" s="1" t="s">
        <v>25673</v>
      </c>
      <c r="I2383" s="1" t="s">
        <v>25673</v>
      </c>
      <c r="J2383" s="1"/>
      <c r="K2383" s="1"/>
      <c r="L2383" s="1"/>
      <c r="M2383" s="1"/>
      <c r="N2383" s="1"/>
      <c r="O2383" s="1"/>
      <c r="P2383" s="1"/>
      <c r="Q2383" s="1"/>
      <c r="R2383" s="1"/>
      <c r="S2383" s="1"/>
      <c r="T2383" s="1"/>
      <c r="U2383" s="1"/>
      <c r="V2383" s="1"/>
      <c r="W2383" s="1"/>
      <c r="X2383" s="1"/>
      <c r="Y2383" s="1"/>
      <c r="Z2383" s="1"/>
      <c r="AA2383" s="1"/>
      <c r="AB2383" s="1"/>
      <c r="AC2383" s="1"/>
      <c r="AD2383" s="1" t="s">
        <v>93</v>
      </c>
      <c r="AE2383" s="1" t="s">
        <v>93</v>
      </c>
      <c r="AF2383" s="1"/>
      <c r="AG2383" s="1"/>
      <c r="AH2383" s="1"/>
      <c r="AI2383" s="1"/>
      <c r="AJ2383" s="1"/>
      <c r="AK2383" s="1"/>
      <c r="AL2383" s="1"/>
      <c r="AM2383" s="1"/>
      <c r="AN2383" s="1"/>
      <c r="AO2383" s="1"/>
      <c r="AP2383" s="1"/>
      <c r="AQ2383" s="1"/>
      <c r="AR2383" s="1"/>
      <c r="AS2383" s="1"/>
      <c r="AT2383" s="1"/>
      <c r="AU2383" s="1"/>
      <c r="AV2383" s="1"/>
      <c r="AW2383" s="1"/>
      <c r="AX2383" s="1"/>
      <c r="AY2383" s="1"/>
      <c r="AZ2383" s="1"/>
      <c r="BA2383" s="1"/>
      <c r="BB2383" s="1"/>
      <c r="BC2383" s="1"/>
      <c r="BD2383" s="1"/>
      <c r="BE2383" s="1"/>
      <c r="BF2383" s="1"/>
      <c r="BG2383" s="1"/>
      <c r="BH2383" s="1"/>
      <c r="BI2383" s="1"/>
      <c r="BJ2383" s="1"/>
      <c r="BK2383" s="1"/>
      <c r="BL2383" s="1"/>
      <c r="BM2383" s="1"/>
      <c r="BN2383" s="1"/>
      <c r="BO2383" s="1"/>
      <c r="BP2383" s="1" t="s">
        <v>9609</v>
      </c>
      <c r="BQ2383" s="3"/>
      <c r="BR2383" s="3"/>
    </row>
    <row r="2384" spans="1:70">
      <c r="A2384" s="1" t="s">
        <v>19644</v>
      </c>
      <c r="B2384" s="1" t="s">
        <v>13846</v>
      </c>
      <c r="C2384" s="1" t="s">
        <v>25674</v>
      </c>
      <c r="D2384" s="1"/>
      <c r="E2384" s="1"/>
      <c r="F2384" s="1"/>
      <c r="G2384" s="1"/>
      <c r="H2384" s="1" t="s">
        <v>25675</v>
      </c>
      <c r="I2384" s="1" t="s">
        <v>25675</v>
      </c>
      <c r="J2384" s="1"/>
      <c r="K2384" s="1"/>
      <c r="L2384" s="1"/>
      <c r="M2384" s="1"/>
      <c r="N2384" s="1"/>
      <c r="O2384" s="1"/>
      <c r="P2384" s="1"/>
      <c r="Q2384" s="1"/>
      <c r="R2384" s="1"/>
      <c r="S2384" s="1"/>
      <c r="T2384" s="1"/>
      <c r="U2384" s="1"/>
      <c r="V2384" s="1"/>
      <c r="W2384" s="1"/>
      <c r="X2384" s="1"/>
      <c r="Y2384" s="1"/>
      <c r="Z2384" s="1"/>
      <c r="AA2384" s="1"/>
      <c r="AB2384" s="1"/>
      <c r="AC2384" s="1"/>
      <c r="AD2384" s="1" t="s">
        <v>93</v>
      </c>
      <c r="AE2384" s="1" t="s">
        <v>93</v>
      </c>
      <c r="AF2384" s="1"/>
      <c r="AG2384" s="1"/>
      <c r="AH2384" s="1"/>
      <c r="AI2384" s="1"/>
      <c r="AJ2384" s="1"/>
      <c r="AK2384" s="1"/>
      <c r="AL2384" s="1"/>
      <c r="AM2384" s="1"/>
      <c r="AN2384" s="1"/>
      <c r="AO2384" s="1"/>
      <c r="AP2384" s="1"/>
      <c r="AQ2384" s="1"/>
      <c r="AR2384" s="1"/>
      <c r="AS2384" s="1"/>
      <c r="AT2384" s="1"/>
      <c r="AU2384" s="1"/>
      <c r="AV2384" s="1"/>
      <c r="AW2384" s="1"/>
      <c r="AX2384" s="1"/>
      <c r="AY2384" s="1"/>
      <c r="AZ2384" s="1"/>
      <c r="BA2384" s="1"/>
      <c r="BB2384" s="1"/>
      <c r="BC2384" s="1"/>
      <c r="BD2384" s="1"/>
      <c r="BE2384" s="1"/>
      <c r="BF2384" s="1"/>
      <c r="BG2384" s="1"/>
      <c r="BH2384" s="1"/>
      <c r="BI2384" s="1"/>
      <c r="BJ2384" s="1"/>
      <c r="BK2384" s="1"/>
      <c r="BL2384" s="1"/>
      <c r="BM2384" s="1"/>
      <c r="BN2384" s="1"/>
      <c r="BO2384" s="1"/>
      <c r="BP2384" s="1" t="s">
        <v>9609</v>
      </c>
      <c r="BQ2384" s="3"/>
      <c r="BR2384" s="3"/>
    </row>
    <row r="2385" spans="1:70">
      <c r="A2385" s="1" t="s">
        <v>19644</v>
      </c>
      <c r="B2385" s="1" t="s">
        <v>13846</v>
      </c>
      <c r="C2385" s="1" t="s">
        <v>25676</v>
      </c>
      <c r="D2385" s="1"/>
      <c r="E2385" s="1"/>
      <c r="F2385" s="1"/>
      <c r="G2385" s="1"/>
      <c r="H2385" s="1" t="s">
        <v>25677</v>
      </c>
      <c r="I2385" s="1" t="s">
        <v>25677</v>
      </c>
      <c r="J2385" s="1"/>
      <c r="K2385" s="1"/>
      <c r="L2385" s="1"/>
      <c r="M2385" s="1"/>
      <c r="N2385" s="1"/>
      <c r="O2385" s="1"/>
      <c r="P2385" s="1"/>
      <c r="Q2385" s="1"/>
      <c r="R2385" s="1"/>
      <c r="S2385" s="1"/>
      <c r="T2385" s="1"/>
      <c r="U2385" s="1"/>
      <c r="V2385" s="1"/>
      <c r="W2385" s="1"/>
      <c r="X2385" s="1"/>
      <c r="Y2385" s="1"/>
      <c r="Z2385" s="1"/>
      <c r="AA2385" s="1"/>
      <c r="AB2385" s="1"/>
      <c r="AC2385" s="1"/>
      <c r="AD2385" s="1" t="s">
        <v>93</v>
      </c>
      <c r="AE2385" s="1" t="s">
        <v>93</v>
      </c>
      <c r="AF2385" s="1"/>
      <c r="AG2385" s="1"/>
      <c r="AH2385" s="1"/>
      <c r="AI2385" s="1"/>
      <c r="AJ2385" s="1"/>
      <c r="AK2385" s="1"/>
      <c r="AL2385" s="1"/>
      <c r="AM2385" s="1"/>
      <c r="AN2385" s="1"/>
      <c r="AO2385" s="1"/>
      <c r="AP2385" s="1"/>
      <c r="AQ2385" s="1"/>
      <c r="AR2385" s="1"/>
      <c r="AS2385" s="1"/>
      <c r="AT2385" s="1"/>
      <c r="AU2385" s="1"/>
      <c r="AV2385" s="1"/>
      <c r="AW2385" s="1"/>
      <c r="AX2385" s="1"/>
      <c r="AY2385" s="1"/>
      <c r="AZ2385" s="1"/>
      <c r="BA2385" s="1"/>
      <c r="BB2385" s="1"/>
      <c r="BC2385" s="1"/>
      <c r="BD2385" s="1"/>
      <c r="BE2385" s="1"/>
      <c r="BF2385" s="1"/>
      <c r="BG2385" s="1"/>
      <c r="BH2385" s="1"/>
      <c r="BI2385" s="1"/>
      <c r="BJ2385" s="1"/>
      <c r="BK2385" s="1"/>
      <c r="BL2385" s="1"/>
      <c r="BM2385" s="1"/>
      <c r="BN2385" s="1"/>
      <c r="BO2385" s="1"/>
      <c r="BP2385" s="1" t="s">
        <v>9609</v>
      </c>
      <c r="BQ2385" s="3"/>
      <c r="BR2385" s="3"/>
    </row>
    <row r="2386" spans="1:70">
      <c r="A2386" s="1" t="s">
        <v>19644</v>
      </c>
      <c r="B2386" s="1" t="s">
        <v>13846</v>
      </c>
      <c r="C2386" s="1" t="s">
        <v>25678</v>
      </c>
      <c r="D2386" s="1"/>
      <c r="E2386" s="1"/>
      <c r="F2386" s="1"/>
      <c r="G2386" s="1"/>
      <c r="H2386" s="1" t="s">
        <v>25679</v>
      </c>
      <c r="I2386" s="1" t="s">
        <v>25679</v>
      </c>
      <c r="J2386" s="1"/>
      <c r="K2386" s="1"/>
      <c r="L2386" s="1"/>
      <c r="M2386" s="1"/>
      <c r="N2386" s="1"/>
      <c r="O2386" s="1"/>
      <c r="P2386" s="1"/>
      <c r="Q2386" s="1"/>
      <c r="R2386" s="1"/>
      <c r="S2386" s="1"/>
      <c r="T2386" s="1"/>
      <c r="U2386" s="1"/>
      <c r="V2386" s="1"/>
      <c r="W2386" s="1"/>
      <c r="X2386" s="1"/>
      <c r="Y2386" s="1"/>
      <c r="Z2386" s="1"/>
      <c r="AA2386" s="1"/>
      <c r="AB2386" s="1"/>
      <c r="AC2386" s="1"/>
      <c r="AD2386" s="1" t="s">
        <v>93</v>
      </c>
      <c r="AE2386" s="1" t="s">
        <v>93</v>
      </c>
      <c r="AF2386" s="1"/>
      <c r="AG2386" s="1"/>
      <c r="AH2386" s="1"/>
      <c r="AI2386" s="1"/>
      <c r="AJ2386" s="1"/>
      <c r="AK2386" s="1"/>
      <c r="AL2386" s="1"/>
      <c r="AM2386" s="1"/>
      <c r="AN2386" s="1"/>
      <c r="AO2386" s="1"/>
      <c r="AP2386" s="1"/>
      <c r="AQ2386" s="1"/>
      <c r="AR2386" s="1"/>
      <c r="AS2386" s="1"/>
      <c r="AT2386" s="1"/>
      <c r="AU2386" s="1"/>
      <c r="AV2386" s="1"/>
      <c r="AW2386" s="1"/>
      <c r="AX2386" s="1"/>
      <c r="AY2386" s="1"/>
      <c r="AZ2386" s="1"/>
      <c r="BA2386" s="1"/>
      <c r="BB2386" s="1"/>
      <c r="BC2386" s="1"/>
      <c r="BD2386" s="1"/>
      <c r="BE2386" s="1"/>
      <c r="BF2386" s="1"/>
      <c r="BG2386" s="1"/>
      <c r="BH2386" s="1"/>
      <c r="BI2386" s="1"/>
      <c r="BJ2386" s="1"/>
      <c r="BK2386" s="1"/>
      <c r="BL2386" s="1"/>
      <c r="BM2386" s="1"/>
      <c r="BN2386" s="1"/>
      <c r="BO2386" s="1"/>
      <c r="BP2386" s="1" t="s">
        <v>9609</v>
      </c>
      <c r="BQ2386" s="3"/>
      <c r="BR2386" s="3"/>
    </row>
    <row r="2387" spans="1:70">
      <c r="A2387" s="1" t="s">
        <v>19644</v>
      </c>
      <c r="B2387" s="1" t="s">
        <v>13846</v>
      </c>
      <c r="C2387" s="1" t="s">
        <v>25680</v>
      </c>
      <c r="D2387" s="1"/>
      <c r="E2387" s="1"/>
      <c r="F2387" s="1"/>
      <c r="G2387" s="1"/>
      <c r="H2387" s="1" t="s">
        <v>25681</v>
      </c>
      <c r="I2387" s="1" t="s">
        <v>25681</v>
      </c>
      <c r="J2387" s="1"/>
      <c r="K2387" s="1"/>
      <c r="L2387" s="1"/>
      <c r="M2387" s="1"/>
      <c r="N2387" s="1"/>
      <c r="O2387" s="1"/>
      <c r="P2387" s="1"/>
      <c r="Q2387" s="1"/>
      <c r="R2387" s="1"/>
      <c r="S2387" s="1"/>
      <c r="T2387" s="1"/>
      <c r="U2387" s="1"/>
      <c r="V2387" s="1"/>
      <c r="W2387" s="1"/>
      <c r="X2387" s="1"/>
      <c r="Y2387" s="1"/>
      <c r="Z2387" s="1"/>
      <c r="AA2387" s="1"/>
      <c r="AB2387" s="1"/>
      <c r="AC2387" s="1"/>
      <c r="AD2387" s="1" t="s">
        <v>93</v>
      </c>
      <c r="AE2387" s="1" t="s">
        <v>93</v>
      </c>
      <c r="AF2387" s="1"/>
      <c r="AG2387" s="1"/>
      <c r="AH2387" s="1"/>
      <c r="AI2387" s="1"/>
      <c r="AJ2387" s="1"/>
      <c r="AK2387" s="1"/>
      <c r="AL2387" s="1"/>
      <c r="AM2387" s="1"/>
      <c r="AN2387" s="1"/>
      <c r="AO2387" s="1"/>
      <c r="AP2387" s="1"/>
      <c r="AQ2387" s="1"/>
      <c r="AR2387" s="1"/>
      <c r="AS2387" s="1"/>
      <c r="AT2387" s="1"/>
      <c r="AU2387" s="1"/>
      <c r="AV2387" s="1"/>
      <c r="AW2387" s="1"/>
      <c r="AX2387" s="1"/>
      <c r="AY2387" s="1"/>
      <c r="AZ2387" s="1"/>
      <c r="BA2387" s="1"/>
      <c r="BB2387" s="1"/>
      <c r="BC2387" s="1"/>
      <c r="BD2387" s="1"/>
      <c r="BE2387" s="1"/>
      <c r="BF2387" s="1"/>
      <c r="BG2387" s="1"/>
      <c r="BH2387" s="1"/>
      <c r="BI2387" s="1"/>
      <c r="BJ2387" s="1"/>
      <c r="BK2387" s="1"/>
      <c r="BL2387" s="1"/>
      <c r="BM2387" s="1"/>
      <c r="BN2387" s="1"/>
      <c r="BO2387" s="1"/>
      <c r="BP2387" s="1" t="s">
        <v>9609</v>
      </c>
      <c r="BQ2387" s="3"/>
      <c r="BR2387" s="3"/>
    </row>
    <row r="2388" spans="1:70">
      <c r="A2388" s="1" t="s">
        <v>19644</v>
      </c>
      <c r="B2388" s="1" t="s">
        <v>13846</v>
      </c>
      <c r="C2388" s="1" t="s">
        <v>25682</v>
      </c>
      <c r="D2388" s="1"/>
      <c r="E2388" s="1"/>
      <c r="F2388" s="1"/>
      <c r="G2388" s="1"/>
      <c r="H2388" s="1" t="s">
        <v>25683</v>
      </c>
      <c r="I2388" s="1" t="s">
        <v>25683</v>
      </c>
      <c r="J2388" s="1"/>
      <c r="K2388" s="1"/>
      <c r="L2388" s="1"/>
      <c r="M2388" s="1"/>
      <c r="N2388" s="1"/>
      <c r="O2388" s="1"/>
      <c r="P2388" s="1"/>
      <c r="Q2388" s="1"/>
      <c r="R2388" s="1"/>
      <c r="S2388" s="1"/>
      <c r="T2388" s="1"/>
      <c r="U2388" s="1"/>
      <c r="V2388" s="1"/>
      <c r="W2388" s="1"/>
      <c r="X2388" s="1"/>
      <c r="Y2388" s="1"/>
      <c r="Z2388" s="1"/>
      <c r="AA2388" s="1"/>
      <c r="AB2388" s="1"/>
      <c r="AC2388" s="1"/>
      <c r="AD2388" s="1" t="s">
        <v>93</v>
      </c>
      <c r="AE2388" s="1" t="s">
        <v>93</v>
      </c>
      <c r="AF2388" s="1"/>
      <c r="AG2388" s="1"/>
      <c r="AH2388" s="1"/>
      <c r="AI2388" s="1"/>
      <c r="AJ2388" s="1"/>
      <c r="AK2388" s="1"/>
      <c r="AL2388" s="1"/>
      <c r="AM2388" s="1"/>
      <c r="AN2388" s="1"/>
      <c r="AO2388" s="1"/>
      <c r="AP2388" s="1"/>
      <c r="AQ2388" s="1"/>
      <c r="AR2388" s="1"/>
      <c r="AS2388" s="1"/>
      <c r="AT2388" s="1"/>
      <c r="AU2388" s="1"/>
      <c r="AV2388" s="1"/>
      <c r="AW2388" s="1"/>
      <c r="AX2388" s="1"/>
      <c r="AY2388" s="1"/>
      <c r="AZ2388" s="1"/>
      <c r="BA2388" s="1"/>
      <c r="BB2388" s="1"/>
      <c r="BC2388" s="1"/>
      <c r="BD2388" s="1"/>
      <c r="BE2388" s="1"/>
      <c r="BF2388" s="1"/>
      <c r="BG2388" s="1"/>
      <c r="BH2388" s="1"/>
      <c r="BI2388" s="1"/>
      <c r="BJ2388" s="1"/>
      <c r="BK2388" s="1"/>
      <c r="BL2388" s="1"/>
      <c r="BM2388" s="1"/>
      <c r="BN2388" s="1"/>
      <c r="BO2388" s="1"/>
      <c r="BP2388" s="1" t="s">
        <v>9609</v>
      </c>
      <c r="BQ2388" s="3"/>
      <c r="BR2388" s="3"/>
    </row>
    <row r="2389" spans="1:70">
      <c r="A2389" s="1" t="s">
        <v>19644</v>
      </c>
      <c r="B2389" s="1" t="s">
        <v>13846</v>
      </c>
      <c r="C2389" s="1" t="s">
        <v>25684</v>
      </c>
      <c r="D2389" s="1"/>
      <c r="E2389" s="1"/>
      <c r="F2389" s="1"/>
      <c r="G2389" s="1"/>
      <c r="H2389" s="1" t="s">
        <v>25685</v>
      </c>
      <c r="I2389" s="1" t="s">
        <v>25685</v>
      </c>
      <c r="J2389" s="1"/>
      <c r="K2389" s="1"/>
      <c r="L2389" s="1"/>
      <c r="M2389" s="1"/>
      <c r="N2389" s="1"/>
      <c r="O2389" s="1"/>
      <c r="P2389" s="1"/>
      <c r="Q2389" s="1"/>
      <c r="R2389" s="1"/>
      <c r="S2389" s="1"/>
      <c r="T2389" s="1"/>
      <c r="U2389" s="1"/>
      <c r="V2389" s="1"/>
      <c r="W2389" s="1"/>
      <c r="X2389" s="1"/>
      <c r="Y2389" s="1"/>
      <c r="Z2389" s="1"/>
      <c r="AA2389" s="1"/>
      <c r="AB2389" s="1"/>
      <c r="AC2389" s="1"/>
      <c r="AD2389" s="1" t="s">
        <v>93</v>
      </c>
      <c r="AE2389" s="1" t="s">
        <v>93</v>
      </c>
      <c r="AF2389" s="1"/>
      <c r="AG2389" s="1"/>
      <c r="AH2389" s="1"/>
      <c r="AI2389" s="1"/>
      <c r="AJ2389" s="1"/>
      <c r="AK2389" s="1"/>
      <c r="AL2389" s="1"/>
      <c r="AM2389" s="1"/>
      <c r="AN2389" s="1"/>
      <c r="AO2389" s="1"/>
      <c r="AP2389" s="1"/>
      <c r="AQ2389" s="1"/>
      <c r="AR2389" s="1"/>
      <c r="AS2389" s="1"/>
      <c r="AT2389" s="1"/>
      <c r="AU2389" s="1"/>
      <c r="AV2389" s="1"/>
      <c r="AW2389" s="1"/>
      <c r="AX2389" s="1"/>
      <c r="AY2389" s="1"/>
      <c r="AZ2389" s="1"/>
      <c r="BA2389" s="1"/>
      <c r="BB2389" s="1"/>
      <c r="BC2389" s="1"/>
      <c r="BD2389" s="1"/>
      <c r="BE2389" s="1"/>
      <c r="BF2389" s="1"/>
      <c r="BG2389" s="1"/>
      <c r="BH2389" s="1"/>
      <c r="BI2389" s="1"/>
      <c r="BJ2389" s="1"/>
      <c r="BK2389" s="1"/>
      <c r="BL2389" s="1"/>
      <c r="BM2389" s="1"/>
      <c r="BN2389" s="1"/>
      <c r="BO2389" s="1"/>
      <c r="BP2389" s="1" t="s">
        <v>9609</v>
      </c>
      <c r="BQ2389" s="3"/>
      <c r="BR2389" s="3"/>
    </row>
    <row r="2390" spans="1:70">
      <c r="A2390" s="1" t="s">
        <v>19644</v>
      </c>
      <c r="B2390" s="1" t="s">
        <v>13846</v>
      </c>
      <c r="C2390" s="1" t="s">
        <v>25686</v>
      </c>
      <c r="D2390" s="1"/>
      <c r="E2390" s="1"/>
      <c r="F2390" s="1"/>
      <c r="G2390" s="1"/>
      <c r="H2390" s="1" t="s">
        <v>25687</v>
      </c>
      <c r="I2390" s="1" t="s">
        <v>25687</v>
      </c>
      <c r="J2390" s="1"/>
      <c r="K2390" s="1"/>
      <c r="L2390" s="1"/>
      <c r="M2390" s="1"/>
      <c r="N2390" s="1"/>
      <c r="O2390" s="1"/>
      <c r="P2390" s="1"/>
      <c r="Q2390" s="1"/>
      <c r="R2390" s="1"/>
      <c r="S2390" s="1"/>
      <c r="T2390" s="1"/>
      <c r="U2390" s="1"/>
      <c r="V2390" s="1"/>
      <c r="W2390" s="1"/>
      <c r="X2390" s="1"/>
      <c r="Y2390" s="1"/>
      <c r="Z2390" s="1"/>
      <c r="AA2390" s="1"/>
      <c r="AB2390" s="1"/>
      <c r="AC2390" s="1"/>
      <c r="AD2390" s="1" t="s">
        <v>93</v>
      </c>
      <c r="AE2390" s="1" t="s">
        <v>93</v>
      </c>
      <c r="AF2390" s="1"/>
      <c r="AG2390" s="1"/>
      <c r="AH2390" s="1"/>
      <c r="AI2390" s="1"/>
      <c r="AJ2390" s="1"/>
      <c r="AK2390" s="1"/>
      <c r="AL2390" s="1"/>
      <c r="AM2390" s="1"/>
      <c r="AN2390" s="1"/>
      <c r="AO2390" s="1"/>
      <c r="AP2390" s="1"/>
      <c r="AQ2390" s="1"/>
      <c r="AR2390" s="1"/>
      <c r="AS2390" s="1"/>
      <c r="AT2390" s="1"/>
      <c r="AU2390" s="1"/>
      <c r="AV2390" s="1"/>
      <c r="AW2390" s="1"/>
      <c r="AX2390" s="1"/>
      <c r="AY2390" s="1"/>
      <c r="AZ2390" s="1"/>
      <c r="BA2390" s="1"/>
      <c r="BB2390" s="1"/>
      <c r="BC2390" s="1"/>
      <c r="BD2390" s="1"/>
      <c r="BE2390" s="1"/>
      <c r="BF2390" s="1"/>
      <c r="BG2390" s="1"/>
      <c r="BH2390" s="1"/>
      <c r="BI2390" s="1"/>
      <c r="BJ2390" s="1"/>
      <c r="BK2390" s="1"/>
      <c r="BL2390" s="1"/>
      <c r="BM2390" s="1"/>
      <c r="BN2390" s="1"/>
      <c r="BO2390" s="1"/>
      <c r="BP2390" s="1" t="s">
        <v>9609</v>
      </c>
      <c r="BQ2390" s="3"/>
      <c r="BR2390" s="3"/>
    </row>
    <row r="2391" spans="1:70">
      <c r="A2391" s="1" t="s">
        <v>19644</v>
      </c>
      <c r="B2391" s="1" t="s">
        <v>13846</v>
      </c>
      <c r="C2391" s="1" t="s">
        <v>25688</v>
      </c>
      <c r="D2391" s="1"/>
      <c r="E2391" s="1"/>
      <c r="F2391" s="1"/>
      <c r="G2391" s="1"/>
      <c r="H2391" s="1" t="s">
        <v>25689</v>
      </c>
      <c r="I2391" s="1" t="s">
        <v>25689</v>
      </c>
      <c r="J2391" s="1"/>
      <c r="K2391" s="1"/>
      <c r="L2391" s="1"/>
      <c r="M2391" s="1"/>
      <c r="N2391" s="1"/>
      <c r="O2391" s="1"/>
      <c r="P2391" s="1"/>
      <c r="Q2391" s="1"/>
      <c r="R2391" s="1"/>
      <c r="S2391" s="1"/>
      <c r="T2391" s="1"/>
      <c r="U2391" s="1"/>
      <c r="V2391" s="1"/>
      <c r="W2391" s="1"/>
      <c r="X2391" s="1"/>
      <c r="Y2391" s="1"/>
      <c r="Z2391" s="1"/>
      <c r="AA2391" s="1"/>
      <c r="AB2391" s="1"/>
      <c r="AC2391" s="1"/>
      <c r="AD2391" s="1" t="s">
        <v>93</v>
      </c>
      <c r="AE2391" s="1" t="s">
        <v>93</v>
      </c>
      <c r="AF2391" s="1"/>
      <c r="AG2391" s="1"/>
      <c r="AH2391" s="1"/>
      <c r="AI2391" s="1"/>
      <c r="AJ2391" s="1"/>
      <c r="AK2391" s="1"/>
      <c r="AL2391" s="1"/>
      <c r="AM2391" s="1"/>
      <c r="AN2391" s="1"/>
      <c r="AO2391" s="1"/>
      <c r="AP2391" s="1"/>
      <c r="AQ2391" s="1"/>
      <c r="AR2391" s="1"/>
      <c r="AS2391" s="1"/>
      <c r="AT2391" s="1"/>
      <c r="AU2391" s="1"/>
      <c r="AV2391" s="1"/>
      <c r="AW2391" s="1"/>
      <c r="AX2391" s="1"/>
      <c r="AY2391" s="1"/>
      <c r="AZ2391" s="1"/>
      <c r="BA2391" s="1"/>
      <c r="BB2391" s="1"/>
      <c r="BC2391" s="1"/>
      <c r="BD2391" s="1"/>
      <c r="BE2391" s="1"/>
      <c r="BF2391" s="1"/>
      <c r="BG2391" s="1"/>
      <c r="BH2391" s="1"/>
      <c r="BI2391" s="1"/>
      <c r="BJ2391" s="1"/>
      <c r="BK2391" s="1"/>
      <c r="BL2391" s="1"/>
      <c r="BM2391" s="1"/>
      <c r="BN2391" s="1"/>
      <c r="BO2391" s="1"/>
      <c r="BP2391" s="1" t="s">
        <v>9609</v>
      </c>
      <c r="BQ2391" s="3"/>
      <c r="BR2391" s="3"/>
    </row>
    <row r="2392" spans="1:70">
      <c r="A2392" s="1" t="s">
        <v>19644</v>
      </c>
      <c r="B2392" s="1" t="s">
        <v>13846</v>
      </c>
      <c r="C2392" s="1" t="s">
        <v>25690</v>
      </c>
      <c r="D2392" s="1"/>
      <c r="E2392" s="1"/>
      <c r="F2392" s="1"/>
      <c r="G2392" s="1"/>
      <c r="H2392" s="1" t="s">
        <v>25691</v>
      </c>
      <c r="I2392" s="1" t="s">
        <v>25691</v>
      </c>
      <c r="J2392" s="1"/>
      <c r="K2392" s="1"/>
      <c r="L2392" s="1"/>
      <c r="M2392" s="1"/>
      <c r="N2392" s="1"/>
      <c r="O2392" s="1"/>
      <c r="P2392" s="1"/>
      <c r="Q2392" s="1"/>
      <c r="R2392" s="1"/>
      <c r="S2392" s="1"/>
      <c r="T2392" s="1"/>
      <c r="U2392" s="1"/>
      <c r="V2392" s="1"/>
      <c r="W2392" s="1"/>
      <c r="X2392" s="1"/>
      <c r="Y2392" s="1"/>
      <c r="Z2392" s="1"/>
      <c r="AA2392" s="1"/>
      <c r="AB2392" s="1"/>
      <c r="AC2392" s="1"/>
      <c r="AD2392" s="1" t="s">
        <v>93</v>
      </c>
      <c r="AE2392" s="1" t="s">
        <v>93</v>
      </c>
      <c r="AF2392" s="1"/>
      <c r="AG2392" s="1"/>
      <c r="AH2392" s="1"/>
      <c r="AI2392" s="1"/>
      <c r="AJ2392" s="1"/>
      <c r="AK2392" s="1"/>
      <c r="AL2392" s="1"/>
      <c r="AM2392" s="1"/>
      <c r="AN2392" s="1"/>
      <c r="AO2392" s="1"/>
      <c r="AP2392" s="1"/>
      <c r="AQ2392" s="1"/>
      <c r="AR2392" s="1"/>
      <c r="AS2392" s="1"/>
      <c r="AT2392" s="1"/>
      <c r="AU2392" s="1"/>
      <c r="AV2392" s="1"/>
      <c r="AW2392" s="1"/>
      <c r="AX2392" s="1"/>
      <c r="AY2392" s="1"/>
      <c r="AZ2392" s="1"/>
      <c r="BA2392" s="1"/>
      <c r="BB2392" s="1"/>
      <c r="BC2392" s="1"/>
      <c r="BD2392" s="1"/>
      <c r="BE2392" s="1"/>
      <c r="BF2392" s="1"/>
      <c r="BG2392" s="1"/>
      <c r="BH2392" s="1"/>
      <c r="BI2392" s="1"/>
      <c r="BJ2392" s="1"/>
      <c r="BK2392" s="1"/>
      <c r="BL2392" s="1"/>
      <c r="BM2392" s="1"/>
      <c r="BN2392" s="1"/>
      <c r="BO2392" s="1"/>
      <c r="BP2392" s="1" t="s">
        <v>9609</v>
      </c>
      <c r="BQ2392" s="3"/>
      <c r="BR2392" s="3"/>
    </row>
    <row r="2393" spans="1:70">
      <c r="A2393" s="1" t="s">
        <v>19644</v>
      </c>
      <c r="B2393" s="1" t="s">
        <v>13846</v>
      </c>
      <c r="C2393" s="1" t="s">
        <v>25692</v>
      </c>
      <c r="D2393" s="1"/>
      <c r="E2393" s="1"/>
      <c r="F2393" s="1"/>
      <c r="G2393" s="1"/>
      <c r="H2393" s="1" t="s">
        <v>25693</v>
      </c>
      <c r="I2393" s="1" t="s">
        <v>25693</v>
      </c>
      <c r="J2393" s="1"/>
      <c r="K2393" s="1"/>
      <c r="L2393" s="1"/>
      <c r="M2393" s="1"/>
      <c r="N2393" s="1"/>
      <c r="O2393" s="1"/>
      <c r="P2393" s="1"/>
      <c r="Q2393" s="1"/>
      <c r="R2393" s="1"/>
      <c r="S2393" s="1"/>
      <c r="T2393" s="1"/>
      <c r="U2393" s="1"/>
      <c r="V2393" s="1"/>
      <c r="W2393" s="1"/>
      <c r="X2393" s="1"/>
      <c r="Y2393" s="1"/>
      <c r="Z2393" s="1"/>
      <c r="AA2393" s="1"/>
      <c r="AB2393" s="1"/>
      <c r="AC2393" s="1"/>
      <c r="AD2393" s="1" t="s">
        <v>93</v>
      </c>
      <c r="AE2393" s="1" t="s">
        <v>93</v>
      </c>
      <c r="AF2393" s="1"/>
      <c r="AG2393" s="1"/>
      <c r="AH2393" s="1"/>
      <c r="AI2393" s="1"/>
      <c r="AJ2393" s="1"/>
      <c r="AK2393" s="1"/>
      <c r="AL2393" s="1"/>
      <c r="AM2393" s="1"/>
      <c r="AN2393" s="1"/>
      <c r="AO2393" s="1"/>
      <c r="AP2393" s="1"/>
      <c r="AQ2393" s="1"/>
      <c r="AR2393" s="1"/>
      <c r="AS2393" s="1"/>
      <c r="AT2393" s="1"/>
      <c r="AU2393" s="1"/>
      <c r="AV2393" s="1"/>
      <c r="AW2393" s="1"/>
      <c r="AX2393" s="1"/>
      <c r="AY2393" s="1"/>
      <c r="AZ2393" s="1"/>
      <c r="BA2393" s="1"/>
      <c r="BB2393" s="1"/>
      <c r="BC2393" s="1"/>
      <c r="BD2393" s="1"/>
      <c r="BE2393" s="1"/>
      <c r="BF2393" s="1"/>
      <c r="BG2393" s="1"/>
      <c r="BH2393" s="1"/>
      <c r="BI2393" s="1"/>
      <c r="BJ2393" s="1"/>
      <c r="BK2393" s="1"/>
      <c r="BL2393" s="1"/>
      <c r="BM2393" s="1"/>
      <c r="BN2393" s="1"/>
      <c r="BO2393" s="1"/>
      <c r="BP2393" s="1" t="s">
        <v>9609</v>
      </c>
      <c r="BQ2393" s="3"/>
      <c r="BR2393" s="3"/>
    </row>
    <row r="2394" spans="1:70">
      <c r="A2394" s="1" t="s">
        <v>19644</v>
      </c>
      <c r="B2394" s="1" t="s">
        <v>13846</v>
      </c>
      <c r="C2394" s="1" t="s">
        <v>25694</v>
      </c>
      <c r="D2394" s="1"/>
      <c r="E2394" s="1"/>
      <c r="F2394" s="1"/>
      <c r="G2394" s="1"/>
      <c r="H2394" s="1" t="s">
        <v>25695</v>
      </c>
      <c r="I2394" s="1" t="s">
        <v>25695</v>
      </c>
      <c r="J2394" s="1"/>
      <c r="K2394" s="1"/>
      <c r="L2394" s="1"/>
      <c r="M2394" s="1"/>
      <c r="N2394" s="1"/>
      <c r="O2394" s="1"/>
      <c r="P2394" s="1"/>
      <c r="Q2394" s="1"/>
      <c r="R2394" s="1"/>
      <c r="S2394" s="1"/>
      <c r="T2394" s="1"/>
      <c r="U2394" s="1"/>
      <c r="V2394" s="1"/>
      <c r="W2394" s="1"/>
      <c r="X2394" s="1"/>
      <c r="Y2394" s="1"/>
      <c r="Z2394" s="1"/>
      <c r="AA2394" s="1"/>
      <c r="AB2394" s="1"/>
      <c r="AC2394" s="1"/>
      <c r="AD2394" s="1" t="s">
        <v>93</v>
      </c>
      <c r="AE2394" s="1" t="s">
        <v>93</v>
      </c>
      <c r="AF2394" s="1"/>
      <c r="AG2394" s="1"/>
      <c r="AH2394" s="1"/>
      <c r="AI2394" s="1"/>
      <c r="AJ2394" s="1"/>
      <c r="AK2394" s="1"/>
      <c r="AL2394" s="1"/>
      <c r="AM2394" s="1"/>
      <c r="AN2394" s="1"/>
      <c r="AO2394" s="1"/>
      <c r="AP2394" s="1"/>
      <c r="AQ2394" s="1"/>
      <c r="AR2394" s="1"/>
      <c r="AS2394" s="1"/>
      <c r="AT2394" s="1"/>
      <c r="AU2394" s="1"/>
      <c r="AV2394" s="1"/>
      <c r="AW2394" s="1"/>
      <c r="AX2394" s="1"/>
      <c r="AY2394" s="1"/>
      <c r="AZ2394" s="1"/>
      <c r="BA2394" s="1"/>
      <c r="BB2394" s="1"/>
      <c r="BC2394" s="1"/>
      <c r="BD2394" s="1"/>
      <c r="BE2394" s="1"/>
      <c r="BF2394" s="1"/>
      <c r="BG2394" s="1"/>
      <c r="BH2394" s="1"/>
      <c r="BI2394" s="1"/>
      <c r="BJ2394" s="1"/>
      <c r="BK2394" s="1"/>
      <c r="BL2394" s="1"/>
      <c r="BM2394" s="1"/>
      <c r="BN2394" s="1"/>
      <c r="BO2394" s="1"/>
      <c r="BP2394" s="1" t="s">
        <v>9609</v>
      </c>
      <c r="BQ2394" s="3"/>
      <c r="BR2394" s="3"/>
    </row>
    <row r="2395" spans="1:70">
      <c r="A2395" s="1" t="s">
        <v>19644</v>
      </c>
      <c r="B2395" s="1" t="s">
        <v>13846</v>
      </c>
      <c r="C2395" s="1" t="s">
        <v>25696</v>
      </c>
      <c r="D2395" s="1"/>
      <c r="E2395" s="1"/>
      <c r="F2395" s="1"/>
      <c r="G2395" s="1"/>
      <c r="H2395" s="1" t="s">
        <v>25697</v>
      </c>
      <c r="I2395" s="1" t="s">
        <v>25697</v>
      </c>
      <c r="J2395" s="1"/>
      <c r="K2395" s="1"/>
      <c r="L2395" s="1"/>
      <c r="M2395" s="1"/>
      <c r="N2395" s="1"/>
      <c r="O2395" s="1"/>
      <c r="P2395" s="1"/>
      <c r="Q2395" s="1"/>
      <c r="R2395" s="1"/>
      <c r="S2395" s="1"/>
      <c r="T2395" s="1"/>
      <c r="U2395" s="1"/>
      <c r="V2395" s="1"/>
      <c r="W2395" s="1"/>
      <c r="X2395" s="1"/>
      <c r="Y2395" s="1"/>
      <c r="Z2395" s="1"/>
      <c r="AA2395" s="1"/>
      <c r="AB2395" s="1"/>
      <c r="AC2395" s="1"/>
      <c r="AD2395" s="1" t="s">
        <v>93</v>
      </c>
      <c r="AE2395" s="1" t="s">
        <v>93</v>
      </c>
      <c r="AF2395" s="1"/>
      <c r="AG2395" s="1"/>
      <c r="AH2395" s="1"/>
      <c r="AI2395" s="1"/>
      <c r="AJ2395" s="1"/>
      <c r="AK2395" s="1"/>
      <c r="AL2395" s="1"/>
      <c r="AM2395" s="1"/>
      <c r="AN2395" s="1"/>
      <c r="AO2395" s="1"/>
      <c r="AP2395" s="1"/>
      <c r="AQ2395" s="1"/>
      <c r="AR2395" s="1"/>
      <c r="AS2395" s="1"/>
      <c r="AT2395" s="1"/>
      <c r="AU2395" s="1"/>
      <c r="AV2395" s="1"/>
      <c r="AW2395" s="1"/>
      <c r="AX2395" s="1"/>
      <c r="AY2395" s="1"/>
      <c r="AZ2395" s="1"/>
      <c r="BA2395" s="1"/>
      <c r="BB2395" s="1"/>
      <c r="BC2395" s="1"/>
      <c r="BD2395" s="1"/>
      <c r="BE2395" s="1"/>
      <c r="BF2395" s="1"/>
      <c r="BG2395" s="1"/>
      <c r="BH2395" s="1"/>
      <c r="BI2395" s="1"/>
      <c r="BJ2395" s="1"/>
      <c r="BK2395" s="1"/>
      <c r="BL2395" s="1"/>
      <c r="BM2395" s="1"/>
      <c r="BN2395" s="1"/>
      <c r="BO2395" s="1"/>
      <c r="BP2395" s="1" t="s">
        <v>9609</v>
      </c>
      <c r="BQ2395" s="3"/>
      <c r="BR2395" s="3"/>
    </row>
    <row r="2396" spans="1:70">
      <c r="A2396" s="1" t="s">
        <v>19644</v>
      </c>
      <c r="B2396" s="1" t="s">
        <v>13846</v>
      </c>
      <c r="C2396" s="1" t="s">
        <v>25698</v>
      </c>
      <c r="D2396" s="1"/>
      <c r="E2396" s="1"/>
      <c r="F2396" s="1"/>
      <c r="G2396" s="1"/>
      <c r="H2396" s="1" t="s">
        <v>25699</v>
      </c>
      <c r="I2396" s="1" t="s">
        <v>25699</v>
      </c>
      <c r="J2396" s="1"/>
      <c r="K2396" s="1"/>
      <c r="L2396" s="1"/>
      <c r="M2396" s="1"/>
      <c r="N2396" s="1"/>
      <c r="O2396" s="1"/>
      <c r="P2396" s="1"/>
      <c r="Q2396" s="1"/>
      <c r="R2396" s="1"/>
      <c r="S2396" s="1"/>
      <c r="T2396" s="1"/>
      <c r="U2396" s="1"/>
      <c r="V2396" s="1"/>
      <c r="W2396" s="1"/>
      <c r="X2396" s="1"/>
      <c r="Y2396" s="1"/>
      <c r="Z2396" s="1"/>
      <c r="AA2396" s="1"/>
      <c r="AB2396" s="1"/>
      <c r="AC2396" s="1"/>
      <c r="AD2396" s="1" t="s">
        <v>93</v>
      </c>
      <c r="AE2396" s="1" t="s">
        <v>93</v>
      </c>
      <c r="AF2396" s="1"/>
      <c r="AG2396" s="1"/>
      <c r="AH2396" s="1"/>
      <c r="AI2396" s="1"/>
      <c r="AJ2396" s="1"/>
      <c r="AK2396" s="1"/>
      <c r="AL2396" s="1"/>
      <c r="AM2396" s="1"/>
      <c r="AN2396" s="1"/>
      <c r="AO2396" s="1"/>
      <c r="AP2396" s="1"/>
      <c r="AQ2396" s="1"/>
      <c r="AR2396" s="1"/>
      <c r="AS2396" s="1"/>
      <c r="AT2396" s="1"/>
      <c r="AU2396" s="1"/>
      <c r="AV2396" s="1"/>
      <c r="AW2396" s="1"/>
      <c r="AX2396" s="1"/>
      <c r="AY2396" s="1"/>
      <c r="AZ2396" s="1"/>
      <c r="BA2396" s="1"/>
      <c r="BB2396" s="1"/>
      <c r="BC2396" s="1"/>
      <c r="BD2396" s="1"/>
      <c r="BE2396" s="1"/>
      <c r="BF2396" s="1"/>
      <c r="BG2396" s="1"/>
      <c r="BH2396" s="1"/>
      <c r="BI2396" s="1"/>
      <c r="BJ2396" s="1"/>
      <c r="BK2396" s="1"/>
      <c r="BL2396" s="1"/>
      <c r="BM2396" s="1"/>
      <c r="BN2396" s="1"/>
      <c r="BO2396" s="1"/>
      <c r="BP2396" s="1" t="s">
        <v>9609</v>
      </c>
      <c r="BQ2396" s="3"/>
      <c r="BR2396" s="3"/>
    </row>
    <row r="2397" spans="1:70">
      <c r="A2397" s="1" t="s">
        <v>19644</v>
      </c>
      <c r="B2397" s="1" t="s">
        <v>13846</v>
      </c>
      <c r="C2397" s="1" t="s">
        <v>25700</v>
      </c>
      <c r="D2397" s="1"/>
      <c r="E2397" s="1"/>
      <c r="F2397" s="1"/>
      <c r="G2397" s="1"/>
      <c r="H2397" s="1" t="s">
        <v>25701</v>
      </c>
      <c r="I2397" s="1" t="s">
        <v>25701</v>
      </c>
      <c r="J2397" s="1"/>
      <c r="K2397" s="1"/>
      <c r="L2397" s="1"/>
      <c r="M2397" s="1"/>
      <c r="N2397" s="1"/>
      <c r="O2397" s="1"/>
      <c r="P2397" s="1"/>
      <c r="Q2397" s="1"/>
      <c r="R2397" s="1"/>
      <c r="S2397" s="1"/>
      <c r="T2397" s="1"/>
      <c r="U2397" s="1"/>
      <c r="V2397" s="1"/>
      <c r="W2397" s="1"/>
      <c r="X2397" s="1"/>
      <c r="Y2397" s="1"/>
      <c r="Z2397" s="1"/>
      <c r="AA2397" s="1"/>
      <c r="AB2397" s="1"/>
      <c r="AC2397" s="1"/>
      <c r="AD2397" s="1" t="s">
        <v>93</v>
      </c>
      <c r="AE2397" s="1" t="s">
        <v>93</v>
      </c>
      <c r="AF2397" s="1"/>
      <c r="AG2397" s="1"/>
      <c r="AH2397" s="1"/>
      <c r="AI2397" s="1"/>
      <c r="AJ2397" s="1"/>
      <c r="AK2397" s="1"/>
      <c r="AL2397" s="1"/>
      <c r="AM2397" s="1"/>
      <c r="AN2397" s="1"/>
      <c r="AO2397" s="1"/>
      <c r="AP2397" s="1"/>
      <c r="AQ2397" s="1"/>
      <c r="AR2397" s="1"/>
      <c r="AS2397" s="1"/>
      <c r="AT2397" s="1"/>
      <c r="AU2397" s="1"/>
      <c r="AV2397" s="1"/>
      <c r="AW2397" s="1"/>
      <c r="AX2397" s="1"/>
      <c r="AY2397" s="1"/>
      <c r="AZ2397" s="1"/>
      <c r="BA2397" s="1"/>
      <c r="BB2397" s="1"/>
      <c r="BC2397" s="1"/>
      <c r="BD2397" s="1"/>
      <c r="BE2397" s="1"/>
      <c r="BF2397" s="1"/>
      <c r="BG2397" s="1"/>
      <c r="BH2397" s="1"/>
      <c r="BI2397" s="1"/>
      <c r="BJ2397" s="1"/>
      <c r="BK2397" s="1"/>
      <c r="BL2397" s="1"/>
      <c r="BM2397" s="1"/>
      <c r="BN2397" s="1"/>
      <c r="BO2397" s="1"/>
      <c r="BP2397" s="1" t="s">
        <v>9609</v>
      </c>
      <c r="BQ2397" s="3"/>
      <c r="BR2397" s="3"/>
    </row>
    <row r="2398" spans="1:70">
      <c r="A2398" s="1" t="s">
        <v>19644</v>
      </c>
      <c r="B2398" s="1" t="s">
        <v>13846</v>
      </c>
      <c r="C2398" s="1" t="s">
        <v>25702</v>
      </c>
      <c r="D2398" s="1"/>
      <c r="E2398" s="1"/>
      <c r="F2398" s="1"/>
      <c r="G2398" s="1"/>
      <c r="H2398" s="1" t="s">
        <v>25703</v>
      </c>
      <c r="I2398" s="1" t="s">
        <v>25703</v>
      </c>
      <c r="J2398" s="1"/>
      <c r="K2398" s="1"/>
      <c r="L2398" s="1"/>
      <c r="M2398" s="1"/>
      <c r="N2398" s="1"/>
      <c r="O2398" s="1"/>
      <c r="P2398" s="1"/>
      <c r="Q2398" s="1"/>
      <c r="R2398" s="1"/>
      <c r="S2398" s="1"/>
      <c r="T2398" s="1"/>
      <c r="U2398" s="1"/>
      <c r="V2398" s="1"/>
      <c r="W2398" s="1"/>
      <c r="X2398" s="1"/>
      <c r="Y2398" s="1"/>
      <c r="Z2398" s="1"/>
      <c r="AA2398" s="1"/>
      <c r="AB2398" s="1"/>
      <c r="AC2398" s="1"/>
      <c r="AD2398" s="1" t="s">
        <v>93</v>
      </c>
      <c r="AE2398" s="1" t="s">
        <v>93</v>
      </c>
      <c r="AF2398" s="1"/>
      <c r="AG2398" s="1"/>
      <c r="AH2398" s="1"/>
      <c r="AI2398" s="1"/>
      <c r="AJ2398" s="1"/>
      <c r="AK2398" s="1"/>
      <c r="AL2398" s="1"/>
      <c r="AM2398" s="1"/>
      <c r="AN2398" s="1"/>
      <c r="AO2398" s="1"/>
      <c r="AP2398" s="1"/>
      <c r="AQ2398" s="1"/>
      <c r="AR2398" s="1"/>
      <c r="AS2398" s="1"/>
      <c r="AT2398" s="1"/>
      <c r="AU2398" s="1"/>
      <c r="AV2398" s="1"/>
      <c r="AW2398" s="1"/>
      <c r="AX2398" s="1"/>
      <c r="AY2398" s="1"/>
      <c r="AZ2398" s="1"/>
      <c r="BA2398" s="1"/>
      <c r="BB2398" s="1"/>
      <c r="BC2398" s="1"/>
      <c r="BD2398" s="1"/>
      <c r="BE2398" s="1"/>
      <c r="BF2398" s="1"/>
      <c r="BG2398" s="1"/>
      <c r="BH2398" s="1"/>
      <c r="BI2398" s="1"/>
      <c r="BJ2398" s="1"/>
      <c r="BK2398" s="1"/>
      <c r="BL2398" s="1"/>
      <c r="BM2398" s="1"/>
      <c r="BN2398" s="1"/>
      <c r="BO2398" s="1"/>
      <c r="BP2398" s="1" t="s">
        <v>9609</v>
      </c>
      <c r="BQ2398" s="3"/>
      <c r="BR2398" s="3"/>
    </row>
    <row r="2399" spans="1:70">
      <c r="A2399" s="1" t="s">
        <v>19644</v>
      </c>
      <c r="B2399" s="1" t="s">
        <v>13846</v>
      </c>
      <c r="C2399" s="1" t="s">
        <v>25704</v>
      </c>
      <c r="D2399" s="1"/>
      <c r="E2399" s="1"/>
      <c r="F2399" s="1"/>
      <c r="G2399" s="1"/>
      <c r="H2399" s="1" t="s">
        <v>25705</v>
      </c>
      <c r="I2399" s="1" t="s">
        <v>25705</v>
      </c>
      <c r="J2399" s="1"/>
      <c r="K2399" s="1"/>
      <c r="L2399" s="1"/>
      <c r="M2399" s="1"/>
      <c r="N2399" s="1"/>
      <c r="O2399" s="1"/>
      <c r="P2399" s="1"/>
      <c r="Q2399" s="1"/>
      <c r="R2399" s="1"/>
      <c r="S2399" s="1"/>
      <c r="T2399" s="1"/>
      <c r="U2399" s="1"/>
      <c r="V2399" s="1"/>
      <c r="W2399" s="1"/>
      <c r="X2399" s="1"/>
      <c r="Y2399" s="1"/>
      <c r="Z2399" s="1"/>
      <c r="AA2399" s="1"/>
      <c r="AB2399" s="1"/>
      <c r="AC2399" s="1"/>
      <c r="AD2399" s="1" t="s">
        <v>93</v>
      </c>
      <c r="AE2399" s="1" t="s">
        <v>93</v>
      </c>
      <c r="AF2399" s="1"/>
      <c r="AG2399" s="1"/>
      <c r="AH2399" s="1"/>
      <c r="AI2399" s="1"/>
      <c r="AJ2399" s="1"/>
      <c r="AK2399" s="1"/>
      <c r="AL2399" s="1"/>
      <c r="AM2399" s="1"/>
      <c r="AN2399" s="1"/>
      <c r="AO2399" s="1"/>
      <c r="AP2399" s="1"/>
      <c r="AQ2399" s="1"/>
      <c r="AR2399" s="1"/>
      <c r="AS2399" s="1"/>
      <c r="AT2399" s="1"/>
      <c r="AU2399" s="1"/>
      <c r="AV2399" s="1"/>
      <c r="AW2399" s="1"/>
      <c r="AX2399" s="1"/>
      <c r="AY2399" s="1"/>
      <c r="AZ2399" s="1"/>
      <c r="BA2399" s="1"/>
      <c r="BB2399" s="1"/>
      <c r="BC2399" s="1"/>
      <c r="BD2399" s="1"/>
      <c r="BE2399" s="1"/>
      <c r="BF2399" s="1"/>
      <c r="BG2399" s="1"/>
      <c r="BH2399" s="1"/>
      <c r="BI2399" s="1"/>
      <c r="BJ2399" s="1"/>
      <c r="BK2399" s="1"/>
      <c r="BL2399" s="1"/>
      <c r="BM2399" s="1"/>
      <c r="BN2399" s="1"/>
      <c r="BO2399" s="1"/>
      <c r="BP2399" s="1" t="s">
        <v>9609</v>
      </c>
      <c r="BQ2399" s="3"/>
      <c r="BR2399" s="3"/>
    </row>
    <row r="2400" spans="1:70">
      <c r="A2400" s="1" t="s">
        <v>19644</v>
      </c>
      <c r="B2400" s="1" t="s">
        <v>13846</v>
      </c>
      <c r="C2400" s="1" t="s">
        <v>25706</v>
      </c>
      <c r="D2400" s="1"/>
      <c r="E2400" s="1"/>
      <c r="F2400" s="1"/>
      <c r="G2400" s="1"/>
      <c r="H2400" s="1" t="s">
        <v>25707</v>
      </c>
      <c r="I2400" s="1" t="s">
        <v>25707</v>
      </c>
      <c r="J2400" s="1"/>
      <c r="K2400" s="1"/>
      <c r="L2400" s="1"/>
      <c r="M2400" s="1"/>
      <c r="N2400" s="1"/>
      <c r="O2400" s="1"/>
      <c r="P2400" s="1"/>
      <c r="Q2400" s="1"/>
      <c r="R2400" s="1"/>
      <c r="S2400" s="1"/>
      <c r="T2400" s="1"/>
      <c r="U2400" s="1"/>
      <c r="V2400" s="1"/>
      <c r="W2400" s="1"/>
      <c r="X2400" s="1"/>
      <c r="Y2400" s="1"/>
      <c r="Z2400" s="1"/>
      <c r="AA2400" s="1"/>
      <c r="AB2400" s="1"/>
      <c r="AC2400" s="1"/>
      <c r="AD2400" s="1" t="s">
        <v>93</v>
      </c>
      <c r="AE2400" s="1" t="s">
        <v>93</v>
      </c>
      <c r="AF2400" s="1"/>
      <c r="AG2400" s="1"/>
      <c r="AH2400" s="1"/>
      <c r="AI2400" s="1"/>
      <c r="AJ2400" s="1"/>
      <c r="AK2400" s="1"/>
      <c r="AL2400" s="1"/>
      <c r="AM2400" s="1"/>
      <c r="AN2400" s="1"/>
      <c r="AO2400" s="1"/>
      <c r="AP2400" s="1"/>
      <c r="AQ2400" s="1"/>
      <c r="AR2400" s="1"/>
      <c r="AS2400" s="1"/>
      <c r="AT2400" s="1"/>
      <c r="AU2400" s="1"/>
      <c r="AV2400" s="1"/>
      <c r="AW2400" s="1"/>
      <c r="AX2400" s="1"/>
      <c r="AY2400" s="1"/>
      <c r="AZ2400" s="1"/>
      <c r="BA2400" s="1"/>
      <c r="BB2400" s="1"/>
      <c r="BC2400" s="1"/>
      <c r="BD2400" s="1"/>
      <c r="BE2400" s="1"/>
      <c r="BF2400" s="1"/>
      <c r="BG2400" s="1"/>
      <c r="BH2400" s="1"/>
      <c r="BI2400" s="1"/>
      <c r="BJ2400" s="1"/>
      <c r="BK2400" s="1"/>
      <c r="BL2400" s="1"/>
      <c r="BM2400" s="1"/>
      <c r="BN2400" s="1"/>
      <c r="BO2400" s="1"/>
      <c r="BP2400" s="1" t="s">
        <v>9609</v>
      </c>
      <c r="BQ2400" s="3"/>
      <c r="BR2400" s="3"/>
    </row>
    <row r="2401" spans="1:70">
      <c r="A2401" s="1" t="s">
        <v>19644</v>
      </c>
      <c r="B2401" s="1" t="s">
        <v>13846</v>
      </c>
      <c r="C2401" s="1" t="s">
        <v>25708</v>
      </c>
      <c r="D2401" s="1"/>
      <c r="E2401" s="1"/>
      <c r="F2401" s="1"/>
      <c r="G2401" s="1"/>
      <c r="H2401" s="1" t="s">
        <v>25709</v>
      </c>
      <c r="I2401" s="1" t="s">
        <v>25709</v>
      </c>
      <c r="J2401" s="1"/>
      <c r="K2401" s="1"/>
      <c r="L2401" s="1"/>
      <c r="M2401" s="1"/>
      <c r="N2401" s="1"/>
      <c r="O2401" s="1"/>
      <c r="P2401" s="1"/>
      <c r="Q2401" s="1"/>
      <c r="R2401" s="1"/>
      <c r="S2401" s="1"/>
      <c r="T2401" s="1"/>
      <c r="U2401" s="1"/>
      <c r="V2401" s="1"/>
      <c r="W2401" s="1"/>
      <c r="X2401" s="1"/>
      <c r="Y2401" s="1"/>
      <c r="Z2401" s="1"/>
      <c r="AA2401" s="1"/>
      <c r="AB2401" s="1"/>
      <c r="AC2401" s="1"/>
      <c r="AD2401" s="1" t="s">
        <v>93</v>
      </c>
      <c r="AE2401" s="1" t="s">
        <v>93</v>
      </c>
      <c r="AF2401" s="1"/>
      <c r="AG2401" s="1"/>
      <c r="AH2401" s="1"/>
      <c r="AI2401" s="1"/>
      <c r="AJ2401" s="1"/>
      <c r="AK2401" s="1"/>
      <c r="AL2401" s="1"/>
      <c r="AM2401" s="1"/>
      <c r="AN2401" s="1"/>
      <c r="AO2401" s="1"/>
      <c r="AP2401" s="1"/>
      <c r="AQ2401" s="1"/>
      <c r="AR2401" s="1"/>
      <c r="AS2401" s="1"/>
      <c r="AT2401" s="1"/>
      <c r="AU2401" s="1"/>
      <c r="AV2401" s="1"/>
      <c r="AW2401" s="1"/>
      <c r="AX2401" s="1"/>
      <c r="AY2401" s="1"/>
      <c r="AZ2401" s="1"/>
      <c r="BA2401" s="1"/>
      <c r="BB2401" s="1"/>
      <c r="BC2401" s="1"/>
      <c r="BD2401" s="1"/>
      <c r="BE2401" s="1"/>
      <c r="BF2401" s="1"/>
      <c r="BG2401" s="1"/>
      <c r="BH2401" s="1"/>
      <c r="BI2401" s="1"/>
      <c r="BJ2401" s="1"/>
      <c r="BK2401" s="1"/>
      <c r="BL2401" s="1"/>
      <c r="BM2401" s="1"/>
      <c r="BN2401" s="1"/>
      <c r="BO2401" s="1"/>
      <c r="BP2401" s="1" t="s">
        <v>9609</v>
      </c>
      <c r="BQ2401" s="3"/>
      <c r="BR2401" s="3"/>
    </row>
    <row r="2402" spans="1:70">
      <c r="A2402" s="1" t="s">
        <v>19644</v>
      </c>
      <c r="B2402" s="1" t="s">
        <v>13846</v>
      </c>
      <c r="C2402" s="1" t="s">
        <v>25710</v>
      </c>
      <c r="D2402" s="1"/>
      <c r="E2402" s="1"/>
      <c r="F2402" s="1"/>
      <c r="G2402" s="1"/>
      <c r="H2402" s="1" t="s">
        <v>25711</v>
      </c>
      <c r="I2402" s="1" t="s">
        <v>25711</v>
      </c>
      <c r="J2402" s="1"/>
      <c r="K2402" s="1"/>
      <c r="L2402" s="1"/>
      <c r="M2402" s="1"/>
      <c r="N2402" s="1"/>
      <c r="O2402" s="1"/>
      <c r="P2402" s="1"/>
      <c r="Q2402" s="1"/>
      <c r="R2402" s="1"/>
      <c r="S2402" s="1"/>
      <c r="T2402" s="1"/>
      <c r="U2402" s="1"/>
      <c r="V2402" s="1"/>
      <c r="W2402" s="1"/>
      <c r="X2402" s="1"/>
      <c r="Y2402" s="1"/>
      <c r="Z2402" s="1"/>
      <c r="AA2402" s="1"/>
      <c r="AB2402" s="1"/>
      <c r="AC2402" s="1"/>
      <c r="AD2402" s="1" t="s">
        <v>93</v>
      </c>
      <c r="AE2402" s="1" t="s">
        <v>93</v>
      </c>
      <c r="AF2402" s="1"/>
      <c r="AG2402" s="1"/>
      <c r="AH2402" s="1"/>
      <c r="AI2402" s="1"/>
      <c r="AJ2402" s="1"/>
      <c r="AK2402" s="1"/>
      <c r="AL2402" s="1"/>
      <c r="AM2402" s="1"/>
      <c r="AN2402" s="1"/>
      <c r="AO2402" s="1"/>
      <c r="AP2402" s="1"/>
      <c r="AQ2402" s="1"/>
      <c r="AR2402" s="1"/>
      <c r="AS2402" s="1"/>
      <c r="AT2402" s="1"/>
      <c r="AU2402" s="1"/>
      <c r="AV2402" s="1"/>
      <c r="AW2402" s="1"/>
      <c r="AX2402" s="1"/>
      <c r="AY2402" s="1"/>
      <c r="AZ2402" s="1"/>
      <c r="BA2402" s="1"/>
      <c r="BB2402" s="1"/>
      <c r="BC2402" s="1"/>
      <c r="BD2402" s="1"/>
      <c r="BE2402" s="1"/>
      <c r="BF2402" s="1"/>
      <c r="BG2402" s="1"/>
      <c r="BH2402" s="1"/>
      <c r="BI2402" s="1"/>
      <c r="BJ2402" s="1"/>
      <c r="BK2402" s="1"/>
      <c r="BL2402" s="1"/>
      <c r="BM2402" s="1"/>
      <c r="BN2402" s="1"/>
      <c r="BO2402" s="1"/>
      <c r="BP2402" s="1" t="s">
        <v>9609</v>
      </c>
      <c r="BQ2402" s="3"/>
      <c r="BR2402" s="3"/>
    </row>
    <row r="2403" spans="1:70">
      <c r="A2403" s="1" t="s">
        <v>19644</v>
      </c>
      <c r="B2403" s="1" t="s">
        <v>13846</v>
      </c>
      <c r="C2403" s="1" t="s">
        <v>25712</v>
      </c>
      <c r="D2403" s="1"/>
      <c r="E2403" s="1"/>
      <c r="F2403" s="1"/>
      <c r="G2403" s="1"/>
      <c r="H2403" s="1" t="s">
        <v>25713</v>
      </c>
      <c r="I2403" s="1" t="s">
        <v>25713</v>
      </c>
      <c r="J2403" s="1"/>
      <c r="K2403" s="1"/>
      <c r="L2403" s="1"/>
      <c r="M2403" s="1"/>
      <c r="N2403" s="1"/>
      <c r="O2403" s="1"/>
      <c r="P2403" s="1"/>
      <c r="Q2403" s="1"/>
      <c r="R2403" s="1"/>
      <c r="S2403" s="1"/>
      <c r="T2403" s="1"/>
      <c r="U2403" s="1"/>
      <c r="V2403" s="1"/>
      <c r="W2403" s="1"/>
      <c r="X2403" s="1"/>
      <c r="Y2403" s="1"/>
      <c r="Z2403" s="1"/>
      <c r="AA2403" s="1"/>
      <c r="AB2403" s="1"/>
      <c r="AC2403" s="1"/>
      <c r="AD2403" s="1" t="s">
        <v>93</v>
      </c>
      <c r="AE2403" s="1" t="s">
        <v>93</v>
      </c>
      <c r="AF2403" s="1"/>
      <c r="AG2403" s="1"/>
      <c r="AH2403" s="1"/>
      <c r="AI2403" s="1"/>
      <c r="AJ2403" s="1"/>
      <c r="AK2403" s="1"/>
      <c r="AL2403" s="1"/>
      <c r="AM2403" s="1"/>
      <c r="AN2403" s="1"/>
      <c r="AO2403" s="1"/>
      <c r="AP2403" s="1"/>
      <c r="AQ2403" s="1"/>
      <c r="AR2403" s="1"/>
      <c r="AS2403" s="1"/>
      <c r="AT2403" s="1"/>
      <c r="AU2403" s="1"/>
      <c r="AV2403" s="1"/>
      <c r="AW2403" s="1"/>
      <c r="AX2403" s="1"/>
      <c r="AY2403" s="1"/>
      <c r="AZ2403" s="1"/>
      <c r="BA2403" s="1"/>
      <c r="BB2403" s="1"/>
      <c r="BC2403" s="1"/>
      <c r="BD2403" s="1"/>
      <c r="BE2403" s="1"/>
      <c r="BF2403" s="1"/>
      <c r="BG2403" s="1"/>
      <c r="BH2403" s="1"/>
      <c r="BI2403" s="1"/>
      <c r="BJ2403" s="1"/>
      <c r="BK2403" s="1"/>
      <c r="BL2403" s="1"/>
      <c r="BM2403" s="1"/>
      <c r="BN2403" s="1"/>
      <c r="BO2403" s="1"/>
      <c r="BP2403" s="1" t="s">
        <v>9609</v>
      </c>
      <c r="BQ2403" s="3"/>
      <c r="BR2403" s="3"/>
    </row>
    <row r="2404" spans="1:70">
      <c r="A2404" s="1" t="s">
        <v>19644</v>
      </c>
      <c r="B2404" s="1" t="s">
        <v>13846</v>
      </c>
      <c r="C2404" s="1" t="s">
        <v>25714</v>
      </c>
      <c r="D2404" s="1"/>
      <c r="E2404" s="1"/>
      <c r="F2404" s="1"/>
      <c r="G2404" s="1"/>
      <c r="H2404" s="1" t="s">
        <v>25715</v>
      </c>
      <c r="I2404" s="1" t="s">
        <v>25715</v>
      </c>
      <c r="J2404" s="1"/>
      <c r="K2404" s="1"/>
      <c r="L2404" s="1"/>
      <c r="M2404" s="1"/>
      <c r="N2404" s="1"/>
      <c r="O2404" s="1"/>
      <c r="P2404" s="1"/>
      <c r="Q2404" s="1"/>
      <c r="R2404" s="1"/>
      <c r="S2404" s="1"/>
      <c r="T2404" s="1"/>
      <c r="U2404" s="1"/>
      <c r="V2404" s="1"/>
      <c r="W2404" s="1"/>
      <c r="X2404" s="1"/>
      <c r="Y2404" s="1"/>
      <c r="Z2404" s="1"/>
      <c r="AA2404" s="1"/>
      <c r="AB2404" s="1"/>
      <c r="AC2404" s="1"/>
      <c r="AD2404" s="1" t="s">
        <v>93</v>
      </c>
      <c r="AE2404" s="1" t="s">
        <v>93</v>
      </c>
      <c r="AF2404" s="1"/>
      <c r="AG2404" s="1"/>
      <c r="AH2404" s="1"/>
      <c r="AI2404" s="1"/>
      <c r="AJ2404" s="1"/>
      <c r="AK2404" s="1"/>
      <c r="AL2404" s="1"/>
      <c r="AM2404" s="1"/>
      <c r="AN2404" s="1"/>
      <c r="AO2404" s="1"/>
      <c r="AP2404" s="1"/>
      <c r="AQ2404" s="1"/>
      <c r="AR2404" s="1"/>
      <c r="AS2404" s="1"/>
      <c r="AT2404" s="1"/>
      <c r="AU2404" s="1"/>
      <c r="AV2404" s="1"/>
      <c r="AW2404" s="1"/>
      <c r="AX2404" s="1"/>
      <c r="AY2404" s="1"/>
      <c r="AZ2404" s="1"/>
      <c r="BA2404" s="1"/>
      <c r="BB2404" s="1"/>
      <c r="BC2404" s="1"/>
      <c r="BD2404" s="1"/>
      <c r="BE2404" s="1"/>
      <c r="BF2404" s="1"/>
      <c r="BG2404" s="1"/>
      <c r="BH2404" s="1"/>
      <c r="BI2404" s="1"/>
      <c r="BJ2404" s="1"/>
      <c r="BK2404" s="1"/>
      <c r="BL2404" s="1"/>
      <c r="BM2404" s="1"/>
      <c r="BN2404" s="1"/>
      <c r="BO2404" s="1"/>
      <c r="BP2404" s="1" t="s">
        <v>9609</v>
      </c>
      <c r="BQ2404" s="3"/>
      <c r="BR2404" s="3"/>
    </row>
    <row r="2405" spans="1:70">
      <c r="A2405" s="1" t="s">
        <v>19644</v>
      </c>
      <c r="B2405" s="1" t="s">
        <v>13846</v>
      </c>
      <c r="C2405" s="1" t="s">
        <v>25716</v>
      </c>
      <c r="D2405" s="1"/>
      <c r="E2405" s="1"/>
      <c r="F2405" s="1"/>
      <c r="G2405" s="1"/>
      <c r="H2405" s="1" t="s">
        <v>25717</v>
      </c>
      <c r="I2405" s="1" t="s">
        <v>25717</v>
      </c>
      <c r="J2405" s="1"/>
      <c r="K2405" s="1"/>
      <c r="L2405" s="1"/>
      <c r="M2405" s="1"/>
      <c r="N2405" s="1"/>
      <c r="O2405" s="1"/>
      <c r="P2405" s="1"/>
      <c r="Q2405" s="1"/>
      <c r="R2405" s="1"/>
      <c r="S2405" s="1"/>
      <c r="T2405" s="1"/>
      <c r="U2405" s="1"/>
      <c r="V2405" s="1"/>
      <c r="W2405" s="1"/>
      <c r="X2405" s="1"/>
      <c r="Y2405" s="1"/>
      <c r="Z2405" s="1"/>
      <c r="AA2405" s="1"/>
      <c r="AB2405" s="1"/>
      <c r="AC2405" s="1"/>
      <c r="AD2405" s="1" t="s">
        <v>93</v>
      </c>
      <c r="AE2405" s="1" t="s">
        <v>93</v>
      </c>
      <c r="AF2405" s="1"/>
      <c r="AG2405" s="1"/>
      <c r="AH2405" s="1"/>
      <c r="AI2405" s="1"/>
      <c r="AJ2405" s="1"/>
      <c r="AK2405" s="1"/>
      <c r="AL2405" s="1"/>
      <c r="AM2405" s="1"/>
      <c r="AN2405" s="1"/>
      <c r="AO2405" s="1"/>
      <c r="AP2405" s="1"/>
      <c r="AQ2405" s="1"/>
      <c r="AR2405" s="1"/>
      <c r="AS2405" s="1"/>
      <c r="AT2405" s="1"/>
      <c r="AU2405" s="1"/>
      <c r="AV2405" s="1"/>
      <c r="AW2405" s="1"/>
      <c r="AX2405" s="1"/>
      <c r="AY2405" s="1"/>
      <c r="AZ2405" s="1"/>
      <c r="BA2405" s="1"/>
      <c r="BB2405" s="1"/>
      <c r="BC2405" s="1"/>
      <c r="BD2405" s="1"/>
      <c r="BE2405" s="1"/>
      <c r="BF2405" s="1"/>
      <c r="BG2405" s="1"/>
      <c r="BH2405" s="1"/>
      <c r="BI2405" s="1"/>
      <c r="BJ2405" s="1"/>
      <c r="BK2405" s="1"/>
      <c r="BL2405" s="1"/>
      <c r="BM2405" s="1"/>
      <c r="BN2405" s="1"/>
      <c r="BO2405" s="1"/>
      <c r="BP2405" s="1" t="s">
        <v>9609</v>
      </c>
      <c r="BQ2405" s="3"/>
      <c r="BR2405" s="3"/>
    </row>
    <row r="2406" spans="1:70">
      <c r="A2406" s="1" t="s">
        <v>19644</v>
      </c>
      <c r="B2406" s="1" t="s">
        <v>13846</v>
      </c>
      <c r="C2406" s="1" t="s">
        <v>25718</v>
      </c>
      <c r="D2406" s="1"/>
      <c r="E2406" s="1"/>
      <c r="F2406" s="1"/>
      <c r="G2406" s="1"/>
      <c r="H2406" s="1" t="s">
        <v>25719</v>
      </c>
      <c r="I2406" s="1" t="s">
        <v>25719</v>
      </c>
      <c r="J2406" s="1"/>
      <c r="K2406" s="1"/>
      <c r="L2406" s="1"/>
      <c r="M2406" s="1"/>
      <c r="N2406" s="1"/>
      <c r="O2406" s="1"/>
      <c r="P2406" s="1"/>
      <c r="Q2406" s="1"/>
      <c r="R2406" s="1"/>
      <c r="S2406" s="1"/>
      <c r="T2406" s="1"/>
      <c r="U2406" s="1"/>
      <c r="V2406" s="1"/>
      <c r="W2406" s="1"/>
      <c r="X2406" s="1"/>
      <c r="Y2406" s="1"/>
      <c r="Z2406" s="1"/>
      <c r="AA2406" s="1"/>
      <c r="AB2406" s="1"/>
      <c r="AC2406" s="1"/>
      <c r="AD2406" s="1" t="s">
        <v>93</v>
      </c>
      <c r="AE2406" s="1" t="s">
        <v>93</v>
      </c>
      <c r="AF2406" s="1"/>
      <c r="AG2406" s="1"/>
      <c r="AH2406" s="1"/>
      <c r="AI2406" s="1"/>
      <c r="AJ2406" s="1"/>
      <c r="AK2406" s="1"/>
      <c r="AL2406" s="1"/>
      <c r="AM2406" s="1"/>
      <c r="AN2406" s="1"/>
      <c r="AO2406" s="1"/>
      <c r="AP2406" s="1"/>
      <c r="AQ2406" s="1"/>
      <c r="AR2406" s="1"/>
      <c r="AS2406" s="1"/>
      <c r="AT2406" s="1"/>
      <c r="AU2406" s="1"/>
      <c r="AV2406" s="1"/>
      <c r="AW2406" s="1"/>
      <c r="AX2406" s="1"/>
      <c r="AY2406" s="1"/>
      <c r="AZ2406" s="1"/>
      <c r="BA2406" s="1"/>
      <c r="BB2406" s="1"/>
      <c r="BC2406" s="1"/>
      <c r="BD2406" s="1"/>
      <c r="BE2406" s="1"/>
      <c r="BF2406" s="1"/>
      <c r="BG2406" s="1"/>
      <c r="BH2406" s="1"/>
      <c r="BI2406" s="1"/>
      <c r="BJ2406" s="1"/>
      <c r="BK2406" s="1"/>
      <c r="BL2406" s="1"/>
      <c r="BM2406" s="1"/>
      <c r="BN2406" s="1"/>
      <c r="BO2406" s="1"/>
      <c r="BP2406" s="1" t="s">
        <v>9609</v>
      </c>
      <c r="BQ2406" s="3"/>
      <c r="BR2406" s="3"/>
    </row>
    <row r="2407" spans="1:70">
      <c r="A2407" s="1" t="s">
        <v>25720</v>
      </c>
      <c r="B2407" s="1" t="s">
        <v>13846</v>
      </c>
      <c r="C2407" s="1" t="s">
        <v>25721</v>
      </c>
      <c r="D2407" s="1"/>
      <c r="E2407" s="1"/>
      <c r="F2407" s="1"/>
      <c r="G2407" s="1"/>
      <c r="H2407" s="1" t="s">
        <v>25722</v>
      </c>
      <c r="I2407" s="1" t="s">
        <v>25722</v>
      </c>
      <c r="J2407" s="1"/>
      <c r="K2407" s="1"/>
      <c r="L2407" s="1"/>
      <c r="M2407" s="1"/>
      <c r="N2407" s="1"/>
      <c r="O2407" s="1"/>
      <c r="P2407" s="1"/>
      <c r="Q2407" s="1"/>
      <c r="R2407" s="1"/>
      <c r="S2407" s="1"/>
      <c r="T2407" s="1"/>
      <c r="U2407" s="1"/>
      <c r="V2407" s="1"/>
      <c r="W2407" s="1"/>
      <c r="X2407" s="1"/>
      <c r="Y2407" s="1"/>
      <c r="Z2407" s="1"/>
      <c r="AA2407" s="1"/>
      <c r="AB2407" s="1"/>
      <c r="AC2407" s="1"/>
      <c r="AD2407" s="1" t="s">
        <v>93</v>
      </c>
      <c r="AE2407" s="1" t="s">
        <v>93</v>
      </c>
      <c r="AF2407" s="1"/>
      <c r="AG2407" s="1"/>
      <c r="AH2407" s="1"/>
      <c r="AI2407" s="1"/>
      <c r="AJ2407" s="1"/>
      <c r="AK2407" s="1"/>
      <c r="AL2407" s="1"/>
      <c r="AM2407" s="1"/>
      <c r="AN2407" s="1"/>
      <c r="AO2407" s="1"/>
      <c r="AP2407" s="1"/>
      <c r="AQ2407" s="1"/>
      <c r="AR2407" s="1"/>
      <c r="AS2407" s="1"/>
      <c r="AT2407" s="1"/>
      <c r="AU2407" s="1"/>
      <c r="AV2407" s="1"/>
      <c r="AW2407" s="1"/>
      <c r="AX2407" s="1"/>
      <c r="AY2407" s="1"/>
      <c r="AZ2407" s="1"/>
      <c r="BA2407" s="1"/>
      <c r="BB2407" s="1"/>
      <c r="BC2407" s="1"/>
      <c r="BD2407" s="1"/>
      <c r="BE2407" s="1"/>
      <c r="BF2407" s="1"/>
      <c r="BG2407" s="1"/>
      <c r="BH2407" s="1"/>
      <c r="BI2407" s="1"/>
      <c r="BJ2407" s="1"/>
      <c r="BK2407" s="1"/>
      <c r="BL2407" s="1"/>
      <c r="BM2407" s="1"/>
      <c r="BN2407" s="1"/>
      <c r="BO2407" s="1"/>
      <c r="BP2407" s="1" t="s">
        <v>9609</v>
      </c>
      <c r="BQ2407" s="3"/>
      <c r="BR2407" s="3"/>
    </row>
    <row r="2408" spans="1:70">
      <c r="A2408" s="1" t="s">
        <v>25720</v>
      </c>
      <c r="B2408" s="1" t="s">
        <v>13846</v>
      </c>
      <c r="C2408" s="1" t="s">
        <v>25723</v>
      </c>
      <c r="D2408" s="1"/>
      <c r="E2408" s="1"/>
      <c r="F2408" s="1"/>
      <c r="G2408" s="1"/>
      <c r="H2408" s="1" t="s">
        <v>25724</v>
      </c>
      <c r="I2408" s="1" t="s">
        <v>25724</v>
      </c>
      <c r="J2408" s="1"/>
      <c r="K2408" s="1"/>
      <c r="L2408" s="1"/>
      <c r="M2408" s="1"/>
      <c r="N2408" s="1"/>
      <c r="O2408" s="1"/>
      <c r="P2408" s="1"/>
      <c r="Q2408" s="1"/>
      <c r="R2408" s="1"/>
      <c r="S2408" s="1"/>
      <c r="T2408" s="1"/>
      <c r="U2408" s="1"/>
      <c r="V2408" s="1"/>
      <c r="W2408" s="1"/>
      <c r="X2408" s="1"/>
      <c r="Y2408" s="1"/>
      <c r="Z2408" s="1"/>
      <c r="AA2408" s="1"/>
      <c r="AB2408" s="1"/>
      <c r="AC2408" s="1"/>
      <c r="AD2408" s="1" t="s">
        <v>93</v>
      </c>
      <c r="AE2408" s="1" t="s">
        <v>93</v>
      </c>
      <c r="AF2408" s="1"/>
      <c r="AG2408" s="1"/>
      <c r="AH2408" s="1"/>
      <c r="AI2408" s="1"/>
      <c r="AJ2408" s="1"/>
      <c r="AK2408" s="1"/>
      <c r="AL2408" s="1"/>
      <c r="AM2408" s="1"/>
      <c r="AN2408" s="1"/>
      <c r="AO2408" s="1"/>
      <c r="AP2408" s="1"/>
      <c r="AQ2408" s="1"/>
      <c r="AR2408" s="1"/>
      <c r="AS2408" s="1"/>
      <c r="AT2408" s="1"/>
      <c r="AU2408" s="1"/>
      <c r="AV2408" s="1"/>
      <c r="AW2408" s="1"/>
      <c r="AX2408" s="1"/>
      <c r="AY2408" s="1"/>
      <c r="AZ2408" s="1"/>
      <c r="BA2408" s="1"/>
      <c r="BB2408" s="1"/>
      <c r="BC2408" s="1"/>
      <c r="BD2408" s="1"/>
      <c r="BE2408" s="1"/>
      <c r="BF2408" s="1"/>
      <c r="BG2408" s="1"/>
      <c r="BH2408" s="1"/>
      <c r="BI2408" s="1"/>
      <c r="BJ2408" s="1"/>
      <c r="BK2408" s="1"/>
      <c r="BL2408" s="1"/>
      <c r="BM2408" s="1"/>
      <c r="BN2408" s="1"/>
      <c r="BO2408" s="1"/>
      <c r="BP2408" s="1" t="s">
        <v>9609</v>
      </c>
      <c r="BQ2408" s="3"/>
      <c r="BR2408" s="3"/>
    </row>
    <row r="2409" spans="1:70">
      <c r="A2409" s="1" t="s">
        <v>25720</v>
      </c>
      <c r="B2409" s="1" t="s">
        <v>13846</v>
      </c>
      <c r="C2409" s="1" t="s">
        <v>25725</v>
      </c>
      <c r="D2409" s="1"/>
      <c r="E2409" s="1"/>
      <c r="F2409" s="1"/>
      <c r="G2409" s="1"/>
      <c r="H2409" s="1" t="s">
        <v>25726</v>
      </c>
      <c r="I2409" s="1" t="s">
        <v>25726</v>
      </c>
      <c r="J2409" s="1"/>
      <c r="K2409" s="1"/>
      <c r="L2409" s="1"/>
      <c r="M2409" s="1"/>
      <c r="N2409" s="1"/>
      <c r="O2409" s="1"/>
      <c r="P2409" s="1"/>
      <c r="Q2409" s="1"/>
      <c r="R2409" s="1"/>
      <c r="S2409" s="1"/>
      <c r="T2409" s="1"/>
      <c r="U2409" s="1"/>
      <c r="V2409" s="1"/>
      <c r="W2409" s="1"/>
      <c r="X2409" s="1"/>
      <c r="Y2409" s="1"/>
      <c r="Z2409" s="1"/>
      <c r="AA2409" s="1"/>
      <c r="AB2409" s="1"/>
      <c r="AC2409" s="1"/>
      <c r="AD2409" s="1" t="s">
        <v>93</v>
      </c>
      <c r="AE2409" s="1" t="s">
        <v>93</v>
      </c>
      <c r="AF2409" s="1"/>
      <c r="AG2409" s="1"/>
      <c r="AH2409" s="1"/>
      <c r="AI2409" s="1"/>
      <c r="AJ2409" s="1"/>
      <c r="AK2409" s="1"/>
      <c r="AL2409" s="1"/>
      <c r="AM2409" s="1"/>
      <c r="AN2409" s="1"/>
      <c r="AO2409" s="1"/>
      <c r="AP2409" s="1"/>
      <c r="AQ2409" s="1"/>
      <c r="AR2409" s="1"/>
      <c r="AS2409" s="1"/>
      <c r="AT2409" s="1"/>
      <c r="AU2409" s="1"/>
      <c r="AV2409" s="1"/>
      <c r="AW2409" s="1"/>
      <c r="AX2409" s="1"/>
      <c r="AY2409" s="1"/>
      <c r="AZ2409" s="1"/>
      <c r="BA2409" s="1"/>
      <c r="BB2409" s="1"/>
      <c r="BC2409" s="1"/>
      <c r="BD2409" s="1"/>
      <c r="BE2409" s="1"/>
      <c r="BF2409" s="1"/>
      <c r="BG2409" s="1"/>
      <c r="BH2409" s="1"/>
      <c r="BI2409" s="1"/>
      <c r="BJ2409" s="1"/>
      <c r="BK2409" s="1"/>
      <c r="BL2409" s="1"/>
      <c r="BM2409" s="1"/>
      <c r="BN2409" s="1"/>
      <c r="BO2409" s="1"/>
      <c r="BP2409" s="1" t="s">
        <v>9609</v>
      </c>
      <c r="BQ2409" s="3"/>
      <c r="BR2409" s="3"/>
    </row>
    <row r="2410" spans="1:70">
      <c r="A2410" s="1" t="s">
        <v>25720</v>
      </c>
      <c r="B2410" s="1" t="s">
        <v>13846</v>
      </c>
      <c r="C2410" s="1" t="s">
        <v>25727</v>
      </c>
      <c r="D2410" s="1"/>
      <c r="E2410" s="1"/>
      <c r="F2410" s="1"/>
      <c r="G2410" s="1"/>
      <c r="H2410" s="1" t="s">
        <v>25728</v>
      </c>
      <c r="I2410" s="1" t="s">
        <v>25728</v>
      </c>
      <c r="J2410" s="1"/>
      <c r="K2410" s="1"/>
      <c r="L2410" s="1"/>
      <c r="M2410" s="1"/>
      <c r="N2410" s="1"/>
      <c r="O2410" s="1"/>
      <c r="P2410" s="1"/>
      <c r="Q2410" s="1"/>
      <c r="R2410" s="1"/>
      <c r="S2410" s="1"/>
      <c r="T2410" s="1"/>
      <c r="U2410" s="1"/>
      <c r="V2410" s="1"/>
      <c r="W2410" s="1"/>
      <c r="X2410" s="1"/>
      <c r="Y2410" s="1"/>
      <c r="Z2410" s="1"/>
      <c r="AA2410" s="1"/>
      <c r="AB2410" s="1"/>
      <c r="AC2410" s="1"/>
      <c r="AD2410" s="1" t="s">
        <v>93</v>
      </c>
      <c r="AE2410" s="1" t="s">
        <v>93</v>
      </c>
      <c r="AF2410" s="1"/>
      <c r="AG2410" s="1"/>
      <c r="AH2410" s="1"/>
      <c r="AI2410" s="1"/>
      <c r="AJ2410" s="1"/>
      <c r="AK2410" s="1"/>
      <c r="AL2410" s="1"/>
      <c r="AM2410" s="1"/>
      <c r="AN2410" s="1"/>
      <c r="AO2410" s="1"/>
      <c r="AP2410" s="1"/>
      <c r="AQ2410" s="1"/>
      <c r="AR2410" s="1"/>
      <c r="AS2410" s="1"/>
      <c r="AT2410" s="1"/>
      <c r="AU2410" s="1"/>
      <c r="AV2410" s="1"/>
      <c r="AW2410" s="1"/>
      <c r="AX2410" s="1"/>
      <c r="AY2410" s="1"/>
      <c r="AZ2410" s="1"/>
      <c r="BA2410" s="1"/>
      <c r="BB2410" s="1"/>
      <c r="BC2410" s="1"/>
      <c r="BD2410" s="1"/>
      <c r="BE2410" s="1"/>
      <c r="BF2410" s="1"/>
      <c r="BG2410" s="1"/>
      <c r="BH2410" s="1"/>
      <c r="BI2410" s="1"/>
      <c r="BJ2410" s="1"/>
      <c r="BK2410" s="1"/>
      <c r="BL2410" s="1"/>
      <c r="BM2410" s="1"/>
      <c r="BN2410" s="1"/>
      <c r="BO2410" s="1"/>
      <c r="BP2410" s="1" t="s">
        <v>9609</v>
      </c>
      <c r="BQ2410" s="3"/>
      <c r="BR2410" s="3"/>
    </row>
    <row r="2411" spans="1:70">
      <c r="A2411" s="1" t="s">
        <v>25720</v>
      </c>
      <c r="B2411" s="1" t="s">
        <v>13846</v>
      </c>
      <c r="C2411" s="1" t="s">
        <v>25729</v>
      </c>
      <c r="D2411" s="1"/>
      <c r="E2411" s="1"/>
      <c r="F2411" s="1"/>
      <c r="G2411" s="1"/>
      <c r="H2411" s="1" t="s">
        <v>25730</v>
      </c>
      <c r="I2411" s="1" t="s">
        <v>25730</v>
      </c>
      <c r="J2411" s="1"/>
      <c r="K2411" s="1"/>
      <c r="L2411" s="1"/>
      <c r="M2411" s="1"/>
      <c r="N2411" s="1"/>
      <c r="O2411" s="1"/>
      <c r="P2411" s="1"/>
      <c r="Q2411" s="1"/>
      <c r="R2411" s="1"/>
      <c r="S2411" s="1"/>
      <c r="T2411" s="1"/>
      <c r="U2411" s="1"/>
      <c r="V2411" s="1"/>
      <c r="W2411" s="1"/>
      <c r="X2411" s="1"/>
      <c r="Y2411" s="1"/>
      <c r="Z2411" s="1"/>
      <c r="AA2411" s="1"/>
      <c r="AB2411" s="1"/>
      <c r="AC2411" s="1"/>
      <c r="AD2411" s="1" t="s">
        <v>93</v>
      </c>
      <c r="AE2411" s="1" t="s">
        <v>93</v>
      </c>
      <c r="AF2411" s="1"/>
      <c r="AG2411" s="1"/>
      <c r="AH2411" s="1"/>
      <c r="AI2411" s="1"/>
      <c r="AJ2411" s="1"/>
      <c r="AK2411" s="1"/>
      <c r="AL2411" s="1"/>
      <c r="AM2411" s="1"/>
      <c r="AN2411" s="1"/>
      <c r="AO2411" s="1"/>
      <c r="AP2411" s="1"/>
      <c r="AQ2411" s="1"/>
      <c r="AR2411" s="1"/>
      <c r="AS2411" s="1"/>
      <c r="AT2411" s="1"/>
      <c r="AU2411" s="1"/>
      <c r="AV2411" s="1"/>
      <c r="AW2411" s="1"/>
      <c r="AX2411" s="1"/>
      <c r="AY2411" s="1"/>
      <c r="AZ2411" s="1"/>
      <c r="BA2411" s="1"/>
      <c r="BB2411" s="1"/>
      <c r="BC2411" s="1"/>
      <c r="BD2411" s="1"/>
      <c r="BE2411" s="1"/>
      <c r="BF2411" s="1"/>
      <c r="BG2411" s="1"/>
      <c r="BH2411" s="1"/>
      <c r="BI2411" s="1"/>
      <c r="BJ2411" s="1"/>
      <c r="BK2411" s="1"/>
      <c r="BL2411" s="1"/>
      <c r="BM2411" s="1"/>
      <c r="BN2411" s="1"/>
      <c r="BO2411" s="1"/>
      <c r="BP2411" s="1" t="s">
        <v>9609</v>
      </c>
      <c r="BQ2411" s="3"/>
      <c r="BR2411" s="3"/>
    </row>
    <row r="2412" spans="1:70">
      <c r="A2412" s="1" t="s">
        <v>25720</v>
      </c>
      <c r="B2412" s="1" t="s">
        <v>13846</v>
      </c>
      <c r="C2412" s="1" t="s">
        <v>25731</v>
      </c>
      <c r="D2412" s="1"/>
      <c r="E2412" s="1"/>
      <c r="F2412" s="1"/>
      <c r="G2412" s="1"/>
      <c r="H2412" s="1" t="s">
        <v>25732</v>
      </c>
      <c r="I2412" s="1" t="s">
        <v>25732</v>
      </c>
      <c r="J2412" s="1"/>
      <c r="K2412" s="1"/>
      <c r="L2412" s="1"/>
      <c r="M2412" s="1"/>
      <c r="N2412" s="1"/>
      <c r="O2412" s="1"/>
      <c r="P2412" s="1"/>
      <c r="Q2412" s="1"/>
      <c r="R2412" s="1"/>
      <c r="S2412" s="1"/>
      <c r="T2412" s="1"/>
      <c r="U2412" s="1"/>
      <c r="V2412" s="1"/>
      <c r="W2412" s="1"/>
      <c r="X2412" s="1"/>
      <c r="Y2412" s="1"/>
      <c r="Z2412" s="1"/>
      <c r="AA2412" s="1"/>
      <c r="AB2412" s="1"/>
      <c r="AC2412" s="1"/>
      <c r="AD2412" s="1" t="s">
        <v>93</v>
      </c>
      <c r="AE2412" s="1" t="s">
        <v>93</v>
      </c>
      <c r="AF2412" s="1"/>
      <c r="AG2412" s="1"/>
      <c r="AH2412" s="1"/>
      <c r="AI2412" s="1"/>
      <c r="AJ2412" s="1"/>
      <c r="AK2412" s="1"/>
      <c r="AL2412" s="1"/>
      <c r="AM2412" s="1"/>
      <c r="AN2412" s="1"/>
      <c r="AO2412" s="1"/>
      <c r="AP2412" s="1"/>
      <c r="AQ2412" s="1"/>
      <c r="AR2412" s="1"/>
      <c r="AS2412" s="1"/>
      <c r="AT2412" s="1"/>
      <c r="AU2412" s="1"/>
      <c r="AV2412" s="1"/>
      <c r="AW2412" s="1"/>
      <c r="AX2412" s="1"/>
      <c r="AY2412" s="1"/>
      <c r="AZ2412" s="1"/>
      <c r="BA2412" s="1"/>
      <c r="BB2412" s="1"/>
      <c r="BC2412" s="1"/>
      <c r="BD2412" s="1"/>
      <c r="BE2412" s="1"/>
      <c r="BF2412" s="1"/>
      <c r="BG2412" s="1"/>
      <c r="BH2412" s="1"/>
      <c r="BI2412" s="1"/>
      <c r="BJ2412" s="1"/>
      <c r="BK2412" s="1"/>
      <c r="BL2412" s="1"/>
      <c r="BM2412" s="1"/>
      <c r="BN2412" s="1"/>
      <c r="BO2412" s="1"/>
      <c r="BP2412" s="1" t="s">
        <v>9609</v>
      </c>
      <c r="BQ2412" s="3"/>
      <c r="BR2412" s="3"/>
    </row>
    <row r="2413" spans="1:70">
      <c r="A2413" s="1" t="s">
        <v>25720</v>
      </c>
      <c r="B2413" s="1" t="s">
        <v>13846</v>
      </c>
      <c r="C2413" s="1" t="s">
        <v>25733</v>
      </c>
      <c r="D2413" s="1"/>
      <c r="E2413" s="1"/>
      <c r="F2413" s="1"/>
      <c r="G2413" s="1"/>
      <c r="H2413" s="1" t="s">
        <v>25734</v>
      </c>
      <c r="I2413" s="1" t="s">
        <v>25734</v>
      </c>
      <c r="J2413" s="1"/>
      <c r="K2413" s="1"/>
      <c r="L2413" s="1"/>
      <c r="M2413" s="1"/>
      <c r="N2413" s="1"/>
      <c r="O2413" s="1"/>
      <c r="P2413" s="1"/>
      <c r="Q2413" s="1"/>
      <c r="R2413" s="1"/>
      <c r="S2413" s="1"/>
      <c r="T2413" s="1"/>
      <c r="U2413" s="1"/>
      <c r="V2413" s="1"/>
      <c r="W2413" s="1"/>
      <c r="X2413" s="1"/>
      <c r="Y2413" s="1"/>
      <c r="Z2413" s="1"/>
      <c r="AA2413" s="1"/>
      <c r="AB2413" s="1"/>
      <c r="AC2413" s="1"/>
      <c r="AD2413" s="1" t="s">
        <v>93</v>
      </c>
      <c r="AE2413" s="1" t="s">
        <v>93</v>
      </c>
      <c r="AF2413" s="1"/>
      <c r="AG2413" s="1"/>
      <c r="AH2413" s="1"/>
      <c r="AI2413" s="1"/>
      <c r="AJ2413" s="1"/>
      <c r="AK2413" s="1"/>
      <c r="AL2413" s="1"/>
      <c r="AM2413" s="1"/>
      <c r="AN2413" s="1"/>
      <c r="AO2413" s="1"/>
      <c r="AP2413" s="1"/>
      <c r="AQ2413" s="1"/>
      <c r="AR2413" s="1"/>
      <c r="AS2413" s="1"/>
      <c r="AT2413" s="1"/>
      <c r="AU2413" s="1"/>
      <c r="AV2413" s="1"/>
      <c r="AW2413" s="1"/>
      <c r="AX2413" s="1"/>
      <c r="AY2413" s="1"/>
      <c r="AZ2413" s="1"/>
      <c r="BA2413" s="1"/>
      <c r="BB2413" s="1"/>
      <c r="BC2413" s="1"/>
      <c r="BD2413" s="1"/>
      <c r="BE2413" s="1"/>
      <c r="BF2413" s="1"/>
      <c r="BG2413" s="1"/>
      <c r="BH2413" s="1"/>
      <c r="BI2413" s="1"/>
      <c r="BJ2413" s="1"/>
      <c r="BK2413" s="1"/>
      <c r="BL2413" s="1"/>
      <c r="BM2413" s="1"/>
      <c r="BN2413" s="1"/>
      <c r="BO2413" s="1"/>
      <c r="BP2413" s="1" t="s">
        <v>9609</v>
      </c>
      <c r="BQ2413" s="3"/>
      <c r="BR2413" s="3"/>
    </row>
    <row r="2414" spans="1:70">
      <c r="A2414" s="1" t="s">
        <v>25735</v>
      </c>
      <c r="B2414" s="1" t="s">
        <v>13846</v>
      </c>
      <c r="C2414" s="1" t="s">
        <v>25736</v>
      </c>
      <c r="D2414" s="1"/>
      <c r="E2414" s="1"/>
      <c r="F2414" s="1"/>
      <c r="G2414" s="1"/>
      <c r="H2414" s="1" t="s">
        <v>25737</v>
      </c>
      <c r="I2414" s="1" t="s">
        <v>25737</v>
      </c>
      <c r="J2414" s="1"/>
      <c r="K2414" s="1"/>
      <c r="L2414" s="1"/>
      <c r="M2414" s="1"/>
      <c r="N2414" s="1"/>
      <c r="O2414" s="1"/>
      <c r="P2414" s="1"/>
      <c r="Q2414" s="1"/>
      <c r="R2414" s="1"/>
      <c r="S2414" s="1"/>
      <c r="T2414" s="1"/>
      <c r="U2414" s="1"/>
      <c r="V2414" s="1"/>
      <c r="W2414" s="1"/>
      <c r="X2414" s="1"/>
      <c r="Y2414" s="1"/>
      <c r="Z2414" s="1"/>
      <c r="AA2414" s="1"/>
      <c r="AB2414" s="1"/>
      <c r="AC2414" s="1"/>
      <c r="AD2414" s="1" t="s">
        <v>93</v>
      </c>
      <c r="AE2414" s="1" t="s">
        <v>93</v>
      </c>
      <c r="AF2414" s="1"/>
      <c r="AG2414" s="1"/>
      <c r="AH2414" s="1"/>
      <c r="AI2414" s="1"/>
      <c r="AJ2414" s="1"/>
      <c r="AK2414" s="1"/>
      <c r="AL2414" s="1"/>
      <c r="AM2414" s="1"/>
      <c r="AN2414" s="1"/>
      <c r="AO2414" s="1"/>
      <c r="AP2414" s="1"/>
      <c r="AQ2414" s="1"/>
      <c r="AR2414" s="1"/>
      <c r="AS2414" s="1"/>
      <c r="AT2414" s="1"/>
      <c r="AU2414" s="1"/>
      <c r="AV2414" s="1"/>
      <c r="AW2414" s="1"/>
      <c r="AX2414" s="1"/>
      <c r="AY2414" s="1"/>
      <c r="AZ2414" s="1"/>
      <c r="BA2414" s="1"/>
      <c r="BB2414" s="1"/>
      <c r="BC2414" s="1"/>
      <c r="BD2414" s="1"/>
      <c r="BE2414" s="1"/>
      <c r="BF2414" s="1"/>
      <c r="BG2414" s="1"/>
      <c r="BH2414" s="1"/>
      <c r="BI2414" s="1"/>
      <c r="BJ2414" s="1"/>
      <c r="BK2414" s="1"/>
      <c r="BL2414" s="1"/>
      <c r="BM2414" s="1"/>
      <c r="BN2414" s="1"/>
      <c r="BO2414" s="1"/>
      <c r="BP2414" s="1" t="s">
        <v>9609</v>
      </c>
      <c r="BQ2414" s="3"/>
      <c r="BR2414" s="3"/>
    </row>
    <row r="2415" spans="1:70">
      <c r="A2415" s="1" t="s">
        <v>25735</v>
      </c>
      <c r="B2415" s="1" t="s">
        <v>13846</v>
      </c>
      <c r="C2415" s="1" t="s">
        <v>25738</v>
      </c>
      <c r="D2415" s="1"/>
      <c r="E2415" s="1"/>
      <c r="F2415" s="1"/>
      <c r="G2415" s="1"/>
      <c r="H2415" s="1" t="s">
        <v>25739</v>
      </c>
      <c r="I2415" s="1" t="s">
        <v>25739</v>
      </c>
      <c r="J2415" s="1"/>
      <c r="K2415" s="1"/>
      <c r="L2415" s="1"/>
      <c r="M2415" s="1"/>
      <c r="N2415" s="1"/>
      <c r="O2415" s="1"/>
      <c r="P2415" s="1"/>
      <c r="Q2415" s="1"/>
      <c r="R2415" s="1"/>
      <c r="S2415" s="1"/>
      <c r="T2415" s="1"/>
      <c r="U2415" s="1"/>
      <c r="V2415" s="1"/>
      <c r="W2415" s="1"/>
      <c r="X2415" s="1"/>
      <c r="Y2415" s="1"/>
      <c r="Z2415" s="1"/>
      <c r="AA2415" s="1"/>
      <c r="AB2415" s="1"/>
      <c r="AC2415" s="1"/>
      <c r="AD2415" s="1" t="s">
        <v>93</v>
      </c>
      <c r="AE2415" s="1" t="s">
        <v>93</v>
      </c>
      <c r="AF2415" s="1"/>
      <c r="AG2415" s="1"/>
      <c r="AH2415" s="1"/>
      <c r="AI2415" s="1"/>
      <c r="AJ2415" s="1"/>
      <c r="AK2415" s="1"/>
      <c r="AL2415" s="1"/>
      <c r="AM2415" s="1"/>
      <c r="AN2415" s="1"/>
      <c r="AO2415" s="1"/>
      <c r="AP2415" s="1"/>
      <c r="AQ2415" s="1"/>
      <c r="AR2415" s="1"/>
      <c r="AS2415" s="1"/>
      <c r="AT2415" s="1"/>
      <c r="AU2415" s="1"/>
      <c r="AV2415" s="1"/>
      <c r="AW2415" s="1"/>
      <c r="AX2415" s="1"/>
      <c r="AY2415" s="1"/>
      <c r="AZ2415" s="1"/>
      <c r="BA2415" s="1"/>
      <c r="BB2415" s="1"/>
      <c r="BC2415" s="1"/>
      <c r="BD2415" s="1"/>
      <c r="BE2415" s="1"/>
      <c r="BF2415" s="1"/>
      <c r="BG2415" s="1"/>
      <c r="BH2415" s="1"/>
      <c r="BI2415" s="1"/>
      <c r="BJ2415" s="1"/>
      <c r="BK2415" s="1"/>
      <c r="BL2415" s="1"/>
      <c r="BM2415" s="1"/>
      <c r="BN2415" s="1"/>
      <c r="BO2415" s="1"/>
      <c r="BP2415" s="1" t="s">
        <v>9609</v>
      </c>
      <c r="BQ2415" s="3"/>
      <c r="BR2415" s="3"/>
    </row>
    <row r="2416" spans="1:70">
      <c r="A2416" s="1" t="s">
        <v>25735</v>
      </c>
      <c r="B2416" s="1" t="s">
        <v>13846</v>
      </c>
      <c r="C2416" s="1" t="s">
        <v>25740</v>
      </c>
      <c r="D2416" s="1"/>
      <c r="E2416" s="1"/>
      <c r="F2416" s="1"/>
      <c r="G2416" s="1"/>
      <c r="H2416" s="1" t="s">
        <v>25741</v>
      </c>
      <c r="I2416" s="1" t="s">
        <v>25741</v>
      </c>
      <c r="J2416" s="1"/>
      <c r="K2416" s="1"/>
      <c r="L2416" s="1"/>
      <c r="M2416" s="1"/>
      <c r="N2416" s="1"/>
      <c r="O2416" s="1"/>
      <c r="P2416" s="1"/>
      <c r="Q2416" s="1"/>
      <c r="R2416" s="1"/>
      <c r="S2416" s="1"/>
      <c r="T2416" s="1"/>
      <c r="U2416" s="1"/>
      <c r="V2416" s="1"/>
      <c r="W2416" s="1"/>
      <c r="X2416" s="1"/>
      <c r="Y2416" s="1"/>
      <c r="Z2416" s="1"/>
      <c r="AA2416" s="1"/>
      <c r="AB2416" s="1"/>
      <c r="AC2416" s="1"/>
      <c r="AD2416" s="1" t="s">
        <v>93</v>
      </c>
      <c r="AE2416" s="1" t="s">
        <v>93</v>
      </c>
      <c r="AF2416" s="1"/>
      <c r="AG2416" s="1"/>
      <c r="AH2416" s="1"/>
      <c r="AI2416" s="1"/>
      <c r="AJ2416" s="1"/>
      <c r="AK2416" s="1"/>
      <c r="AL2416" s="1"/>
      <c r="AM2416" s="1"/>
      <c r="AN2416" s="1"/>
      <c r="AO2416" s="1"/>
      <c r="AP2416" s="1"/>
      <c r="AQ2416" s="1"/>
      <c r="AR2416" s="1"/>
      <c r="AS2416" s="1"/>
      <c r="AT2416" s="1"/>
      <c r="AU2416" s="1"/>
      <c r="AV2416" s="1"/>
      <c r="AW2416" s="1"/>
      <c r="AX2416" s="1"/>
      <c r="AY2416" s="1"/>
      <c r="AZ2416" s="1"/>
      <c r="BA2416" s="1"/>
      <c r="BB2416" s="1"/>
      <c r="BC2416" s="1"/>
      <c r="BD2416" s="1"/>
      <c r="BE2416" s="1"/>
      <c r="BF2416" s="1"/>
      <c r="BG2416" s="1"/>
      <c r="BH2416" s="1"/>
      <c r="BI2416" s="1"/>
      <c r="BJ2416" s="1"/>
      <c r="BK2416" s="1"/>
      <c r="BL2416" s="1"/>
      <c r="BM2416" s="1"/>
      <c r="BN2416" s="1"/>
      <c r="BO2416" s="1"/>
      <c r="BP2416" s="1" t="s">
        <v>9609</v>
      </c>
      <c r="BQ2416" s="3"/>
      <c r="BR2416" s="3"/>
    </row>
    <row r="2417" spans="1:70">
      <c r="A2417" s="1" t="s">
        <v>25735</v>
      </c>
      <c r="B2417" s="1" t="s">
        <v>13846</v>
      </c>
      <c r="C2417" s="1" t="s">
        <v>25742</v>
      </c>
      <c r="D2417" s="1"/>
      <c r="E2417" s="1"/>
      <c r="F2417" s="1"/>
      <c r="G2417" s="1"/>
      <c r="H2417" s="1" t="s">
        <v>25743</v>
      </c>
      <c r="I2417" s="1" t="s">
        <v>25743</v>
      </c>
      <c r="J2417" s="1"/>
      <c r="K2417" s="1"/>
      <c r="L2417" s="1"/>
      <c r="M2417" s="1"/>
      <c r="N2417" s="1"/>
      <c r="O2417" s="1"/>
      <c r="P2417" s="1"/>
      <c r="Q2417" s="1"/>
      <c r="R2417" s="1"/>
      <c r="S2417" s="1"/>
      <c r="T2417" s="1"/>
      <c r="U2417" s="1"/>
      <c r="V2417" s="1"/>
      <c r="W2417" s="1"/>
      <c r="X2417" s="1"/>
      <c r="Y2417" s="1"/>
      <c r="Z2417" s="1"/>
      <c r="AA2417" s="1"/>
      <c r="AB2417" s="1"/>
      <c r="AC2417" s="1"/>
      <c r="AD2417" s="1" t="s">
        <v>93</v>
      </c>
      <c r="AE2417" s="1" t="s">
        <v>93</v>
      </c>
      <c r="AF2417" s="1"/>
      <c r="AG2417" s="1"/>
      <c r="AH2417" s="1"/>
      <c r="AI2417" s="1"/>
      <c r="AJ2417" s="1"/>
      <c r="AK2417" s="1"/>
      <c r="AL2417" s="1"/>
      <c r="AM2417" s="1"/>
      <c r="AN2417" s="1"/>
      <c r="AO2417" s="1"/>
      <c r="AP2417" s="1"/>
      <c r="AQ2417" s="1"/>
      <c r="AR2417" s="1"/>
      <c r="AS2417" s="1"/>
      <c r="AT2417" s="1"/>
      <c r="AU2417" s="1"/>
      <c r="AV2417" s="1"/>
      <c r="AW2417" s="1"/>
      <c r="AX2417" s="1"/>
      <c r="AY2417" s="1"/>
      <c r="AZ2417" s="1"/>
      <c r="BA2417" s="1"/>
      <c r="BB2417" s="1"/>
      <c r="BC2417" s="1"/>
      <c r="BD2417" s="1"/>
      <c r="BE2417" s="1"/>
      <c r="BF2417" s="1"/>
      <c r="BG2417" s="1"/>
      <c r="BH2417" s="1"/>
      <c r="BI2417" s="1"/>
      <c r="BJ2417" s="1"/>
      <c r="BK2417" s="1"/>
      <c r="BL2417" s="1"/>
      <c r="BM2417" s="1"/>
      <c r="BN2417" s="1"/>
      <c r="BO2417" s="1"/>
      <c r="BP2417" s="1" t="s">
        <v>9609</v>
      </c>
      <c r="BQ2417" s="3"/>
      <c r="BR2417" s="3"/>
    </row>
    <row r="2418" spans="1:70">
      <c r="A2418" s="1" t="s">
        <v>25735</v>
      </c>
      <c r="B2418" s="1" t="s">
        <v>13846</v>
      </c>
      <c r="C2418" s="1" t="s">
        <v>25744</v>
      </c>
      <c r="D2418" s="1"/>
      <c r="E2418" s="1"/>
      <c r="F2418" s="1"/>
      <c r="G2418" s="1"/>
      <c r="H2418" s="1" t="s">
        <v>25745</v>
      </c>
      <c r="I2418" s="1" t="s">
        <v>25745</v>
      </c>
      <c r="J2418" s="1"/>
      <c r="K2418" s="1"/>
      <c r="L2418" s="1"/>
      <c r="M2418" s="1"/>
      <c r="N2418" s="1"/>
      <c r="O2418" s="1"/>
      <c r="P2418" s="1"/>
      <c r="Q2418" s="1"/>
      <c r="R2418" s="1"/>
      <c r="S2418" s="1"/>
      <c r="T2418" s="1"/>
      <c r="U2418" s="1"/>
      <c r="V2418" s="1"/>
      <c r="W2418" s="1"/>
      <c r="X2418" s="1"/>
      <c r="Y2418" s="1"/>
      <c r="Z2418" s="1"/>
      <c r="AA2418" s="1"/>
      <c r="AB2418" s="1"/>
      <c r="AC2418" s="1"/>
      <c r="AD2418" s="1" t="s">
        <v>93</v>
      </c>
      <c r="AE2418" s="1" t="s">
        <v>93</v>
      </c>
      <c r="AF2418" s="1"/>
      <c r="AG2418" s="1"/>
      <c r="AH2418" s="1"/>
      <c r="AI2418" s="1"/>
      <c r="AJ2418" s="1"/>
      <c r="AK2418" s="1"/>
      <c r="AL2418" s="1"/>
      <c r="AM2418" s="1"/>
      <c r="AN2418" s="1"/>
      <c r="AO2418" s="1"/>
      <c r="AP2418" s="1"/>
      <c r="AQ2418" s="1"/>
      <c r="AR2418" s="1"/>
      <c r="AS2418" s="1"/>
      <c r="AT2418" s="1"/>
      <c r="AU2418" s="1"/>
      <c r="AV2418" s="1"/>
      <c r="AW2418" s="1"/>
      <c r="AX2418" s="1"/>
      <c r="AY2418" s="1"/>
      <c r="AZ2418" s="1"/>
      <c r="BA2418" s="1"/>
      <c r="BB2418" s="1"/>
      <c r="BC2418" s="1"/>
      <c r="BD2418" s="1"/>
      <c r="BE2418" s="1"/>
      <c r="BF2418" s="1"/>
      <c r="BG2418" s="1"/>
      <c r="BH2418" s="1"/>
      <c r="BI2418" s="1"/>
      <c r="BJ2418" s="1"/>
      <c r="BK2418" s="1"/>
      <c r="BL2418" s="1"/>
      <c r="BM2418" s="1"/>
      <c r="BN2418" s="1"/>
      <c r="BO2418" s="1"/>
      <c r="BP2418" s="1" t="s">
        <v>9609</v>
      </c>
      <c r="BQ2418" s="3"/>
      <c r="BR2418" s="3"/>
    </row>
    <row r="2419" spans="1:70">
      <c r="A2419" s="1" t="s">
        <v>25735</v>
      </c>
      <c r="B2419" s="1" t="s">
        <v>13846</v>
      </c>
      <c r="C2419" s="1" t="s">
        <v>25746</v>
      </c>
      <c r="D2419" s="1"/>
      <c r="E2419" s="1"/>
      <c r="F2419" s="1"/>
      <c r="G2419" s="1"/>
      <c r="H2419" s="1" t="s">
        <v>25747</v>
      </c>
      <c r="I2419" s="1" t="s">
        <v>25747</v>
      </c>
      <c r="J2419" s="1"/>
      <c r="K2419" s="1"/>
      <c r="L2419" s="1"/>
      <c r="M2419" s="1"/>
      <c r="N2419" s="1"/>
      <c r="O2419" s="1"/>
      <c r="P2419" s="1"/>
      <c r="Q2419" s="1"/>
      <c r="R2419" s="1"/>
      <c r="S2419" s="1"/>
      <c r="T2419" s="1"/>
      <c r="U2419" s="1"/>
      <c r="V2419" s="1"/>
      <c r="W2419" s="1"/>
      <c r="X2419" s="1"/>
      <c r="Y2419" s="1"/>
      <c r="Z2419" s="1"/>
      <c r="AA2419" s="1"/>
      <c r="AB2419" s="1"/>
      <c r="AC2419" s="1"/>
      <c r="AD2419" s="1" t="s">
        <v>93</v>
      </c>
      <c r="AE2419" s="1" t="s">
        <v>93</v>
      </c>
      <c r="AF2419" s="1"/>
      <c r="AG2419" s="1"/>
      <c r="AH2419" s="1"/>
      <c r="AI2419" s="1"/>
      <c r="AJ2419" s="1"/>
      <c r="AK2419" s="1"/>
      <c r="AL2419" s="1"/>
      <c r="AM2419" s="1"/>
      <c r="AN2419" s="1"/>
      <c r="AO2419" s="1"/>
      <c r="AP2419" s="1"/>
      <c r="AQ2419" s="1"/>
      <c r="AR2419" s="1"/>
      <c r="AS2419" s="1"/>
      <c r="AT2419" s="1"/>
      <c r="AU2419" s="1"/>
      <c r="AV2419" s="1"/>
      <c r="AW2419" s="1"/>
      <c r="AX2419" s="1"/>
      <c r="AY2419" s="1"/>
      <c r="AZ2419" s="1"/>
      <c r="BA2419" s="1"/>
      <c r="BB2419" s="1"/>
      <c r="BC2419" s="1"/>
      <c r="BD2419" s="1"/>
      <c r="BE2419" s="1"/>
      <c r="BF2419" s="1"/>
      <c r="BG2419" s="1"/>
      <c r="BH2419" s="1"/>
      <c r="BI2419" s="1"/>
      <c r="BJ2419" s="1"/>
      <c r="BK2419" s="1"/>
      <c r="BL2419" s="1"/>
      <c r="BM2419" s="1"/>
      <c r="BN2419" s="1"/>
      <c r="BO2419" s="1"/>
      <c r="BP2419" s="1" t="s">
        <v>9609</v>
      </c>
      <c r="BQ2419" s="3"/>
      <c r="BR2419" s="3"/>
    </row>
    <row r="2420" spans="1:70">
      <c r="A2420" s="1" t="s">
        <v>25735</v>
      </c>
      <c r="B2420" s="1" t="s">
        <v>13846</v>
      </c>
      <c r="C2420" s="1" t="s">
        <v>25748</v>
      </c>
      <c r="D2420" s="1"/>
      <c r="E2420" s="1"/>
      <c r="F2420" s="1"/>
      <c r="G2420" s="1"/>
      <c r="H2420" s="1" t="s">
        <v>25749</v>
      </c>
      <c r="I2420" s="1" t="s">
        <v>25749</v>
      </c>
      <c r="J2420" s="1"/>
      <c r="K2420" s="1"/>
      <c r="L2420" s="1"/>
      <c r="M2420" s="1"/>
      <c r="N2420" s="1"/>
      <c r="O2420" s="1"/>
      <c r="P2420" s="1"/>
      <c r="Q2420" s="1"/>
      <c r="R2420" s="1"/>
      <c r="S2420" s="1"/>
      <c r="T2420" s="1"/>
      <c r="U2420" s="1"/>
      <c r="V2420" s="1"/>
      <c r="W2420" s="1"/>
      <c r="X2420" s="1"/>
      <c r="Y2420" s="1"/>
      <c r="Z2420" s="1"/>
      <c r="AA2420" s="1"/>
      <c r="AB2420" s="1"/>
      <c r="AC2420" s="1"/>
      <c r="AD2420" s="1" t="s">
        <v>93</v>
      </c>
      <c r="AE2420" s="1" t="s">
        <v>93</v>
      </c>
      <c r="AF2420" s="1"/>
      <c r="AG2420" s="1"/>
      <c r="AH2420" s="1"/>
      <c r="AI2420" s="1"/>
      <c r="AJ2420" s="1"/>
      <c r="AK2420" s="1"/>
      <c r="AL2420" s="1"/>
      <c r="AM2420" s="1"/>
      <c r="AN2420" s="1"/>
      <c r="AO2420" s="1"/>
      <c r="AP2420" s="1"/>
      <c r="AQ2420" s="1"/>
      <c r="AR2420" s="1"/>
      <c r="AS2420" s="1"/>
      <c r="AT2420" s="1"/>
      <c r="AU2420" s="1"/>
      <c r="AV2420" s="1"/>
      <c r="AW2420" s="1"/>
      <c r="AX2420" s="1"/>
      <c r="AY2420" s="1"/>
      <c r="AZ2420" s="1"/>
      <c r="BA2420" s="1"/>
      <c r="BB2420" s="1"/>
      <c r="BC2420" s="1"/>
      <c r="BD2420" s="1"/>
      <c r="BE2420" s="1"/>
      <c r="BF2420" s="1"/>
      <c r="BG2420" s="1"/>
      <c r="BH2420" s="1"/>
      <c r="BI2420" s="1"/>
      <c r="BJ2420" s="1"/>
      <c r="BK2420" s="1"/>
      <c r="BL2420" s="1"/>
      <c r="BM2420" s="1"/>
      <c r="BN2420" s="1"/>
      <c r="BO2420" s="1"/>
      <c r="BP2420" s="1" t="s">
        <v>9609</v>
      </c>
      <c r="BQ2420" s="3"/>
      <c r="BR2420" s="3"/>
    </row>
    <row r="2421" spans="1:70">
      <c r="A2421" s="1" t="s">
        <v>25735</v>
      </c>
      <c r="B2421" s="1" t="s">
        <v>13846</v>
      </c>
      <c r="C2421" s="1" t="s">
        <v>25750</v>
      </c>
      <c r="D2421" s="1"/>
      <c r="E2421" s="1"/>
      <c r="F2421" s="1"/>
      <c r="G2421" s="1"/>
      <c r="H2421" s="1" t="s">
        <v>25751</v>
      </c>
      <c r="I2421" s="1" t="s">
        <v>25751</v>
      </c>
      <c r="J2421" s="1"/>
      <c r="K2421" s="1"/>
      <c r="L2421" s="1"/>
      <c r="M2421" s="1"/>
      <c r="N2421" s="1"/>
      <c r="O2421" s="1"/>
      <c r="P2421" s="1"/>
      <c r="Q2421" s="1"/>
      <c r="R2421" s="1"/>
      <c r="S2421" s="1"/>
      <c r="T2421" s="1"/>
      <c r="U2421" s="1"/>
      <c r="V2421" s="1"/>
      <c r="W2421" s="1"/>
      <c r="X2421" s="1"/>
      <c r="Y2421" s="1"/>
      <c r="Z2421" s="1"/>
      <c r="AA2421" s="1"/>
      <c r="AB2421" s="1"/>
      <c r="AC2421" s="1"/>
      <c r="AD2421" s="1" t="s">
        <v>93</v>
      </c>
      <c r="AE2421" s="1" t="s">
        <v>93</v>
      </c>
      <c r="AF2421" s="1"/>
      <c r="AG2421" s="1"/>
      <c r="AH2421" s="1"/>
      <c r="AI2421" s="1"/>
      <c r="AJ2421" s="1"/>
      <c r="AK2421" s="1"/>
      <c r="AL2421" s="1"/>
      <c r="AM2421" s="1"/>
      <c r="AN2421" s="1"/>
      <c r="AO2421" s="1"/>
      <c r="AP2421" s="1"/>
      <c r="AQ2421" s="1"/>
      <c r="AR2421" s="1"/>
      <c r="AS2421" s="1"/>
      <c r="AT2421" s="1"/>
      <c r="AU2421" s="1"/>
      <c r="AV2421" s="1"/>
      <c r="AW2421" s="1"/>
      <c r="AX2421" s="1"/>
      <c r="AY2421" s="1"/>
      <c r="AZ2421" s="1"/>
      <c r="BA2421" s="1"/>
      <c r="BB2421" s="1"/>
      <c r="BC2421" s="1"/>
      <c r="BD2421" s="1"/>
      <c r="BE2421" s="1"/>
      <c r="BF2421" s="1"/>
      <c r="BG2421" s="1"/>
      <c r="BH2421" s="1"/>
      <c r="BI2421" s="1"/>
      <c r="BJ2421" s="1"/>
      <c r="BK2421" s="1"/>
      <c r="BL2421" s="1"/>
      <c r="BM2421" s="1"/>
      <c r="BN2421" s="1"/>
      <c r="BO2421" s="1"/>
      <c r="BP2421" s="1" t="s">
        <v>9609</v>
      </c>
      <c r="BQ2421" s="3"/>
      <c r="BR2421" s="3"/>
    </row>
    <row r="2422" spans="1:70">
      <c r="A2422" s="1" t="s">
        <v>25735</v>
      </c>
      <c r="B2422" s="1" t="s">
        <v>13846</v>
      </c>
      <c r="C2422" s="1" t="s">
        <v>25752</v>
      </c>
      <c r="D2422" s="1"/>
      <c r="E2422" s="1"/>
      <c r="F2422" s="1"/>
      <c r="G2422" s="1"/>
      <c r="H2422" s="1" t="s">
        <v>25753</v>
      </c>
      <c r="I2422" s="1" t="s">
        <v>25753</v>
      </c>
      <c r="J2422" s="1"/>
      <c r="K2422" s="1"/>
      <c r="L2422" s="1"/>
      <c r="M2422" s="1"/>
      <c r="N2422" s="1"/>
      <c r="O2422" s="1"/>
      <c r="P2422" s="1"/>
      <c r="Q2422" s="1"/>
      <c r="R2422" s="1"/>
      <c r="S2422" s="1"/>
      <c r="T2422" s="1"/>
      <c r="U2422" s="1"/>
      <c r="V2422" s="1"/>
      <c r="W2422" s="1"/>
      <c r="X2422" s="1"/>
      <c r="Y2422" s="1"/>
      <c r="Z2422" s="1"/>
      <c r="AA2422" s="1"/>
      <c r="AB2422" s="1"/>
      <c r="AC2422" s="1"/>
      <c r="AD2422" s="1" t="s">
        <v>93</v>
      </c>
      <c r="AE2422" s="1" t="s">
        <v>93</v>
      </c>
      <c r="AF2422" s="1"/>
      <c r="AG2422" s="1"/>
      <c r="AH2422" s="1"/>
      <c r="AI2422" s="1"/>
      <c r="AJ2422" s="1"/>
      <c r="AK2422" s="1"/>
      <c r="AL2422" s="1"/>
      <c r="AM2422" s="1"/>
      <c r="AN2422" s="1"/>
      <c r="AO2422" s="1"/>
      <c r="AP2422" s="1"/>
      <c r="AQ2422" s="1"/>
      <c r="AR2422" s="1"/>
      <c r="AS2422" s="1"/>
      <c r="AT2422" s="1"/>
      <c r="AU2422" s="1"/>
      <c r="AV2422" s="1"/>
      <c r="AW2422" s="1"/>
      <c r="AX2422" s="1"/>
      <c r="AY2422" s="1"/>
      <c r="AZ2422" s="1"/>
      <c r="BA2422" s="1"/>
      <c r="BB2422" s="1"/>
      <c r="BC2422" s="1"/>
      <c r="BD2422" s="1"/>
      <c r="BE2422" s="1"/>
      <c r="BF2422" s="1"/>
      <c r="BG2422" s="1"/>
      <c r="BH2422" s="1"/>
      <c r="BI2422" s="1"/>
      <c r="BJ2422" s="1"/>
      <c r="BK2422" s="1"/>
      <c r="BL2422" s="1"/>
      <c r="BM2422" s="1"/>
      <c r="BN2422" s="1"/>
      <c r="BO2422" s="1"/>
      <c r="BP2422" s="1" t="s">
        <v>9609</v>
      </c>
      <c r="BQ2422" s="3"/>
      <c r="BR2422" s="3"/>
    </row>
    <row r="2423" spans="1:70">
      <c r="A2423" s="1" t="s">
        <v>25735</v>
      </c>
      <c r="B2423" s="1" t="s">
        <v>13846</v>
      </c>
      <c r="C2423" s="1" t="s">
        <v>25754</v>
      </c>
      <c r="D2423" s="1"/>
      <c r="E2423" s="1"/>
      <c r="F2423" s="1"/>
      <c r="G2423" s="1"/>
      <c r="H2423" s="1" t="s">
        <v>25755</v>
      </c>
      <c r="I2423" s="1" t="s">
        <v>25755</v>
      </c>
      <c r="J2423" s="1"/>
      <c r="K2423" s="1"/>
      <c r="L2423" s="1"/>
      <c r="M2423" s="1"/>
      <c r="N2423" s="1"/>
      <c r="O2423" s="1"/>
      <c r="P2423" s="1"/>
      <c r="Q2423" s="1"/>
      <c r="R2423" s="1"/>
      <c r="S2423" s="1"/>
      <c r="T2423" s="1"/>
      <c r="U2423" s="1"/>
      <c r="V2423" s="1"/>
      <c r="W2423" s="1"/>
      <c r="X2423" s="1"/>
      <c r="Y2423" s="1"/>
      <c r="Z2423" s="1"/>
      <c r="AA2423" s="1"/>
      <c r="AB2423" s="1"/>
      <c r="AC2423" s="1"/>
      <c r="AD2423" s="1" t="s">
        <v>93</v>
      </c>
      <c r="AE2423" s="1" t="s">
        <v>93</v>
      </c>
      <c r="AF2423" s="1"/>
      <c r="AG2423" s="1"/>
      <c r="AH2423" s="1"/>
      <c r="AI2423" s="1"/>
      <c r="AJ2423" s="1"/>
      <c r="AK2423" s="1"/>
      <c r="AL2423" s="1"/>
      <c r="AM2423" s="1"/>
      <c r="AN2423" s="1"/>
      <c r="AO2423" s="1"/>
      <c r="AP2423" s="1"/>
      <c r="AQ2423" s="1"/>
      <c r="AR2423" s="1"/>
      <c r="AS2423" s="1"/>
      <c r="AT2423" s="1"/>
      <c r="AU2423" s="1"/>
      <c r="AV2423" s="1"/>
      <c r="AW2423" s="1"/>
      <c r="AX2423" s="1"/>
      <c r="AY2423" s="1"/>
      <c r="AZ2423" s="1"/>
      <c r="BA2423" s="1"/>
      <c r="BB2423" s="1"/>
      <c r="BC2423" s="1"/>
      <c r="BD2423" s="1"/>
      <c r="BE2423" s="1"/>
      <c r="BF2423" s="1"/>
      <c r="BG2423" s="1"/>
      <c r="BH2423" s="1"/>
      <c r="BI2423" s="1"/>
      <c r="BJ2423" s="1"/>
      <c r="BK2423" s="1"/>
      <c r="BL2423" s="1"/>
      <c r="BM2423" s="1"/>
      <c r="BN2423" s="1"/>
      <c r="BO2423" s="1"/>
      <c r="BP2423" s="1" t="s">
        <v>9609</v>
      </c>
      <c r="BQ2423" s="3"/>
      <c r="BR2423" s="3"/>
    </row>
    <row r="2424" spans="1:70">
      <c r="A2424" s="1" t="s">
        <v>25735</v>
      </c>
      <c r="B2424" s="1" t="s">
        <v>13846</v>
      </c>
      <c r="C2424" s="1" t="s">
        <v>25756</v>
      </c>
      <c r="D2424" s="1"/>
      <c r="E2424" s="1"/>
      <c r="F2424" s="1"/>
      <c r="G2424" s="1"/>
      <c r="H2424" s="1" t="s">
        <v>25757</v>
      </c>
      <c r="I2424" s="1" t="s">
        <v>25757</v>
      </c>
      <c r="J2424" s="1"/>
      <c r="K2424" s="1"/>
      <c r="L2424" s="1"/>
      <c r="M2424" s="1"/>
      <c r="N2424" s="1"/>
      <c r="O2424" s="1"/>
      <c r="P2424" s="1"/>
      <c r="Q2424" s="1"/>
      <c r="R2424" s="1"/>
      <c r="S2424" s="1"/>
      <c r="T2424" s="1"/>
      <c r="U2424" s="1"/>
      <c r="V2424" s="1"/>
      <c r="W2424" s="1"/>
      <c r="X2424" s="1"/>
      <c r="Y2424" s="1"/>
      <c r="Z2424" s="1"/>
      <c r="AA2424" s="1"/>
      <c r="AB2424" s="1"/>
      <c r="AC2424" s="1"/>
      <c r="AD2424" s="1" t="s">
        <v>93</v>
      </c>
      <c r="AE2424" s="1" t="s">
        <v>93</v>
      </c>
      <c r="AF2424" s="1"/>
      <c r="AG2424" s="1"/>
      <c r="AH2424" s="1"/>
      <c r="AI2424" s="1"/>
      <c r="AJ2424" s="1"/>
      <c r="AK2424" s="1"/>
      <c r="AL2424" s="1"/>
      <c r="AM2424" s="1"/>
      <c r="AN2424" s="1"/>
      <c r="AO2424" s="1"/>
      <c r="AP2424" s="1"/>
      <c r="AQ2424" s="1"/>
      <c r="AR2424" s="1"/>
      <c r="AS2424" s="1"/>
      <c r="AT2424" s="1"/>
      <c r="AU2424" s="1"/>
      <c r="AV2424" s="1"/>
      <c r="AW2424" s="1"/>
      <c r="AX2424" s="1"/>
      <c r="AY2424" s="1"/>
      <c r="AZ2424" s="1"/>
      <c r="BA2424" s="1"/>
      <c r="BB2424" s="1"/>
      <c r="BC2424" s="1"/>
      <c r="BD2424" s="1"/>
      <c r="BE2424" s="1"/>
      <c r="BF2424" s="1"/>
      <c r="BG2424" s="1"/>
      <c r="BH2424" s="1"/>
      <c r="BI2424" s="1"/>
      <c r="BJ2424" s="1"/>
      <c r="BK2424" s="1"/>
      <c r="BL2424" s="1"/>
      <c r="BM2424" s="1"/>
      <c r="BN2424" s="1"/>
      <c r="BO2424" s="1"/>
      <c r="BP2424" s="1" t="s">
        <v>9609</v>
      </c>
      <c r="BQ2424" s="3"/>
      <c r="BR2424" s="3"/>
    </row>
    <row r="2425" spans="1:70">
      <c r="A2425" s="1" t="s">
        <v>25735</v>
      </c>
      <c r="B2425" s="1" t="s">
        <v>13846</v>
      </c>
      <c r="C2425" s="1" t="s">
        <v>25758</v>
      </c>
      <c r="D2425" s="1"/>
      <c r="E2425" s="1"/>
      <c r="F2425" s="1"/>
      <c r="G2425" s="1"/>
      <c r="H2425" s="1" t="s">
        <v>25759</v>
      </c>
      <c r="I2425" s="1" t="s">
        <v>25759</v>
      </c>
      <c r="J2425" s="1"/>
      <c r="K2425" s="1"/>
      <c r="L2425" s="1"/>
      <c r="M2425" s="1"/>
      <c r="N2425" s="1"/>
      <c r="O2425" s="1"/>
      <c r="P2425" s="1"/>
      <c r="Q2425" s="1"/>
      <c r="R2425" s="1"/>
      <c r="S2425" s="1"/>
      <c r="T2425" s="1"/>
      <c r="U2425" s="1"/>
      <c r="V2425" s="1"/>
      <c r="W2425" s="1"/>
      <c r="X2425" s="1"/>
      <c r="Y2425" s="1"/>
      <c r="Z2425" s="1"/>
      <c r="AA2425" s="1"/>
      <c r="AB2425" s="1"/>
      <c r="AC2425" s="1"/>
      <c r="AD2425" s="1" t="s">
        <v>93</v>
      </c>
      <c r="AE2425" s="1" t="s">
        <v>93</v>
      </c>
      <c r="AF2425" s="1"/>
      <c r="AG2425" s="1"/>
      <c r="AH2425" s="1"/>
      <c r="AI2425" s="1"/>
      <c r="AJ2425" s="1"/>
      <c r="AK2425" s="1"/>
      <c r="AL2425" s="1"/>
      <c r="AM2425" s="1"/>
      <c r="AN2425" s="1"/>
      <c r="AO2425" s="1"/>
      <c r="AP2425" s="1"/>
      <c r="AQ2425" s="1"/>
      <c r="AR2425" s="1"/>
      <c r="AS2425" s="1"/>
      <c r="AT2425" s="1"/>
      <c r="AU2425" s="1"/>
      <c r="AV2425" s="1"/>
      <c r="AW2425" s="1"/>
      <c r="AX2425" s="1"/>
      <c r="AY2425" s="1"/>
      <c r="AZ2425" s="1"/>
      <c r="BA2425" s="1"/>
      <c r="BB2425" s="1"/>
      <c r="BC2425" s="1"/>
      <c r="BD2425" s="1"/>
      <c r="BE2425" s="1"/>
      <c r="BF2425" s="1"/>
      <c r="BG2425" s="1"/>
      <c r="BH2425" s="1"/>
      <c r="BI2425" s="1"/>
      <c r="BJ2425" s="1"/>
      <c r="BK2425" s="1"/>
      <c r="BL2425" s="1"/>
      <c r="BM2425" s="1"/>
      <c r="BN2425" s="1"/>
      <c r="BO2425" s="1"/>
      <c r="BP2425" s="1" t="s">
        <v>9609</v>
      </c>
      <c r="BQ2425" s="3"/>
      <c r="BR2425" s="3"/>
    </row>
    <row r="2426" spans="1:70">
      <c r="A2426" s="1" t="s">
        <v>25735</v>
      </c>
      <c r="B2426" s="1" t="s">
        <v>13846</v>
      </c>
      <c r="C2426" s="1" t="s">
        <v>25760</v>
      </c>
      <c r="D2426" s="1"/>
      <c r="E2426" s="1"/>
      <c r="F2426" s="1"/>
      <c r="G2426" s="1"/>
      <c r="H2426" s="1" t="s">
        <v>25761</v>
      </c>
      <c r="I2426" s="1" t="s">
        <v>25761</v>
      </c>
      <c r="J2426" s="1"/>
      <c r="K2426" s="1"/>
      <c r="L2426" s="1"/>
      <c r="M2426" s="1"/>
      <c r="N2426" s="1"/>
      <c r="O2426" s="1"/>
      <c r="P2426" s="1"/>
      <c r="Q2426" s="1"/>
      <c r="R2426" s="1"/>
      <c r="S2426" s="1"/>
      <c r="T2426" s="1"/>
      <c r="U2426" s="1"/>
      <c r="V2426" s="1"/>
      <c r="W2426" s="1"/>
      <c r="X2426" s="1"/>
      <c r="Y2426" s="1"/>
      <c r="Z2426" s="1"/>
      <c r="AA2426" s="1"/>
      <c r="AB2426" s="1"/>
      <c r="AC2426" s="1"/>
      <c r="AD2426" s="1" t="s">
        <v>93</v>
      </c>
      <c r="AE2426" s="1" t="s">
        <v>93</v>
      </c>
      <c r="AF2426" s="1"/>
      <c r="AG2426" s="1"/>
      <c r="AH2426" s="1"/>
      <c r="AI2426" s="1"/>
      <c r="AJ2426" s="1"/>
      <c r="AK2426" s="1"/>
      <c r="AL2426" s="1"/>
      <c r="AM2426" s="1"/>
      <c r="AN2426" s="1"/>
      <c r="AO2426" s="1"/>
      <c r="AP2426" s="1"/>
      <c r="AQ2426" s="1"/>
      <c r="AR2426" s="1"/>
      <c r="AS2426" s="1"/>
      <c r="AT2426" s="1"/>
      <c r="AU2426" s="1"/>
      <c r="AV2426" s="1"/>
      <c r="AW2426" s="1"/>
      <c r="AX2426" s="1"/>
      <c r="AY2426" s="1"/>
      <c r="AZ2426" s="1"/>
      <c r="BA2426" s="1"/>
      <c r="BB2426" s="1"/>
      <c r="BC2426" s="1"/>
      <c r="BD2426" s="1"/>
      <c r="BE2426" s="1"/>
      <c r="BF2426" s="1"/>
      <c r="BG2426" s="1"/>
      <c r="BH2426" s="1"/>
      <c r="BI2426" s="1"/>
      <c r="BJ2426" s="1"/>
      <c r="BK2426" s="1"/>
      <c r="BL2426" s="1"/>
      <c r="BM2426" s="1"/>
      <c r="BN2426" s="1"/>
      <c r="BO2426" s="1"/>
      <c r="BP2426" s="1" t="s">
        <v>9609</v>
      </c>
      <c r="BQ2426" s="3"/>
      <c r="BR2426" s="3"/>
    </row>
    <row r="2427" spans="1:70">
      <c r="A2427" s="1" t="s">
        <v>25735</v>
      </c>
      <c r="B2427" s="1" t="s">
        <v>13846</v>
      </c>
      <c r="C2427" s="1" t="s">
        <v>25762</v>
      </c>
      <c r="D2427" s="1"/>
      <c r="E2427" s="1"/>
      <c r="F2427" s="1"/>
      <c r="G2427" s="1"/>
      <c r="H2427" s="1" t="s">
        <v>25763</v>
      </c>
      <c r="I2427" s="1" t="s">
        <v>25763</v>
      </c>
      <c r="J2427" s="1"/>
      <c r="K2427" s="1"/>
      <c r="L2427" s="1"/>
      <c r="M2427" s="1"/>
      <c r="N2427" s="1"/>
      <c r="O2427" s="1"/>
      <c r="P2427" s="1"/>
      <c r="Q2427" s="1"/>
      <c r="R2427" s="1"/>
      <c r="S2427" s="1"/>
      <c r="T2427" s="1"/>
      <c r="U2427" s="1"/>
      <c r="V2427" s="1"/>
      <c r="W2427" s="1"/>
      <c r="X2427" s="1"/>
      <c r="Y2427" s="1"/>
      <c r="Z2427" s="1"/>
      <c r="AA2427" s="1"/>
      <c r="AB2427" s="1"/>
      <c r="AC2427" s="1"/>
      <c r="AD2427" s="1" t="s">
        <v>93</v>
      </c>
      <c r="AE2427" s="1" t="s">
        <v>93</v>
      </c>
      <c r="AF2427" s="1"/>
      <c r="AG2427" s="1"/>
      <c r="AH2427" s="1"/>
      <c r="AI2427" s="1"/>
      <c r="AJ2427" s="1"/>
      <c r="AK2427" s="1"/>
      <c r="AL2427" s="1"/>
      <c r="AM2427" s="1"/>
      <c r="AN2427" s="1"/>
      <c r="AO2427" s="1"/>
      <c r="AP2427" s="1"/>
      <c r="AQ2427" s="1"/>
      <c r="AR2427" s="1"/>
      <c r="AS2427" s="1"/>
      <c r="AT2427" s="1"/>
      <c r="AU2427" s="1"/>
      <c r="AV2427" s="1"/>
      <c r="AW2427" s="1"/>
      <c r="AX2427" s="1"/>
      <c r="AY2427" s="1"/>
      <c r="AZ2427" s="1"/>
      <c r="BA2427" s="1"/>
      <c r="BB2427" s="1"/>
      <c r="BC2427" s="1"/>
      <c r="BD2427" s="1"/>
      <c r="BE2427" s="1"/>
      <c r="BF2427" s="1"/>
      <c r="BG2427" s="1"/>
      <c r="BH2427" s="1"/>
      <c r="BI2427" s="1"/>
      <c r="BJ2427" s="1"/>
      <c r="BK2427" s="1"/>
      <c r="BL2427" s="1"/>
      <c r="BM2427" s="1"/>
      <c r="BN2427" s="1"/>
      <c r="BO2427" s="1"/>
      <c r="BP2427" s="1" t="s">
        <v>9609</v>
      </c>
      <c r="BQ2427" s="3"/>
      <c r="BR2427" s="3"/>
    </row>
    <row r="2428" spans="1:70">
      <c r="A2428" s="1" t="s">
        <v>25735</v>
      </c>
      <c r="B2428" s="1" t="s">
        <v>13846</v>
      </c>
      <c r="C2428" s="1" t="s">
        <v>25764</v>
      </c>
      <c r="D2428" s="1"/>
      <c r="E2428" s="1"/>
      <c r="F2428" s="1"/>
      <c r="G2428" s="1"/>
      <c r="H2428" s="1" t="s">
        <v>25765</v>
      </c>
      <c r="I2428" s="1" t="s">
        <v>25765</v>
      </c>
      <c r="J2428" s="1"/>
      <c r="K2428" s="1"/>
      <c r="L2428" s="1"/>
      <c r="M2428" s="1"/>
      <c r="N2428" s="1"/>
      <c r="O2428" s="1"/>
      <c r="P2428" s="1"/>
      <c r="Q2428" s="1"/>
      <c r="R2428" s="1"/>
      <c r="S2428" s="1"/>
      <c r="T2428" s="1"/>
      <c r="U2428" s="1"/>
      <c r="V2428" s="1"/>
      <c r="W2428" s="1"/>
      <c r="X2428" s="1"/>
      <c r="Y2428" s="1"/>
      <c r="Z2428" s="1"/>
      <c r="AA2428" s="1"/>
      <c r="AB2428" s="1"/>
      <c r="AC2428" s="1"/>
      <c r="AD2428" s="1" t="s">
        <v>93</v>
      </c>
      <c r="AE2428" s="1" t="s">
        <v>93</v>
      </c>
      <c r="AF2428" s="1"/>
      <c r="AG2428" s="1"/>
      <c r="AH2428" s="1"/>
      <c r="AI2428" s="1"/>
      <c r="AJ2428" s="1"/>
      <c r="AK2428" s="1"/>
      <c r="AL2428" s="1"/>
      <c r="AM2428" s="1"/>
      <c r="AN2428" s="1"/>
      <c r="AO2428" s="1"/>
      <c r="AP2428" s="1"/>
      <c r="AQ2428" s="1"/>
      <c r="AR2428" s="1"/>
      <c r="AS2428" s="1"/>
      <c r="AT2428" s="1"/>
      <c r="AU2428" s="1"/>
      <c r="AV2428" s="1"/>
      <c r="AW2428" s="1"/>
      <c r="AX2428" s="1"/>
      <c r="AY2428" s="1"/>
      <c r="AZ2428" s="1"/>
      <c r="BA2428" s="1"/>
      <c r="BB2428" s="1"/>
      <c r="BC2428" s="1"/>
      <c r="BD2428" s="1"/>
      <c r="BE2428" s="1"/>
      <c r="BF2428" s="1"/>
      <c r="BG2428" s="1"/>
      <c r="BH2428" s="1"/>
      <c r="BI2428" s="1"/>
      <c r="BJ2428" s="1"/>
      <c r="BK2428" s="1"/>
      <c r="BL2428" s="1"/>
      <c r="BM2428" s="1"/>
      <c r="BN2428" s="1"/>
      <c r="BO2428" s="1"/>
      <c r="BP2428" s="1" t="s">
        <v>9609</v>
      </c>
      <c r="BQ2428" s="3"/>
      <c r="BR2428" s="3"/>
    </row>
    <row r="2429" spans="1:70">
      <c r="A2429" s="1" t="s">
        <v>25735</v>
      </c>
      <c r="B2429" s="1" t="s">
        <v>13846</v>
      </c>
      <c r="C2429" s="1" t="s">
        <v>25766</v>
      </c>
      <c r="D2429" s="1"/>
      <c r="E2429" s="1"/>
      <c r="F2429" s="1"/>
      <c r="G2429" s="1"/>
      <c r="H2429" s="1" t="s">
        <v>25767</v>
      </c>
      <c r="I2429" s="1" t="s">
        <v>25767</v>
      </c>
      <c r="J2429" s="1"/>
      <c r="K2429" s="1"/>
      <c r="L2429" s="1"/>
      <c r="M2429" s="1"/>
      <c r="N2429" s="1"/>
      <c r="O2429" s="1"/>
      <c r="P2429" s="1"/>
      <c r="Q2429" s="1"/>
      <c r="R2429" s="1"/>
      <c r="S2429" s="1"/>
      <c r="T2429" s="1"/>
      <c r="U2429" s="1"/>
      <c r="V2429" s="1"/>
      <c r="W2429" s="1"/>
      <c r="X2429" s="1"/>
      <c r="Y2429" s="1"/>
      <c r="Z2429" s="1"/>
      <c r="AA2429" s="1"/>
      <c r="AB2429" s="1"/>
      <c r="AC2429" s="1"/>
      <c r="AD2429" s="1" t="s">
        <v>93</v>
      </c>
      <c r="AE2429" s="1" t="s">
        <v>93</v>
      </c>
      <c r="AF2429" s="1"/>
      <c r="AG2429" s="1"/>
      <c r="AH2429" s="1"/>
      <c r="AI2429" s="1"/>
      <c r="AJ2429" s="1"/>
      <c r="AK2429" s="1"/>
      <c r="AL2429" s="1"/>
      <c r="AM2429" s="1"/>
      <c r="AN2429" s="1"/>
      <c r="AO2429" s="1"/>
      <c r="AP2429" s="1"/>
      <c r="AQ2429" s="1"/>
      <c r="AR2429" s="1"/>
      <c r="AS2429" s="1"/>
      <c r="AT2429" s="1"/>
      <c r="AU2429" s="1"/>
      <c r="AV2429" s="1"/>
      <c r="AW2429" s="1"/>
      <c r="AX2429" s="1"/>
      <c r="AY2429" s="1"/>
      <c r="AZ2429" s="1"/>
      <c r="BA2429" s="1"/>
      <c r="BB2429" s="1"/>
      <c r="BC2429" s="1"/>
      <c r="BD2429" s="1"/>
      <c r="BE2429" s="1"/>
      <c r="BF2429" s="1"/>
      <c r="BG2429" s="1"/>
      <c r="BH2429" s="1"/>
      <c r="BI2429" s="1"/>
      <c r="BJ2429" s="1"/>
      <c r="BK2429" s="1"/>
      <c r="BL2429" s="1"/>
      <c r="BM2429" s="1"/>
      <c r="BN2429" s="1"/>
      <c r="BO2429" s="1"/>
      <c r="BP2429" s="1" t="s">
        <v>9609</v>
      </c>
      <c r="BQ2429" s="3"/>
      <c r="BR2429" s="3"/>
    </row>
    <row r="2430" spans="1:70">
      <c r="A2430" s="1" t="s">
        <v>25735</v>
      </c>
      <c r="B2430" s="1" t="s">
        <v>13846</v>
      </c>
      <c r="C2430" s="1" t="s">
        <v>25768</v>
      </c>
      <c r="D2430" s="1"/>
      <c r="E2430" s="1"/>
      <c r="F2430" s="1"/>
      <c r="G2430" s="1"/>
      <c r="H2430" s="1" t="s">
        <v>25769</v>
      </c>
      <c r="I2430" s="1" t="s">
        <v>25769</v>
      </c>
      <c r="J2430" s="1"/>
      <c r="K2430" s="1"/>
      <c r="L2430" s="1"/>
      <c r="M2430" s="1"/>
      <c r="N2430" s="1"/>
      <c r="O2430" s="1"/>
      <c r="P2430" s="1"/>
      <c r="Q2430" s="1"/>
      <c r="R2430" s="1"/>
      <c r="S2430" s="1"/>
      <c r="T2430" s="1"/>
      <c r="U2430" s="1"/>
      <c r="V2430" s="1"/>
      <c r="W2430" s="1"/>
      <c r="X2430" s="1"/>
      <c r="Y2430" s="1"/>
      <c r="Z2430" s="1"/>
      <c r="AA2430" s="1"/>
      <c r="AB2430" s="1"/>
      <c r="AC2430" s="1"/>
      <c r="AD2430" s="1" t="s">
        <v>93</v>
      </c>
      <c r="AE2430" s="1" t="s">
        <v>93</v>
      </c>
      <c r="AF2430" s="1"/>
      <c r="AG2430" s="1"/>
      <c r="AH2430" s="1"/>
      <c r="AI2430" s="1"/>
      <c r="AJ2430" s="1"/>
      <c r="AK2430" s="1"/>
      <c r="AL2430" s="1"/>
      <c r="AM2430" s="1"/>
      <c r="AN2430" s="1"/>
      <c r="AO2430" s="1"/>
      <c r="AP2430" s="1"/>
      <c r="AQ2430" s="1"/>
      <c r="AR2430" s="1"/>
      <c r="AS2430" s="1"/>
      <c r="AT2430" s="1"/>
      <c r="AU2430" s="1"/>
      <c r="AV2430" s="1"/>
      <c r="AW2430" s="1"/>
      <c r="AX2430" s="1"/>
      <c r="AY2430" s="1"/>
      <c r="AZ2430" s="1"/>
      <c r="BA2430" s="1"/>
      <c r="BB2430" s="1"/>
      <c r="BC2430" s="1"/>
      <c r="BD2430" s="1"/>
      <c r="BE2430" s="1"/>
      <c r="BF2430" s="1"/>
      <c r="BG2430" s="1"/>
      <c r="BH2430" s="1"/>
      <c r="BI2430" s="1"/>
      <c r="BJ2430" s="1"/>
      <c r="BK2430" s="1"/>
      <c r="BL2430" s="1"/>
      <c r="BM2430" s="1"/>
      <c r="BN2430" s="1"/>
      <c r="BO2430" s="1"/>
      <c r="BP2430" s="1" t="s">
        <v>9609</v>
      </c>
      <c r="BQ2430" s="3"/>
      <c r="BR2430" s="3"/>
    </row>
    <row r="2431" spans="1:70">
      <c r="A2431" s="1" t="s">
        <v>25735</v>
      </c>
      <c r="B2431" s="1" t="s">
        <v>13846</v>
      </c>
      <c r="C2431" s="1" t="s">
        <v>25770</v>
      </c>
      <c r="D2431" s="1"/>
      <c r="E2431" s="1"/>
      <c r="F2431" s="1"/>
      <c r="G2431" s="1"/>
      <c r="H2431" s="1" t="s">
        <v>25771</v>
      </c>
      <c r="I2431" s="1" t="s">
        <v>25771</v>
      </c>
      <c r="J2431" s="1"/>
      <c r="K2431" s="1"/>
      <c r="L2431" s="1"/>
      <c r="M2431" s="1"/>
      <c r="N2431" s="1"/>
      <c r="O2431" s="1"/>
      <c r="P2431" s="1"/>
      <c r="Q2431" s="1"/>
      <c r="R2431" s="1"/>
      <c r="S2431" s="1"/>
      <c r="T2431" s="1"/>
      <c r="U2431" s="1"/>
      <c r="V2431" s="1"/>
      <c r="W2431" s="1"/>
      <c r="X2431" s="1"/>
      <c r="Y2431" s="1"/>
      <c r="Z2431" s="1"/>
      <c r="AA2431" s="1"/>
      <c r="AB2431" s="1"/>
      <c r="AC2431" s="1"/>
      <c r="AD2431" s="1" t="s">
        <v>93</v>
      </c>
      <c r="AE2431" s="1" t="s">
        <v>93</v>
      </c>
      <c r="AF2431" s="1"/>
      <c r="AG2431" s="1"/>
      <c r="AH2431" s="1"/>
      <c r="AI2431" s="1"/>
      <c r="AJ2431" s="1"/>
      <c r="AK2431" s="1"/>
      <c r="AL2431" s="1"/>
      <c r="AM2431" s="1"/>
      <c r="AN2431" s="1"/>
      <c r="AO2431" s="1"/>
      <c r="AP2431" s="1"/>
      <c r="AQ2431" s="1"/>
      <c r="AR2431" s="1"/>
      <c r="AS2431" s="1"/>
      <c r="AT2431" s="1"/>
      <c r="AU2431" s="1"/>
      <c r="AV2431" s="1"/>
      <c r="AW2431" s="1"/>
      <c r="AX2431" s="1"/>
      <c r="AY2431" s="1"/>
      <c r="AZ2431" s="1"/>
      <c r="BA2431" s="1"/>
      <c r="BB2431" s="1"/>
      <c r="BC2431" s="1"/>
      <c r="BD2431" s="1"/>
      <c r="BE2431" s="1"/>
      <c r="BF2431" s="1"/>
      <c r="BG2431" s="1"/>
      <c r="BH2431" s="1"/>
      <c r="BI2431" s="1"/>
      <c r="BJ2431" s="1"/>
      <c r="BK2431" s="1"/>
      <c r="BL2431" s="1"/>
      <c r="BM2431" s="1"/>
      <c r="BN2431" s="1"/>
      <c r="BO2431" s="1"/>
      <c r="BP2431" s="1" t="s">
        <v>9609</v>
      </c>
      <c r="BQ2431" s="3"/>
      <c r="BR2431" s="3"/>
    </row>
    <row r="2432" spans="1:70">
      <c r="A2432" s="1" t="s">
        <v>25735</v>
      </c>
      <c r="B2432" s="1" t="s">
        <v>13846</v>
      </c>
      <c r="C2432" s="1" t="s">
        <v>25772</v>
      </c>
      <c r="D2432" s="1"/>
      <c r="E2432" s="1"/>
      <c r="F2432" s="1"/>
      <c r="G2432" s="1"/>
      <c r="H2432" s="1" t="s">
        <v>25773</v>
      </c>
      <c r="I2432" s="1" t="s">
        <v>25773</v>
      </c>
      <c r="J2432" s="1"/>
      <c r="K2432" s="1"/>
      <c r="L2432" s="1"/>
      <c r="M2432" s="1"/>
      <c r="N2432" s="1"/>
      <c r="O2432" s="1"/>
      <c r="P2432" s="1"/>
      <c r="Q2432" s="1"/>
      <c r="R2432" s="1"/>
      <c r="S2432" s="1"/>
      <c r="T2432" s="1"/>
      <c r="U2432" s="1"/>
      <c r="V2432" s="1"/>
      <c r="W2432" s="1"/>
      <c r="X2432" s="1"/>
      <c r="Y2432" s="1"/>
      <c r="Z2432" s="1"/>
      <c r="AA2432" s="1"/>
      <c r="AB2432" s="1"/>
      <c r="AC2432" s="1"/>
      <c r="AD2432" s="1" t="s">
        <v>93</v>
      </c>
      <c r="AE2432" s="1" t="s">
        <v>93</v>
      </c>
      <c r="AF2432" s="1"/>
      <c r="AG2432" s="1"/>
      <c r="AH2432" s="1"/>
      <c r="AI2432" s="1"/>
      <c r="AJ2432" s="1"/>
      <c r="AK2432" s="1"/>
      <c r="AL2432" s="1"/>
      <c r="AM2432" s="1"/>
      <c r="AN2432" s="1"/>
      <c r="AO2432" s="1"/>
      <c r="AP2432" s="1"/>
      <c r="AQ2432" s="1"/>
      <c r="AR2432" s="1"/>
      <c r="AS2432" s="1"/>
      <c r="AT2432" s="1"/>
      <c r="AU2432" s="1"/>
      <c r="AV2432" s="1"/>
      <c r="AW2432" s="1"/>
      <c r="AX2432" s="1"/>
      <c r="AY2432" s="1"/>
      <c r="AZ2432" s="1"/>
      <c r="BA2432" s="1"/>
      <c r="BB2432" s="1"/>
      <c r="BC2432" s="1"/>
      <c r="BD2432" s="1"/>
      <c r="BE2432" s="1"/>
      <c r="BF2432" s="1"/>
      <c r="BG2432" s="1"/>
      <c r="BH2432" s="1"/>
      <c r="BI2432" s="1"/>
      <c r="BJ2432" s="1"/>
      <c r="BK2432" s="1"/>
      <c r="BL2432" s="1"/>
      <c r="BM2432" s="1"/>
      <c r="BN2432" s="1"/>
      <c r="BO2432" s="1"/>
      <c r="BP2432" s="1" t="s">
        <v>9609</v>
      </c>
      <c r="BQ2432" s="3"/>
      <c r="BR2432" s="3"/>
    </row>
    <row r="2433" spans="1:70">
      <c r="A2433" s="1" t="s">
        <v>25735</v>
      </c>
      <c r="B2433" s="1" t="s">
        <v>13846</v>
      </c>
      <c r="C2433" s="1" t="s">
        <v>25774</v>
      </c>
      <c r="D2433" s="1"/>
      <c r="E2433" s="1"/>
      <c r="F2433" s="1"/>
      <c r="G2433" s="1"/>
      <c r="H2433" s="1" t="s">
        <v>25775</v>
      </c>
      <c r="I2433" s="1" t="s">
        <v>25775</v>
      </c>
      <c r="J2433" s="1"/>
      <c r="K2433" s="1"/>
      <c r="L2433" s="1"/>
      <c r="M2433" s="1"/>
      <c r="N2433" s="1"/>
      <c r="O2433" s="1"/>
      <c r="P2433" s="1"/>
      <c r="Q2433" s="1"/>
      <c r="R2433" s="1"/>
      <c r="S2433" s="1"/>
      <c r="T2433" s="1"/>
      <c r="U2433" s="1"/>
      <c r="V2433" s="1"/>
      <c r="W2433" s="1"/>
      <c r="X2433" s="1"/>
      <c r="Y2433" s="1"/>
      <c r="Z2433" s="1"/>
      <c r="AA2433" s="1"/>
      <c r="AB2433" s="1"/>
      <c r="AC2433" s="1"/>
      <c r="AD2433" s="1" t="s">
        <v>93</v>
      </c>
      <c r="AE2433" s="1" t="s">
        <v>93</v>
      </c>
      <c r="AF2433" s="1"/>
      <c r="AG2433" s="1"/>
      <c r="AH2433" s="1"/>
      <c r="AI2433" s="1"/>
      <c r="AJ2433" s="1"/>
      <c r="AK2433" s="1"/>
      <c r="AL2433" s="1"/>
      <c r="AM2433" s="1"/>
      <c r="AN2433" s="1"/>
      <c r="AO2433" s="1"/>
      <c r="AP2433" s="1"/>
      <c r="AQ2433" s="1"/>
      <c r="AR2433" s="1"/>
      <c r="AS2433" s="1"/>
      <c r="AT2433" s="1"/>
      <c r="AU2433" s="1"/>
      <c r="AV2433" s="1"/>
      <c r="AW2433" s="1"/>
      <c r="AX2433" s="1"/>
      <c r="AY2433" s="1"/>
      <c r="AZ2433" s="1"/>
      <c r="BA2433" s="1"/>
      <c r="BB2433" s="1"/>
      <c r="BC2433" s="1"/>
      <c r="BD2433" s="1"/>
      <c r="BE2433" s="1"/>
      <c r="BF2433" s="1"/>
      <c r="BG2433" s="1"/>
      <c r="BH2433" s="1"/>
      <c r="BI2433" s="1"/>
      <c r="BJ2433" s="1"/>
      <c r="BK2433" s="1"/>
      <c r="BL2433" s="1"/>
      <c r="BM2433" s="1"/>
      <c r="BN2433" s="1"/>
      <c r="BO2433" s="1"/>
      <c r="BP2433" s="1" t="s">
        <v>9609</v>
      </c>
      <c r="BQ2433" s="3"/>
      <c r="BR2433" s="3"/>
    </row>
    <row r="2434" spans="1:70">
      <c r="A2434" s="1" t="s">
        <v>25735</v>
      </c>
      <c r="B2434" s="1" t="s">
        <v>13846</v>
      </c>
      <c r="C2434" s="1" t="s">
        <v>25776</v>
      </c>
      <c r="D2434" s="1"/>
      <c r="E2434" s="1"/>
      <c r="F2434" s="1"/>
      <c r="G2434" s="1"/>
      <c r="H2434" s="1" t="s">
        <v>25777</v>
      </c>
      <c r="I2434" s="1" t="s">
        <v>25777</v>
      </c>
      <c r="J2434" s="1"/>
      <c r="K2434" s="1"/>
      <c r="L2434" s="1"/>
      <c r="M2434" s="1"/>
      <c r="N2434" s="1"/>
      <c r="O2434" s="1"/>
      <c r="P2434" s="1"/>
      <c r="Q2434" s="1"/>
      <c r="R2434" s="1"/>
      <c r="S2434" s="1"/>
      <c r="T2434" s="1"/>
      <c r="U2434" s="1"/>
      <c r="V2434" s="1"/>
      <c r="W2434" s="1"/>
      <c r="X2434" s="1"/>
      <c r="Y2434" s="1"/>
      <c r="Z2434" s="1"/>
      <c r="AA2434" s="1"/>
      <c r="AB2434" s="1"/>
      <c r="AC2434" s="1"/>
      <c r="AD2434" s="1" t="s">
        <v>93</v>
      </c>
      <c r="AE2434" s="1" t="s">
        <v>93</v>
      </c>
      <c r="AF2434" s="1"/>
      <c r="AG2434" s="1"/>
      <c r="AH2434" s="1"/>
      <c r="AI2434" s="1"/>
      <c r="AJ2434" s="1"/>
      <c r="AK2434" s="1"/>
      <c r="AL2434" s="1"/>
      <c r="AM2434" s="1"/>
      <c r="AN2434" s="1"/>
      <c r="AO2434" s="1"/>
      <c r="AP2434" s="1"/>
      <c r="AQ2434" s="1"/>
      <c r="AR2434" s="1"/>
      <c r="AS2434" s="1"/>
      <c r="AT2434" s="1"/>
      <c r="AU2434" s="1"/>
      <c r="AV2434" s="1"/>
      <c r="AW2434" s="1"/>
      <c r="AX2434" s="1"/>
      <c r="AY2434" s="1"/>
      <c r="AZ2434" s="1"/>
      <c r="BA2434" s="1"/>
      <c r="BB2434" s="1"/>
      <c r="BC2434" s="1"/>
      <c r="BD2434" s="1"/>
      <c r="BE2434" s="1"/>
      <c r="BF2434" s="1"/>
      <c r="BG2434" s="1"/>
      <c r="BH2434" s="1"/>
      <c r="BI2434" s="1"/>
      <c r="BJ2434" s="1"/>
      <c r="BK2434" s="1"/>
      <c r="BL2434" s="1"/>
      <c r="BM2434" s="1"/>
      <c r="BN2434" s="1"/>
      <c r="BO2434" s="1"/>
      <c r="BP2434" s="1" t="s">
        <v>9609</v>
      </c>
      <c r="BQ2434" s="3"/>
      <c r="BR2434" s="3"/>
    </row>
    <row r="2435" spans="1:70">
      <c r="A2435" s="1" t="s">
        <v>25735</v>
      </c>
      <c r="B2435" s="1" t="s">
        <v>13846</v>
      </c>
      <c r="C2435" s="1" t="s">
        <v>25778</v>
      </c>
      <c r="D2435" s="1"/>
      <c r="E2435" s="1"/>
      <c r="F2435" s="1"/>
      <c r="G2435" s="1"/>
      <c r="H2435" s="1" t="s">
        <v>25779</v>
      </c>
      <c r="I2435" s="1" t="s">
        <v>25779</v>
      </c>
      <c r="J2435" s="1"/>
      <c r="K2435" s="1"/>
      <c r="L2435" s="1"/>
      <c r="M2435" s="1"/>
      <c r="N2435" s="1"/>
      <c r="O2435" s="1"/>
      <c r="P2435" s="1"/>
      <c r="Q2435" s="1"/>
      <c r="R2435" s="1"/>
      <c r="S2435" s="1"/>
      <c r="T2435" s="1"/>
      <c r="U2435" s="1"/>
      <c r="V2435" s="1"/>
      <c r="W2435" s="1"/>
      <c r="X2435" s="1"/>
      <c r="Y2435" s="1"/>
      <c r="Z2435" s="1"/>
      <c r="AA2435" s="1"/>
      <c r="AB2435" s="1"/>
      <c r="AC2435" s="1"/>
      <c r="AD2435" s="1" t="s">
        <v>93</v>
      </c>
      <c r="AE2435" s="1" t="s">
        <v>93</v>
      </c>
      <c r="AF2435" s="1"/>
      <c r="AG2435" s="1"/>
      <c r="AH2435" s="1"/>
      <c r="AI2435" s="1"/>
      <c r="AJ2435" s="1"/>
      <c r="AK2435" s="1"/>
      <c r="AL2435" s="1"/>
      <c r="AM2435" s="1"/>
      <c r="AN2435" s="1"/>
      <c r="AO2435" s="1"/>
      <c r="AP2435" s="1"/>
      <c r="AQ2435" s="1"/>
      <c r="AR2435" s="1"/>
      <c r="AS2435" s="1"/>
      <c r="AT2435" s="1"/>
      <c r="AU2435" s="1"/>
      <c r="AV2435" s="1"/>
      <c r="AW2435" s="1"/>
      <c r="AX2435" s="1"/>
      <c r="AY2435" s="1"/>
      <c r="AZ2435" s="1"/>
      <c r="BA2435" s="1"/>
      <c r="BB2435" s="1"/>
      <c r="BC2435" s="1"/>
      <c r="BD2435" s="1"/>
      <c r="BE2435" s="1"/>
      <c r="BF2435" s="1"/>
      <c r="BG2435" s="1"/>
      <c r="BH2435" s="1"/>
      <c r="BI2435" s="1"/>
      <c r="BJ2435" s="1"/>
      <c r="BK2435" s="1"/>
      <c r="BL2435" s="1"/>
      <c r="BM2435" s="1"/>
      <c r="BN2435" s="1"/>
      <c r="BO2435" s="1"/>
      <c r="BP2435" s="1" t="s">
        <v>9609</v>
      </c>
      <c r="BQ2435" s="3"/>
      <c r="BR2435" s="3"/>
    </row>
    <row r="2436" spans="1:70">
      <c r="A2436" s="1" t="s">
        <v>25735</v>
      </c>
      <c r="B2436" s="1" t="s">
        <v>13846</v>
      </c>
      <c r="C2436" s="1" t="s">
        <v>25780</v>
      </c>
      <c r="D2436" s="1"/>
      <c r="E2436" s="1"/>
      <c r="F2436" s="1"/>
      <c r="G2436" s="1"/>
      <c r="H2436" s="1" t="s">
        <v>25781</v>
      </c>
      <c r="I2436" s="1" t="s">
        <v>25781</v>
      </c>
      <c r="J2436" s="1"/>
      <c r="K2436" s="1"/>
      <c r="L2436" s="1"/>
      <c r="M2436" s="1"/>
      <c r="N2436" s="1"/>
      <c r="O2436" s="1"/>
      <c r="P2436" s="1"/>
      <c r="Q2436" s="1"/>
      <c r="R2436" s="1"/>
      <c r="S2436" s="1"/>
      <c r="T2436" s="1"/>
      <c r="U2436" s="1"/>
      <c r="V2436" s="1"/>
      <c r="W2436" s="1"/>
      <c r="X2436" s="1"/>
      <c r="Y2436" s="1"/>
      <c r="Z2436" s="1"/>
      <c r="AA2436" s="1"/>
      <c r="AB2436" s="1"/>
      <c r="AC2436" s="1"/>
      <c r="AD2436" s="1" t="s">
        <v>93</v>
      </c>
      <c r="AE2436" s="1" t="s">
        <v>93</v>
      </c>
      <c r="AF2436" s="1"/>
      <c r="AG2436" s="1"/>
      <c r="AH2436" s="1"/>
      <c r="AI2436" s="1"/>
      <c r="AJ2436" s="1"/>
      <c r="AK2436" s="1"/>
      <c r="AL2436" s="1"/>
      <c r="AM2436" s="1"/>
      <c r="AN2436" s="1"/>
      <c r="AO2436" s="1"/>
      <c r="AP2436" s="1"/>
      <c r="AQ2436" s="1"/>
      <c r="AR2436" s="1"/>
      <c r="AS2436" s="1"/>
      <c r="AT2436" s="1"/>
      <c r="AU2436" s="1"/>
      <c r="AV2436" s="1"/>
      <c r="AW2436" s="1"/>
      <c r="AX2436" s="1"/>
      <c r="AY2436" s="1"/>
      <c r="AZ2436" s="1"/>
      <c r="BA2436" s="1"/>
      <c r="BB2436" s="1"/>
      <c r="BC2436" s="1"/>
      <c r="BD2436" s="1"/>
      <c r="BE2436" s="1"/>
      <c r="BF2436" s="1"/>
      <c r="BG2436" s="1"/>
      <c r="BH2436" s="1"/>
      <c r="BI2436" s="1"/>
      <c r="BJ2436" s="1"/>
      <c r="BK2436" s="1"/>
      <c r="BL2436" s="1"/>
      <c r="BM2436" s="1"/>
      <c r="BN2436" s="1"/>
      <c r="BO2436" s="1"/>
      <c r="BP2436" s="1" t="s">
        <v>9609</v>
      </c>
      <c r="BQ2436" s="3"/>
      <c r="BR2436" s="3"/>
    </row>
    <row r="2437" spans="1:70">
      <c r="A2437" s="1" t="s">
        <v>25735</v>
      </c>
      <c r="B2437" s="1" t="s">
        <v>13846</v>
      </c>
      <c r="C2437" s="1" t="s">
        <v>25782</v>
      </c>
      <c r="D2437" s="1"/>
      <c r="E2437" s="1"/>
      <c r="F2437" s="1"/>
      <c r="G2437" s="1"/>
      <c r="H2437" s="1" t="s">
        <v>25783</v>
      </c>
      <c r="I2437" s="1" t="s">
        <v>25783</v>
      </c>
      <c r="J2437" s="1"/>
      <c r="K2437" s="1"/>
      <c r="L2437" s="1"/>
      <c r="M2437" s="1"/>
      <c r="N2437" s="1"/>
      <c r="O2437" s="1"/>
      <c r="P2437" s="1"/>
      <c r="Q2437" s="1"/>
      <c r="R2437" s="1"/>
      <c r="S2437" s="1"/>
      <c r="T2437" s="1"/>
      <c r="U2437" s="1"/>
      <c r="V2437" s="1"/>
      <c r="W2437" s="1"/>
      <c r="X2437" s="1"/>
      <c r="Y2437" s="1"/>
      <c r="Z2437" s="1"/>
      <c r="AA2437" s="1"/>
      <c r="AB2437" s="1"/>
      <c r="AC2437" s="1"/>
      <c r="AD2437" s="1" t="s">
        <v>93</v>
      </c>
      <c r="AE2437" s="1" t="s">
        <v>93</v>
      </c>
      <c r="AF2437" s="1"/>
      <c r="AG2437" s="1"/>
      <c r="AH2437" s="1"/>
      <c r="AI2437" s="1"/>
      <c r="AJ2437" s="1"/>
      <c r="AK2437" s="1"/>
      <c r="AL2437" s="1"/>
      <c r="AM2437" s="1"/>
      <c r="AN2437" s="1"/>
      <c r="AO2437" s="1"/>
      <c r="AP2437" s="1"/>
      <c r="AQ2437" s="1"/>
      <c r="AR2437" s="1"/>
      <c r="AS2437" s="1"/>
      <c r="AT2437" s="1"/>
      <c r="AU2437" s="1"/>
      <c r="AV2437" s="1"/>
      <c r="AW2437" s="1"/>
      <c r="AX2437" s="1"/>
      <c r="AY2437" s="1"/>
      <c r="AZ2437" s="1"/>
      <c r="BA2437" s="1"/>
      <c r="BB2437" s="1"/>
      <c r="BC2437" s="1"/>
      <c r="BD2437" s="1"/>
      <c r="BE2437" s="1"/>
      <c r="BF2437" s="1"/>
      <c r="BG2437" s="1"/>
      <c r="BH2437" s="1"/>
      <c r="BI2437" s="1"/>
      <c r="BJ2437" s="1"/>
      <c r="BK2437" s="1"/>
      <c r="BL2437" s="1"/>
      <c r="BM2437" s="1"/>
      <c r="BN2437" s="1"/>
      <c r="BO2437" s="1"/>
      <c r="BP2437" s="1" t="s">
        <v>9609</v>
      </c>
      <c r="BQ2437" s="3"/>
      <c r="BR2437" s="3"/>
    </row>
    <row r="2438" spans="1:70">
      <c r="A2438" s="1" t="s">
        <v>25735</v>
      </c>
      <c r="B2438" s="1" t="s">
        <v>13846</v>
      </c>
      <c r="C2438" s="1" t="s">
        <v>25784</v>
      </c>
      <c r="D2438" s="1"/>
      <c r="E2438" s="1"/>
      <c r="F2438" s="1"/>
      <c r="G2438" s="1"/>
      <c r="H2438" s="1" t="s">
        <v>25785</v>
      </c>
      <c r="I2438" s="1" t="s">
        <v>25785</v>
      </c>
      <c r="J2438" s="1"/>
      <c r="K2438" s="1"/>
      <c r="L2438" s="1"/>
      <c r="M2438" s="1"/>
      <c r="N2438" s="1"/>
      <c r="O2438" s="1"/>
      <c r="P2438" s="1"/>
      <c r="Q2438" s="1"/>
      <c r="R2438" s="1"/>
      <c r="S2438" s="1"/>
      <c r="T2438" s="1"/>
      <c r="U2438" s="1"/>
      <c r="V2438" s="1"/>
      <c r="W2438" s="1"/>
      <c r="X2438" s="1"/>
      <c r="Y2438" s="1"/>
      <c r="Z2438" s="1"/>
      <c r="AA2438" s="1"/>
      <c r="AB2438" s="1"/>
      <c r="AC2438" s="1"/>
      <c r="AD2438" s="1" t="s">
        <v>93</v>
      </c>
      <c r="AE2438" s="1" t="s">
        <v>93</v>
      </c>
      <c r="AF2438" s="1"/>
      <c r="AG2438" s="1"/>
      <c r="AH2438" s="1"/>
      <c r="AI2438" s="1"/>
      <c r="AJ2438" s="1"/>
      <c r="AK2438" s="1"/>
      <c r="AL2438" s="1"/>
      <c r="AM2438" s="1"/>
      <c r="AN2438" s="1"/>
      <c r="AO2438" s="1"/>
      <c r="AP2438" s="1"/>
      <c r="AQ2438" s="1"/>
      <c r="AR2438" s="1"/>
      <c r="AS2438" s="1"/>
      <c r="AT2438" s="1"/>
      <c r="AU2438" s="1"/>
      <c r="AV2438" s="1"/>
      <c r="AW2438" s="1"/>
      <c r="AX2438" s="1"/>
      <c r="AY2438" s="1"/>
      <c r="AZ2438" s="1"/>
      <c r="BA2438" s="1"/>
      <c r="BB2438" s="1"/>
      <c r="BC2438" s="1"/>
      <c r="BD2438" s="1"/>
      <c r="BE2438" s="1"/>
      <c r="BF2438" s="1"/>
      <c r="BG2438" s="1"/>
      <c r="BH2438" s="1"/>
      <c r="BI2438" s="1"/>
      <c r="BJ2438" s="1"/>
      <c r="BK2438" s="1"/>
      <c r="BL2438" s="1"/>
      <c r="BM2438" s="1"/>
      <c r="BN2438" s="1"/>
      <c r="BO2438" s="1"/>
      <c r="BP2438" s="1" t="s">
        <v>9609</v>
      </c>
      <c r="BQ2438" s="3"/>
      <c r="BR2438" s="3"/>
    </row>
    <row r="2439" spans="1:70">
      <c r="A2439" s="1" t="s">
        <v>25735</v>
      </c>
      <c r="B2439" s="1" t="s">
        <v>13846</v>
      </c>
      <c r="C2439" s="1" t="s">
        <v>25786</v>
      </c>
      <c r="D2439" s="1"/>
      <c r="E2439" s="1"/>
      <c r="F2439" s="1"/>
      <c r="G2439" s="1"/>
      <c r="H2439" s="1" t="s">
        <v>25787</v>
      </c>
      <c r="I2439" s="1" t="s">
        <v>25787</v>
      </c>
      <c r="J2439" s="1"/>
      <c r="K2439" s="1"/>
      <c r="L2439" s="1"/>
      <c r="M2439" s="1"/>
      <c r="N2439" s="1"/>
      <c r="O2439" s="1"/>
      <c r="P2439" s="1"/>
      <c r="Q2439" s="1"/>
      <c r="R2439" s="1"/>
      <c r="S2439" s="1"/>
      <c r="T2439" s="1"/>
      <c r="U2439" s="1"/>
      <c r="V2439" s="1"/>
      <c r="W2439" s="1"/>
      <c r="X2439" s="1"/>
      <c r="Y2439" s="1"/>
      <c r="Z2439" s="1"/>
      <c r="AA2439" s="1"/>
      <c r="AB2439" s="1"/>
      <c r="AC2439" s="1"/>
      <c r="AD2439" s="1" t="s">
        <v>93</v>
      </c>
      <c r="AE2439" s="1" t="s">
        <v>93</v>
      </c>
      <c r="AF2439" s="1"/>
      <c r="AG2439" s="1"/>
      <c r="AH2439" s="1"/>
      <c r="AI2439" s="1"/>
      <c r="AJ2439" s="1"/>
      <c r="AK2439" s="1"/>
      <c r="AL2439" s="1"/>
      <c r="AM2439" s="1"/>
      <c r="AN2439" s="1"/>
      <c r="AO2439" s="1"/>
      <c r="AP2439" s="1"/>
      <c r="AQ2439" s="1"/>
      <c r="AR2439" s="1"/>
      <c r="AS2439" s="1"/>
      <c r="AT2439" s="1"/>
      <c r="AU2439" s="1"/>
      <c r="AV2439" s="1"/>
      <c r="AW2439" s="1"/>
      <c r="AX2439" s="1"/>
      <c r="AY2439" s="1"/>
      <c r="AZ2439" s="1"/>
      <c r="BA2439" s="1"/>
      <c r="BB2439" s="1"/>
      <c r="BC2439" s="1"/>
      <c r="BD2439" s="1"/>
      <c r="BE2439" s="1"/>
      <c r="BF2439" s="1"/>
      <c r="BG2439" s="1"/>
      <c r="BH2439" s="1"/>
      <c r="BI2439" s="1"/>
      <c r="BJ2439" s="1"/>
      <c r="BK2439" s="1"/>
      <c r="BL2439" s="1"/>
      <c r="BM2439" s="1"/>
      <c r="BN2439" s="1"/>
      <c r="BO2439" s="1"/>
      <c r="BP2439" s="1" t="s">
        <v>9609</v>
      </c>
      <c r="BQ2439" s="3"/>
      <c r="BR2439" s="3"/>
    </row>
    <row r="2440" spans="1:70">
      <c r="A2440" s="1" t="s">
        <v>25735</v>
      </c>
      <c r="B2440" s="1" t="s">
        <v>13846</v>
      </c>
      <c r="C2440" s="1" t="s">
        <v>25788</v>
      </c>
      <c r="D2440" s="1"/>
      <c r="E2440" s="1"/>
      <c r="F2440" s="1"/>
      <c r="G2440" s="1"/>
      <c r="H2440" s="1" t="s">
        <v>25789</v>
      </c>
      <c r="I2440" s="1" t="s">
        <v>25789</v>
      </c>
      <c r="J2440" s="1"/>
      <c r="K2440" s="1"/>
      <c r="L2440" s="1"/>
      <c r="M2440" s="1"/>
      <c r="N2440" s="1"/>
      <c r="O2440" s="1"/>
      <c r="P2440" s="1"/>
      <c r="Q2440" s="1"/>
      <c r="R2440" s="1"/>
      <c r="S2440" s="1"/>
      <c r="T2440" s="1"/>
      <c r="U2440" s="1"/>
      <c r="V2440" s="1"/>
      <c r="W2440" s="1"/>
      <c r="X2440" s="1"/>
      <c r="Y2440" s="1"/>
      <c r="Z2440" s="1"/>
      <c r="AA2440" s="1"/>
      <c r="AB2440" s="1"/>
      <c r="AC2440" s="1"/>
      <c r="AD2440" s="1" t="s">
        <v>93</v>
      </c>
      <c r="AE2440" s="1" t="s">
        <v>93</v>
      </c>
      <c r="AF2440" s="1"/>
      <c r="AG2440" s="1"/>
      <c r="AH2440" s="1"/>
      <c r="AI2440" s="1"/>
      <c r="AJ2440" s="1"/>
      <c r="AK2440" s="1"/>
      <c r="AL2440" s="1"/>
      <c r="AM2440" s="1"/>
      <c r="AN2440" s="1"/>
      <c r="AO2440" s="1"/>
      <c r="AP2440" s="1"/>
      <c r="AQ2440" s="1"/>
      <c r="AR2440" s="1"/>
      <c r="AS2440" s="1"/>
      <c r="AT2440" s="1"/>
      <c r="AU2440" s="1"/>
      <c r="AV2440" s="1"/>
      <c r="AW2440" s="1"/>
      <c r="AX2440" s="1"/>
      <c r="AY2440" s="1"/>
      <c r="AZ2440" s="1"/>
      <c r="BA2440" s="1"/>
      <c r="BB2440" s="1"/>
      <c r="BC2440" s="1"/>
      <c r="BD2440" s="1"/>
      <c r="BE2440" s="1"/>
      <c r="BF2440" s="1"/>
      <c r="BG2440" s="1"/>
      <c r="BH2440" s="1"/>
      <c r="BI2440" s="1"/>
      <c r="BJ2440" s="1"/>
      <c r="BK2440" s="1"/>
      <c r="BL2440" s="1"/>
      <c r="BM2440" s="1"/>
      <c r="BN2440" s="1"/>
      <c r="BO2440" s="1"/>
      <c r="BP2440" s="1" t="s">
        <v>9609</v>
      </c>
      <c r="BQ2440" s="3"/>
      <c r="BR2440" s="3"/>
    </row>
    <row r="2441" spans="1:70">
      <c r="A2441" s="1" t="s">
        <v>25735</v>
      </c>
      <c r="B2441" s="1" t="s">
        <v>13846</v>
      </c>
      <c r="C2441" s="1" t="s">
        <v>25790</v>
      </c>
      <c r="D2441" s="1"/>
      <c r="E2441" s="1"/>
      <c r="F2441" s="1"/>
      <c r="G2441" s="1"/>
      <c r="H2441" s="1" t="s">
        <v>25791</v>
      </c>
      <c r="I2441" s="1" t="s">
        <v>25791</v>
      </c>
      <c r="J2441" s="1"/>
      <c r="K2441" s="1"/>
      <c r="L2441" s="1"/>
      <c r="M2441" s="1"/>
      <c r="N2441" s="1"/>
      <c r="O2441" s="1"/>
      <c r="P2441" s="1"/>
      <c r="Q2441" s="1"/>
      <c r="R2441" s="1"/>
      <c r="S2441" s="1"/>
      <c r="T2441" s="1"/>
      <c r="U2441" s="1"/>
      <c r="V2441" s="1"/>
      <c r="W2441" s="1"/>
      <c r="X2441" s="1"/>
      <c r="Y2441" s="1"/>
      <c r="Z2441" s="1"/>
      <c r="AA2441" s="1"/>
      <c r="AB2441" s="1"/>
      <c r="AC2441" s="1"/>
      <c r="AD2441" s="1" t="s">
        <v>93</v>
      </c>
      <c r="AE2441" s="1" t="s">
        <v>93</v>
      </c>
      <c r="AF2441" s="1"/>
      <c r="AG2441" s="1"/>
      <c r="AH2441" s="1"/>
      <c r="AI2441" s="1"/>
      <c r="AJ2441" s="1"/>
      <c r="AK2441" s="1"/>
      <c r="AL2441" s="1"/>
      <c r="AM2441" s="1"/>
      <c r="AN2441" s="1"/>
      <c r="AO2441" s="1"/>
      <c r="AP2441" s="1"/>
      <c r="AQ2441" s="1"/>
      <c r="AR2441" s="1"/>
      <c r="AS2441" s="1"/>
      <c r="AT2441" s="1"/>
      <c r="AU2441" s="1"/>
      <c r="AV2441" s="1"/>
      <c r="AW2441" s="1"/>
      <c r="AX2441" s="1"/>
      <c r="AY2441" s="1"/>
      <c r="AZ2441" s="1"/>
      <c r="BA2441" s="1"/>
      <c r="BB2441" s="1"/>
      <c r="BC2441" s="1"/>
      <c r="BD2441" s="1"/>
      <c r="BE2441" s="1"/>
      <c r="BF2441" s="1"/>
      <c r="BG2441" s="1"/>
      <c r="BH2441" s="1"/>
      <c r="BI2441" s="1"/>
      <c r="BJ2441" s="1"/>
      <c r="BK2441" s="1"/>
      <c r="BL2441" s="1"/>
      <c r="BM2441" s="1"/>
      <c r="BN2441" s="1"/>
      <c r="BO2441" s="1"/>
      <c r="BP2441" s="1" t="s">
        <v>9609</v>
      </c>
      <c r="BQ2441" s="3"/>
      <c r="BR2441" s="3"/>
    </row>
    <row r="2442" spans="1:70">
      <c r="A2442" s="1" t="s">
        <v>25735</v>
      </c>
      <c r="B2442" s="1" t="s">
        <v>13846</v>
      </c>
      <c r="C2442" s="1" t="s">
        <v>25792</v>
      </c>
      <c r="D2442" s="1"/>
      <c r="E2442" s="1"/>
      <c r="F2442" s="1"/>
      <c r="G2442" s="1"/>
      <c r="H2442" s="1" t="s">
        <v>25793</v>
      </c>
      <c r="I2442" s="1" t="s">
        <v>25793</v>
      </c>
      <c r="J2442" s="1"/>
      <c r="K2442" s="1"/>
      <c r="L2442" s="1"/>
      <c r="M2442" s="1"/>
      <c r="N2442" s="1"/>
      <c r="O2442" s="1"/>
      <c r="P2442" s="1"/>
      <c r="Q2442" s="1"/>
      <c r="R2442" s="1"/>
      <c r="S2442" s="1"/>
      <c r="T2442" s="1"/>
      <c r="U2442" s="1"/>
      <c r="V2442" s="1"/>
      <c r="W2442" s="1"/>
      <c r="X2442" s="1"/>
      <c r="Y2442" s="1"/>
      <c r="Z2442" s="1"/>
      <c r="AA2442" s="1"/>
      <c r="AB2442" s="1"/>
      <c r="AC2442" s="1"/>
      <c r="AD2442" s="1" t="s">
        <v>93</v>
      </c>
      <c r="AE2442" s="1" t="s">
        <v>93</v>
      </c>
      <c r="AF2442" s="1"/>
      <c r="AG2442" s="1"/>
      <c r="AH2442" s="1"/>
      <c r="AI2442" s="1"/>
      <c r="AJ2442" s="1"/>
      <c r="AK2442" s="1"/>
      <c r="AL2442" s="1"/>
      <c r="AM2442" s="1"/>
      <c r="AN2442" s="1"/>
      <c r="AO2442" s="1"/>
      <c r="AP2442" s="1"/>
      <c r="AQ2442" s="1"/>
      <c r="AR2442" s="1"/>
      <c r="AS2442" s="1"/>
      <c r="AT2442" s="1"/>
      <c r="AU2442" s="1"/>
      <c r="AV2442" s="1"/>
      <c r="AW2442" s="1"/>
      <c r="AX2442" s="1"/>
      <c r="AY2442" s="1"/>
      <c r="AZ2442" s="1"/>
      <c r="BA2442" s="1"/>
      <c r="BB2442" s="1"/>
      <c r="BC2442" s="1"/>
      <c r="BD2442" s="1"/>
      <c r="BE2442" s="1"/>
      <c r="BF2442" s="1"/>
      <c r="BG2442" s="1"/>
      <c r="BH2442" s="1"/>
      <c r="BI2442" s="1"/>
      <c r="BJ2442" s="1"/>
      <c r="BK2442" s="1"/>
      <c r="BL2442" s="1"/>
      <c r="BM2442" s="1"/>
      <c r="BN2442" s="1"/>
      <c r="BO2442" s="1"/>
      <c r="BP2442" s="1" t="s">
        <v>9609</v>
      </c>
      <c r="BQ2442" s="3"/>
      <c r="BR2442" s="3"/>
    </row>
    <row r="2443" spans="1:70">
      <c r="A2443" s="1" t="s">
        <v>25735</v>
      </c>
      <c r="B2443" s="1" t="s">
        <v>13846</v>
      </c>
      <c r="C2443" s="1" t="s">
        <v>25794</v>
      </c>
      <c r="D2443" s="1"/>
      <c r="E2443" s="1"/>
      <c r="F2443" s="1"/>
      <c r="G2443" s="1"/>
      <c r="H2443" s="1" t="s">
        <v>25795</v>
      </c>
      <c r="I2443" s="1" t="s">
        <v>25795</v>
      </c>
      <c r="J2443" s="1"/>
      <c r="K2443" s="1"/>
      <c r="L2443" s="1"/>
      <c r="M2443" s="1"/>
      <c r="N2443" s="1"/>
      <c r="O2443" s="1"/>
      <c r="P2443" s="1"/>
      <c r="Q2443" s="1"/>
      <c r="R2443" s="1"/>
      <c r="S2443" s="1"/>
      <c r="T2443" s="1"/>
      <c r="U2443" s="1"/>
      <c r="V2443" s="1"/>
      <c r="W2443" s="1"/>
      <c r="X2443" s="1"/>
      <c r="Y2443" s="1"/>
      <c r="Z2443" s="1"/>
      <c r="AA2443" s="1"/>
      <c r="AB2443" s="1"/>
      <c r="AC2443" s="1"/>
      <c r="AD2443" s="1" t="s">
        <v>93</v>
      </c>
      <c r="AE2443" s="1" t="s">
        <v>93</v>
      </c>
      <c r="AF2443" s="1"/>
      <c r="AG2443" s="1"/>
      <c r="AH2443" s="1"/>
      <c r="AI2443" s="1"/>
      <c r="AJ2443" s="1"/>
      <c r="AK2443" s="1"/>
      <c r="AL2443" s="1"/>
      <c r="AM2443" s="1"/>
      <c r="AN2443" s="1"/>
      <c r="AO2443" s="1"/>
      <c r="AP2443" s="1"/>
      <c r="AQ2443" s="1"/>
      <c r="AR2443" s="1"/>
      <c r="AS2443" s="1"/>
      <c r="AT2443" s="1"/>
      <c r="AU2443" s="1"/>
      <c r="AV2443" s="1"/>
      <c r="AW2443" s="1"/>
      <c r="AX2443" s="1"/>
      <c r="AY2443" s="1"/>
      <c r="AZ2443" s="1"/>
      <c r="BA2443" s="1"/>
      <c r="BB2443" s="1"/>
      <c r="BC2443" s="1"/>
      <c r="BD2443" s="1"/>
      <c r="BE2443" s="1"/>
      <c r="BF2443" s="1"/>
      <c r="BG2443" s="1"/>
      <c r="BH2443" s="1"/>
      <c r="BI2443" s="1"/>
      <c r="BJ2443" s="1"/>
      <c r="BK2443" s="1"/>
      <c r="BL2443" s="1"/>
      <c r="BM2443" s="1"/>
      <c r="BN2443" s="1"/>
      <c r="BO2443" s="1"/>
      <c r="BP2443" s="1" t="s">
        <v>9609</v>
      </c>
      <c r="BQ2443" s="3"/>
      <c r="BR2443" s="3"/>
    </row>
    <row r="2444" spans="1:70">
      <c r="A2444" s="1" t="s">
        <v>25735</v>
      </c>
      <c r="B2444" s="1" t="s">
        <v>13846</v>
      </c>
      <c r="C2444" s="1" t="s">
        <v>25796</v>
      </c>
      <c r="D2444" s="1"/>
      <c r="E2444" s="1"/>
      <c r="F2444" s="1"/>
      <c r="G2444" s="1"/>
      <c r="H2444" s="1" t="s">
        <v>25797</v>
      </c>
      <c r="I2444" s="1" t="s">
        <v>25797</v>
      </c>
      <c r="J2444" s="1"/>
      <c r="K2444" s="1"/>
      <c r="L2444" s="1"/>
      <c r="M2444" s="1"/>
      <c r="N2444" s="1"/>
      <c r="O2444" s="1"/>
      <c r="P2444" s="1"/>
      <c r="Q2444" s="1"/>
      <c r="R2444" s="1"/>
      <c r="S2444" s="1"/>
      <c r="T2444" s="1"/>
      <c r="U2444" s="1"/>
      <c r="V2444" s="1"/>
      <c r="W2444" s="1"/>
      <c r="X2444" s="1"/>
      <c r="Y2444" s="1"/>
      <c r="Z2444" s="1"/>
      <c r="AA2444" s="1"/>
      <c r="AB2444" s="1"/>
      <c r="AC2444" s="1"/>
      <c r="AD2444" s="1" t="s">
        <v>93</v>
      </c>
      <c r="AE2444" s="1" t="s">
        <v>93</v>
      </c>
      <c r="AF2444" s="1"/>
      <c r="AG2444" s="1"/>
      <c r="AH2444" s="1"/>
      <c r="AI2444" s="1"/>
      <c r="AJ2444" s="1"/>
      <c r="AK2444" s="1"/>
      <c r="AL2444" s="1"/>
      <c r="AM2444" s="1"/>
      <c r="AN2444" s="1"/>
      <c r="AO2444" s="1"/>
      <c r="AP2444" s="1"/>
      <c r="AQ2444" s="1"/>
      <c r="AR2444" s="1"/>
      <c r="AS2444" s="1"/>
      <c r="AT2444" s="1"/>
      <c r="AU2444" s="1"/>
      <c r="AV2444" s="1"/>
      <c r="AW2444" s="1"/>
      <c r="AX2444" s="1"/>
      <c r="AY2444" s="1"/>
      <c r="AZ2444" s="1"/>
      <c r="BA2444" s="1"/>
      <c r="BB2444" s="1"/>
      <c r="BC2444" s="1"/>
      <c r="BD2444" s="1"/>
      <c r="BE2444" s="1"/>
      <c r="BF2444" s="1"/>
      <c r="BG2444" s="1"/>
      <c r="BH2444" s="1"/>
      <c r="BI2444" s="1"/>
      <c r="BJ2444" s="1"/>
      <c r="BK2444" s="1"/>
      <c r="BL2444" s="1"/>
      <c r="BM2444" s="1"/>
      <c r="BN2444" s="1"/>
      <c r="BO2444" s="1"/>
      <c r="BP2444" s="1" t="s">
        <v>9609</v>
      </c>
      <c r="BQ2444" s="3"/>
      <c r="BR2444" s="3"/>
    </row>
    <row r="2445" spans="1:70">
      <c r="A2445" s="1" t="s">
        <v>25735</v>
      </c>
      <c r="B2445" s="1" t="s">
        <v>13846</v>
      </c>
      <c r="C2445" s="1" t="s">
        <v>25798</v>
      </c>
      <c r="D2445" s="1"/>
      <c r="E2445" s="1"/>
      <c r="F2445" s="1"/>
      <c r="G2445" s="1"/>
      <c r="H2445" s="1" t="s">
        <v>25799</v>
      </c>
      <c r="I2445" s="1" t="s">
        <v>25799</v>
      </c>
      <c r="J2445" s="1"/>
      <c r="K2445" s="1"/>
      <c r="L2445" s="1"/>
      <c r="M2445" s="1"/>
      <c r="N2445" s="1"/>
      <c r="O2445" s="1"/>
      <c r="P2445" s="1"/>
      <c r="Q2445" s="1"/>
      <c r="R2445" s="1"/>
      <c r="S2445" s="1"/>
      <c r="T2445" s="1"/>
      <c r="U2445" s="1"/>
      <c r="V2445" s="1"/>
      <c r="W2445" s="1"/>
      <c r="X2445" s="1"/>
      <c r="Y2445" s="1"/>
      <c r="Z2445" s="1"/>
      <c r="AA2445" s="1"/>
      <c r="AB2445" s="1"/>
      <c r="AC2445" s="1"/>
      <c r="AD2445" s="1" t="s">
        <v>93</v>
      </c>
      <c r="AE2445" s="1" t="s">
        <v>93</v>
      </c>
      <c r="AF2445" s="1"/>
      <c r="AG2445" s="1"/>
      <c r="AH2445" s="1"/>
      <c r="AI2445" s="1"/>
      <c r="AJ2445" s="1"/>
      <c r="AK2445" s="1"/>
      <c r="AL2445" s="1"/>
      <c r="AM2445" s="1"/>
      <c r="AN2445" s="1"/>
      <c r="AO2445" s="1"/>
      <c r="AP2445" s="1"/>
      <c r="AQ2445" s="1"/>
      <c r="AR2445" s="1"/>
      <c r="AS2445" s="1"/>
      <c r="AT2445" s="1"/>
      <c r="AU2445" s="1"/>
      <c r="AV2445" s="1"/>
      <c r="AW2445" s="1"/>
      <c r="AX2445" s="1"/>
      <c r="AY2445" s="1"/>
      <c r="AZ2445" s="1"/>
      <c r="BA2445" s="1"/>
      <c r="BB2445" s="1"/>
      <c r="BC2445" s="1"/>
      <c r="BD2445" s="1"/>
      <c r="BE2445" s="1"/>
      <c r="BF2445" s="1"/>
      <c r="BG2445" s="1"/>
      <c r="BH2445" s="1"/>
      <c r="BI2445" s="1"/>
      <c r="BJ2445" s="1"/>
      <c r="BK2445" s="1"/>
      <c r="BL2445" s="1"/>
      <c r="BM2445" s="1"/>
      <c r="BN2445" s="1"/>
      <c r="BO2445" s="1"/>
      <c r="BP2445" s="1" t="s">
        <v>9609</v>
      </c>
      <c r="BQ2445" s="3"/>
      <c r="BR2445" s="3"/>
    </row>
    <row r="2446" spans="1:70">
      <c r="A2446" s="1" t="s">
        <v>25735</v>
      </c>
      <c r="B2446" s="1" t="s">
        <v>13846</v>
      </c>
      <c r="C2446" s="1" t="s">
        <v>25800</v>
      </c>
      <c r="D2446" s="1"/>
      <c r="E2446" s="1"/>
      <c r="F2446" s="1"/>
      <c r="G2446" s="1"/>
      <c r="H2446" s="1" t="s">
        <v>25801</v>
      </c>
      <c r="I2446" s="1" t="s">
        <v>25801</v>
      </c>
      <c r="J2446" s="1"/>
      <c r="K2446" s="1"/>
      <c r="L2446" s="1"/>
      <c r="M2446" s="1"/>
      <c r="N2446" s="1"/>
      <c r="O2446" s="1"/>
      <c r="P2446" s="1"/>
      <c r="Q2446" s="1"/>
      <c r="R2446" s="1"/>
      <c r="S2446" s="1"/>
      <c r="T2446" s="1"/>
      <c r="U2446" s="1"/>
      <c r="V2446" s="1"/>
      <c r="W2446" s="1"/>
      <c r="X2446" s="1"/>
      <c r="Y2446" s="1"/>
      <c r="Z2446" s="1"/>
      <c r="AA2446" s="1"/>
      <c r="AB2446" s="1"/>
      <c r="AC2446" s="1"/>
      <c r="AD2446" s="1" t="s">
        <v>93</v>
      </c>
      <c r="AE2446" s="1" t="s">
        <v>93</v>
      </c>
      <c r="AF2446" s="1"/>
      <c r="AG2446" s="1"/>
      <c r="AH2446" s="1"/>
      <c r="AI2446" s="1"/>
      <c r="AJ2446" s="1"/>
      <c r="AK2446" s="1"/>
      <c r="AL2446" s="1"/>
      <c r="AM2446" s="1"/>
      <c r="AN2446" s="1"/>
      <c r="AO2446" s="1"/>
      <c r="AP2446" s="1"/>
      <c r="AQ2446" s="1"/>
      <c r="AR2446" s="1"/>
      <c r="AS2446" s="1"/>
      <c r="AT2446" s="1"/>
      <c r="AU2446" s="1"/>
      <c r="AV2446" s="1"/>
      <c r="AW2446" s="1"/>
      <c r="AX2446" s="1"/>
      <c r="AY2446" s="1"/>
      <c r="AZ2446" s="1"/>
      <c r="BA2446" s="1"/>
      <c r="BB2446" s="1"/>
      <c r="BC2446" s="1"/>
      <c r="BD2446" s="1"/>
      <c r="BE2446" s="1"/>
      <c r="BF2446" s="1"/>
      <c r="BG2446" s="1"/>
      <c r="BH2446" s="1"/>
      <c r="BI2446" s="1"/>
      <c r="BJ2446" s="1"/>
      <c r="BK2446" s="1"/>
      <c r="BL2446" s="1"/>
      <c r="BM2446" s="1"/>
      <c r="BN2446" s="1"/>
      <c r="BO2446" s="1"/>
      <c r="BP2446" s="1" t="s">
        <v>9609</v>
      </c>
      <c r="BQ2446" s="3"/>
      <c r="BR2446" s="3"/>
    </row>
    <row r="2447" spans="1:70">
      <c r="A2447" s="1" t="s">
        <v>25735</v>
      </c>
      <c r="B2447" s="1" t="s">
        <v>13846</v>
      </c>
      <c r="C2447" s="1" t="s">
        <v>25802</v>
      </c>
      <c r="D2447" s="1"/>
      <c r="E2447" s="1"/>
      <c r="F2447" s="1"/>
      <c r="G2447" s="1"/>
      <c r="H2447" s="1" t="s">
        <v>25803</v>
      </c>
      <c r="I2447" s="1" t="s">
        <v>25803</v>
      </c>
      <c r="J2447" s="1"/>
      <c r="K2447" s="1"/>
      <c r="L2447" s="1"/>
      <c r="M2447" s="1"/>
      <c r="N2447" s="1"/>
      <c r="O2447" s="1"/>
      <c r="P2447" s="1"/>
      <c r="Q2447" s="1"/>
      <c r="R2447" s="1"/>
      <c r="S2447" s="1"/>
      <c r="T2447" s="1"/>
      <c r="U2447" s="1"/>
      <c r="V2447" s="1"/>
      <c r="W2447" s="1"/>
      <c r="X2447" s="1"/>
      <c r="Y2447" s="1"/>
      <c r="Z2447" s="1"/>
      <c r="AA2447" s="1"/>
      <c r="AB2447" s="1"/>
      <c r="AC2447" s="1"/>
      <c r="AD2447" s="1" t="s">
        <v>93</v>
      </c>
      <c r="AE2447" s="1" t="s">
        <v>93</v>
      </c>
      <c r="AF2447" s="1"/>
      <c r="AG2447" s="1"/>
      <c r="AH2447" s="1"/>
      <c r="AI2447" s="1"/>
      <c r="AJ2447" s="1"/>
      <c r="AK2447" s="1"/>
      <c r="AL2447" s="1"/>
      <c r="AM2447" s="1"/>
      <c r="AN2447" s="1"/>
      <c r="AO2447" s="1"/>
      <c r="AP2447" s="1"/>
      <c r="AQ2447" s="1"/>
      <c r="AR2447" s="1"/>
      <c r="AS2447" s="1"/>
      <c r="AT2447" s="1"/>
      <c r="AU2447" s="1"/>
      <c r="AV2447" s="1"/>
      <c r="AW2447" s="1"/>
      <c r="AX2447" s="1"/>
      <c r="AY2447" s="1"/>
      <c r="AZ2447" s="1"/>
      <c r="BA2447" s="1"/>
      <c r="BB2447" s="1"/>
      <c r="BC2447" s="1"/>
      <c r="BD2447" s="1"/>
      <c r="BE2447" s="1"/>
      <c r="BF2447" s="1"/>
      <c r="BG2447" s="1"/>
      <c r="BH2447" s="1"/>
      <c r="BI2447" s="1"/>
      <c r="BJ2447" s="1"/>
      <c r="BK2447" s="1"/>
      <c r="BL2447" s="1"/>
      <c r="BM2447" s="1"/>
      <c r="BN2447" s="1"/>
      <c r="BO2447" s="1"/>
      <c r="BP2447" s="1" t="s">
        <v>9609</v>
      </c>
      <c r="BQ2447" s="3"/>
      <c r="BR2447" s="3"/>
    </row>
    <row r="2448" spans="1:70">
      <c r="A2448" s="1" t="s">
        <v>25735</v>
      </c>
      <c r="B2448" s="1" t="s">
        <v>13846</v>
      </c>
      <c r="C2448" s="1" t="s">
        <v>25804</v>
      </c>
      <c r="D2448" s="1"/>
      <c r="E2448" s="1"/>
      <c r="F2448" s="1"/>
      <c r="G2448" s="1"/>
      <c r="H2448" s="1" t="s">
        <v>25805</v>
      </c>
      <c r="I2448" s="1" t="s">
        <v>25805</v>
      </c>
      <c r="J2448" s="1"/>
      <c r="K2448" s="1"/>
      <c r="L2448" s="1"/>
      <c r="M2448" s="1"/>
      <c r="N2448" s="1"/>
      <c r="O2448" s="1"/>
      <c r="P2448" s="1"/>
      <c r="Q2448" s="1"/>
      <c r="R2448" s="1"/>
      <c r="S2448" s="1"/>
      <c r="T2448" s="1"/>
      <c r="U2448" s="1"/>
      <c r="V2448" s="1"/>
      <c r="W2448" s="1"/>
      <c r="X2448" s="1"/>
      <c r="Y2448" s="1"/>
      <c r="Z2448" s="1"/>
      <c r="AA2448" s="1"/>
      <c r="AB2448" s="1"/>
      <c r="AC2448" s="1"/>
      <c r="AD2448" s="1" t="s">
        <v>93</v>
      </c>
      <c r="AE2448" s="1" t="s">
        <v>93</v>
      </c>
      <c r="AF2448" s="1"/>
      <c r="AG2448" s="1"/>
      <c r="AH2448" s="1"/>
      <c r="AI2448" s="1"/>
      <c r="AJ2448" s="1"/>
      <c r="AK2448" s="1"/>
      <c r="AL2448" s="1"/>
      <c r="AM2448" s="1"/>
      <c r="AN2448" s="1"/>
      <c r="AO2448" s="1"/>
      <c r="AP2448" s="1"/>
      <c r="AQ2448" s="1"/>
      <c r="AR2448" s="1"/>
      <c r="AS2448" s="1"/>
      <c r="AT2448" s="1"/>
      <c r="AU2448" s="1"/>
      <c r="AV2448" s="1"/>
      <c r="AW2448" s="1"/>
      <c r="AX2448" s="1"/>
      <c r="AY2448" s="1"/>
      <c r="AZ2448" s="1"/>
      <c r="BA2448" s="1"/>
      <c r="BB2448" s="1"/>
      <c r="BC2448" s="1"/>
      <c r="BD2448" s="1"/>
      <c r="BE2448" s="1"/>
      <c r="BF2448" s="1"/>
      <c r="BG2448" s="1"/>
      <c r="BH2448" s="1"/>
      <c r="BI2448" s="1"/>
      <c r="BJ2448" s="1"/>
      <c r="BK2448" s="1"/>
      <c r="BL2448" s="1"/>
      <c r="BM2448" s="1"/>
      <c r="BN2448" s="1"/>
      <c r="BO2448" s="1"/>
      <c r="BP2448" s="1" t="s">
        <v>9609</v>
      </c>
      <c r="BQ2448" s="3"/>
      <c r="BR2448" s="3"/>
    </row>
    <row r="2449" spans="1:70">
      <c r="A2449" s="1" t="s">
        <v>25735</v>
      </c>
      <c r="B2449" s="1" t="s">
        <v>13846</v>
      </c>
      <c r="C2449" s="1" t="s">
        <v>25806</v>
      </c>
      <c r="D2449" s="1"/>
      <c r="E2449" s="1"/>
      <c r="F2449" s="1"/>
      <c r="G2449" s="1"/>
      <c r="H2449" s="1" t="s">
        <v>25807</v>
      </c>
      <c r="I2449" s="1" t="s">
        <v>25807</v>
      </c>
      <c r="J2449" s="1"/>
      <c r="K2449" s="1"/>
      <c r="L2449" s="1"/>
      <c r="M2449" s="1"/>
      <c r="N2449" s="1"/>
      <c r="O2449" s="1"/>
      <c r="P2449" s="1"/>
      <c r="Q2449" s="1"/>
      <c r="R2449" s="1"/>
      <c r="S2449" s="1"/>
      <c r="T2449" s="1"/>
      <c r="U2449" s="1"/>
      <c r="V2449" s="1"/>
      <c r="W2449" s="1"/>
      <c r="X2449" s="1"/>
      <c r="Y2449" s="1"/>
      <c r="Z2449" s="1"/>
      <c r="AA2449" s="1"/>
      <c r="AB2449" s="1"/>
      <c r="AC2449" s="1"/>
      <c r="AD2449" s="1" t="s">
        <v>93</v>
      </c>
      <c r="AE2449" s="1" t="s">
        <v>93</v>
      </c>
      <c r="AF2449" s="1"/>
      <c r="AG2449" s="1"/>
      <c r="AH2449" s="1"/>
      <c r="AI2449" s="1"/>
      <c r="AJ2449" s="1"/>
      <c r="AK2449" s="1"/>
      <c r="AL2449" s="1"/>
      <c r="AM2449" s="1"/>
      <c r="AN2449" s="1"/>
      <c r="AO2449" s="1"/>
      <c r="AP2449" s="1"/>
      <c r="AQ2449" s="1"/>
      <c r="AR2449" s="1"/>
      <c r="AS2449" s="1"/>
      <c r="AT2449" s="1"/>
      <c r="AU2449" s="1"/>
      <c r="AV2449" s="1"/>
      <c r="AW2449" s="1"/>
      <c r="AX2449" s="1"/>
      <c r="AY2449" s="1"/>
      <c r="AZ2449" s="1"/>
      <c r="BA2449" s="1"/>
      <c r="BB2449" s="1"/>
      <c r="BC2449" s="1"/>
      <c r="BD2449" s="1"/>
      <c r="BE2449" s="1"/>
      <c r="BF2449" s="1"/>
      <c r="BG2449" s="1"/>
      <c r="BH2449" s="1"/>
      <c r="BI2449" s="1"/>
      <c r="BJ2449" s="1"/>
      <c r="BK2449" s="1"/>
      <c r="BL2449" s="1"/>
      <c r="BM2449" s="1"/>
      <c r="BN2449" s="1"/>
      <c r="BO2449" s="1"/>
      <c r="BP2449" s="1" t="s">
        <v>9609</v>
      </c>
      <c r="BQ2449" s="3"/>
      <c r="BR2449" s="3"/>
    </row>
    <row r="2450" spans="1:70">
      <c r="A2450" s="1" t="s">
        <v>25735</v>
      </c>
      <c r="B2450" s="1" t="s">
        <v>13846</v>
      </c>
      <c r="C2450" s="1" t="s">
        <v>25808</v>
      </c>
      <c r="D2450" s="1"/>
      <c r="E2450" s="1"/>
      <c r="F2450" s="1"/>
      <c r="G2450" s="1"/>
      <c r="H2450" s="1" t="s">
        <v>25809</v>
      </c>
      <c r="I2450" s="1" t="s">
        <v>25809</v>
      </c>
      <c r="J2450" s="1"/>
      <c r="K2450" s="1"/>
      <c r="L2450" s="1"/>
      <c r="M2450" s="1"/>
      <c r="N2450" s="1"/>
      <c r="O2450" s="1"/>
      <c r="P2450" s="1"/>
      <c r="Q2450" s="1"/>
      <c r="R2450" s="1"/>
      <c r="S2450" s="1"/>
      <c r="T2450" s="1"/>
      <c r="U2450" s="1"/>
      <c r="V2450" s="1"/>
      <c r="W2450" s="1"/>
      <c r="X2450" s="1"/>
      <c r="Y2450" s="1"/>
      <c r="Z2450" s="1"/>
      <c r="AA2450" s="1"/>
      <c r="AB2450" s="1"/>
      <c r="AC2450" s="1"/>
      <c r="AD2450" s="1" t="s">
        <v>93</v>
      </c>
      <c r="AE2450" s="1" t="s">
        <v>93</v>
      </c>
      <c r="AF2450" s="1"/>
      <c r="AG2450" s="1"/>
      <c r="AH2450" s="1"/>
      <c r="AI2450" s="1"/>
      <c r="AJ2450" s="1"/>
      <c r="AK2450" s="1"/>
      <c r="AL2450" s="1"/>
      <c r="AM2450" s="1"/>
      <c r="AN2450" s="1"/>
      <c r="AO2450" s="1"/>
      <c r="AP2450" s="1"/>
      <c r="AQ2450" s="1"/>
      <c r="AR2450" s="1"/>
      <c r="AS2450" s="1"/>
      <c r="AT2450" s="1"/>
      <c r="AU2450" s="1"/>
      <c r="AV2450" s="1"/>
      <c r="AW2450" s="1"/>
      <c r="AX2450" s="1"/>
      <c r="AY2450" s="1"/>
      <c r="AZ2450" s="1"/>
      <c r="BA2450" s="1"/>
      <c r="BB2450" s="1"/>
      <c r="BC2450" s="1"/>
      <c r="BD2450" s="1"/>
      <c r="BE2450" s="1"/>
      <c r="BF2450" s="1"/>
      <c r="BG2450" s="1"/>
      <c r="BH2450" s="1"/>
      <c r="BI2450" s="1"/>
      <c r="BJ2450" s="1"/>
      <c r="BK2450" s="1"/>
      <c r="BL2450" s="1"/>
      <c r="BM2450" s="1"/>
      <c r="BN2450" s="1"/>
      <c r="BO2450" s="1"/>
      <c r="BP2450" s="1" t="s">
        <v>9609</v>
      </c>
      <c r="BQ2450" s="3"/>
      <c r="BR2450" s="3"/>
    </row>
    <row r="2451" spans="1:70">
      <c r="A2451" s="1" t="s">
        <v>25735</v>
      </c>
      <c r="B2451" s="1" t="s">
        <v>13846</v>
      </c>
      <c r="C2451" s="1" t="s">
        <v>25810</v>
      </c>
      <c r="D2451" s="1"/>
      <c r="E2451" s="1"/>
      <c r="F2451" s="1"/>
      <c r="G2451" s="1"/>
      <c r="H2451" s="1" t="s">
        <v>25811</v>
      </c>
      <c r="I2451" s="1" t="s">
        <v>25811</v>
      </c>
      <c r="J2451" s="1"/>
      <c r="K2451" s="1"/>
      <c r="L2451" s="1"/>
      <c r="M2451" s="1"/>
      <c r="N2451" s="1"/>
      <c r="O2451" s="1"/>
      <c r="P2451" s="1"/>
      <c r="Q2451" s="1"/>
      <c r="R2451" s="1"/>
      <c r="S2451" s="1"/>
      <c r="T2451" s="1"/>
      <c r="U2451" s="1"/>
      <c r="V2451" s="1"/>
      <c r="W2451" s="1"/>
      <c r="X2451" s="1"/>
      <c r="Y2451" s="1"/>
      <c r="Z2451" s="1"/>
      <c r="AA2451" s="1"/>
      <c r="AB2451" s="1"/>
      <c r="AC2451" s="1"/>
      <c r="AD2451" s="1" t="s">
        <v>93</v>
      </c>
      <c r="AE2451" s="1" t="s">
        <v>93</v>
      </c>
      <c r="AF2451" s="1"/>
      <c r="AG2451" s="1"/>
      <c r="AH2451" s="1"/>
      <c r="AI2451" s="1"/>
      <c r="AJ2451" s="1"/>
      <c r="AK2451" s="1"/>
      <c r="AL2451" s="1"/>
      <c r="AM2451" s="1"/>
      <c r="AN2451" s="1"/>
      <c r="AO2451" s="1"/>
      <c r="AP2451" s="1"/>
      <c r="AQ2451" s="1"/>
      <c r="AR2451" s="1"/>
      <c r="AS2451" s="1"/>
      <c r="AT2451" s="1"/>
      <c r="AU2451" s="1"/>
      <c r="AV2451" s="1"/>
      <c r="AW2451" s="1"/>
      <c r="AX2451" s="1"/>
      <c r="AY2451" s="1"/>
      <c r="AZ2451" s="1"/>
      <c r="BA2451" s="1"/>
      <c r="BB2451" s="1"/>
      <c r="BC2451" s="1"/>
      <c r="BD2451" s="1"/>
      <c r="BE2451" s="1"/>
      <c r="BF2451" s="1"/>
      <c r="BG2451" s="1"/>
      <c r="BH2451" s="1"/>
      <c r="BI2451" s="1"/>
      <c r="BJ2451" s="1"/>
      <c r="BK2451" s="1"/>
      <c r="BL2451" s="1"/>
      <c r="BM2451" s="1"/>
      <c r="BN2451" s="1"/>
      <c r="BO2451" s="1"/>
      <c r="BP2451" s="1" t="s">
        <v>9609</v>
      </c>
      <c r="BQ2451" s="3"/>
      <c r="BR2451" s="3"/>
    </row>
    <row r="2452" spans="1:70">
      <c r="A2452" s="1" t="s">
        <v>25735</v>
      </c>
      <c r="B2452" s="1" t="s">
        <v>13846</v>
      </c>
      <c r="C2452" s="1" t="s">
        <v>25812</v>
      </c>
      <c r="D2452" s="1"/>
      <c r="E2452" s="1"/>
      <c r="F2452" s="1"/>
      <c r="G2452" s="1"/>
      <c r="H2452" s="1" t="s">
        <v>25813</v>
      </c>
      <c r="I2452" s="1" t="s">
        <v>25813</v>
      </c>
      <c r="J2452" s="1"/>
      <c r="K2452" s="1"/>
      <c r="L2452" s="1"/>
      <c r="M2452" s="1"/>
      <c r="N2452" s="1"/>
      <c r="O2452" s="1"/>
      <c r="P2452" s="1"/>
      <c r="Q2452" s="1"/>
      <c r="R2452" s="1"/>
      <c r="S2452" s="1"/>
      <c r="T2452" s="1"/>
      <c r="U2452" s="1"/>
      <c r="V2452" s="1"/>
      <c r="W2452" s="1"/>
      <c r="X2452" s="1"/>
      <c r="Y2452" s="1"/>
      <c r="Z2452" s="1"/>
      <c r="AA2452" s="1"/>
      <c r="AB2452" s="1"/>
      <c r="AC2452" s="1"/>
      <c r="AD2452" s="1" t="s">
        <v>93</v>
      </c>
      <c r="AE2452" s="1" t="s">
        <v>93</v>
      </c>
      <c r="AF2452" s="1"/>
      <c r="AG2452" s="1"/>
      <c r="AH2452" s="1"/>
      <c r="AI2452" s="1"/>
      <c r="AJ2452" s="1"/>
      <c r="AK2452" s="1"/>
      <c r="AL2452" s="1"/>
      <c r="AM2452" s="1"/>
      <c r="AN2452" s="1"/>
      <c r="AO2452" s="1"/>
      <c r="AP2452" s="1"/>
      <c r="AQ2452" s="1"/>
      <c r="AR2452" s="1"/>
      <c r="AS2452" s="1"/>
      <c r="AT2452" s="1"/>
      <c r="AU2452" s="1"/>
      <c r="AV2452" s="1"/>
      <c r="AW2452" s="1"/>
      <c r="AX2452" s="1"/>
      <c r="AY2452" s="1"/>
      <c r="AZ2452" s="1"/>
      <c r="BA2452" s="1"/>
      <c r="BB2452" s="1"/>
      <c r="BC2452" s="1"/>
      <c r="BD2452" s="1"/>
      <c r="BE2452" s="1"/>
      <c r="BF2452" s="1"/>
      <c r="BG2452" s="1"/>
      <c r="BH2452" s="1"/>
      <c r="BI2452" s="1"/>
      <c r="BJ2452" s="1"/>
      <c r="BK2452" s="1"/>
      <c r="BL2452" s="1"/>
      <c r="BM2452" s="1"/>
      <c r="BN2452" s="1"/>
      <c r="BO2452" s="1"/>
      <c r="BP2452" s="1" t="s">
        <v>9609</v>
      </c>
      <c r="BQ2452" s="3"/>
      <c r="BR2452" s="3"/>
    </row>
    <row r="2453" spans="1:70">
      <c r="A2453" s="1" t="s">
        <v>25735</v>
      </c>
      <c r="B2453" s="1" t="s">
        <v>13846</v>
      </c>
      <c r="C2453" s="1" t="s">
        <v>25814</v>
      </c>
      <c r="D2453" s="1"/>
      <c r="E2453" s="1"/>
      <c r="F2453" s="1"/>
      <c r="G2453" s="1"/>
      <c r="H2453" s="1" t="s">
        <v>25815</v>
      </c>
      <c r="I2453" s="1" t="s">
        <v>25815</v>
      </c>
      <c r="J2453" s="1"/>
      <c r="K2453" s="1"/>
      <c r="L2453" s="1"/>
      <c r="M2453" s="1"/>
      <c r="N2453" s="1"/>
      <c r="O2453" s="1"/>
      <c r="P2453" s="1"/>
      <c r="Q2453" s="1"/>
      <c r="R2453" s="1"/>
      <c r="S2453" s="1"/>
      <c r="T2453" s="1"/>
      <c r="U2453" s="1"/>
      <c r="V2453" s="1"/>
      <c r="W2453" s="1"/>
      <c r="X2453" s="1"/>
      <c r="Y2453" s="1"/>
      <c r="Z2453" s="1"/>
      <c r="AA2453" s="1"/>
      <c r="AB2453" s="1"/>
      <c r="AC2453" s="1"/>
      <c r="AD2453" s="1" t="s">
        <v>93</v>
      </c>
      <c r="AE2453" s="1" t="s">
        <v>93</v>
      </c>
      <c r="AF2453" s="1"/>
      <c r="AG2453" s="1"/>
      <c r="AH2453" s="1"/>
      <c r="AI2453" s="1"/>
      <c r="AJ2453" s="1"/>
      <c r="AK2453" s="1"/>
      <c r="AL2453" s="1"/>
      <c r="AM2453" s="1"/>
      <c r="AN2453" s="1"/>
      <c r="AO2453" s="1"/>
      <c r="AP2453" s="1"/>
      <c r="AQ2453" s="1"/>
      <c r="AR2453" s="1"/>
      <c r="AS2453" s="1"/>
      <c r="AT2453" s="1"/>
      <c r="AU2453" s="1"/>
      <c r="AV2453" s="1"/>
      <c r="AW2453" s="1"/>
      <c r="AX2453" s="1"/>
      <c r="AY2453" s="1"/>
      <c r="AZ2453" s="1"/>
      <c r="BA2453" s="1"/>
      <c r="BB2453" s="1"/>
      <c r="BC2453" s="1"/>
      <c r="BD2453" s="1"/>
      <c r="BE2453" s="1"/>
      <c r="BF2453" s="1"/>
      <c r="BG2453" s="1"/>
      <c r="BH2453" s="1"/>
      <c r="BI2453" s="1"/>
      <c r="BJ2453" s="1"/>
      <c r="BK2453" s="1"/>
      <c r="BL2453" s="1"/>
      <c r="BM2453" s="1"/>
      <c r="BN2453" s="1"/>
      <c r="BO2453" s="1"/>
      <c r="BP2453" s="1" t="s">
        <v>9609</v>
      </c>
      <c r="BQ2453" s="3"/>
      <c r="BR2453" s="3"/>
    </row>
    <row r="2454" spans="1:70">
      <c r="A2454" s="1" t="s">
        <v>25735</v>
      </c>
      <c r="B2454" s="1" t="s">
        <v>13846</v>
      </c>
      <c r="C2454" s="1" t="s">
        <v>25816</v>
      </c>
      <c r="D2454" s="1"/>
      <c r="E2454" s="1"/>
      <c r="F2454" s="1"/>
      <c r="G2454" s="1"/>
      <c r="H2454" s="1" t="s">
        <v>25817</v>
      </c>
      <c r="I2454" s="1" t="s">
        <v>25817</v>
      </c>
      <c r="J2454" s="1"/>
      <c r="K2454" s="1"/>
      <c r="L2454" s="1"/>
      <c r="M2454" s="1"/>
      <c r="N2454" s="1"/>
      <c r="O2454" s="1"/>
      <c r="P2454" s="1"/>
      <c r="Q2454" s="1"/>
      <c r="R2454" s="1"/>
      <c r="S2454" s="1"/>
      <c r="T2454" s="1"/>
      <c r="U2454" s="1"/>
      <c r="V2454" s="1"/>
      <c r="W2454" s="1"/>
      <c r="X2454" s="1"/>
      <c r="Y2454" s="1"/>
      <c r="Z2454" s="1"/>
      <c r="AA2454" s="1"/>
      <c r="AB2454" s="1"/>
      <c r="AC2454" s="1"/>
      <c r="AD2454" s="1" t="s">
        <v>93</v>
      </c>
      <c r="AE2454" s="1" t="s">
        <v>93</v>
      </c>
      <c r="AF2454" s="1"/>
      <c r="AG2454" s="1"/>
      <c r="AH2454" s="1"/>
      <c r="AI2454" s="1"/>
      <c r="AJ2454" s="1"/>
      <c r="AK2454" s="1"/>
      <c r="AL2454" s="1"/>
      <c r="AM2454" s="1"/>
      <c r="AN2454" s="1"/>
      <c r="AO2454" s="1"/>
      <c r="AP2454" s="1"/>
      <c r="AQ2454" s="1"/>
      <c r="AR2454" s="1"/>
      <c r="AS2454" s="1"/>
      <c r="AT2454" s="1"/>
      <c r="AU2454" s="1"/>
      <c r="AV2454" s="1"/>
      <c r="AW2454" s="1"/>
      <c r="AX2454" s="1"/>
      <c r="AY2454" s="1"/>
      <c r="AZ2454" s="1"/>
      <c r="BA2454" s="1"/>
      <c r="BB2454" s="1"/>
      <c r="BC2454" s="1"/>
      <c r="BD2454" s="1"/>
      <c r="BE2454" s="1"/>
      <c r="BF2454" s="1"/>
      <c r="BG2454" s="1"/>
      <c r="BH2454" s="1"/>
      <c r="BI2454" s="1"/>
      <c r="BJ2454" s="1"/>
      <c r="BK2454" s="1"/>
      <c r="BL2454" s="1"/>
      <c r="BM2454" s="1"/>
      <c r="BN2454" s="1"/>
      <c r="BO2454" s="1"/>
      <c r="BP2454" s="1" t="s">
        <v>9609</v>
      </c>
      <c r="BQ2454" s="3"/>
      <c r="BR2454" s="3"/>
    </row>
    <row r="2455" spans="1:70">
      <c r="A2455" s="1" t="s">
        <v>25735</v>
      </c>
      <c r="B2455" s="1" t="s">
        <v>13846</v>
      </c>
      <c r="C2455" s="1" t="s">
        <v>25818</v>
      </c>
      <c r="D2455" s="1" t="s">
        <v>25819</v>
      </c>
      <c r="E2455" s="1"/>
      <c r="F2455" s="1" t="s">
        <v>25820</v>
      </c>
      <c r="G2455" s="1" t="s">
        <v>25821</v>
      </c>
      <c r="H2455" s="1" t="s">
        <v>25822</v>
      </c>
      <c r="I2455" s="1" t="s">
        <v>25823</v>
      </c>
      <c r="J2455" s="1">
        <v>9694108996</v>
      </c>
      <c r="K2455" s="1" t="s">
        <v>79</v>
      </c>
      <c r="L2455" s="1" t="s">
        <v>25824</v>
      </c>
      <c r="M2455" s="1" t="s">
        <v>81</v>
      </c>
      <c r="N2455" s="1" t="s">
        <v>350</v>
      </c>
      <c r="O2455" s="1" t="s">
        <v>25825</v>
      </c>
      <c r="P2455" s="1" t="s">
        <v>84</v>
      </c>
      <c r="Q2455" s="1">
        <v>34089109</v>
      </c>
      <c r="R2455" s="1" t="s">
        <v>25826</v>
      </c>
      <c r="S2455" s="1">
        <v>9413366301</v>
      </c>
      <c r="T2455" s="1" t="s">
        <v>25827</v>
      </c>
      <c r="U2455" s="1" t="s">
        <v>25828</v>
      </c>
      <c r="V2455" s="1">
        <v>6378123879</v>
      </c>
      <c r="W2455" s="1" t="s">
        <v>25829</v>
      </c>
      <c r="X2455" s="1" t="s">
        <v>25830</v>
      </c>
      <c r="Y2455" s="1" t="s">
        <v>25831</v>
      </c>
      <c r="Z2455" s="1" t="s">
        <v>2126</v>
      </c>
      <c r="AA2455" s="1" t="s">
        <v>25830</v>
      </c>
      <c r="AB2455" s="1" t="s">
        <v>25831</v>
      </c>
      <c r="AC2455" s="1" t="s">
        <v>2126</v>
      </c>
      <c r="AD2455" s="1" t="s">
        <v>93</v>
      </c>
      <c r="AE2455" s="1" t="s">
        <v>93</v>
      </c>
      <c r="AF2455" s="1"/>
      <c r="AG2455" s="1"/>
      <c r="AH2455" s="1"/>
      <c r="AI2455" s="1"/>
      <c r="AJ2455" s="1"/>
      <c r="AK2455" s="1"/>
      <c r="AL2455" s="1"/>
      <c r="AM2455" s="1"/>
      <c r="AN2455" s="1"/>
      <c r="AO2455" s="1"/>
      <c r="AP2455" s="1"/>
      <c r="AQ2455" s="1"/>
      <c r="AR2455" s="1"/>
      <c r="AS2455" s="1"/>
      <c r="AT2455" s="1"/>
      <c r="AU2455" s="1"/>
      <c r="AV2455" s="1"/>
      <c r="AW2455" s="1"/>
      <c r="AX2455" s="1"/>
      <c r="AY2455" s="1"/>
      <c r="AZ2455" s="1"/>
      <c r="BA2455" s="1"/>
      <c r="BB2455" s="1"/>
      <c r="BC2455" s="1"/>
      <c r="BD2455" s="1"/>
      <c r="BE2455" s="1"/>
      <c r="BF2455" s="1"/>
      <c r="BG2455" s="1"/>
      <c r="BH2455" s="1"/>
      <c r="BI2455" s="1"/>
      <c r="BJ2455" s="1"/>
      <c r="BK2455" s="1"/>
      <c r="BL2455" s="1"/>
      <c r="BM2455" s="1"/>
      <c r="BN2455" s="1"/>
      <c r="BO2455" s="1"/>
      <c r="BP2455" s="1" t="s">
        <v>9609</v>
      </c>
      <c r="BQ2455" s="3"/>
      <c r="BR2455" s="3"/>
    </row>
    <row r="2456" spans="1:70">
      <c r="A2456" s="1" t="s">
        <v>25735</v>
      </c>
      <c r="B2456" s="1" t="s">
        <v>13846</v>
      </c>
      <c r="C2456" s="1" t="s">
        <v>25832</v>
      </c>
      <c r="D2456" s="1" t="s">
        <v>25833</v>
      </c>
      <c r="E2456" s="1" t="s">
        <v>25834</v>
      </c>
      <c r="F2456" s="1" t="s">
        <v>25835</v>
      </c>
      <c r="G2456" s="1" t="s">
        <v>25836</v>
      </c>
      <c r="H2456" s="1" t="s">
        <v>25837</v>
      </c>
      <c r="I2456" s="1" t="s">
        <v>25837</v>
      </c>
      <c r="J2456" s="1">
        <v>9309794977</v>
      </c>
      <c r="K2456" s="1" t="s">
        <v>79</v>
      </c>
      <c r="L2456" s="1" t="s">
        <v>8262</v>
      </c>
      <c r="M2456" s="1" t="s">
        <v>81</v>
      </c>
      <c r="N2456" s="1" t="s">
        <v>25838</v>
      </c>
      <c r="O2456" s="1" t="s">
        <v>25839</v>
      </c>
      <c r="P2456" s="1" t="s">
        <v>117</v>
      </c>
      <c r="Q2456" s="1">
        <v>260496853652</v>
      </c>
      <c r="R2456" s="1" t="s">
        <v>25840</v>
      </c>
      <c r="S2456" s="1">
        <v>8550976976</v>
      </c>
      <c r="T2456" s="1" t="s">
        <v>25841</v>
      </c>
      <c r="U2456" s="1" t="s">
        <v>25842</v>
      </c>
      <c r="V2456" s="1">
        <v>7741099758</v>
      </c>
      <c r="W2456" s="1" t="s">
        <v>24392</v>
      </c>
      <c r="X2456" s="1" t="s">
        <v>25843</v>
      </c>
      <c r="Y2456" s="1" t="s">
        <v>328</v>
      </c>
      <c r="Z2456" s="1" t="s">
        <v>92</v>
      </c>
      <c r="AA2456" s="1" t="s">
        <v>25844</v>
      </c>
      <c r="AB2456" s="1" t="s">
        <v>328</v>
      </c>
      <c r="AC2456" s="1" t="s">
        <v>92</v>
      </c>
      <c r="AD2456" s="1" t="s">
        <v>93</v>
      </c>
      <c r="AE2456" s="1" t="s">
        <v>93</v>
      </c>
      <c r="AF2456" s="1"/>
      <c r="AG2456" s="1"/>
      <c r="AH2456" s="1"/>
      <c r="AI2456" s="1"/>
      <c r="AJ2456" s="1"/>
      <c r="AK2456" s="1"/>
      <c r="AL2456" s="1"/>
      <c r="AM2456" s="1"/>
      <c r="AN2456" s="1"/>
      <c r="AO2456" s="1"/>
      <c r="AP2456" s="1"/>
      <c r="AQ2456" s="1"/>
      <c r="AR2456" s="1"/>
      <c r="AS2456" s="1"/>
      <c r="AT2456" s="1"/>
      <c r="AU2456" s="1"/>
      <c r="AV2456" s="1"/>
      <c r="AW2456" s="1"/>
      <c r="AX2456" s="1"/>
      <c r="AY2456" s="1"/>
      <c r="AZ2456" s="1"/>
      <c r="BA2456" s="1"/>
      <c r="BB2456" s="1"/>
      <c r="BC2456" s="1"/>
      <c r="BD2456" s="1"/>
      <c r="BE2456" s="1"/>
      <c r="BF2456" s="1"/>
      <c r="BG2456" s="1"/>
      <c r="BH2456" s="1"/>
      <c r="BI2456" s="1"/>
      <c r="BJ2456" s="1"/>
      <c r="BK2456" s="1"/>
      <c r="BL2456" s="1"/>
      <c r="BM2456" s="1"/>
      <c r="BN2456" s="1"/>
      <c r="BO2456" s="1"/>
      <c r="BP2456" s="1" t="s">
        <v>9609</v>
      </c>
      <c r="BQ2456" s="3"/>
      <c r="BR2456" s="3"/>
    </row>
    <row r="2457" spans="1:70">
      <c r="A2457" s="1" t="s">
        <v>25845</v>
      </c>
      <c r="B2457" s="1" t="s">
        <v>25846</v>
      </c>
      <c r="C2457" s="1" t="s">
        <v>25847</v>
      </c>
      <c r="D2457" s="1"/>
      <c r="E2457" s="1"/>
      <c r="F2457" s="1"/>
      <c r="G2457" s="1"/>
      <c r="H2457" s="1" t="s">
        <v>25848</v>
      </c>
      <c r="I2457" s="1" t="s">
        <v>25848</v>
      </c>
      <c r="J2457" s="1"/>
      <c r="K2457" s="1"/>
      <c r="L2457" s="1"/>
      <c r="M2457" s="1"/>
      <c r="N2457" s="1"/>
      <c r="O2457" s="1"/>
      <c r="P2457" s="1"/>
      <c r="Q2457" s="1"/>
      <c r="R2457" s="1"/>
      <c r="S2457" s="1"/>
      <c r="T2457" s="1"/>
      <c r="U2457" s="1"/>
      <c r="V2457" s="1"/>
      <c r="W2457" s="1"/>
      <c r="X2457" s="1"/>
      <c r="Y2457" s="1"/>
      <c r="Z2457" s="1"/>
      <c r="AA2457" s="1"/>
      <c r="AB2457" s="1"/>
      <c r="AC2457" s="1"/>
      <c r="AD2457" s="1" t="s">
        <v>93</v>
      </c>
      <c r="AE2457" s="1" t="s">
        <v>93</v>
      </c>
      <c r="AF2457" s="1"/>
      <c r="AG2457" s="1"/>
      <c r="AH2457" s="1"/>
      <c r="AI2457" s="1"/>
      <c r="AJ2457" s="1"/>
      <c r="AK2457" s="1"/>
      <c r="AL2457" s="1"/>
      <c r="AM2457" s="1"/>
      <c r="AN2457" s="1"/>
      <c r="AO2457" s="1"/>
      <c r="AP2457" s="1"/>
      <c r="AQ2457" s="1"/>
      <c r="AR2457" s="1"/>
      <c r="AS2457" s="1"/>
      <c r="AT2457" s="1"/>
      <c r="AU2457" s="1"/>
      <c r="AV2457" s="1"/>
      <c r="AW2457" s="1"/>
      <c r="AX2457" s="1"/>
      <c r="AY2457" s="1"/>
      <c r="AZ2457" s="1"/>
      <c r="BA2457" s="1"/>
      <c r="BB2457" s="1"/>
      <c r="BC2457" s="1"/>
      <c r="BD2457" s="1"/>
      <c r="BE2457" s="1"/>
      <c r="BF2457" s="1"/>
      <c r="BG2457" s="1"/>
      <c r="BH2457" s="1"/>
      <c r="BI2457" s="1"/>
      <c r="BJ2457" s="1"/>
      <c r="BK2457" s="1"/>
      <c r="BL2457" s="1"/>
      <c r="BM2457" s="1"/>
      <c r="BN2457" s="1"/>
      <c r="BO2457" s="1"/>
      <c r="BP2457" s="1" t="s">
        <v>9609</v>
      </c>
      <c r="BQ2457" s="3"/>
      <c r="BR2457" s="3"/>
    </row>
    <row r="2458" spans="1:70">
      <c r="A2458" s="1" t="s">
        <v>25845</v>
      </c>
      <c r="B2458" s="1" t="s">
        <v>25846</v>
      </c>
      <c r="C2458" s="1" t="s">
        <v>25849</v>
      </c>
      <c r="D2458" s="1"/>
      <c r="E2458" s="1"/>
      <c r="F2458" s="1"/>
      <c r="G2458" s="1"/>
      <c r="H2458" s="1" t="s">
        <v>25850</v>
      </c>
      <c r="I2458" s="1" t="s">
        <v>25850</v>
      </c>
      <c r="J2458" s="1"/>
      <c r="K2458" s="1"/>
      <c r="L2458" s="1"/>
      <c r="M2458" s="1"/>
      <c r="N2458" s="1"/>
      <c r="O2458" s="1"/>
      <c r="P2458" s="1"/>
      <c r="Q2458" s="1"/>
      <c r="R2458" s="1"/>
      <c r="S2458" s="1"/>
      <c r="T2458" s="1"/>
      <c r="U2458" s="1"/>
      <c r="V2458" s="1"/>
      <c r="W2458" s="1"/>
      <c r="X2458" s="1"/>
      <c r="Y2458" s="1"/>
      <c r="Z2458" s="1"/>
      <c r="AA2458" s="1"/>
      <c r="AB2458" s="1"/>
      <c r="AC2458" s="1"/>
      <c r="AD2458" s="1" t="s">
        <v>93</v>
      </c>
      <c r="AE2458" s="1" t="s">
        <v>93</v>
      </c>
      <c r="AF2458" s="1"/>
      <c r="AG2458" s="1"/>
      <c r="AH2458" s="1"/>
      <c r="AI2458" s="1"/>
      <c r="AJ2458" s="1"/>
      <c r="AK2458" s="1"/>
      <c r="AL2458" s="1"/>
      <c r="AM2458" s="1"/>
      <c r="AN2458" s="1"/>
      <c r="AO2458" s="1"/>
      <c r="AP2458" s="1"/>
      <c r="AQ2458" s="1"/>
      <c r="AR2458" s="1"/>
      <c r="AS2458" s="1"/>
      <c r="AT2458" s="1"/>
      <c r="AU2458" s="1"/>
      <c r="AV2458" s="1"/>
      <c r="AW2458" s="1"/>
      <c r="AX2458" s="1"/>
      <c r="AY2458" s="1"/>
      <c r="AZ2458" s="1"/>
      <c r="BA2458" s="1"/>
      <c r="BB2458" s="1"/>
      <c r="BC2458" s="1"/>
      <c r="BD2458" s="1"/>
      <c r="BE2458" s="1"/>
      <c r="BF2458" s="1"/>
      <c r="BG2458" s="1"/>
      <c r="BH2458" s="1"/>
      <c r="BI2458" s="1"/>
      <c r="BJ2458" s="1"/>
      <c r="BK2458" s="1"/>
      <c r="BL2458" s="1"/>
      <c r="BM2458" s="1"/>
      <c r="BN2458" s="1"/>
      <c r="BO2458" s="1"/>
      <c r="BP2458" s="1" t="s">
        <v>9609</v>
      </c>
      <c r="BQ2458" s="3"/>
      <c r="BR2458" s="3"/>
    </row>
    <row r="2459" spans="1:70">
      <c r="A2459" s="1" t="s">
        <v>25845</v>
      </c>
      <c r="B2459" s="1" t="s">
        <v>25846</v>
      </c>
      <c r="C2459" s="1" t="s">
        <v>25851</v>
      </c>
      <c r="D2459" s="1"/>
      <c r="E2459" s="1"/>
      <c r="F2459" s="1"/>
      <c r="G2459" s="1"/>
      <c r="H2459" s="1" t="s">
        <v>25852</v>
      </c>
      <c r="I2459" s="1" t="s">
        <v>25852</v>
      </c>
      <c r="J2459" s="1"/>
      <c r="K2459" s="1"/>
      <c r="L2459" s="1"/>
      <c r="M2459" s="1"/>
      <c r="N2459" s="1"/>
      <c r="O2459" s="1"/>
      <c r="P2459" s="1"/>
      <c r="Q2459" s="1"/>
      <c r="R2459" s="1"/>
      <c r="S2459" s="1"/>
      <c r="T2459" s="1"/>
      <c r="U2459" s="1"/>
      <c r="V2459" s="1"/>
      <c r="W2459" s="1"/>
      <c r="X2459" s="1"/>
      <c r="Y2459" s="1"/>
      <c r="Z2459" s="1"/>
      <c r="AA2459" s="1"/>
      <c r="AB2459" s="1"/>
      <c r="AC2459" s="1"/>
      <c r="AD2459" s="1" t="s">
        <v>93</v>
      </c>
      <c r="AE2459" s="1" t="s">
        <v>93</v>
      </c>
      <c r="AF2459" s="1"/>
      <c r="AG2459" s="1"/>
      <c r="AH2459" s="1"/>
      <c r="AI2459" s="1"/>
      <c r="AJ2459" s="1"/>
      <c r="AK2459" s="1"/>
      <c r="AL2459" s="1"/>
      <c r="AM2459" s="1"/>
      <c r="AN2459" s="1"/>
      <c r="AO2459" s="1"/>
      <c r="AP2459" s="1"/>
      <c r="AQ2459" s="1"/>
      <c r="AR2459" s="1"/>
      <c r="AS2459" s="1"/>
      <c r="AT2459" s="1"/>
      <c r="AU2459" s="1"/>
      <c r="AV2459" s="1"/>
      <c r="AW2459" s="1"/>
      <c r="AX2459" s="1"/>
      <c r="AY2459" s="1"/>
      <c r="AZ2459" s="1"/>
      <c r="BA2459" s="1"/>
      <c r="BB2459" s="1"/>
      <c r="BC2459" s="1"/>
      <c r="BD2459" s="1"/>
      <c r="BE2459" s="1"/>
      <c r="BF2459" s="1"/>
      <c r="BG2459" s="1"/>
      <c r="BH2459" s="1"/>
      <c r="BI2459" s="1"/>
      <c r="BJ2459" s="1"/>
      <c r="BK2459" s="1"/>
      <c r="BL2459" s="1"/>
      <c r="BM2459" s="1"/>
      <c r="BN2459" s="1"/>
      <c r="BO2459" s="1"/>
      <c r="BP2459" s="1" t="s">
        <v>9609</v>
      </c>
      <c r="BQ2459" s="3"/>
      <c r="BR2459" s="3"/>
    </row>
    <row r="2460" spans="1:70">
      <c r="A2460" s="1" t="s">
        <v>25845</v>
      </c>
      <c r="B2460" s="1" t="s">
        <v>25846</v>
      </c>
      <c r="C2460" s="1" t="s">
        <v>25853</v>
      </c>
      <c r="D2460" s="1"/>
      <c r="E2460" s="1"/>
      <c r="F2460" s="1"/>
      <c r="G2460" s="1"/>
      <c r="H2460" s="1" t="s">
        <v>25854</v>
      </c>
      <c r="I2460" s="1" t="s">
        <v>25854</v>
      </c>
      <c r="J2460" s="1"/>
      <c r="K2460" s="1"/>
      <c r="L2460" s="1"/>
      <c r="M2460" s="1"/>
      <c r="N2460" s="1"/>
      <c r="O2460" s="1"/>
      <c r="P2460" s="1"/>
      <c r="Q2460" s="1"/>
      <c r="R2460" s="1"/>
      <c r="S2460" s="1"/>
      <c r="T2460" s="1"/>
      <c r="U2460" s="1"/>
      <c r="V2460" s="1"/>
      <c r="W2460" s="1"/>
      <c r="X2460" s="1"/>
      <c r="Y2460" s="1"/>
      <c r="Z2460" s="1"/>
      <c r="AA2460" s="1"/>
      <c r="AB2460" s="1"/>
      <c r="AC2460" s="1"/>
      <c r="AD2460" s="1" t="s">
        <v>93</v>
      </c>
      <c r="AE2460" s="1" t="s">
        <v>93</v>
      </c>
      <c r="AF2460" s="1"/>
      <c r="AG2460" s="1"/>
      <c r="AH2460" s="1"/>
      <c r="AI2460" s="1"/>
      <c r="AJ2460" s="1"/>
      <c r="AK2460" s="1"/>
      <c r="AL2460" s="1"/>
      <c r="AM2460" s="1"/>
      <c r="AN2460" s="1"/>
      <c r="AO2460" s="1"/>
      <c r="AP2460" s="1"/>
      <c r="AQ2460" s="1"/>
      <c r="AR2460" s="1"/>
      <c r="AS2460" s="1"/>
      <c r="AT2460" s="1"/>
      <c r="AU2460" s="1"/>
      <c r="AV2460" s="1"/>
      <c r="AW2460" s="1"/>
      <c r="AX2460" s="1"/>
      <c r="AY2460" s="1"/>
      <c r="AZ2460" s="1"/>
      <c r="BA2460" s="1"/>
      <c r="BB2460" s="1"/>
      <c r="BC2460" s="1"/>
      <c r="BD2460" s="1"/>
      <c r="BE2460" s="1"/>
      <c r="BF2460" s="1"/>
      <c r="BG2460" s="1"/>
      <c r="BH2460" s="1"/>
      <c r="BI2460" s="1"/>
      <c r="BJ2460" s="1"/>
      <c r="BK2460" s="1"/>
      <c r="BL2460" s="1"/>
      <c r="BM2460" s="1"/>
      <c r="BN2460" s="1"/>
      <c r="BO2460" s="1"/>
      <c r="BP2460" s="1" t="s">
        <v>9609</v>
      </c>
      <c r="BQ2460" s="3"/>
      <c r="BR2460" s="3"/>
    </row>
    <row r="2461" spans="1:70">
      <c r="A2461" s="1" t="s">
        <v>25845</v>
      </c>
      <c r="B2461" s="1" t="s">
        <v>25846</v>
      </c>
      <c r="C2461" s="1" t="s">
        <v>25855</v>
      </c>
      <c r="D2461" s="1"/>
      <c r="E2461" s="1"/>
      <c r="F2461" s="1"/>
      <c r="G2461" s="1"/>
      <c r="H2461" s="1" t="s">
        <v>25856</v>
      </c>
      <c r="I2461" s="1" t="s">
        <v>25856</v>
      </c>
      <c r="J2461" s="1"/>
      <c r="K2461" s="1"/>
      <c r="L2461" s="1"/>
      <c r="M2461" s="1"/>
      <c r="N2461" s="1"/>
      <c r="O2461" s="1"/>
      <c r="P2461" s="1"/>
      <c r="Q2461" s="1"/>
      <c r="R2461" s="1"/>
      <c r="S2461" s="1"/>
      <c r="T2461" s="1"/>
      <c r="U2461" s="1"/>
      <c r="V2461" s="1"/>
      <c r="W2461" s="1"/>
      <c r="X2461" s="1"/>
      <c r="Y2461" s="1"/>
      <c r="Z2461" s="1"/>
      <c r="AA2461" s="1"/>
      <c r="AB2461" s="1"/>
      <c r="AC2461" s="1"/>
      <c r="AD2461" s="1" t="s">
        <v>93</v>
      </c>
      <c r="AE2461" s="1" t="s">
        <v>93</v>
      </c>
      <c r="AF2461" s="1"/>
      <c r="AG2461" s="1"/>
      <c r="AH2461" s="1"/>
      <c r="AI2461" s="1"/>
      <c r="AJ2461" s="1"/>
      <c r="AK2461" s="1"/>
      <c r="AL2461" s="1"/>
      <c r="AM2461" s="1"/>
      <c r="AN2461" s="1"/>
      <c r="AO2461" s="1"/>
      <c r="AP2461" s="1"/>
      <c r="AQ2461" s="1"/>
      <c r="AR2461" s="1"/>
      <c r="AS2461" s="1"/>
      <c r="AT2461" s="1"/>
      <c r="AU2461" s="1"/>
      <c r="AV2461" s="1"/>
      <c r="AW2461" s="1"/>
      <c r="AX2461" s="1"/>
      <c r="AY2461" s="1"/>
      <c r="AZ2461" s="1"/>
      <c r="BA2461" s="1"/>
      <c r="BB2461" s="1"/>
      <c r="BC2461" s="1"/>
      <c r="BD2461" s="1"/>
      <c r="BE2461" s="1"/>
      <c r="BF2461" s="1"/>
      <c r="BG2461" s="1"/>
      <c r="BH2461" s="1"/>
      <c r="BI2461" s="1"/>
      <c r="BJ2461" s="1"/>
      <c r="BK2461" s="1"/>
      <c r="BL2461" s="1"/>
      <c r="BM2461" s="1"/>
      <c r="BN2461" s="1"/>
      <c r="BO2461" s="1"/>
      <c r="BP2461" s="1" t="s">
        <v>9609</v>
      </c>
      <c r="BQ2461" s="3"/>
      <c r="BR2461" s="3"/>
    </row>
    <row r="2462" spans="1:70">
      <c r="A2462" s="1" t="s">
        <v>25845</v>
      </c>
      <c r="B2462" s="1" t="s">
        <v>25846</v>
      </c>
      <c r="C2462" s="1" t="s">
        <v>25857</v>
      </c>
      <c r="D2462" s="1"/>
      <c r="E2462" s="1"/>
      <c r="F2462" s="1"/>
      <c r="G2462" s="1"/>
      <c r="H2462" s="1" t="s">
        <v>25858</v>
      </c>
      <c r="I2462" s="1" t="s">
        <v>25858</v>
      </c>
      <c r="J2462" s="1"/>
      <c r="K2462" s="1"/>
      <c r="L2462" s="1"/>
      <c r="M2462" s="1"/>
      <c r="N2462" s="1"/>
      <c r="O2462" s="1"/>
      <c r="P2462" s="1"/>
      <c r="Q2462" s="1"/>
      <c r="R2462" s="1"/>
      <c r="S2462" s="1"/>
      <c r="T2462" s="1"/>
      <c r="U2462" s="1"/>
      <c r="V2462" s="1"/>
      <c r="W2462" s="1"/>
      <c r="X2462" s="1"/>
      <c r="Y2462" s="1"/>
      <c r="Z2462" s="1"/>
      <c r="AA2462" s="1"/>
      <c r="AB2462" s="1"/>
      <c r="AC2462" s="1"/>
      <c r="AD2462" s="1" t="s">
        <v>93</v>
      </c>
      <c r="AE2462" s="1" t="s">
        <v>93</v>
      </c>
      <c r="AF2462" s="1"/>
      <c r="AG2462" s="1"/>
      <c r="AH2462" s="1"/>
      <c r="AI2462" s="1"/>
      <c r="AJ2462" s="1"/>
      <c r="AK2462" s="1"/>
      <c r="AL2462" s="1"/>
      <c r="AM2462" s="1"/>
      <c r="AN2462" s="1"/>
      <c r="AO2462" s="1"/>
      <c r="AP2462" s="1"/>
      <c r="AQ2462" s="1"/>
      <c r="AR2462" s="1"/>
      <c r="AS2462" s="1"/>
      <c r="AT2462" s="1"/>
      <c r="AU2462" s="1"/>
      <c r="AV2462" s="1"/>
      <c r="AW2462" s="1"/>
      <c r="AX2462" s="1"/>
      <c r="AY2462" s="1"/>
      <c r="AZ2462" s="1"/>
      <c r="BA2462" s="1"/>
      <c r="BB2462" s="1"/>
      <c r="BC2462" s="1"/>
      <c r="BD2462" s="1"/>
      <c r="BE2462" s="1"/>
      <c r="BF2462" s="1"/>
      <c r="BG2462" s="1"/>
      <c r="BH2462" s="1"/>
      <c r="BI2462" s="1"/>
      <c r="BJ2462" s="1"/>
      <c r="BK2462" s="1"/>
      <c r="BL2462" s="1"/>
      <c r="BM2462" s="1"/>
      <c r="BN2462" s="1"/>
      <c r="BO2462" s="1"/>
      <c r="BP2462" s="1" t="s">
        <v>9609</v>
      </c>
      <c r="BQ2462" s="3"/>
      <c r="BR2462" s="3"/>
    </row>
    <row r="2463" spans="1:70">
      <c r="A2463" s="1" t="s">
        <v>25845</v>
      </c>
      <c r="B2463" s="1" t="s">
        <v>25846</v>
      </c>
      <c r="C2463" s="1" t="s">
        <v>25859</v>
      </c>
      <c r="D2463" s="1"/>
      <c r="E2463" s="1"/>
      <c r="F2463" s="1"/>
      <c r="G2463" s="1"/>
      <c r="H2463" s="1" t="s">
        <v>25860</v>
      </c>
      <c r="I2463" s="1" t="s">
        <v>25860</v>
      </c>
      <c r="J2463" s="1"/>
      <c r="K2463" s="1"/>
      <c r="L2463" s="1"/>
      <c r="M2463" s="1"/>
      <c r="N2463" s="1"/>
      <c r="O2463" s="1"/>
      <c r="P2463" s="1"/>
      <c r="Q2463" s="1"/>
      <c r="R2463" s="1"/>
      <c r="S2463" s="1"/>
      <c r="T2463" s="1"/>
      <c r="U2463" s="1"/>
      <c r="V2463" s="1"/>
      <c r="W2463" s="1"/>
      <c r="X2463" s="1"/>
      <c r="Y2463" s="1"/>
      <c r="Z2463" s="1"/>
      <c r="AA2463" s="1"/>
      <c r="AB2463" s="1"/>
      <c r="AC2463" s="1"/>
      <c r="AD2463" s="1" t="s">
        <v>93</v>
      </c>
      <c r="AE2463" s="1" t="s">
        <v>93</v>
      </c>
      <c r="AF2463" s="1"/>
      <c r="AG2463" s="1"/>
      <c r="AH2463" s="1"/>
      <c r="AI2463" s="1"/>
      <c r="AJ2463" s="1"/>
      <c r="AK2463" s="1"/>
      <c r="AL2463" s="1"/>
      <c r="AM2463" s="1"/>
      <c r="AN2463" s="1"/>
      <c r="AO2463" s="1"/>
      <c r="AP2463" s="1"/>
      <c r="AQ2463" s="1"/>
      <c r="AR2463" s="1"/>
      <c r="AS2463" s="1"/>
      <c r="AT2463" s="1"/>
      <c r="AU2463" s="1"/>
      <c r="AV2463" s="1"/>
      <c r="AW2463" s="1"/>
      <c r="AX2463" s="1"/>
      <c r="AY2463" s="1"/>
      <c r="AZ2463" s="1"/>
      <c r="BA2463" s="1"/>
      <c r="BB2463" s="1"/>
      <c r="BC2463" s="1"/>
      <c r="BD2463" s="1"/>
      <c r="BE2463" s="1"/>
      <c r="BF2463" s="1"/>
      <c r="BG2463" s="1"/>
      <c r="BH2463" s="1"/>
      <c r="BI2463" s="1"/>
      <c r="BJ2463" s="1"/>
      <c r="BK2463" s="1"/>
      <c r="BL2463" s="1"/>
      <c r="BM2463" s="1"/>
      <c r="BN2463" s="1"/>
      <c r="BO2463" s="1"/>
      <c r="BP2463" s="1" t="s">
        <v>9609</v>
      </c>
      <c r="BQ2463" s="3"/>
      <c r="BR2463" s="3"/>
    </row>
    <row r="2464" spans="1:70">
      <c r="A2464" s="1" t="s">
        <v>25845</v>
      </c>
      <c r="B2464" s="1" t="s">
        <v>25846</v>
      </c>
      <c r="C2464" s="1" t="s">
        <v>25861</v>
      </c>
      <c r="D2464" s="1"/>
      <c r="E2464" s="1"/>
      <c r="F2464" s="1"/>
      <c r="G2464" s="1"/>
      <c r="H2464" s="1" t="s">
        <v>25862</v>
      </c>
      <c r="I2464" s="1" t="s">
        <v>25862</v>
      </c>
      <c r="J2464" s="1"/>
      <c r="K2464" s="1"/>
      <c r="L2464" s="1"/>
      <c r="M2464" s="1"/>
      <c r="N2464" s="1"/>
      <c r="O2464" s="1"/>
      <c r="P2464" s="1"/>
      <c r="Q2464" s="1"/>
      <c r="R2464" s="1"/>
      <c r="S2464" s="1"/>
      <c r="T2464" s="1"/>
      <c r="U2464" s="1"/>
      <c r="V2464" s="1"/>
      <c r="W2464" s="1"/>
      <c r="X2464" s="1"/>
      <c r="Y2464" s="1"/>
      <c r="Z2464" s="1"/>
      <c r="AA2464" s="1"/>
      <c r="AB2464" s="1"/>
      <c r="AC2464" s="1"/>
      <c r="AD2464" s="1" t="s">
        <v>93</v>
      </c>
      <c r="AE2464" s="1" t="s">
        <v>93</v>
      </c>
      <c r="AF2464" s="1"/>
      <c r="AG2464" s="1"/>
      <c r="AH2464" s="1"/>
      <c r="AI2464" s="1"/>
      <c r="AJ2464" s="1"/>
      <c r="AK2464" s="1"/>
      <c r="AL2464" s="1"/>
      <c r="AM2464" s="1"/>
      <c r="AN2464" s="1"/>
      <c r="AO2464" s="1"/>
      <c r="AP2464" s="1"/>
      <c r="AQ2464" s="1"/>
      <c r="AR2464" s="1"/>
      <c r="AS2464" s="1"/>
      <c r="AT2464" s="1"/>
      <c r="AU2464" s="1"/>
      <c r="AV2464" s="1"/>
      <c r="AW2464" s="1"/>
      <c r="AX2464" s="1"/>
      <c r="AY2464" s="1"/>
      <c r="AZ2464" s="1"/>
      <c r="BA2464" s="1"/>
      <c r="BB2464" s="1"/>
      <c r="BC2464" s="1"/>
      <c r="BD2464" s="1"/>
      <c r="BE2464" s="1"/>
      <c r="BF2464" s="1"/>
      <c r="BG2464" s="1"/>
      <c r="BH2464" s="1"/>
      <c r="BI2464" s="1"/>
      <c r="BJ2464" s="1"/>
      <c r="BK2464" s="1"/>
      <c r="BL2464" s="1"/>
      <c r="BM2464" s="1"/>
      <c r="BN2464" s="1"/>
      <c r="BO2464" s="1"/>
      <c r="BP2464" s="1" t="s">
        <v>9609</v>
      </c>
      <c r="BQ2464" s="3"/>
      <c r="BR2464" s="3"/>
    </row>
    <row r="2465" spans="1:70">
      <c r="A2465" s="1" t="s">
        <v>25845</v>
      </c>
      <c r="B2465" s="1" t="s">
        <v>25846</v>
      </c>
      <c r="C2465" s="1" t="s">
        <v>25863</v>
      </c>
      <c r="D2465" s="1"/>
      <c r="E2465" s="1"/>
      <c r="F2465" s="1"/>
      <c r="G2465" s="1"/>
      <c r="H2465" s="1" t="s">
        <v>25864</v>
      </c>
      <c r="I2465" s="1" t="s">
        <v>25864</v>
      </c>
      <c r="J2465" s="1"/>
      <c r="K2465" s="1"/>
      <c r="L2465" s="1"/>
      <c r="M2465" s="1"/>
      <c r="N2465" s="1"/>
      <c r="O2465" s="1"/>
      <c r="P2465" s="1"/>
      <c r="Q2465" s="1"/>
      <c r="R2465" s="1"/>
      <c r="S2465" s="1"/>
      <c r="T2465" s="1"/>
      <c r="U2465" s="1"/>
      <c r="V2465" s="1"/>
      <c r="W2465" s="1"/>
      <c r="X2465" s="1"/>
      <c r="Y2465" s="1"/>
      <c r="Z2465" s="1"/>
      <c r="AA2465" s="1"/>
      <c r="AB2465" s="1"/>
      <c r="AC2465" s="1"/>
      <c r="AD2465" s="1" t="s">
        <v>93</v>
      </c>
      <c r="AE2465" s="1" t="s">
        <v>93</v>
      </c>
      <c r="AF2465" s="1"/>
      <c r="AG2465" s="1"/>
      <c r="AH2465" s="1"/>
      <c r="AI2465" s="1"/>
      <c r="AJ2465" s="1"/>
      <c r="AK2465" s="1"/>
      <c r="AL2465" s="1"/>
      <c r="AM2465" s="1"/>
      <c r="AN2465" s="1"/>
      <c r="AO2465" s="1"/>
      <c r="AP2465" s="1"/>
      <c r="AQ2465" s="1"/>
      <c r="AR2465" s="1"/>
      <c r="AS2465" s="1"/>
      <c r="AT2465" s="1"/>
      <c r="AU2465" s="1"/>
      <c r="AV2465" s="1"/>
      <c r="AW2465" s="1"/>
      <c r="AX2465" s="1"/>
      <c r="AY2465" s="1"/>
      <c r="AZ2465" s="1"/>
      <c r="BA2465" s="1"/>
      <c r="BB2465" s="1"/>
      <c r="BC2465" s="1"/>
      <c r="BD2465" s="1"/>
      <c r="BE2465" s="1"/>
      <c r="BF2465" s="1"/>
      <c r="BG2465" s="1"/>
      <c r="BH2465" s="1"/>
      <c r="BI2465" s="1"/>
      <c r="BJ2465" s="1"/>
      <c r="BK2465" s="1"/>
      <c r="BL2465" s="1"/>
      <c r="BM2465" s="1"/>
      <c r="BN2465" s="1"/>
      <c r="BO2465" s="1"/>
      <c r="BP2465" s="1" t="s">
        <v>9609</v>
      </c>
      <c r="BQ2465" s="3"/>
      <c r="BR2465" s="3"/>
    </row>
    <row r="2466" spans="1:70">
      <c r="A2466" s="1" t="s">
        <v>25845</v>
      </c>
      <c r="B2466" s="1" t="s">
        <v>25846</v>
      </c>
      <c r="C2466" s="1" t="s">
        <v>25865</v>
      </c>
      <c r="D2466" s="1"/>
      <c r="E2466" s="1"/>
      <c r="F2466" s="1"/>
      <c r="G2466" s="1"/>
      <c r="H2466" s="1" t="s">
        <v>25866</v>
      </c>
      <c r="I2466" s="1" t="s">
        <v>25866</v>
      </c>
      <c r="J2466" s="1"/>
      <c r="K2466" s="1"/>
      <c r="L2466" s="1"/>
      <c r="M2466" s="1"/>
      <c r="N2466" s="1"/>
      <c r="O2466" s="1"/>
      <c r="P2466" s="1"/>
      <c r="Q2466" s="1"/>
      <c r="R2466" s="1"/>
      <c r="S2466" s="1"/>
      <c r="T2466" s="1"/>
      <c r="U2466" s="1"/>
      <c r="V2466" s="1"/>
      <c r="W2466" s="1"/>
      <c r="X2466" s="1"/>
      <c r="Y2466" s="1"/>
      <c r="Z2466" s="1"/>
      <c r="AA2466" s="1"/>
      <c r="AB2466" s="1"/>
      <c r="AC2466" s="1"/>
      <c r="AD2466" s="1" t="s">
        <v>93</v>
      </c>
      <c r="AE2466" s="1" t="s">
        <v>93</v>
      </c>
      <c r="AF2466" s="1"/>
      <c r="AG2466" s="1"/>
      <c r="AH2466" s="1"/>
      <c r="AI2466" s="1"/>
      <c r="AJ2466" s="1"/>
      <c r="AK2466" s="1"/>
      <c r="AL2466" s="1"/>
      <c r="AM2466" s="1"/>
      <c r="AN2466" s="1"/>
      <c r="AO2466" s="1"/>
      <c r="AP2466" s="1"/>
      <c r="AQ2466" s="1"/>
      <c r="AR2466" s="1"/>
      <c r="AS2466" s="1"/>
      <c r="AT2466" s="1"/>
      <c r="AU2466" s="1"/>
      <c r="AV2466" s="1"/>
      <c r="AW2466" s="1"/>
      <c r="AX2466" s="1"/>
      <c r="AY2466" s="1"/>
      <c r="AZ2466" s="1"/>
      <c r="BA2466" s="1"/>
      <c r="BB2466" s="1"/>
      <c r="BC2466" s="1"/>
      <c r="BD2466" s="1"/>
      <c r="BE2466" s="1"/>
      <c r="BF2466" s="1"/>
      <c r="BG2466" s="1"/>
      <c r="BH2466" s="1"/>
      <c r="BI2466" s="1"/>
      <c r="BJ2466" s="1"/>
      <c r="BK2466" s="1"/>
      <c r="BL2466" s="1"/>
      <c r="BM2466" s="1"/>
      <c r="BN2466" s="1"/>
      <c r="BO2466" s="1"/>
      <c r="BP2466" s="1" t="s">
        <v>9609</v>
      </c>
      <c r="BQ2466" s="3"/>
      <c r="BR2466" s="3"/>
    </row>
    <row r="2467" spans="1:70">
      <c r="A2467" s="1" t="s">
        <v>25845</v>
      </c>
      <c r="B2467" s="1" t="s">
        <v>25846</v>
      </c>
      <c r="C2467" s="1" t="s">
        <v>25867</v>
      </c>
      <c r="D2467" s="1"/>
      <c r="E2467" s="1"/>
      <c r="F2467" s="1"/>
      <c r="G2467" s="1"/>
      <c r="H2467" s="1" t="s">
        <v>25868</v>
      </c>
      <c r="I2467" s="1" t="s">
        <v>25868</v>
      </c>
      <c r="J2467" s="1"/>
      <c r="K2467" s="1"/>
      <c r="L2467" s="1"/>
      <c r="M2467" s="1"/>
      <c r="N2467" s="1"/>
      <c r="O2467" s="1"/>
      <c r="P2467" s="1"/>
      <c r="Q2467" s="1"/>
      <c r="R2467" s="1"/>
      <c r="S2467" s="1"/>
      <c r="T2467" s="1"/>
      <c r="U2467" s="1"/>
      <c r="V2467" s="1"/>
      <c r="W2467" s="1"/>
      <c r="X2467" s="1"/>
      <c r="Y2467" s="1"/>
      <c r="Z2467" s="1"/>
      <c r="AA2467" s="1"/>
      <c r="AB2467" s="1"/>
      <c r="AC2467" s="1"/>
      <c r="AD2467" s="1" t="s">
        <v>93</v>
      </c>
      <c r="AE2467" s="1" t="s">
        <v>93</v>
      </c>
      <c r="AF2467" s="1"/>
      <c r="AG2467" s="1"/>
      <c r="AH2467" s="1"/>
      <c r="AI2467" s="1"/>
      <c r="AJ2467" s="1"/>
      <c r="AK2467" s="1"/>
      <c r="AL2467" s="1"/>
      <c r="AM2467" s="1"/>
      <c r="AN2467" s="1"/>
      <c r="AO2467" s="1"/>
      <c r="AP2467" s="1"/>
      <c r="AQ2467" s="1"/>
      <c r="AR2467" s="1"/>
      <c r="AS2467" s="1"/>
      <c r="AT2467" s="1"/>
      <c r="AU2467" s="1"/>
      <c r="AV2467" s="1"/>
      <c r="AW2467" s="1"/>
      <c r="AX2467" s="1"/>
      <c r="AY2467" s="1"/>
      <c r="AZ2467" s="1"/>
      <c r="BA2467" s="1"/>
      <c r="BB2467" s="1"/>
      <c r="BC2467" s="1"/>
      <c r="BD2467" s="1"/>
      <c r="BE2467" s="1"/>
      <c r="BF2467" s="1"/>
      <c r="BG2467" s="1"/>
      <c r="BH2467" s="1"/>
      <c r="BI2467" s="1"/>
      <c r="BJ2467" s="1"/>
      <c r="BK2467" s="1"/>
      <c r="BL2467" s="1"/>
      <c r="BM2467" s="1"/>
      <c r="BN2467" s="1"/>
      <c r="BO2467" s="1"/>
      <c r="BP2467" s="1" t="s">
        <v>9609</v>
      </c>
      <c r="BQ2467" s="3"/>
      <c r="BR2467" s="3"/>
    </row>
    <row r="2468" spans="1:70">
      <c r="A2468" s="1" t="s">
        <v>25845</v>
      </c>
      <c r="B2468" s="1" t="s">
        <v>25846</v>
      </c>
      <c r="C2468" s="1" t="s">
        <v>25869</v>
      </c>
      <c r="D2468" s="1"/>
      <c r="E2468" s="1"/>
      <c r="F2468" s="1"/>
      <c r="G2468" s="1"/>
      <c r="H2468" s="1" t="s">
        <v>25870</v>
      </c>
      <c r="I2468" s="1" t="s">
        <v>25870</v>
      </c>
      <c r="J2468" s="1"/>
      <c r="K2468" s="1"/>
      <c r="L2468" s="1"/>
      <c r="M2468" s="1"/>
      <c r="N2468" s="1"/>
      <c r="O2468" s="1"/>
      <c r="P2468" s="1"/>
      <c r="Q2468" s="1"/>
      <c r="R2468" s="1"/>
      <c r="S2468" s="1"/>
      <c r="T2468" s="1"/>
      <c r="U2468" s="1"/>
      <c r="V2468" s="1"/>
      <c r="W2468" s="1"/>
      <c r="X2468" s="1"/>
      <c r="Y2468" s="1"/>
      <c r="Z2468" s="1"/>
      <c r="AA2468" s="1"/>
      <c r="AB2468" s="1"/>
      <c r="AC2468" s="1"/>
      <c r="AD2468" s="1" t="s">
        <v>93</v>
      </c>
      <c r="AE2468" s="1" t="s">
        <v>93</v>
      </c>
      <c r="AF2468" s="1"/>
      <c r="AG2468" s="1"/>
      <c r="AH2468" s="1"/>
      <c r="AI2468" s="1"/>
      <c r="AJ2468" s="1"/>
      <c r="AK2468" s="1"/>
      <c r="AL2468" s="1"/>
      <c r="AM2468" s="1"/>
      <c r="AN2468" s="1"/>
      <c r="AO2468" s="1"/>
      <c r="AP2468" s="1"/>
      <c r="AQ2468" s="1"/>
      <c r="AR2468" s="1"/>
      <c r="AS2468" s="1"/>
      <c r="AT2468" s="1"/>
      <c r="AU2468" s="1"/>
      <c r="AV2468" s="1"/>
      <c r="AW2468" s="1"/>
      <c r="AX2468" s="1"/>
      <c r="AY2468" s="1"/>
      <c r="AZ2468" s="1"/>
      <c r="BA2468" s="1"/>
      <c r="BB2468" s="1"/>
      <c r="BC2468" s="1"/>
      <c r="BD2468" s="1"/>
      <c r="BE2468" s="1"/>
      <c r="BF2468" s="1"/>
      <c r="BG2468" s="1"/>
      <c r="BH2468" s="1"/>
      <c r="BI2468" s="1"/>
      <c r="BJ2468" s="1"/>
      <c r="BK2468" s="1"/>
      <c r="BL2468" s="1"/>
      <c r="BM2468" s="1"/>
      <c r="BN2468" s="1"/>
      <c r="BO2468" s="1"/>
      <c r="BP2468" s="1" t="s">
        <v>9609</v>
      </c>
      <c r="BQ2468" s="3"/>
      <c r="BR2468" s="3"/>
    </row>
    <row r="2469" spans="1:70">
      <c r="A2469" s="1" t="s">
        <v>25845</v>
      </c>
      <c r="B2469" s="1" t="s">
        <v>25846</v>
      </c>
      <c r="C2469" s="1" t="s">
        <v>25871</v>
      </c>
      <c r="D2469" s="1"/>
      <c r="E2469" s="1"/>
      <c r="F2469" s="1"/>
      <c r="G2469" s="1"/>
      <c r="H2469" s="1" t="s">
        <v>25872</v>
      </c>
      <c r="I2469" s="1" t="s">
        <v>25872</v>
      </c>
      <c r="J2469" s="1"/>
      <c r="K2469" s="1"/>
      <c r="L2469" s="1"/>
      <c r="M2469" s="1"/>
      <c r="N2469" s="1"/>
      <c r="O2469" s="1"/>
      <c r="P2469" s="1"/>
      <c r="Q2469" s="1"/>
      <c r="R2469" s="1"/>
      <c r="S2469" s="1"/>
      <c r="T2469" s="1"/>
      <c r="U2469" s="1"/>
      <c r="V2469" s="1"/>
      <c r="W2469" s="1"/>
      <c r="X2469" s="1"/>
      <c r="Y2469" s="1"/>
      <c r="Z2469" s="1"/>
      <c r="AA2469" s="1"/>
      <c r="AB2469" s="1"/>
      <c r="AC2469" s="1"/>
      <c r="AD2469" s="1" t="s">
        <v>93</v>
      </c>
      <c r="AE2469" s="1" t="s">
        <v>93</v>
      </c>
      <c r="AF2469" s="1"/>
      <c r="AG2469" s="1"/>
      <c r="AH2469" s="1"/>
      <c r="AI2469" s="1"/>
      <c r="AJ2469" s="1"/>
      <c r="AK2469" s="1"/>
      <c r="AL2469" s="1"/>
      <c r="AM2469" s="1"/>
      <c r="AN2469" s="1"/>
      <c r="AO2469" s="1"/>
      <c r="AP2469" s="1"/>
      <c r="AQ2469" s="1"/>
      <c r="AR2469" s="1"/>
      <c r="AS2469" s="1"/>
      <c r="AT2469" s="1"/>
      <c r="AU2469" s="1"/>
      <c r="AV2469" s="1"/>
      <c r="AW2469" s="1"/>
      <c r="AX2469" s="1"/>
      <c r="AY2469" s="1"/>
      <c r="AZ2469" s="1"/>
      <c r="BA2469" s="1"/>
      <c r="BB2469" s="1"/>
      <c r="BC2469" s="1"/>
      <c r="BD2469" s="1"/>
      <c r="BE2469" s="1"/>
      <c r="BF2469" s="1"/>
      <c r="BG2469" s="1"/>
      <c r="BH2469" s="1"/>
      <c r="BI2469" s="1"/>
      <c r="BJ2469" s="1"/>
      <c r="BK2469" s="1"/>
      <c r="BL2469" s="1"/>
      <c r="BM2469" s="1"/>
      <c r="BN2469" s="1"/>
      <c r="BO2469" s="1"/>
      <c r="BP2469" s="1" t="s">
        <v>9609</v>
      </c>
      <c r="BQ2469" s="3"/>
      <c r="BR2469" s="3"/>
    </row>
    <row r="2470" spans="1:70">
      <c r="A2470" s="1" t="s">
        <v>25845</v>
      </c>
      <c r="B2470" s="1" t="s">
        <v>25846</v>
      </c>
      <c r="C2470" s="1" t="s">
        <v>25873</v>
      </c>
      <c r="D2470" s="1"/>
      <c r="E2470" s="1"/>
      <c r="F2470" s="1"/>
      <c r="G2470" s="1"/>
      <c r="H2470" s="1" t="s">
        <v>25874</v>
      </c>
      <c r="I2470" s="1" t="s">
        <v>25874</v>
      </c>
      <c r="J2470" s="1"/>
      <c r="K2470" s="1"/>
      <c r="L2470" s="1"/>
      <c r="M2470" s="1"/>
      <c r="N2470" s="1"/>
      <c r="O2470" s="1"/>
      <c r="P2470" s="1"/>
      <c r="Q2470" s="1"/>
      <c r="R2470" s="1"/>
      <c r="S2470" s="1"/>
      <c r="T2470" s="1"/>
      <c r="U2470" s="1"/>
      <c r="V2470" s="1"/>
      <c r="W2470" s="1"/>
      <c r="X2470" s="1"/>
      <c r="Y2470" s="1"/>
      <c r="Z2470" s="1"/>
      <c r="AA2470" s="1"/>
      <c r="AB2470" s="1"/>
      <c r="AC2470" s="1"/>
      <c r="AD2470" s="1" t="s">
        <v>93</v>
      </c>
      <c r="AE2470" s="1" t="s">
        <v>93</v>
      </c>
      <c r="AF2470" s="1"/>
      <c r="AG2470" s="1"/>
      <c r="AH2470" s="1"/>
      <c r="AI2470" s="1"/>
      <c r="AJ2470" s="1"/>
      <c r="AK2470" s="1"/>
      <c r="AL2470" s="1"/>
      <c r="AM2470" s="1"/>
      <c r="AN2470" s="1"/>
      <c r="AO2470" s="1"/>
      <c r="AP2470" s="1"/>
      <c r="AQ2470" s="1"/>
      <c r="AR2470" s="1"/>
      <c r="AS2470" s="1"/>
      <c r="AT2470" s="1"/>
      <c r="AU2470" s="1"/>
      <c r="AV2470" s="1"/>
      <c r="AW2470" s="1"/>
      <c r="AX2470" s="1"/>
      <c r="AY2470" s="1"/>
      <c r="AZ2470" s="1"/>
      <c r="BA2470" s="1"/>
      <c r="BB2470" s="1"/>
      <c r="BC2470" s="1"/>
      <c r="BD2470" s="1"/>
      <c r="BE2470" s="1"/>
      <c r="BF2470" s="1"/>
      <c r="BG2470" s="1"/>
      <c r="BH2470" s="1"/>
      <c r="BI2470" s="1"/>
      <c r="BJ2470" s="1"/>
      <c r="BK2470" s="1"/>
      <c r="BL2470" s="1"/>
      <c r="BM2470" s="1"/>
      <c r="BN2470" s="1"/>
      <c r="BO2470" s="1"/>
      <c r="BP2470" s="1" t="s">
        <v>9609</v>
      </c>
      <c r="BQ2470" s="3"/>
      <c r="BR2470" s="3"/>
    </row>
    <row r="2471" spans="1:70">
      <c r="A2471" s="1" t="s">
        <v>25845</v>
      </c>
      <c r="B2471" s="1" t="s">
        <v>25846</v>
      </c>
      <c r="C2471" s="1" t="s">
        <v>25875</v>
      </c>
      <c r="D2471" s="1"/>
      <c r="E2471" s="1"/>
      <c r="F2471" s="1"/>
      <c r="G2471" s="1"/>
      <c r="H2471" s="1" t="s">
        <v>25876</v>
      </c>
      <c r="I2471" s="1" t="s">
        <v>25876</v>
      </c>
      <c r="J2471" s="1"/>
      <c r="K2471" s="1"/>
      <c r="L2471" s="1"/>
      <c r="M2471" s="1"/>
      <c r="N2471" s="1"/>
      <c r="O2471" s="1"/>
      <c r="P2471" s="1"/>
      <c r="Q2471" s="1"/>
      <c r="R2471" s="1"/>
      <c r="S2471" s="1"/>
      <c r="T2471" s="1"/>
      <c r="U2471" s="1"/>
      <c r="V2471" s="1"/>
      <c r="W2471" s="1"/>
      <c r="X2471" s="1"/>
      <c r="Y2471" s="1"/>
      <c r="Z2471" s="1"/>
      <c r="AA2471" s="1"/>
      <c r="AB2471" s="1"/>
      <c r="AC2471" s="1"/>
      <c r="AD2471" s="1" t="s">
        <v>93</v>
      </c>
      <c r="AE2471" s="1" t="s">
        <v>93</v>
      </c>
      <c r="AF2471" s="1"/>
      <c r="AG2471" s="1"/>
      <c r="AH2471" s="1"/>
      <c r="AI2471" s="1"/>
      <c r="AJ2471" s="1"/>
      <c r="AK2471" s="1"/>
      <c r="AL2471" s="1"/>
      <c r="AM2471" s="1"/>
      <c r="AN2471" s="1"/>
      <c r="AO2471" s="1"/>
      <c r="AP2471" s="1"/>
      <c r="AQ2471" s="1"/>
      <c r="AR2471" s="1"/>
      <c r="AS2471" s="1"/>
      <c r="AT2471" s="1"/>
      <c r="AU2471" s="1"/>
      <c r="AV2471" s="1"/>
      <c r="AW2471" s="1"/>
      <c r="AX2471" s="1"/>
      <c r="AY2471" s="1"/>
      <c r="AZ2471" s="1"/>
      <c r="BA2471" s="1"/>
      <c r="BB2471" s="1"/>
      <c r="BC2471" s="1"/>
      <c r="BD2471" s="1"/>
      <c r="BE2471" s="1"/>
      <c r="BF2471" s="1"/>
      <c r="BG2471" s="1"/>
      <c r="BH2471" s="1"/>
      <c r="BI2471" s="1"/>
      <c r="BJ2471" s="1"/>
      <c r="BK2471" s="1"/>
      <c r="BL2471" s="1"/>
      <c r="BM2471" s="1"/>
      <c r="BN2471" s="1"/>
      <c r="BO2471" s="1"/>
      <c r="BP2471" s="1" t="s">
        <v>9609</v>
      </c>
      <c r="BQ2471" s="3"/>
      <c r="BR2471" s="3"/>
    </row>
    <row r="2472" spans="1:70">
      <c r="A2472" s="1" t="s">
        <v>25845</v>
      </c>
      <c r="B2472" s="1" t="s">
        <v>25846</v>
      </c>
      <c r="C2472" s="1" t="s">
        <v>25877</v>
      </c>
      <c r="D2472" s="1"/>
      <c r="E2472" s="1"/>
      <c r="F2472" s="1"/>
      <c r="G2472" s="1"/>
      <c r="H2472" s="1" t="s">
        <v>25878</v>
      </c>
      <c r="I2472" s="1" t="s">
        <v>25878</v>
      </c>
      <c r="J2472" s="1"/>
      <c r="K2472" s="1"/>
      <c r="L2472" s="1"/>
      <c r="M2472" s="1"/>
      <c r="N2472" s="1"/>
      <c r="O2472" s="1"/>
      <c r="P2472" s="1"/>
      <c r="Q2472" s="1"/>
      <c r="R2472" s="1"/>
      <c r="S2472" s="1"/>
      <c r="T2472" s="1"/>
      <c r="U2472" s="1"/>
      <c r="V2472" s="1"/>
      <c r="W2472" s="1"/>
      <c r="X2472" s="1"/>
      <c r="Y2472" s="1"/>
      <c r="Z2472" s="1"/>
      <c r="AA2472" s="1"/>
      <c r="AB2472" s="1"/>
      <c r="AC2472" s="1"/>
      <c r="AD2472" s="1" t="s">
        <v>93</v>
      </c>
      <c r="AE2472" s="1" t="s">
        <v>93</v>
      </c>
      <c r="AF2472" s="1"/>
      <c r="AG2472" s="1"/>
      <c r="AH2472" s="1"/>
      <c r="AI2472" s="1"/>
      <c r="AJ2472" s="1"/>
      <c r="AK2472" s="1"/>
      <c r="AL2472" s="1"/>
      <c r="AM2472" s="1"/>
      <c r="AN2472" s="1"/>
      <c r="AO2472" s="1"/>
      <c r="AP2472" s="1"/>
      <c r="AQ2472" s="1"/>
      <c r="AR2472" s="1"/>
      <c r="AS2472" s="1"/>
      <c r="AT2472" s="1"/>
      <c r="AU2472" s="1"/>
      <c r="AV2472" s="1"/>
      <c r="AW2472" s="1"/>
      <c r="AX2472" s="1"/>
      <c r="AY2472" s="1"/>
      <c r="AZ2472" s="1"/>
      <c r="BA2472" s="1"/>
      <c r="BB2472" s="1"/>
      <c r="BC2472" s="1"/>
      <c r="BD2472" s="1"/>
      <c r="BE2472" s="1"/>
      <c r="BF2472" s="1"/>
      <c r="BG2472" s="1"/>
      <c r="BH2472" s="1"/>
      <c r="BI2472" s="1"/>
      <c r="BJ2472" s="1"/>
      <c r="BK2472" s="1"/>
      <c r="BL2472" s="1"/>
      <c r="BM2472" s="1"/>
      <c r="BN2472" s="1"/>
      <c r="BO2472" s="1"/>
      <c r="BP2472" s="1" t="s">
        <v>9609</v>
      </c>
      <c r="BQ2472" s="3"/>
      <c r="BR2472" s="3"/>
    </row>
    <row r="2473" spans="1:70">
      <c r="A2473" s="1" t="s">
        <v>25845</v>
      </c>
      <c r="B2473" s="1" t="s">
        <v>25846</v>
      </c>
      <c r="C2473" s="1" t="s">
        <v>25879</v>
      </c>
      <c r="D2473" s="1"/>
      <c r="E2473" s="1"/>
      <c r="F2473" s="1"/>
      <c r="G2473" s="1"/>
      <c r="H2473" s="1" t="s">
        <v>25880</v>
      </c>
      <c r="I2473" s="1" t="s">
        <v>25880</v>
      </c>
      <c r="J2473" s="1"/>
      <c r="K2473" s="1"/>
      <c r="L2473" s="1"/>
      <c r="M2473" s="1"/>
      <c r="N2473" s="1"/>
      <c r="O2473" s="1"/>
      <c r="P2473" s="1"/>
      <c r="Q2473" s="1"/>
      <c r="R2473" s="1"/>
      <c r="S2473" s="1"/>
      <c r="T2473" s="1"/>
      <c r="U2473" s="1"/>
      <c r="V2473" s="1"/>
      <c r="W2473" s="1"/>
      <c r="X2473" s="1"/>
      <c r="Y2473" s="1"/>
      <c r="Z2473" s="1"/>
      <c r="AA2473" s="1"/>
      <c r="AB2473" s="1"/>
      <c r="AC2473" s="1"/>
      <c r="AD2473" s="1" t="s">
        <v>93</v>
      </c>
      <c r="AE2473" s="1" t="s">
        <v>93</v>
      </c>
      <c r="AF2473" s="1"/>
      <c r="AG2473" s="1"/>
      <c r="AH2473" s="1"/>
      <c r="AI2473" s="1"/>
      <c r="AJ2473" s="1"/>
      <c r="AK2473" s="1"/>
      <c r="AL2473" s="1"/>
      <c r="AM2473" s="1"/>
      <c r="AN2473" s="1"/>
      <c r="AO2473" s="1"/>
      <c r="AP2473" s="1"/>
      <c r="AQ2473" s="1"/>
      <c r="AR2473" s="1"/>
      <c r="AS2473" s="1"/>
      <c r="AT2473" s="1"/>
      <c r="AU2473" s="1"/>
      <c r="AV2473" s="1"/>
      <c r="AW2473" s="1"/>
      <c r="AX2473" s="1"/>
      <c r="AY2473" s="1"/>
      <c r="AZ2473" s="1"/>
      <c r="BA2473" s="1"/>
      <c r="BB2473" s="1"/>
      <c r="BC2473" s="1"/>
      <c r="BD2473" s="1"/>
      <c r="BE2473" s="1"/>
      <c r="BF2473" s="1"/>
      <c r="BG2473" s="1"/>
      <c r="BH2473" s="1"/>
      <c r="BI2473" s="1"/>
      <c r="BJ2473" s="1"/>
      <c r="BK2473" s="1"/>
      <c r="BL2473" s="1"/>
      <c r="BM2473" s="1"/>
      <c r="BN2473" s="1"/>
      <c r="BO2473" s="1"/>
      <c r="BP2473" s="1" t="s">
        <v>9609</v>
      </c>
      <c r="BQ2473" s="3"/>
      <c r="BR2473" s="3"/>
    </row>
    <row r="2474" spans="1:70">
      <c r="A2474" s="1" t="s">
        <v>25845</v>
      </c>
      <c r="B2474" s="1" t="s">
        <v>25846</v>
      </c>
      <c r="C2474" s="1" t="s">
        <v>25881</v>
      </c>
      <c r="D2474" s="1"/>
      <c r="E2474" s="1"/>
      <c r="F2474" s="1"/>
      <c r="G2474" s="1"/>
      <c r="H2474" s="1" t="s">
        <v>25882</v>
      </c>
      <c r="I2474" s="1" t="s">
        <v>25882</v>
      </c>
      <c r="J2474" s="1"/>
      <c r="K2474" s="1"/>
      <c r="L2474" s="1"/>
      <c r="M2474" s="1"/>
      <c r="N2474" s="1"/>
      <c r="O2474" s="1"/>
      <c r="P2474" s="1"/>
      <c r="Q2474" s="1"/>
      <c r="R2474" s="1"/>
      <c r="S2474" s="1"/>
      <c r="T2474" s="1"/>
      <c r="U2474" s="1"/>
      <c r="V2474" s="1"/>
      <c r="W2474" s="1"/>
      <c r="X2474" s="1"/>
      <c r="Y2474" s="1"/>
      <c r="Z2474" s="1"/>
      <c r="AA2474" s="1"/>
      <c r="AB2474" s="1"/>
      <c r="AC2474" s="1"/>
      <c r="AD2474" s="1" t="s">
        <v>93</v>
      </c>
      <c r="AE2474" s="1" t="s">
        <v>93</v>
      </c>
      <c r="AF2474" s="1"/>
      <c r="AG2474" s="1"/>
      <c r="AH2474" s="1"/>
      <c r="AI2474" s="1"/>
      <c r="AJ2474" s="1"/>
      <c r="AK2474" s="1"/>
      <c r="AL2474" s="1"/>
      <c r="AM2474" s="1"/>
      <c r="AN2474" s="1"/>
      <c r="AO2474" s="1"/>
      <c r="AP2474" s="1"/>
      <c r="AQ2474" s="1"/>
      <c r="AR2474" s="1"/>
      <c r="AS2474" s="1"/>
      <c r="AT2474" s="1"/>
      <c r="AU2474" s="1"/>
      <c r="AV2474" s="1"/>
      <c r="AW2474" s="1"/>
      <c r="AX2474" s="1"/>
      <c r="AY2474" s="1"/>
      <c r="AZ2474" s="1"/>
      <c r="BA2474" s="1"/>
      <c r="BB2474" s="1"/>
      <c r="BC2474" s="1"/>
      <c r="BD2474" s="1"/>
      <c r="BE2474" s="1"/>
      <c r="BF2474" s="1"/>
      <c r="BG2474" s="1"/>
      <c r="BH2474" s="1"/>
      <c r="BI2474" s="1"/>
      <c r="BJ2474" s="1"/>
      <c r="BK2474" s="1"/>
      <c r="BL2474" s="1"/>
      <c r="BM2474" s="1"/>
      <c r="BN2474" s="1"/>
      <c r="BO2474" s="1"/>
      <c r="BP2474" s="1" t="s">
        <v>9609</v>
      </c>
      <c r="BQ2474" s="3"/>
      <c r="BR2474" s="3"/>
    </row>
    <row r="2475" spans="1:70">
      <c r="A2475" s="1" t="s">
        <v>25845</v>
      </c>
      <c r="B2475" s="1" t="s">
        <v>25846</v>
      </c>
      <c r="C2475" s="1" t="s">
        <v>25883</v>
      </c>
      <c r="D2475" s="1"/>
      <c r="E2475" s="1"/>
      <c r="F2475" s="1"/>
      <c r="G2475" s="1"/>
      <c r="H2475" s="1" t="s">
        <v>25884</v>
      </c>
      <c r="I2475" s="1" t="s">
        <v>25884</v>
      </c>
      <c r="J2475" s="1"/>
      <c r="K2475" s="1"/>
      <c r="L2475" s="1"/>
      <c r="M2475" s="1"/>
      <c r="N2475" s="1"/>
      <c r="O2475" s="1"/>
      <c r="P2475" s="1"/>
      <c r="Q2475" s="1"/>
      <c r="R2475" s="1"/>
      <c r="S2475" s="1"/>
      <c r="T2475" s="1"/>
      <c r="U2475" s="1"/>
      <c r="V2475" s="1"/>
      <c r="W2475" s="1"/>
      <c r="X2475" s="1"/>
      <c r="Y2475" s="1"/>
      <c r="Z2475" s="1"/>
      <c r="AA2475" s="1"/>
      <c r="AB2475" s="1"/>
      <c r="AC2475" s="1"/>
      <c r="AD2475" s="1" t="s">
        <v>93</v>
      </c>
      <c r="AE2475" s="1" t="s">
        <v>93</v>
      </c>
      <c r="AF2475" s="1"/>
      <c r="AG2475" s="1"/>
      <c r="AH2475" s="1"/>
      <c r="AI2475" s="1"/>
      <c r="AJ2475" s="1"/>
      <c r="AK2475" s="1"/>
      <c r="AL2475" s="1"/>
      <c r="AM2475" s="1"/>
      <c r="AN2475" s="1"/>
      <c r="AO2475" s="1"/>
      <c r="AP2475" s="1"/>
      <c r="AQ2475" s="1"/>
      <c r="AR2475" s="1"/>
      <c r="AS2475" s="1"/>
      <c r="AT2475" s="1"/>
      <c r="AU2475" s="1"/>
      <c r="AV2475" s="1"/>
      <c r="AW2475" s="1"/>
      <c r="AX2475" s="1"/>
      <c r="AY2475" s="1"/>
      <c r="AZ2475" s="1"/>
      <c r="BA2475" s="1"/>
      <c r="BB2475" s="1"/>
      <c r="BC2475" s="1"/>
      <c r="BD2475" s="1"/>
      <c r="BE2475" s="1"/>
      <c r="BF2475" s="1"/>
      <c r="BG2475" s="1"/>
      <c r="BH2475" s="1"/>
      <c r="BI2475" s="1"/>
      <c r="BJ2475" s="1"/>
      <c r="BK2475" s="1"/>
      <c r="BL2475" s="1"/>
      <c r="BM2475" s="1"/>
      <c r="BN2475" s="1"/>
      <c r="BO2475" s="1"/>
      <c r="BP2475" s="1" t="s">
        <v>9609</v>
      </c>
      <c r="BQ2475" s="3"/>
      <c r="BR2475" s="3"/>
    </row>
    <row r="2476" spans="1:70">
      <c r="A2476" s="1" t="s">
        <v>25845</v>
      </c>
      <c r="B2476" s="1" t="s">
        <v>25846</v>
      </c>
      <c r="C2476" s="1" t="s">
        <v>25885</v>
      </c>
      <c r="D2476" s="1"/>
      <c r="E2476" s="1"/>
      <c r="F2476" s="1"/>
      <c r="G2476" s="1"/>
      <c r="H2476" s="1" t="s">
        <v>25886</v>
      </c>
      <c r="I2476" s="1" t="s">
        <v>25886</v>
      </c>
      <c r="J2476" s="1"/>
      <c r="K2476" s="1"/>
      <c r="L2476" s="1"/>
      <c r="M2476" s="1"/>
      <c r="N2476" s="1"/>
      <c r="O2476" s="1"/>
      <c r="P2476" s="1"/>
      <c r="Q2476" s="1"/>
      <c r="R2476" s="1"/>
      <c r="S2476" s="1"/>
      <c r="T2476" s="1"/>
      <c r="U2476" s="1"/>
      <c r="V2476" s="1"/>
      <c r="W2476" s="1"/>
      <c r="X2476" s="1"/>
      <c r="Y2476" s="1"/>
      <c r="Z2476" s="1"/>
      <c r="AA2476" s="1"/>
      <c r="AB2476" s="1"/>
      <c r="AC2476" s="1"/>
      <c r="AD2476" s="1" t="s">
        <v>93</v>
      </c>
      <c r="AE2476" s="1" t="s">
        <v>93</v>
      </c>
      <c r="AF2476" s="1"/>
      <c r="AG2476" s="1"/>
      <c r="AH2476" s="1"/>
      <c r="AI2476" s="1"/>
      <c r="AJ2476" s="1"/>
      <c r="AK2476" s="1"/>
      <c r="AL2476" s="1"/>
      <c r="AM2476" s="1"/>
      <c r="AN2476" s="1"/>
      <c r="AO2476" s="1"/>
      <c r="AP2476" s="1"/>
      <c r="AQ2476" s="1"/>
      <c r="AR2476" s="1"/>
      <c r="AS2476" s="1"/>
      <c r="AT2476" s="1"/>
      <c r="AU2476" s="1"/>
      <c r="AV2476" s="1"/>
      <c r="AW2476" s="1"/>
      <c r="AX2476" s="1"/>
      <c r="AY2476" s="1"/>
      <c r="AZ2476" s="1"/>
      <c r="BA2476" s="1"/>
      <c r="BB2476" s="1"/>
      <c r="BC2476" s="1"/>
      <c r="BD2476" s="1"/>
      <c r="BE2476" s="1"/>
      <c r="BF2476" s="1"/>
      <c r="BG2476" s="1"/>
      <c r="BH2476" s="1"/>
      <c r="BI2476" s="1"/>
      <c r="BJ2476" s="1"/>
      <c r="BK2476" s="1"/>
      <c r="BL2476" s="1"/>
      <c r="BM2476" s="1"/>
      <c r="BN2476" s="1"/>
      <c r="BO2476" s="1"/>
      <c r="BP2476" s="1" t="s">
        <v>9609</v>
      </c>
      <c r="BQ2476" s="3"/>
      <c r="BR2476" s="3"/>
    </row>
    <row r="2477" spans="1:70">
      <c r="A2477" s="1" t="s">
        <v>25845</v>
      </c>
      <c r="B2477" s="1" t="s">
        <v>25846</v>
      </c>
      <c r="C2477" s="1" t="s">
        <v>25887</v>
      </c>
      <c r="D2477" s="1"/>
      <c r="E2477" s="1"/>
      <c r="F2477" s="1"/>
      <c r="G2477" s="1"/>
      <c r="H2477" s="1" t="s">
        <v>25888</v>
      </c>
      <c r="I2477" s="1" t="s">
        <v>25888</v>
      </c>
      <c r="J2477" s="1"/>
      <c r="K2477" s="1"/>
      <c r="L2477" s="1"/>
      <c r="M2477" s="1"/>
      <c r="N2477" s="1"/>
      <c r="O2477" s="1"/>
      <c r="P2477" s="1"/>
      <c r="Q2477" s="1"/>
      <c r="R2477" s="1"/>
      <c r="S2477" s="1"/>
      <c r="T2477" s="1"/>
      <c r="U2477" s="1"/>
      <c r="V2477" s="1"/>
      <c r="W2477" s="1"/>
      <c r="X2477" s="1"/>
      <c r="Y2477" s="1"/>
      <c r="Z2477" s="1"/>
      <c r="AA2477" s="1"/>
      <c r="AB2477" s="1"/>
      <c r="AC2477" s="1"/>
      <c r="AD2477" s="1" t="s">
        <v>93</v>
      </c>
      <c r="AE2477" s="1" t="s">
        <v>93</v>
      </c>
      <c r="AF2477" s="1"/>
      <c r="AG2477" s="1"/>
      <c r="AH2477" s="1"/>
      <c r="AI2477" s="1"/>
      <c r="AJ2477" s="1"/>
      <c r="AK2477" s="1"/>
      <c r="AL2477" s="1"/>
      <c r="AM2477" s="1"/>
      <c r="AN2477" s="1"/>
      <c r="AO2477" s="1"/>
      <c r="AP2477" s="1"/>
      <c r="AQ2477" s="1"/>
      <c r="AR2477" s="1"/>
      <c r="AS2477" s="1"/>
      <c r="AT2477" s="1"/>
      <c r="AU2477" s="1"/>
      <c r="AV2477" s="1"/>
      <c r="AW2477" s="1"/>
      <c r="AX2477" s="1"/>
      <c r="AY2477" s="1"/>
      <c r="AZ2477" s="1"/>
      <c r="BA2477" s="1"/>
      <c r="BB2477" s="1"/>
      <c r="BC2477" s="1"/>
      <c r="BD2477" s="1"/>
      <c r="BE2477" s="1"/>
      <c r="BF2477" s="1"/>
      <c r="BG2477" s="1"/>
      <c r="BH2477" s="1"/>
      <c r="BI2477" s="1"/>
      <c r="BJ2477" s="1"/>
      <c r="BK2477" s="1"/>
      <c r="BL2477" s="1"/>
      <c r="BM2477" s="1"/>
      <c r="BN2477" s="1"/>
      <c r="BO2477" s="1"/>
      <c r="BP2477" s="1" t="s">
        <v>9609</v>
      </c>
      <c r="BQ2477" s="3"/>
      <c r="BR2477" s="3"/>
    </row>
    <row r="2478" spans="1:70">
      <c r="A2478" s="1" t="s">
        <v>25845</v>
      </c>
      <c r="B2478" s="1" t="s">
        <v>25846</v>
      </c>
      <c r="C2478" s="1" t="s">
        <v>25889</v>
      </c>
      <c r="D2478" s="1"/>
      <c r="E2478" s="1"/>
      <c r="F2478" s="1"/>
      <c r="G2478" s="1"/>
      <c r="H2478" s="1" t="s">
        <v>25890</v>
      </c>
      <c r="I2478" s="1" t="s">
        <v>25890</v>
      </c>
      <c r="J2478" s="1"/>
      <c r="K2478" s="1"/>
      <c r="L2478" s="1"/>
      <c r="M2478" s="1"/>
      <c r="N2478" s="1"/>
      <c r="O2478" s="1"/>
      <c r="P2478" s="1"/>
      <c r="Q2478" s="1"/>
      <c r="R2478" s="1"/>
      <c r="S2478" s="1"/>
      <c r="T2478" s="1"/>
      <c r="U2478" s="1"/>
      <c r="V2478" s="1"/>
      <c r="W2478" s="1"/>
      <c r="X2478" s="1"/>
      <c r="Y2478" s="1"/>
      <c r="Z2478" s="1"/>
      <c r="AA2478" s="1"/>
      <c r="AB2478" s="1"/>
      <c r="AC2478" s="1"/>
      <c r="AD2478" s="1" t="s">
        <v>93</v>
      </c>
      <c r="AE2478" s="1" t="s">
        <v>93</v>
      </c>
      <c r="AF2478" s="1"/>
      <c r="AG2478" s="1"/>
      <c r="AH2478" s="1"/>
      <c r="AI2478" s="1"/>
      <c r="AJ2478" s="1"/>
      <c r="AK2478" s="1"/>
      <c r="AL2478" s="1"/>
      <c r="AM2478" s="1"/>
      <c r="AN2478" s="1"/>
      <c r="AO2478" s="1"/>
      <c r="AP2478" s="1"/>
      <c r="AQ2478" s="1"/>
      <c r="AR2478" s="1"/>
      <c r="AS2478" s="1"/>
      <c r="AT2478" s="1"/>
      <c r="AU2478" s="1"/>
      <c r="AV2478" s="1"/>
      <c r="AW2478" s="1"/>
      <c r="AX2478" s="1"/>
      <c r="AY2478" s="1"/>
      <c r="AZ2478" s="1"/>
      <c r="BA2478" s="1"/>
      <c r="BB2478" s="1"/>
      <c r="BC2478" s="1"/>
      <c r="BD2478" s="1"/>
      <c r="BE2478" s="1"/>
      <c r="BF2478" s="1"/>
      <c r="BG2478" s="1"/>
      <c r="BH2478" s="1"/>
      <c r="BI2478" s="1"/>
      <c r="BJ2478" s="1"/>
      <c r="BK2478" s="1"/>
      <c r="BL2478" s="1"/>
      <c r="BM2478" s="1"/>
      <c r="BN2478" s="1"/>
      <c r="BO2478" s="1"/>
      <c r="BP2478" s="1" t="s">
        <v>9609</v>
      </c>
      <c r="BQ2478" s="3"/>
      <c r="BR2478" s="3"/>
    </row>
    <row r="2479" spans="1:70">
      <c r="A2479" s="1" t="s">
        <v>25845</v>
      </c>
      <c r="B2479" s="1" t="s">
        <v>25846</v>
      </c>
      <c r="C2479" s="1" t="s">
        <v>25891</v>
      </c>
      <c r="D2479" s="1"/>
      <c r="E2479" s="1"/>
      <c r="F2479" s="1"/>
      <c r="G2479" s="1"/>
      <c r="H2479" s="1" t="s">
        <v>25892</v>
      </c>
      <c r="I2479" s="1" t="s">
        <v>25892</v>
      </c>
      <c r="J2479" s="1"/>
      <c r="K2479" s="1"/>
      <c r="L2479" s="1"/>
      <c r="M2479" s="1"/>
      <c r="N2479" s="1"/>
      <c r="O2479" s="1"/>
      <c r="P2479" s="1"/>
      <c r="Q2479" s="1"/>
      <c r="R2479" s="1"/>
      <c r="S2479" s="1"/>
      <c r="T2479" s="1"/>
      <c r="U2479" s="1"/>
      <c r="V2479" s="1"/>
      <c r="W2479" s="1"/>
      <c r="X2479" s="1"/>
      <c r="Y2479" s="1"/>
      <c r="Z2479" s="1"/>
      <c r="AA2479" s="1"/>
      <c r="AB2479" s="1"/>
      <c r="AC2479" s="1"/>
      <c r="AD2479" s="1" t="s">
        <v>93</v>
      </c>
      <c r="AE2479" s="1" t="s">
        <v>93</v>
      </c>
      <c r="AF2479" s="1"/>
      <c r="AG2479" s="1"/>
      <c r="AH2479" s="1"/>
      <c r="AI2479" s="1"/>
      <c r="AJ2479" s="1"/>
      <c r="AK2479" s="1"/>
      <c r="AL2479" s="1"/>
      <c r="AM2479" s="1"/>
      <c r="AN2479" s="1"/>
      <c r="AO2479" s="1"/>
      <c r="AP2479" s="1"/>
      <c r="AQ2479" s="1"/>
      <c r="AR2479" s="1"/>
      <c r="AS2479" s="1"/>
      <c r="AT2479" s="1"/>
      <c r="AU2479" s="1"/>
      <c r="AV2479" s="1"/>
      <c r="AW2479" s="1"/>
      <c r="AX2479" s="1"/>
      <c r="AY2479" s="1"/>
      <c r="AZ2479" s="1"/>
      <c r="BA2479" s="1"/>
      <c r="BB2479" s="1"/>
      <c r="BC2479" s="1"/>
      <c r="BD2479" s="1"/>
      <c r="BE2479" s="1"/>
      <c r="BF2479" s="1"/>
      <c r="BG2479" s="1"/>
      <c r="BH2479" s="1"/>
      <c r="BI2479" s="1"/>
      <c r="BJ2479" s="1"/>
      <c r="BK2479" s="1"/>
      <c r="BL2479" s="1"/>
      <c r="BM2479" s="1"/>
      <c r="BN2479" s="1"/>
      <c r="BO2479" s="1"/>
      <c r="BP2479" s="1" t="s">
        <v>9609</v>
      </c>
      <c r="BQ2479" s="3"/>
      <c r="BR2479" s="3"/>
    </row>
    <row r="2480" spans="1:70">
      <c r="A2480" s="1" t="s">
        <v>25845</v>
      </c>
      <c r="B2480" s="1" t="s">
        <v>25846</v>
      </c>
      <c r="C2480" s="1" t="s">
        <v>25893</v>
      </c>
      <c r="D2480" s="1"/>
      <c r="E2480" s="1"/>
      <c r="F2480" s="1"/>
      <c r="G2480" s="1"/>
      <c r="H2480" s="1" t="s">
        <v>25894</v>
      </c>
      <c r="I2480" s="1" t="s">
        <v>25894</v>
      </c>
      <c r="J2480" s="1"/>
      <c r="K2480" s="1"/>
      <c r="L2480" s="1"/>
      <c r="M2480" s="1"/>
      <c r="N2480" s="1"/>
      <c r="O2480" s="1"/>
      <c r="P2480" s="1"/>
      <c r="Q2480" s="1"/>
      <c r="R2480" s="1"/>
      <c r="S2480" s="1"/>
      <c r="T2480" s="1"/>
      <c r="U2480" s="1"/>
      <c r="V2480" s="1"/>
      <c r="W2480" s="1"/>
      <c r="X2480" s="1"/>
      <c r="Y2480" s="1"/>
      <c r="Z2480" s="1"/>
      <c r="AA2480" s="1"/>
      <c r="AB2480" s="1"/>
      <c r="AC2480" s="1"/>
      <c r="AD2480" s="1" t="s">
        <v>93</v>
      </c>
      <c r="AE2480" s="1" t="s">
        <v>93</v>
      </c>
      <c r="AF2480" s="1"/>
      <c r="AG2480" s="1"/>
      <c r="AH2480" s="1"/>
      <c r="AI2480" s="1"/>
      <c r="AJ2480" s="1"/>
      <c r="AK2480" s="1"/>
      <c r="AL2480" s="1"/>
      <c r="AM2480" s="1"/>
      <c r="AN2480" s="1"/>
      <c r="AO2480" s="1"/>
      <c r="AP2480" s="1"/>
      <c r="AQ2480" s="1"/>
      <c r="AR2480" s="1"/>
      <c r="AS2480" s="1"/>
      <c r="AT2480" s="1"/>
      <c r="AU2480" s="1"/>
      <c r="AV2480" s="1"/>
      <c r="AW2480" s="1"/>
      <c r="AX2480" s="1"/>
      <c r="AY2480" s="1"/>
      <c r="AZ2480" s="1"/>
      <c r="BA2480" s="1"/>
      <c r="BB2480" s="1"/>
      <c r="BC2480" s="1"/>
      <c r="BD2480" s="1"/>
      <c r="BE2480" s="1"/>
      <c r="BF2480" s="1"/>
      <c r="BG2480" s="1"/>
      <c r="BH2480" s="1"/>
      <c r="BI2480" s="1"/>
      <c r="BJ2480" s="1"/>
      <c r="BK2480" s="1"/>
      <c r="BL2480" s="1"/>
      <c r="BM2480" s="1"/>
      <c r="BN2480" s="1"/>
      <c r="BO2480" s="1"/>
      <c r="BP2480" s="1" t="s">
        <v>9609</v>
      </c>
      <c r="BQ2480" s="3"/>
      <c r="BR2480" s="3"/>
    </row>
    <row r="2481" spans="1:70">
      <c r="A2481" s="1" t="s">
        <v>25845</v>
      </c>
      <c r="B2481" s="1" t="s">
        <v>25846</v>
      </c>
      <c r="C2481" s="1" t="s">
        <v>25895</v>
      </c>
      <c r="D2481" s="1"/>
      <c r="E2481" s="1"/>
      <c r="F2481" s="1"/>
      <c r="G2481" s="1"/>
      <c r="H2481" s="1" t="s">
        <v>25896</v>
      </c>
      <c r="I2481" s="1" t="s">
        <v>25896</v>
      </c>
      <c r="J2481" s="1"/>
      <c r="K2481" s="1"/>
      <c r="L2481" s="1"/>
      <c r="M2481" s="1"/>
      <c r="N2481" s="1"/>
      <c r="O2481" s="1"/>
      <c r="P2481" s="1"/>
      <c r="Q2481" s="1"/>
      <c r="R2481" s="1"/>
      <c r="S2481" s="1"/>
      <c r="T2481" s="1"/>
      <c r="U2481" s="1"/>
      <c r="V2481" s="1"/>
      <c r="W2481" s="1"/>
      <c r="X2481" s="1"/>
      <c r="Y2481" s="1"/>
      <c r="Z2481" s="1"/>
      <c r="AA2481" s="1"/>
      <c r="AB2481" s="1"/>
      <c r="AC2481" s="1"/>
      <c r="AD2481" s="1" t="s">
        <v>93</v>
      </c>
      <c r="AE2481" s="1" t="s">
        <v>93</v>
      </c>
      <c r="AF2481" s="1"/>
      <c r="AG2481" s="1"/>
      <c r="AH2481" s="1"/>
      <c r="AI2481" s="1"/>
      <c r="AJ2481" s="1"/>
      <c r="AK2481" s="1"/>
      <c r="AL2481" s="1"/>
      <c r="AM2481" s="1"/>
      <c r="AN2481" s="1"/>
      <c r="AO2481" s="1"/>
      <c r="AP2481" s="1"/>
      <c r="AQ2481" s="1"/>
      <c r="AR2481" s="1"/>
      <c r="AS2481" s="1"/>
      <c r="AT2481" s="1"/>
      <c r="AU2481" s="1"/>
      <c r="AV2481" s="1"/>
      <c r="AW2481" s="1"/>
      <c r="AX2481" s="1"/>
      <c r="AY2481" s="1"/>
      <c r="AZ2481" s="1"/>
      <c r="BA2481" s="1"/>
      <c r="BB2481" s="1"/>
      <c r="BC2481" s="1"/>
      <c r="BD2481" s="1"/>
      <c r="BE2481" s="1"/>
      <c r="BF2481" s="1"/>
      <c r="BG2481" s="1"/>
      <c r="BH2481" s="1"/>
      <c r="BI2481" s="1"/>
      <c r="BJ2481" s="1"/>
      <c r="BK2481" s="1"/>
      <c r="BL2481" s="1"/>
      <c r="BM2481" s="1"/>
      <c r="BN2481" s="1"/>
      <c r="BO2481" s="1"/>
      <c r="BP2481" s="1" t="s">
        <v>9609</v>
      </c>
      <c r="BQ2481" s="3"/>
      <c r="BR2481" s="3"/>
    </row>
    <row r="2482" spans="1:70">
      <c r="A2482" s="1" t="s">
        <v>25845</v>
      </c>
      <c r="B2482" s="1" t="s">
        <v>25846</v>
      </c>
      <c r="C2482" s="1" t="s">
        <v>25897</v>
      </c>
      <c r="D2482" s="1"/>
      <c r="E2482" s="1"/>
      <c r="F2482" s="1"/>
      <c r="G2482" s="1"/>
      <c r="H2482" s="1" t="s">
        <v>25898</v>
      </c>
      <c r="I2482" s="1" t="s">
        <v>25898</v>
      </c>
      <c r="J2482" s="1"/>
      <c r="K2482" s="1"/>
      <c r="L2482" s="1"/>
      <c r="M2482" s="1"/>
      <c r="N2482" s="1"/>
      <c r="O2482" s="1"/>
      <c r="P2482" s="1"/>
      <c r="Q2482" s="1"/>
      <c r="R2482" s="1"/>
      <c r="S2482" s="1"/>
      <c r="T2482" s="1"/>
      <c r="U2482" s="1"/>
      <c r="V2482" s="1"/>
      <c r="W2482" s="1"/>
      <c r="X2482" s="1"/>
      <c r="Y2482" s="1"/>
      <c r="Z2482" s="1"/>
      <c r="AA2482" s="1"/>
      <c r="AB2482" s="1"/>
      <c r="AC2482" s="1"/>
      <c r="AD2482" s="1" t="s">
        <v>93</v>
      </c>
      <c r="AE2482" s="1" t="s">
        <v>93</v>
      </c>
      <c r="AF2482" s="1"/>
      <c r="AG2482" s="1"/>
      <c r="AH2482" s="1"/>
      <c r="AI2482" s="1"/>
      <c r="AJ2482" s="1"/>
      <c r="AK2482" s="1"/>
      <c r="AL2482" s="1"/>
      <c r="AM2482" s="1"/>
      <c r="AN2482" s="1"/>
      <c r="AO2482" s="1"/>
      <c r="AP2482" s="1"/>
      <c r="AQ2482" s="1"/>
      <c r="AR2482" s="1"/>
      <c r="AS2482" s="1"/>
      <c r="AT2482" s="1"/>
      <c r="AU2482" s="1"/>
      <c r="AV2482" s="1"/>
      <c r="AW2482" s="1"/>
      <c r="AX2482" s="1"/>
      <c r="AY2482" s="1"/>
      <c r="AZ2482" s="1"/>
      <c r="BA2482" s="1"/>
      <c r="BB2482" s="1"/>
      <c r="BC2482" s="1"/>
      <c r="BD2482" s="1"/>
      <c r="BE2482" s="1"/>
      <c r="BF2482" s="1"/>
      <c r="BG2482" s="1"/>
      <c r="BH2482" s="1"/>
      <c r="BI2482" s="1"/>
      <c r="BJ2482" s="1"/>
      <c r="BK2482" s="1"/>
      <c r="BL2482" s="1"/>
      <c r="BM2482" s="1"/>
      <c r="BN2482" s="1"/>
      <c r="BO2482" s="1"/>
      <c r="BP2482" s="1" t="s">
        <v>9609</v>
      </c>
      <c r="BQ2482" s="3"/>
      <c r="BR2482" s="3"/>
    </row>
  </sheetData>
  <hyperlinks>
    <hyperlink ref="BP2" r:id="rId_hyperlink_1" tooltip="Download" display="Download"/>
    <hyperlink ref="BP3" r:id="rId_hyperlink_2" tooltip="Download" display="Download"/>
    <hyperlink ref="BP4" r:id="rId_hyperlink_3" tooltip="Download" display="Download"/>
    <hyperlink ref="BP5" r:id="rId_hyperlink_4" tooltip="Download" display="Download"/>
    <hyperlink ref="BP6" r:id="rId_hyperlink_5" tooltip="Download" display="Download"/>
    <hyperlink ref="BP7" r:id="rId_hyperlink_6" tooltip="Download" display="Download"/>
    <hyperlink ref="BP8" r:id="rId_hyperlink_7" tooltip="Download" display="Download"/>
    <hyperlink ref="BP9" r:id="rId_hyperlink_8" tooltip="Download" display="Download"/>
    <hyperlink ref="BP10" r:id="rId_hyperlink_9" tooltip="Download" display="Download"/>
    <hyperlink ref="BP11" r:id="rId_hyperlink_10" tooltip="Download" display="Download"/>
    <hyperlink ref="BP12" r:id="rId_hyperlink_11" tooltip="Download" display="Download"/>
    <hyperlink ref="BP13" r:id="rId_hyperlink_12" tooltip="Download" display="Download"/>
    <hyperlink ref="BP14" r:id="rId_hyperlink_13" tooltip="Download" display="Download"/>
    <hyperlink ref="BP15" r:id="rId_hyperlink_14" tooltip="Download" display="Download"/>
    <hyperlink ref="BP16" r:id="rId_hyperlink_15" tooltip="Download" display="Download"/>
    <hyperlink ref="BP17" r:id="rId_hyperlink_16" tooltip="Download" display="Download"/>
    <hyperlink ref="BP18" r:id="rId_hyperlink_17" tooltip="Download" display="Download"/>
    <hyperlink ref="BP19" r:id="rId_hyperlink_18" tooltip="Download" display="Download"/>
    <hyperlink ref="BP20" r:id="rId_hyperlink_19" tooltip="Download" display="Download"/>
    <hyperlink ref="BP21" r:id="rId_hyperlink_20" tooltip="Download" display="Download"/>
    <hyperlink ref="BP22" r:id="rId_hyperlink_21" tooltip="Download" display="Download"/>
    <hyperlink ref="BP23" r:id="rId_hyperlink_22" tooltip="Download" display="Download"/>
    <hyperlink ref="BP24" r:id="rId_hyperlink_23" tooltip="Download" display="Download"/>
    <hyperlink ref="BP25" r:id="rId_hyperlink_24" tooltip="Download" display="Download"/>
    <hyperlink ref="BP26" r:id="rId_hyperlink_25" tooltip="Download" display="Download"/>
    <hyperlink ref="BP27" r:id="rId_hyperlink_26" tooltip="Download" display="Download"/>
    <hyperlink ref="BP28" r:id="rId_hyperlink_27" tooltip="Download" display="Download"/>
    <hyperlink ref="BP29" r:id="rId_hyperlink_28" tooltip="Download" display="Download"/>
    <hyperlink ref="BP30" r:id="rId_hyperlink_29" tooltip="Download" display="Download"/>
    <hyperlink ref="BP31" r:id="rId_hyperlink_30" tooltip="Download" display="Download"/>
    <hyperlink ref="BP32" r:id="rId_hyperlink_31" tooltip="Download" display="Download"/>
    <hyperlink ref="BP33" r:id="rId_hyperlink_32" tooltip="Download" display="Download"/>
    <hyperlink ref="BP34" r:id="rId_hyperlink_33" tooltip="Download" display="Download"/>
    <hyperlink ref="BP35" r:id="rId_hyperlink_34" tooltip="Download" display="Download"/>
    <hyperlink ref="BP36" r:id="rId_hyperlink_35" tooltip="Download" display="Download"/>
    <hyperlink ref="BP37" r:id="rId_hyperlink_36" tooltip="Download" display="Download"/>
    <hyperlink ref="BP38" r:id="rId_hyperlink_37" tooltip="Download" display="Download"/>
    <hyperlink ref="BP39" r:id="rId_hyperlink_38" tooltip="Download" display="Download"/>
    <hyperlink ref="BP40" r:id="rId_hyperlink_39" tooltip="Download" display="Download"/>
    <hyperlink ref="BP41" r:id="rId_hyperlink_40" tooltip="Download" display="Download"/>
    <hyperlink ref="BP42" r:id="rId_hyperlink_41" tooltip="Download" display="Download"/>
    <hyperlink ref="BP43" r:id="rId_hyperlink_42" tooltip="Download" display="Download"/>
    <hyperlink ref="BP44" r:id="rId_hyperlink_43" tooltip="Download" display="Download"/>
    <hyperlink ref="BP45" r:id="rId_hyperlink_44" tooltip="Download" display="Download"/>
    <hyperlink ref="BP46" r:id="rId_hyperlink_45" tooltip="Download" display="Download"/>
    <hyperlink ref="BP47" r:id="rId_hyperlink_46" tooltip="Download" display="Download"/>
    <hyperlink ref="BP48" r:id="rId_hyperlink_47" tooltip="Download" display="Download"/>
    <hyperlink ref="BP49" r:id="rId_hyperlink_48" tooltip="Download" display="Download"/>
    <hyperlink ref="BP50" r:id="rId_hyperlink_49" tooltip="Download" display="Download"/>
    <hyperlink ref="BP51" r:id="rId_hyperlink_50" tooltip="Download" display="Download"/>
    <hyperlink ref="BP52" r:id="rId_hyperlink_51" tooltip="Download" display="Download"/>
    <hyperlink ref="BP53" r:id="rId_hyperlink_52" tooltip="Download" display="Download"/>
    <hyperlink ref="BP54" r:id="rId_hyperlink_53" tooltip="Download" display="Download"/>
    <hyperlink ref="BP55" r:id="rId_hyperlink_54" tooltip="Download" display="Download"/>
    <hyperlink ref="BP56" r:id="rId_hyperlink_55" tooltip="Download" display="Download"/>
    <hyperlink ref="BP57" r:id="rId_hyperlink_56" tooltip="Download" display="Download"/>
    <hyperlink ref="BP58" r:id="rId_hyperlink_57" tooltip="Download" display="Download"/>
    <hyperlink ref="BP59" r:id="rId_hyperlink_58" tooltip="Download" display="Download"/>
    <hyperlink ref="BP60" r:id="rId_hyperlink_59" tooltip="Download" display="Download"/>
    <hyperlink ref="BP61" r:id="rId_hyperlink_60" tooltip="Download" display="Download"/>
    <hyperlink ref="BP62" r:id="rId_hyperlink_61" tooltip="Download" display="Download"/>
    <hyperlink ref="BP63" r:id="rId_hyperlink_62" tooltip="Download" display="Download"/>
    <hyperlink ref="BP64" r:id="rId_hyperlink_63" tooltip="Download" display="Download"/>
    <hyperlink ref="BP65" r:id="rId_hyperlink_64" tooltip="Download" display="Download"/>
    <hyperlink ref="BP66" r:id="rId_hyperlink_65" tooltip="Download" display="Download"/>
    <hyperlink ref="BP67" r:id="rId_hyperlink_66" tooltip="Download" display="Download"/>
    <hyperlink ref="BP68" r:id="rId_hyperlink_67" tooltip="Download" display="Download"/>
    <hyperlink ref="BP69" r:id="rId_hyperlink_68" tooltip="Download" display="Download"/>
    <hyperlink ref="BP70" r:id="rId_hyperlink_69" tooltip="Download" display="Download"/>
    <hyperlink ref="BP71" r:id="rId_hyperlink_70" tooltip="Download" display="Download"/>
    <hyperlink ref="BP72" r:id="rId_hyperlink_71" tooltip="Download" display="Download"/>
    <hyperlink ref="BP73" r:id="rId_hyperlink_72" tooltip="Download" display="Download"/>
    <hyperlink ref="BP74" r:id="rId_hyperlink_73" tooltip="Download" display="Download"/>
    <hyperlink ref="BP75" r:id="rId_hyperlink_74" tooltip="Download" display="Download"/>
    <hyperlink ref="BP76" r:id="rId_hyperlink_75" tooltip="Download" display="Download"/>
    <hyperlink ref="BP77" r:id="rId_hyperlink_76" tooltip="Download" display="Download"/>
    <hyperlink ref="BP78" r:id="rId_hyperlink_77" tooltip="Download" display="Download"/>
    <hyperlink ref="BP79" r:id="rId_hyperlink_78" tooltip="Download" display="Download"/>
    <hyperlink ref="BP80" r:id="rId_hyperlink_79" tooltip="Download" display="Download"/>
    <hyperlink ref="BP81" r:id="rId_hyperlink_80" tooltip="Download" display="Download"/>
    <hyperlink ref="BP82" r:id="rId_hyperlink_81" tooltip="Download" display="Download"/>
    <hyperlink ref="BP83" r:id="rId_hyperlink_82" tooltip="Download" display="Download"/>
    <hyperlink ref="BP84" r:id="rId_hyperlink_83" tooltip="Download" display="Download"/>
    <hyperlink ref="BP85" r:id="rId_hyperlink_84" tooltip="Download" display="Download"/>
    <hyperlink ref="BP86" r:id="rId_hyperlink_85" tooltip="Download" display="Download"/>
    <hyperlink ref="BP87" r:id="rId_hyperlink_86" tooltip="Download" display="Download"/>
    <hyperlink ref="BP88" r:id="rId_hyperlink_87" tooltip="Download" display="Download"/>
    <hyperlink ref="BP89" r:id="rId_hyperlink_88" tooltip="Download" display="Download"/>
    <hyperlink ref="BP90" r:id="rId_hyperlink_89" tooltip="Download" display="Download"/>
    <hyperlink ref="BP91" r:id="rId_hyperlink_90" tooltip="Download" display="Download"/>
    <hyperlink ref="BP92" r:id="rId_hyperlink_91" tooltip="Download" display="Download"/>
    <hyperlink ref="BP93" r:id="rId_hyperlink_92" tooltip="Download" display="Download"/>
    <hyperlink ref="BP94" r:id="rId_hyperlink_93" tooltip="Download" display="Download"/>
    <hyperlink ref="BP95" r:id="rId_hyperlink_94" tooltip="Download" display="Download"/>
    <hyperlink ref="BP96" r:id="rId_hyperlink_95" tooltip="Download" display="Download"/>
    <hyperlink ref="BP97" r:id="rId_hyperlink_96" tooltip="Download" display="Download"/>
    <hyperlink ref="BP98" r:id="rId_hyperlink_97" tooltip="Download" display="Download"/>
    <hyperlink ref="BP99" r:id="rId_hyperlink_98" tooltip="Download" display="Download"/>
    <hyperlink ref="BP100" r:id="rId_hyperlink_99" tooltip="Download" display="Download"/>
    <hyperlink ref="BP101" r:id="rId_hyperlink_100" tooltip="Download" display="Download"/>
    <hyperlink ref="BP102" r:id="rId_hyperlink_101" tooltip="Download" display="Download"/>
    <hyperlink ref="BP103" r:id="rId_hyperlink_102" tooltip="Download" display="Download"/>
    <hyperlink ref="BP104" r:id="rId_hyperlink_103" tooltip="Download" display="Download"/>
    <hyperlink ref="BP105" r:id="rId_hyperlink_104" tooltip="Download" display="Download"/>
    <hyperlink ref="BP106" r:id="rId_hyperlink_105" tooltip="Download" display="Download"/>
    <hyperlink ref="BP107" r:id="rId_hyperlink_106" tooltip="Download" display="Download"/>
    <hyperlink ref="BP108" r:id="rId_hyperlink_107" tooltip="Download" display="Download"/>
    <hyperlink ref="BP109" r:id="rId_hyperlink_108" tooltip="Download" display="Download"/>
    <hyperlink ref="BP110" r:id="rId_hyperlink_109" tooltip="Download" display="Download"/>
    <hyperlink ref="BP111" r:id="rId_hyperlink_110" tooltip="Download" display="Download"/>
    <hyperlink ref="BP112" r:id="rId_hyperlink_111" tooltip="Download" display="Download"/>
    <hyperlink ref="BP113" r:id="rId_hyperlink_112" tooltip="Download" display="Download"/>
    <hyperlink ref="BP114" r:id="rId_hyperlink_113" tooltip="Download" display="Download"/>
    <hyperlink ref="BP115" r:id="rId_hyperlink_114" tooltip="Download" display="Download"/>
    <hyperlink ref="BP116" r:id="rId_hyperlink_115" tooltip="Download" display="Download"/>
    <hyperlink ref="BP117" r:id="rId_hyperlink_116" tooltip="Download" display="Download"/>
    <hyperlink ref="BP118" r:id="rId_hyperlink_117" tooltip="Download" display="Download"/>
    <hyperlink ref="BP119" r:id="rId_hyperlink_118" tooltip="Download" display="Download"/>
    <hyperlink ref="BP120" r:id="rId_hyperlink_119" tooltip="Download" display="Download"/>
    <hyperlink ref="BP121" r:id="rId_hyperlink_120" tooltip="Download" display="Download"/>
    <hyperlink ref="BP122" r:id="rId_hyperlink_121" tooltip="Download" display="Download"/>
    <hyperlink ref="BP123" r:id="rId_hyperlink_122" tooltip="Download" display="Download"/>
    <hyperlink ref="BP124" r:id="rId_hyperlink_123" tooltip="Download" display="Download"/>
    <hyperlink ref="BP125" r:id="rId_hyperlink_124" tooltip="Download" display="Download"/>
    <hyperlink ref="BP126" r:id="rId_hyperlink_125" tooltip="Download" display="Download"/>
    <hyperlink ref="BP127" r:id="rId_hyperlink_126" tooltip="Download" display="Download"/>
    <hyperlink ref="BP128" r:id="rId_hyperlink_127" tooltip="Download" display="Download"/>
    <hyperlink ref="BP129" r:id="rId_hyperlink_128" tooltip="Download" display="Download"/>
    <hyperlink ref="BP130" r:id="rId_hyperlink_129" tooltip="Download" display="Download"/>
    <hyperlink ref="BP131" r:id="rId_hyperlink_130" tooltip="Download" display="Download"/>
    <hyperlink ref="BP132" r:id="rId_hyperlink_131" tooltip="Download" display="Download"/>
    <hyperlink ref="BP133" r:id="rId_hyperlink_132" tooltip="Download" display="Download"/>
    <hyperlink ref="BP134" r:id="rId_hyperlink_133" tooltip="Download" display="Download"/>
    <hyperlink ref="BP135" r:id="rId_hyperlink_134" tooltip="Download" display="Download"/>
    <hyperlink ref="BP136" r:id="rId_hyperlink_135" tooltip="Download" display="Download"/>
    <hyperlink ref="BP137" r:id="rId_hyperlink_136" tooltip="Download" display="Download"/>
    <hyperlink ref="BP138" r:id="rId_hyperlink_137" tooltip="Download" display="Download"/>
    <hyperlink ref="BP139" r:id="rId_hyperlink_138" tooltip="Download" display="Download"/>
    <hyperlink ref="BP140" r:id="rId_hyperlink_139" tooltip="Download" display="Download"/>
    <hyperlink ref="BP141" r:id="rId_hyperlink_140" tooltip="Download" display="Download"/>
    <hyperlink ref="BP142" r:id="rId_hyperlink_141" tooltip="Download" display="Download"/>
    <hyperlink ref="BP143" r:id="rId_hyperlink_142" tooltip="Download" display="Download"/>
    <hyperlink ref="BP144" r:id="rId_hyperlink_143" tooltip="Download" display="Download"/>
    <hyperlink ref="BP145" r:id="rId_hyperlink_144" tooltip="Download" display="Download"/>
    <hyperlink ref="BP146" r:id="rId_hyperlink_145" tooltip="Download" display="Download"/>
    <hyperlink ref="BP147" r:id="rId_hyperlink_146" tooltip="Download" display="Download"/>
    <hyperlink ref="BP148" r:id="rId_hyperlink_147" tooltip="Download" display="Download"/>
    <hyperlink ref="BP149" r:id="rId_hyperlink_148" tooltip="Download" display="Download"/>
    <hyperlink ref="BP150" r:id="rId_hyperlink_149" tooltip="Download" display="Download"/>
    <hyperlink ref="BP151" r:id="rId_hyperlink_150" tooltip="Download" display="Download"/>
    <hyperlink ref="BP152" r:id="rId_hyperlink_151" tooltip="Download" display="Download"/>
    <hyperlink ref="BP153" r:id="rId_hyperlink_152" tooltip="Download" display="Download"/>
    <hyperlink ref="BP154" r:id="rId_hyperlink_153" tooltip="Download" display="Download"/>
    <hyperlink ref="BP155" r:id="rId_hyperlink_154" tooltip="Download" display="Download"/>
    <hyperlink ref="BP156" r:id="rId_hyperlink_155" tooltip="Download" display="Download"/>
    <hyperlink ref="BP157" r:id="rId_hyperlink_156" tooltip="Download" display="Download"/>
    <hyperlink ref="BP158" r:id="rId_hyperlink_157" tooltip="Download" display="Download"/>
    <hyperlink ref="BP159" r:id="rId_hyperlink_158" tooltip="Download" display="Download"/>
    <hyperlink ref="BP160" r:id="rId_hyperlink_159" tooltip="Download" display="Download"/>
    <hyperlink ref="BP161" r:id="rId_hyperlink_160" tooltip="Download" display="Download"/>
    <hyperlink ref="BP162" r:id="rId_hyperlink_161" tooltip="Download" display="Download"/>
    <hyperlink ref="BP163" r:id="rId_hyperlink_162" tooltip="Download" display="Download"/>
    <hyperlink ref="BP164" r:id="rId_hyperlink_163" tooltip="Download" display="Download"/>
    <hyperlink ref="BP165" r:id="rId_hyperlink_164" tooltip="Download" display="Download"/>
    <hyperlink ref="BP166" r:id="rId_hyperlink_165" tooltip="Download" display="Download"/>
    <hyperlink ref="BP167" r:id="rId_hyperlink_166" tooltip="Download" display="Download"/>
    <hyperlink ref="BP168" r:id="rId_hyperlink_167" tooltip="Download" display="Download"/>
    <hyperlink ref="BP169" r:id="rId_hyperlink_168" tooltip="Download" display="Download"/>
    <hyperlink ref="BP170" r:id="rId_hyperlink_169" tooltip="Download" display="Download"/>
    <hyperlink ref="BP171" r:id="rId_hyperlink_170" tooltip="Download" display="Download"/>
    <hyperlink ref="BP172" r:id="rId_hyperlink_171" tooltip="Download" display="Download"/>
    <hyperlink ref="BP173" r:id="rId_hyperlink_172" tooltip="Download" display="Download"/>
    <hyperlink ref="BP174" r:id="rId_hyperlink_173" tooltip="Download" display="Download"/>
    <hyperlink ref="BP175" r:id="rId_hyperlink_174" tooltip="Download" display="Download"/>
    <hyperlink ref="BP176" r:id="rId_hyperlink_175" tooltip="Download" display="Download"/>
    <hyperlink ref="BP177" r:id="rId_hyperlink_176" tooltip="Download" display="Download"/>
    <hyperlink ref="BP178" r:id="rId_hyperlink_177" tooltip="Download" display="Download"/>
    <hyperlink ref="BP179" r:id="rId_hyperlink_178" tooltip="Download" display="Download"/>
    <hyperlink ref="BP180" r:id="rId_hyperlink_179" tooltip="Download" display="Download"/>
    <hyperlink ref="BP181" r:id="rId_hyperlink_180" tooltip="Download" display="Download"/>
    <hyperlink ref="BP182" r:id="rId_hyperlink_181" tooltip="Download" display="Download"/>
    <hyperlink ref="BP183" r:id="rId_hyperlink_182" tooltip="Download" display="Download"/>
    <hyperlink ref="BP184" r:id="rId_hyperlink_183" tooltip="Download" display="Download"/>
    <hyperlink ref="BP185" r:id="rId_hyperlink_184" tooltip="Download" display="Download"/>
    <hyperlink ref="BP186" r:id="rId_hyperlink_185" tooltip="Download" display="Download"/>
    <hyperlink ref="BP187" r:id="rId_hyperlink_186" tooltip="Download" display="Download"/>
    <hyperlink ref="BP188" r:id="rId_hyperlink_187" tooltip="Download" display="Download"/>
    <hyperlink ref="BP189" r:id="rId_hyperlink_188" tooltip="Download" display="Download"/>
    <hyperlink ref="BP190" r:id="rId_hyperlink_189" tooltip="Download" display="Download"/>
    <hyperlink ref="BP191" r:id="rId_hyperlink_190" tooltip="Download" display="Download"/>
    <hyperlink ref="BP192" r:id="rId_hyperlink_191" tooltip="Download" display="Download"/>
    <hyperlink ref="BP193" r:id="rId_hyperlink_192" tooltip="Download" display="Download"/>
    <hyperlink ref="BP194" r:id="rId_hyperlink_193" tooltip="Download" display="Download"/>
    <hyperlink ref="BP195" r:id="rId_hyperlink_194" tooltip="Download" display="Download"/>
    <hyperlink ref="BP196" r:id="rId_hyperlink_195" tooltip="Download" display="Download"/>
    <hyperlink ref="BP197" r:id="rId_hyperlink_196" tooltip="Download" display="Download"/>
    <hyperlink ref="BP198" r:id="rId_hyperlink_197" tooltip="Download" display="Download"/>
    <hyperlink ref="BP199" r:id="rId_hyperlink_198" tooltip="Download" display="Download"/>
    <hyperlink ref="BP200" r:id="rId_hyperlink_199" tooltip="Download" display="Download"/>
    <hyperlink ref="BP201" r:id="rId_hyperlink_200" tooltip="Download" display="Download"/>
    <hyperlink ref="BP202" r:id="rId_hyperlink_201" tooltip="Download" display="Download"/>
    <hyperlink ref="BP203" r:id="rId_hyperlink_202" tooltip="Download" display="Download"/>
    <hyperlink ref="BP204" r:id="rId_hyperlink_203" tooltip="Download" display="Download"/>
    <hyperlink ref="BP205" r:id="rId_hyperlink_204" tooltip="Download" display="Download"/>
    <hyperlink ref="BP206" r:id="rId_hyperlink_205" tooltip="Download" display="Download"/>
    <hyperlink ref="BP207" r:id="rId_hyperlink_206" tooltip="Download" display="Download"/>
    <hyperlink ref="BP208" r:id="rId_hyperlink_207" tooltip="Download" display="Download"/>
    <hyperlink ref="BP209" r:id="rId_hyperlink_208" tooltip="Download" display="Download"/>
    <hyperlink ref="BP210" r:id="rId_hyperlink_209" tooltip="Download" display="Download"/>
    <hyperlink ref="BP211" r:id="rId_hyperlink_210" tooltip="Download" display="Download"/>
    <hyperlink ref="BP212" r:id="rId_hyperlink_211" tooltip="Download" display="Download"/>
    <hyperlink ref="BP213" r:id="rId_hyperlink_212" tooltip="Download" display="Download"/>
    <hyperlink ref="BP214" r:id="rId_hyperlink_213" tooltip="Download" display="Download"/>
    <hyperlink ref="BP215" r:id="rId_hyperlink_214" tooltip="Download" display="Download"/>
    <hyperlink ref="BP216" r:id="rId_hyperlink_215" tooltip="Download" display="Download"/>
    <hyperlink ref="BP217" r:id="rId_hyperlink_216" tooltip="Download" display="Download"/>
    <hyperlink ref="BP218" r:id="rId_hyperlink_217" tooltip="Download" display="Download"/>
    <hyperlink ref="BP219" r:id="rId_hyperlink_218" tooltip="Download" display="Download"/>
    <hyperlink ref="BP220" r:id="rId_hyperlink_219" tooltip="Download" display="Download"/>
    <hyperlink ref="BP221" r:id="rId_hyperlink_220" tooltip="Download" display="Download"/>
    <hyperlink ref="BP222" r:id="rId_hyperlink_221" tooltip="Download" display="Download"/>
    <hyperlink ref="BP223" r:id="rId_hyperlink_222" tooltip="Download" display="Download"/>
    <hyperlink ref="BP224" r:id="rId_hyperlink_223" tooltip="Download" display="Download"/>
    <hyperlink ref="BP225" r:id="rId_hyperlink_224" tooltip="Download" display="Download"/>
    <hyperlink ref="BP226" r:id="rId_hyperlink_225" tooltip="Download" display="Download"/>
    <hyperlink ref="BP227" r:id="rId_hyperlink_226" tooltip="Download" display="Download"/>
    <hyperlink ref="BP228" r:id="rId_hyperlink_227" tooltip="Download" display="Download"/>
    <hyperlink ref="BP229" r:id="rId_hyperlink_228" tooltip="Download" display="Download"/>
    <hyperlink ref="BP230" r:id="rId_hyperlink_229" tooltip="Download" display="Download"/>
    <hyperlink ref="BP231" r:id="rId_hyperlink_230" tooltip="Download" display="Download"/>
    <hyperlink ref="BP232" r:id="rId_hyperlink_231" tooltip="Download" display="Download"/>
    <hyperlink ref="BP233" r:id="rId_hyperlink_232" tooltip="Download" display="Download"/>
    <hyperlink ref="BP234" r:id="rId_hyperlink_233" tooltip="Download" display="Download"/>
    <hyperlink ref="BP235" r:id="rId_hyperlink_234" tooltip="Download" display="Download"/>
    <hyperlink ref="BP236" r:id="rId_hyperlink_235" tooltip="Download" display="Download"/>
    <hyperlink ref="BP237" r:id="rId_hyperlink_236" tooltip="Download" display="Download"/>
    <hyperlink ref="BP238" r:id="rId_hyperlink_237" tooltip="Download" display="Download"/>
    <hyperlink ref="BP239" r:id="rId_hyperlink_238" tooltip="Download" display="Download"/>
    <hyperlink ref="BP240" r:id="rId_hyperlink_239" tooltip="Download" display="Download"/>
    <hyperlink ref="BP241" r:id="rId_hyperlink_240" tooltip="Download" display="Download"/>
    <hyperlink ref="BP242" r:id="rId_hyperlink_241" tooltip="Download" display="Download"/>
    <hyperlink ref="BP243" r:id="rId_hyperlink_242" tooltip="Download" display="Download"/>
    <hyperlink ref="BP244" r:id="rId_hyperlink_243" tooltip="Download" display="Download"/>
    <hyperlink ref="BP245" r:id="rId_hyperlink_244" tooltip="Download" display="Download"/>
    <hyperlink ref="BP246" r:id="rId_hyperlink_245" tooltip="Download" display="Download"/>
    <hyperlink ref="BP247" r:id="rId_hyperlink_246" tooltip="Download" display="Download"/>
    <hyperlink ref="BP248" r:id="rId_hyperlink_247" tooltip="Download" display="Download"/>
    <hyperlink ref="BP249" r:id="rId_hyperlink_248" tooltip="Download" display="Download"/>
    <hyperlink ref="BP250" r:id="rId_hyperlink_249" tooltip="Download" display="Download"/>
    <hyperlink ref="BP251" r:id="rId_hyperlink_250" tooltip="Download" display="Download"/>
    <hyperlink ref="BP252" r:id="rId_hyperlink_251" tooltip="Download" display="Download"/>
    <hyperlink ref="BP253" r:id="rId_hyperlink_252" tooltip="Download" display="Download"/>
    <hyperlink ref="BP254" r:id="rId_hyperlink_253" tooltip="Download" display="Download"/>
    <hyperlink ref="BP255" r:id="rId_hyperlink_254" tooltip="Download" display="Download"/>
    <hyperlink ref="BP256" r:id="rId_hyperlink_255" tooltip="Download" display="Download"/>
    <hyperlink ref="BP257" r:id="rId_hyperlink_256" tooltip="Download" display="Download"/>
    <hyperlink ref="BP258" r:id="rId_hyperlink_257" tooltip="Download" display="Download"/>
    <hyperlink ref="BP259" r:id="rId_hyperlink_258" tooltip="Download" display="Download"/>
    <hyperlink ref="BP260" r:id="rId_hyperlink_259" tooltip="Download" display="Download"/>
    <hyperlink ref="BP261" r:id="rId_hyperlink_260" tooltip="Download" display="Download"/>
    <hyperlink ref="BP262" r:id="rId_hyperlink_261" tooltip="Download" display="Download"/>
    <hyperlink ref="BP263" r:id="rId_hyperlink_262" tooltip="Download" display="Download"/>
    <hyperlink ref="BP264" r:id="rId_hyperlink_263" tooltip="Download" display="Download"/>
    <hyperlink ref="BP265" r:id="rId_hyperlink_264" tooltip="Download" display="Download"/>
    <hyperlink ref="BP266" r:id="rId_hyperlink_265" tooltip="Download" display="Download"/>
    <hyperlink ref="BP267" r:id="rId_hyperlink_266" tooltip="Download" display="Download"/>
    <hyperlink ref="BP268" r:id="rId_hyperlink_267" tooltip="Download" display="Download"/>
    <hyperlink ref="BP269" r:id="rId_hyperlink_268" tooltip="Download" display="Download"/>
    <hyperlink ref="BP270" r:id="rId_hyperlink_269" tooltip="Download" display="Download"/>
    <hyperlink ref="BP271" r:id="rId_hyperlink_270" tooltip="Download" display="Download"/>
    <hyperlink ref="BP272" r:id="rId_hyperlink_271" tooltip="Download" display="Download"/>
    <hyperlink ref="BP273" r:id="rId_hyperlink_272" tooltip="Download" display="Download"/>
    <hyperlink ref="BP274" r:id="rId_hyperlink_273" tooltip="Download" display="Download"/>
    <hyperlink ref="BP275" r:id="rId_hyperlink_274" tooltip="Download" display="Download"/>
    <hyperlink ref="BP276" r:id="rId_hyperlink_275" tooltip="Download" display="Download"/>
    <hyperlink ref="BP277" r:id="rId_hyperlink_276" tooltip="Download" display="Download"/>
    <hyperlink ref="BP278" r:id="rId_hyperlink_277" tooltip="Download" display="Download"/>
    <hyperlink ref="BP279" r:id="rId_hyperlink_278" tooltip="Download" display="Download"/>
    <hyperlink ref="BP280" r:id="rId_hyperlink_279" tooltip="Download" display="Download"/>
    <hyperlink ref="BP281" r:id="rId_hyperlink_280" tooltip="Download" display="Download"/>
    <hyperlink ref="BP282" r:id="rId_hyperlink_281" tooltip="Download" display="Download"/>
    <hyperlink ref="BP283" r:id="rId_hyperlink_282" tooltip="Download" display="Download"/>
    <hyperlink ref="BP284" r:id="rId_hyperlink_283" tooltip="Download" display="Download"/>
    <hyperlink ref="BP285" r:id="rId_hyperlink_284" tooltip="Download" display="Download"/>
    <hyperlink ref="BP286" r:id="rId_hyperlink_285" tooltip="Download" display="Download"/>
    <hyperlink ref="BP287" r:id="rId_hyperlink_286" tooltip="Download" display="Download"/>
    <hyperlink ref="BP288" r:id="rId_hyperlink_287" tooltip="Download" display="Download"/>
    <hyperlink ref="BP289" r:id="rId_hyperlink_288" tooltip="Download" display="Download"/>
    <hyperlink ref="BP290" r:id="rId_hyperlink_289" tooltip="Download" display="Download"/>
    <hyperlink ref="BP291" r:id="rId_hyperlink_290" tooltip="Download" display="Download"/>
    <hyperlink ref="BP292" r:id="rId_hyperlink_291" tooltip="Download" display="Download"/>
    <hyperlink ref="BP293" r:id="rId_hyperlink_292" tooltip="Download" display="Download"/>
    <hyperlink ref="BP294" r:id="rId_hyperlink_293" tooltip="Download" display="Download"/>
    <hyperlink ref="BP295" r:id="rId_hyperlink_294" tooltip="Download" display="Download"/>
    <hyperlink ref="BP296" r:id="rId_hyperlink_295" tooltip="Download" display="Download"/>
    <hyperlink ref="BP297" r:id="rId_hyperlink_296" tooltip="Download" display="Download"/>
    <hyperlink ref="BP298" r:id="rId_hyperlink_297" tooltip="Download" display="Download"/>
    <hyperlink ref="BP299" r:id="rId_hyperlink_298" tooltip="Download" display="Download"/>
    <hyperlink ref="BP300" r:id="rId_hyperlink_299" tooltip="Download" display="Download"/>
    <hyperlink ref="BP301" r:id="rId_hyperlink_300" tooltip="Download" display="Download"/>
    <hyperlink ref="BP302" r:id="rId_hyperlink_301" tooltip="Download" display="Download"/>
    <hyperlink ref="BP303" r:id="rId_hyperlink_302" tooltip="Download" display="Download"/>
    <hyperlink ref="BP304" r:id="rId_hyperlink_303" tooltip="Download" display="Download"/>
    <hyperlink ref="BP305" r:id="rId_hyperlink_304" tooltip="Download" display="Download"/>
    <hyperlink ref="BP306" r:id="rId_hyperlink_305" tooltip="Download" display="Download"/>
    <hyperlink ref="BP307" r:id="rId_hyperlink_306" tooltip="Download" display="Download"/>
    <hyperlink ref="BP308" r:id="rId_hyperlink_307" tooltip="Download" display="Download"/>
    <hyperlink ref="BP309" r:id="rId_hyperlink_308" tooltip="Download" display="Download"/>
    <hyperlink ref="BP310" r:id="rId_hyperlink_309" tooltip="Download" display="Download"/>
    <hyperlink ref="BP311" r:id="rId_hyperlink_310" tooltip="Download" display="Download"/>
    <hyperlink ref="BP312" r:id="rId_hyperlink_311" tooltip="Download" display="Download"/>
    <hyperlink ref="BP313" r:id="rId_hyperlink_312" tooltip="Download" display="Download"/>
    <hyperlink ref="BP314" r:id="rId_hyperlink_313" tooltip="Download" display="Download"/>
    <hyperlink ref="BP315" r:id="rId_hyperlink_314" tooltip="Download" display="Download"/>
    <hyperlink ref="BP316" r:id="rId_hyperlink_315" tooltip="Download" display="Download"/>
    <hyperlink ref="BP317" r:id="rId_hyperlink_316" tooltip="Download" display="Download"/>
    <hyperlink ref="BP318" r:id="rId_hyperlink_317" tooltip="Download" display="Download"/>
    <hyperlink ref="BP319" r:id="rId_hyperlink_318" tooltip="Download" display="Download"/>
    <hyperlink ref="BP320" r:id="rId_hyperlink_319" tooltip="Download" display="Download"/>
    <hyperlink ref="BP321" r:id="rId_hyperlink_320" tooltip="Download" display="Download"/>
    <hyperlink ref="BP322" r:id="rId_hyperlink_321" tooltip="Download" display="Download"/>
    <hyperlink ref="BP323" r:id="rId_hyperlink_322" tooltip="Download" display="Download"/>
    <hyperlink ref="BP324" r:id="rId_hyperlink_323" tooltip="Download" display="Download"/>
    <hyperlink ref="BP325" r:id="rId_hyperlink_324" tooltip="Download" display="Download"/>
    <hyperlink ref="BP326" r:id="rId_hyperlink_325" tooltip="Download" display="Download"/>
    <hyperlink ref="BP327" r:id="rId_hyperlink_326" tooltip="Download" display="Download"/>
    <hyperlink ref="BP328" r:id="rId_hyperlink_327" tooltip="Download" display="Download"/>
    <hyperlink ref="BP329" r:id="rId_hyperlink_328" tooltip="Download" display="Download"/>
    <hyperlink ref="BP330" r:id="rId_hyperlink_329" tooltip="Download" display="Download"/>
    <hyperlink ref="BP331" r:id="rId_hyperlink_330" tooltip="Download" display="Download"/>
    <hyperlink ref="BP332" r:id="rId_hyperlink_331" tooltip="Download" display="Download"/>
    <hyperlink ref="BP333" r:id="rId_hyperlink_332" tooltip="Download" display="Download"/>
    <hyperlink ref="BP334" r:id="rId_hyperlink_333" tooltip="Download" display="Download"/>
    <hyperlink ref="BP335" r:id="rId_hyperlink_334" tooltip="Download" display="Download"/>
    <hyperlink ref="BP336" r:id="rId_hyperlink_335" tooltip="Download" display="Download"/>
    <hyperlink ref="BP337" r:id="rId_hyperlink_336" tooltip="Download" display="Download"/>
    <hyperlink ref="BP338" r:id="rId_hyperlink_337" tooltip="Download" display="Download"/>
    <hyperlink ref="BP339" r:id="rId_hyperlink_338" tooltip="Download" display="Download"/>
    <hyperlink ref="BP340" r:id="rId_hyperlink_339" tooltip="Download" display="Download"/>
    <hyperlink ref="BP341" r:id="rId_hyperlink_340" tooltip="Download" display="Download"/>
    <hyperlink ref="BP342" r:id="rId_hyperlink_341" tooltip="Download" display="Download"/>
    <hyperlink ref="BP343" r:id="rId_hyperlink_342" tooltip="Download" display="Download"/>
    <hyperlink ref="BP344" r:id="rId_hyperlink_343" tooltip="Download" display="Download"/>
    <hyperlink ref="BP345" r:id="rId_hyperlink_344" tooltip="Download" display="Download"/>
    <hyperlink ref="BP346" r:id="rId_hyperlink_345" tooltip="Download" display="Download"/>
    <hyperlink ref="BP347" r:id="rId_hyperlink_346" tooltip="Download" display="Download"/>
    <hyperlink ref="BP348" r:id="rId_hyperlink_347" tooltip="Download" display="Download"/>
    <hyperlink ref="BP349" r:id="rId_hyperlink_348" tooltip="Download" display="Download"/>
    <hyperlink ref="BP350" r:id="rId_hyperlink_349" tooltip="Download" display="Download"/>
    <hyperlink ref="BP351" r:id="rId_hyperlink_350" tooltip="Download" display="Download"/>
    <hyperlink ref="BP352" r:id="rId_hyperlink_351" tooltip="Download" display="Download"/>
    <hyperlink ref="BP353" r:id="rId_hyperlink_352" tooltip="Download" display="Download"/>
    <hyperlink ref="BP354" r:id="rId_hyperlink_353" tooltip="Download" display="Download"/>
    <hyperlink ref="BP355" r:id="rId_hyperlink_354" tooltip="Download" display="Download"/>
    <hyperlink ref="BP356" r:id="rId_hyperlink_355" tooltip="Download" display="Download"/>
    <hyperlink ref="BP357" r:id="rId_hyperlink_356" tooltip="Download" display="Download"/>
    <hyperlink ref="BP358" r:id="rId_hyperlink_357" tooltip="Download" display="Download"/>
    <hyperlink ref="BP359" r:id="rId_hyperlink_358" tooltip="Download" display="Download"/>
    <hyperlink ref="BP360" r:id="rId_hyperlink_359" tooltip="Download" display="Download"/>
    <hyperlink ref="BP361" r:id="rId_hyperlink_360" tooltip="Download" display="Download"/>
    <hyperlink ref="BP362" r:id="rId_hyperlink_361" tooltip="Download" display="Download"/>
    <hyperlink ref="BP363" r:id="rId_hyperlink_362" tooltip="Download" display="Download"/>
    <hyperlink ref="BP364" r:id="rId_hyperlink_363" tooltip="Download" display="Download"/>
    <hyperlink ref="BP365" r:id="rId_hyperlink_364" tooltip="Download" display="Download"/>
    <hyperlink ref="BP366" r:id="rId_hyperlink_365" tooltip="Download" display="Download"/>
    <hyperlink ref="BP367" r:id="rId_hyperlink_366" tooltip="Download" display="Download"/>
    <hyperlink ref="BP368" r:id="rId_hyperlink_367" tooltip="Download" display="Download"/>
    <hyperlink ref="BP369" r:id="rId_hyperlink_368" tooltip="Download" display="Download"/>
    <hyperlink ref="BP370" r:id="rId_hyperlink_369" tooltip="Download" display="Download"/>
    <hyperlink ref="BP371" r:id="rId_hyperlink_370" tooltip="Download" display="Download"/>
    <hyperlink ref="BP372" r:id="rId_hyperlink_371" tooltip="Download" display="Download"/>
    <hyperlink ref="BP373" r:id="rId_hyperlink_372" tooltip="Download" display="Download"/>
    <hyperlink ref="BP374" r:id="rId_hyperlink_373" tooltip="Download" display="Download"/>
    <hyperlink ref="BP375" r:id="rId_hyperlink_374" tooltip="Download" display="Download"/>
    <hyperlink ref="BP376" r:id="rId_hyperlink_375" tooltip="Download" display="Download"/>
    <hyperlink ref="BP377" r:id="rId_hyperlink_376" tooltip="Download" display="Download"/>
    <hyperlink ref="BP378" r:id="rId_hyperlink_377" tooltip="Download" display="Download"/>
    <hyperlink ref="BP379" r:id="rId_hyperlink_378" tooltip="Download" display="Download"/>
    <hyperlink ref="BP380" r:id="rId_hyperlink_379" tooltip="Download" display="Download"/>
    <hyperlink ref="BP381" r:id="rId_hyperlink_380" tooltip="Download" display="Download"/>
    <hyperlink ref="BP382" r:id="rId_hyperlink_381" tooltip="Download" display="Download"/>
    <hyperlink ref="BP383" r:id="rId_hyperlink_382" tooltip="Download" display="Download"/>
    <hyperlink ref="BP384" r:id="rId_hyperlink_383" tooltip="Download" display="Download"/>
    <hyperlink ref="BP385" r:id="rId_hyperlink_384" tooltip="Download" display="Download"/>
    <hyperlink ref="BP386" r:id="rId_hyperlink_385" tooltip="Download" display="Download"/>
    <hyperlink ref="BP387" r:id="rId_hyperlink_386" tooltip="Download" display="Download"/>
    <hyperlink ref="BP388" r:id="rId_hyperlink_387" tooltip="Download" display="Download"/>
    <hyperlink ref="BP389" r:id="rId_hyperlink_388" tooltip="Download" display="Download"/>
    <hyperlink ref="BP390" r:id="rId_hyperlink_389" tooltip="Download" display="Download"/>
    <hyperlink ref="BP391" r:id="rId_hyperlink_390" tooltip="Download" display="Download"/>
    <hyperlink ref="BP392" r:id="rId_hyperlink_391" tooltip="Download" display="Download"/>
    <hyperlink ref="BP393" r:id="rId_hyperlink_392" tooltip="Download" display="Download"/>
    <hyperlink ref="BP394" r:id="rId_hyperlink_393" tooltip="Download" display="Download"/>
    <hyperlink ref="BP395" r:id="rId_hyperlink_394" tooltip="Download" display="Download"/>
    <hyperlink ref="BP396" r:id="rId_hyperlink_395" tooltip="Download" display="Download"/>
    <hyperlink ref="BP397" r:id="rId_hyperlink_396" tooltip="Download" display="Download"/>
    <hyperlink ref="BP398" r:id="rId_hyperlink_397" tooltip="Download" display="Download"/>
    <hyperlink ref="BP399" r:id="rId_hyperlink_398" tooltip="Download" display="Download"/>
    <hyperlink ref="BP400" r:id="rId_hyperlink_399" tooltip="Download" display="Download"/>
    <hyperlink ref="BP401" r:id="rId_hyperlink_400" tooltip="Download" display="Download"/>
    <hyperlink ref="BP402" r:id="rId_hyperlink_401" tooltip="Download" display="Download"/>
    <hyperlink ref="BP403" r:id="rId_hyperlink_402" tooltip="Download" display="Download"/>
    <hyperlink ref="BP404" r:id="rId_hyperlink_403" tooltip="Download" display="Download"/>
    <hyperlink ref="BP405" r:id="rId_hyperlink_404" tooltip="Download" display="Download"/>
    <hyperlink ref="BP406" r:id="rId_hyperlink_405" tooltip="Download" display="Download"/>
    <hyperlink ref="BP407" r:id="rId_hyperlink_406" tooltip="Download" display="Download"/>
    <hyperlink ref="BP408" r:id="rId_hyperlink_407" tooltip="Download" display="Download"/>
    <hyperlink ref="BP409" r:id="rId_hyperlink_408" tooltip="Download" display="Download"/>
    <hyperlink ref="BP410" r:id="rId_hyperlink_409" tooltip="Download" display="Download"/>
    <hyperlink ref="BP411" r:id="rId_hyperlink_410" tooltip="Download" display="Download"/>
    <hyperlink ref="BP412" r:id="rId_hyperlink_411" tooltip="Download" display="Download"/>
    <hyperlink ref="BP413" r:id="rId_hyperlink_412" tooltip="Download" display="Download"/>
    <hyperlink ref="BP414" r:id="rId_hyperlink_413" tooltip="Download" display="Download"/>
    <hyperlink ref="BP415" r:id="rId_hyperlink_414" tooltip="Download" display="Download"/>
    <hyperlink ref="BP416" r:id="rId_hyperlink_415" tooltip="Download" display="Download"/>
    <hyperlink ref="BP417" r:id="rId_hyperlink_416" tooltip="Download" display="Download"/>
    <hyperlink ref="BP418" r:id="rId_hyperlink_417" tooltip="Download" display="Download"/>
    <hyperlink ref="BP419" r:id="rId_hyperlink_418" tooltip="Download" display="Download"/>
    <hyperlink ref="BP420" r:id="rId_hyperlink_419" tooltip="Download" display="Download"/>
    <hyperlink ref="BP421" r:id="rId_hyperlink_420" tooltip="Download" display="Download"/>
    <hyperlink ref="BP422" r:id="rId_hyperlink_421" tooltip="Download" display="Download"/>
    <hyperlink ref="BP423" r:id="rId_hyperlink_422" tooltip="Download" display="Download"/>
    <hyperlink ref="BP424" r:id="rId_hyperlink_423" tooltip="Download" display="Download"/>
    <hyperlink ref="BP425" r:id="rId_hyperlink_424" tooltip="Download" display="Download"/>
    <hyperlink ref="BP426" r:id="rId_hyperlink_425" tooltip="Download" display="Download"/>
    <hyperlink ref="BP427" r:id="rId_hyperlink_426" tooltip="Download" display="Download"/>
    <hyperlink ref="BP428" r:id="rId_hyperlink_427" tooltip="Download" display="Download"/>
    <hyperlink ref="BP429" r:id="rId_hyperlink_428" tooltip="Download" display="Download"/>
    <hyperlink ref="BP430" r:id="rId_hyperlink_429" tooltip="Download" display="Download"/>
    <hyperlink ref="BP431" r:id="rId_hyperlink_430" tooltip="Download" display="Download"/>
    <hyperlink ref="BP432" r:id="rId_hyperlink_431" tooltip="Download" display="Download"/>
    <hyperlink ref="BP433" r:id="rId_hyperlink_432" tooltip="Download" display="Download"/>
    <hyperlink ref="BP434" r:id="rId_hyperlink_433" tooltip="Download" display="Download"/>
    <hyperlink ref="BP435" r:id="rId_hyperlink_434" tooltip="Download" display="Download"/>
    <hyperlink ref="BP436" r:id="rId_hyperlink_435" tooltip="Download" display="Download"/>
    <hyperlink ref="BP437" r:id="rId_hyperlink_436" tooltip="Download" display="Download"/>
    <hyperlink ref="BP438" r:id="rId_hyperlink_437" tooltip="Download" display="Download"/>
    <hyperlink ref="BP439" r:id="rId_hyperlink_438" tooltip="Download" display="Download"/>
    <hyperlink ref="BP440" r:id="rId_hyperlink_439" tooltip="Download" display="Download"/>
    <hyperlink ref="BP441" r:id="rId_hyperlink_440" tooltip="Download" display="Download"/>
    <hyperlink ref="BP442" r:id="rId_hyperlink_441" tooltip="Download" display="Download"/>
    <hyperlink ref="BP443" r:id="rId_hyperlink_442" tooltip="Download" display="Download"/>
    <hyperlink ref="BP444" r:id="rId_hyperlink_443" tooltip="Download" display="Download"/>
    <hyperlink ref="BP445" r:id="rId_hyperlink_444" tooltip="Download" display="Download"/>
    <hyperlink ref="BP446" r:id="rId_hyperlink_445" tooltip="Download" display="Download"/>
    <hyperlink ref="BP447" r:id="rId_hyperlink_446" tooltip="Download" display="Download"/>
    <hyperlink ref="BP448" r:id="rId_hyperlink_447" tooltip="Download" display="Download"/>
    <hyperlink ref="BP449" r:id="rId_hyperlink_448" tooltip="Download" display="Download"/>
    <hyperlink ref="BP450" r:id="rId_hyperlink_449" tooltip="Download" display="Download"/>
    <hyperlink ref="BP451" r:id="rId_hyperlink_450" tooltip="Download" display="Download"/>
    <hyperlink ref="BP452" r:id="rId_hyperlink_451" tooltip="Download" display="Download"/>
    <hyperlink ref="BP453" r:id="rId_hyperlink_452" tooltip="Download" display="Download"/>
    <hyperlink ref="BP454" r:id="rId_hyperlink_453" tooltip="Download" display="Download"/>
    <hyperlink ref="BP455" r:id="rId_hyperlink_454" tooltip="Download" display="Download"/>
    <hyperlink ref="BP456" r:id="rId_hyperlink_455" tooltip="Download" display="Download"/>
    <hyperlink ref="BP457" r:id="rId_hyperlink_456" tooltip="Download" display="Download"/>
    <hyperlink ref="BP458" r:id="rId_hyperlink_457" tooltip="Download" display="Download"/>
    <hyperlink ref="BP459" r:id="rId_hyperlink_458" tooltip="Download" display="Download"/>
    <hyperlink ref="BP460" r:id="rId_hyperlink_459" tooltip="Download" display="Download"/>
    <hyperlink ref="BP461" r:id="rId_hyperlink_460" tooltip="Download" display="Download"/>
    <hyperlink ref="BP462" r:id="rId_hyperlink_461" tooltip="Download" display="Download"/>
    <hyperlink ref="BP463" r:id="rId_hyperlink_462" tooltip="Download" display="Download"/>
    <hyperlink ref="BP464" r:id="rId_hyperlink_463" tooltip="Download" display="Download"/>
    <hyperlink ref="BP465" r:id="rId_hyperlink_464" tooltip="Download" display="Download"/>
    <hyperlink ref="BP466" r:id="rId_hyperlink_465" tooltip="Download" display="Download"/>
    <hyperlink ref="BP467" r:id="rId_hyperlink_466" tooltip="Download" display="Download"/>
    <hyperlink ref="BP468" r:id="rId_hyperlink_467" tooltip="Download" display="Download"/>
    <hyperlink ref="BP469" r:id="rId_hyperlink_468" tooltip="Download" display="Download"/>
    <hyperlink ref="BP470" r:id="rId_hyperlink_469" tooltip="Download" display="Download"/>
    <hyperlink ref="BP471" r:id="rId_hyperlink_470" tooltip="Download" display="Download"/>
    <hyperlink ref="BP472" r:id="rId_hyperlink_471" tooltip="Download" display="Download"/>
    <hyperlink ref="BP473" r:id="rId_hyperlink_472" tooltip="Download" display="Download"/>
    <hyperlink ref="BP474" r:id="rId_hyperlink_473" tooltip="Download" display="Download"/>
    <hyperlink ref="BP475" r:id="rId_hyperlink_474" tooltip="Download" display="Download"/>
    <hyperlink ref="BP476" r:id="rId_hyperlink_475" tooltip="Download" display="Download"/>
    <hyperlink ref="BP477" r:id="rId_hyperlink_476" tooltip="Download" display="Download"/>
    <hyperlink ref="BP478" r:id="rId_hyperlink_477" tooltip="Download" display="Download"/>
    <hyperlink ref="BP479" r:id="rId_hyperlink_478" tooltip="Download" display="Download"/>
    <hyperlink ref="BP480" r:id="rId_hyperlink_479" tooltip="Download" display="Download"/>
    <hyperlink ref="BP481" r:id="rId_hyperlink_480" tooltip="Download" display="Download"/>
    <hyperlink ref="BP482" r:id="rId_hyperlink_481" tooltip="Download" display="Download"/>
    <hyperlink ref="BP483" r:id="rId_hyperlink_482" tooltip="Download" display="Download"/>
    <hyperlink ref="BP484" r:id="rId_hyperlink_483" tooltip="Download" display="Download"/>
    <hyperlink ref="BP485" r:id="rId_hyperlink_484" tooltip="Download" display="Download"/>
    <hyperlink ref="BP486" r:id="rId_hyperlink_485" tooltip="Download" display="Download"/>
    <hyperlink ref="BP487" r:id="rId_hyperlink_486" tooltip="Download" display="Download"/>
    <hyperlink ref="BP488" r:id="rId_hyperlink_487" tooltip="Download" display="Download"/>
    <hyperlink ref="BP489" r:id="rId_hyperlink_488" tooltip="Download" display="Download"/>
    <hyperlink ref="BP490" r:id="rId_hyperlink_489" tooltip="Download" display="Download"/>
    <hyperlink ref="BP491" r:id="rId_hyperlink_490" tooltip="Download" display="Download"/>
    <hyperlink ref="BP492" r:id="rId_hyperlink_491" tooltip="Download" display="Download"/>
    <hyperlink ref="BP493" r:id="rId_hyperlink_492" tooltip="Download" display="Download"/>
    <hyperlink ref="BP494" r:id="rId_hyperlink_493" tooltip="Download" display="Download"/>
    <hyperlink ref="BP495" r:id="rId_hyperlink_494" tooltip="Download" display="Download"/>
    <hyperlink ref="BP496" r:id="rId_hyperlink_495" tooltip="Download" display="Download"/>
    <hyperlink ref="BP497" r:id="rId_hyperlink_496" tooltip="Download" display="Download"/>
    <hyperlink ref="BP498" r:id="rId_hyperlink_497" tooltip="Download" display="Download"/>
    <hyperlink ref="BP499" r:id="rId_hyperlink_498" tooltip="Download" display="Download"/>
    <hyperlink ref="BP500" r:id="rId_hyperlink_499" tooltip="Download" display="Download"/>
    <hyperlink ref="BP502" r:id="rId_hyperlink_500" tooltip="Download" display="Download"/>
    <hyperlink ref="BP503" r:id="rId_hyperlink_501" tooltip="Download" display="Download"/>
    <hyperlink ref="BP504" r:id="rId_hyperlink_502" tooltip="Download" display="Download"/>
    <hyperlink ref="BP505" r:id="rId_hyperlink_503" tooltip="Download" display="Download"/>
    <hyperlink ref="BP506" r:id="rId_hyperlink_504" tooltip="Download" display="Download"/>
    <hyperlink ref="BP507" r:id="rId_hyperlink_505" tooltip="Download" display="Download"/>
    <hyperlink ref="BP508" r:id="rId_hyperlink_506" tooltip="Download" display="Download"/>
    <hyperlink ref="BP509" r:id="rId_hyperlink_507" tooltip="Download" display="Download"/>
    <hyperlink ref="BP510" r:id="rId_hyperlink_508" tooltip="Download" display="Download"/>
    <hyperlink ref="BP511" r:id="rId_hyperlink_509" tooltip="Download" display="Download"/>
    <hyperlink ref="BP512" r:id="rId_hyperlink_510" tooltip="Download" display="Download"/>
    <hyperlink ref="BP513" r:id="rId_hyperlink_511" tooltip="Download" display="Download"/>
    <hyperlink ref="BP514" r:id="rId_hyperlink_512" tooltip="Download" display="Download"/>
    <hyperlink ref="BP515" r:id="rId_hyperlink_513" tooltip="Download" display="Download"/>
    <hyperlink ref="BP516" r:id="rId_hyperlink_514" tooltip="Download" display="Download"/>
    <hyperlink ref="BP517" r:id="rId_hyperlink_515" tooltip="Download" display="Download"/>
    <hyperlink ref="BP518" r:id="rId_hyperlink_516" tooltip="Download" display="Download"/>
    <hyperlink ref="BP519" r:id="rId_hyperlink_517" tooltip="Download" display="Download"/>
    <hyperlink ref="BP520" r:id="rId_hyperlink_518" tooltip="Download" display="Download"/>
    <hyperlink ref="BP521" r:id="rId_hyperlink_519" tooltip="Download" display="Download"/>
    <hyperlink ref="BP522" r:id="rId_hyperlink_520" tooltip="Download" display="Download"/>
    <hyperlink ref="BP523" r:id="rId_hyperlink_521" tooltip="Download" display="Download"/>
    <hyperlink ref="BP524" r:id="rId_hyperlink_522" tooltip="Download" display="Download"/>
    <hyperlink ref="BP525" r:id="rId_hyperlink_523" tooltip="Download" display="Download"/>
    <hyperlink ref="BP526" r:id="rId_hyperlink_524" tooltip="Download" display="Download"/>
    <hyperlink ref="BP527" r:id="rId_hyperlink_525" tooltip="Download" display="Download"/>
    <hyperlink ref="BP528" r:id="rId_hyperlink_526" tooltip="Download" display="Download"/>
    <hyperlink ref="BP529" r:id="rId_hyperlink_527" tooltip="Download" display="Download"/>
    <hyperlink ref="BP530" r:id="rId_hyperlink_528" tooltip="Download" display="Download"/>
    <hyperlink ref="BP531" r:id="rId_hyperlink_529" tooltip="Download" display="Download"/>
    <hyperlink ref="BP532" r:id="rId_hyperlink_530" tooltip="Download" display="Download"/>
    <hyperlink ref="BP533" r:id="rId_hyperlink_531" tooltip="Download" display="Download"/>
    <hyperlink ref="BP534" r:id="rId_hyperlink_532" tooltip="Download" display="Download"/>
    <hyperlink ref="BP535" r:id="rId_hyperlink_533" tooltip="Download" display="Download"/>
    <hyperlink ref="BP536" r:id="rId_hyperlink_534" tooltip="Download" display="Download"/>
    <hyperlink ref="BP537" r:id="rId_hyperlink_535" tooltip="Download" display="Download"/>
    <hyperlink ref="BP538" r:id="rId_hyperlink_536" tooltip="Download" display="Download"/>
    <hyperlink ref="BP539" r:id="rId_hyperlink_537" tooltip="Download" display="Download"/>
    <hyperlink ref="BP540" r:id="rId_hyperlink_538" tooltip="Download" display="Download"/>
    <hyperlink ref="BP541" r:id="rId_hyperlink_539" tooltip="Download" display="Download"/>
    <hyperlink ref="BP542" r:id="rId_hyperlink_540" tooltip="Download" display="Download"/>
    <hyperlink ref="BP543" r:id="rId_hyperlink_541" tooltip="Download" display="Download"/>
    <hyperlink ref="BP544" r:id="rId_hyperlink_542" tooltip="Download" display="Download"/>
    <hyperlink ref="BP545" r:id="rId_hyperlink_543" tooltip="Download" display="Download"/>
    <hyperlink ref="BP546" r:id="rId_hyperlink_544" tooltip="Download" display="Download"/>
    <hyperlink ref="BP547" r:id="rId_hyperlink_545" tooltip="Download" display="Download"/>
    <hyperlink ref="BP548" r:id="rId_hyperlink_546" tooltip="Download" display="Download"/>
    <hyperlink ref="BP549" r:id="rId_hyperlink_547" tooltip="Download" display="Download"/>
    <hyperlink ref="BP550" r:id="rId_hyperlink_548" tooltip="Download" display="Download"/>
    <hyperlink ref="BP551" r:id="rId_hyperlink_549" tooltip="Download" display="Download"/>
    <hyperlink ref="BP552" r:id="rId_hyperlink_550" tooltip="Download" display="Download"/>
    <hyperlink ref="BP553" r:id="rId_hyperlink_551" tooltip="Download" display="Download"/>
    <hyperlink ref="BP554" r:id="rId_hyperlink_552" tooltip="Download" display="Download"/>
    <hyperlink ref="BP555" r:id="rId_hyperlink_553" tooltip="Download" display="Download"/>
    <hyperlink ref="BP556" r:id="rId_hyperlink_554" tooltip="Download" display="Download"/>
    <hyperlink ref="BP557" r:id="rId_hyperlink_555" tooltip="Download" display="Download"/>
    <hyperlink ref="BP558" r:id="rId_hyperlink_556" tooltip="Download" display="Download"/>
    <hyperlink ref="BP559" r:id="rId_hyperlink_557" tooltip="Download" display="Download"/>
    <hyperlink ref="BP560" r:id="rId_hyperlink_558" tooltip="Download" display="Download"/>
    <hyperlink ref="BP561" r:id="rId_hyperlink_559" tooltip="Download" display="Download"/>
    <hyperlink ref="BP562" r:id="rId_hyperlink_560" tooltip="Download" display="Download"/>
    <hyperlink ref="BP563" r:id="rId_hyperlink_561" tooltip="Download" display="Download"/>
    <hyperlink ref="BP564" r:id="rId_hyperlink_562" tooltip="Download" display="Download"/>
    <hyperlink ref="BP565" r:id="rId_hyperlink_563" tooltip="Download" display="Download"/>
    <hyperlink ref="BP566" r:id="rId_hyperlink_564" tooltip="Download" display="Download"/>
    <hyperlink ref="BP567" r:id="rId_hyperlink_565" tooltip="Download" display="Download"/>
    <hyperlink ref="BP568" r:id="rId_hyperlink_566" tooltip="Download" display="Download"/>
    <hyperlink ref="BP569" r:id="rId_hyperlink_567" tooltip="Download" display="Download"/>
    <hyperlink ref="BP570" r:id="rId_hyperlink_568" tooltip="Download" display="Download"/>
    <hyperlink ref="BP571" r:id="rId_hyperlink_569" tooltip="Download" display="Download"/>
    <hyperlink ref="BP572" r:id="rId_hyperlink_570" tooltip="Download" display="Download"/>
    <hyperlink ref="BP573" r:id="rId_hyperlink_571" tooltip="Download" display="Download"/>
    <hyperlink ref="BP574" r:id="rId_hyperlink_572" tooltip="Download" display="Download"/>
    <hyperlink ref="BP575" r:id="rId_hyperlink_573" tooltip="Download" display="Download"/>
    <hyperlink ref="BP576" r:id="rId_hyperlink_574" tooltip="Download" display="Download"/>
    <hyperlink ref="BP577" r:id="rId_hyperlink_575" tooltip="Download" display="Download"/>
    <hyperlink ref="BP578" r:id="rId_hyperlink_576" tooltip="Download" display="Download"/>
    <hyperlink ref="BP579" r:id="rId_hyperlink_577" tooltip="Download" display="Download"/>
    <hyperlink ref="BP580" r:id="rId_hyperlink_578" tooltip="Download" display="Download"/>
    <hyperlink ref="BP581" r:id="rId_hyperlink_579" tooltip="Download" display="Download"/>
    <hyperlink ref="BP582" r:id="rId_hyperlink_580" tooltip="Download" display="Download"/>
    <hyperlink ref="BP583" r:id="rId_hyperlink_581" tooltip="Download" display="Download"/>
    <hyperlink ref="BP584" r:id="rId_hyperlink_582" tooltip="Download" display="Download"/>
    <hyperlink ref="BP585" r:id="rId_hyperlink_583" tooltip="Download" display="Download"/>
    <hyperlink ref="BP586" r:id="rId_hyperlink_584" tooltip="Download" display="Download"/>
    <hyperlink ref="BP587" r:id="rId_hyperlink_585" tooltip="Download" display="Download"/>
    <hyperlink ref="BP588" r:id="rId_hyperlink_586" tooltip="Download" display="Download"/>
    <hyperlink ref="BP589" r:id="rId_hyperlink_587" tooltip="Download" display="Download"/>
    <hyperlink ref="BP590" r:id="rId_hyperlink_588" tooltip="Download" display="Download"/>
    <hyperlink ref="BP591" r:id="rId_hyperlink_589" tooltip="Download" display="Download"/>
    <hyperlink ref="BP592" r:id="rId_hyperlink_590" tooltip="Download" display="Download"/>
    <hyperlink ref="BP593" r:id="rId_hyperlink_591" tooltip="Download" display="Download"/>
    <hyperlink ref="BP594" r:id="rId_hyperlink_592" tooltip="Download" display="Download"/>
    <hyperlink ref="BP595" r:id="rId_hyperlink_593" tooltip="Download" display="Download"/>
    <hyperlink ref="BP596" r:id="rId_hyperlink_594" tooltip="Download" display="Download"/>
    <hyperlink ref="BP597" r:id="rId_hyperlink_595" tooltip="Download" display="Download"/>
    <hyperlink ref="BP598" r:id="rId_hyperlink_596" tooltip="Download" display="Download"/>
    <hyperlink ref="BP599" r:id="rId_hyperlink_597" tooltip="Download" display="Download"/>
    <hyperlink ref="BP600" r:id="rId_hyperlink_598" tooltip="Download" display="Download"/>
    <hyperlink ref="BP601" r:id="rId_hyperlink_599" tooltip="Download" display="Download"/>
    <hyperlink ref="BP602" r:id="rId_hyperlink_600" tooltip="Download" display="Download"/>
    <hyperlink ref="BP603" r:id="rId_hyperlink_601" tooltip="Download" display="Download"/>
    <hyperlink ref="BP604" r:id="rId_hyperlink_602" tooltip="Download" display="Download"/>
    <hyperlink ref="BP605" r:id="rId_hyperlink_603" tooltip="Download" display="Download"/>
    <hyperlink ref="BP606" r:id="rId_hyperlink_604" tooltip="Download" display="Download"/>
    <hyperlink ref="BP607" r:id="rId_hyperlink_605" tooltip="Download" display="Download"/>
    <hyperlink ref="BP608" r:id="rId_hyperlink_606" tooltip="Download" display="Download"/>
    <hyperlink ref="BP609" r:id="rId_hyperlink_607" tooltip="Download" display="Download"/>
    <hyperlink ref="BP610" r:id="rId_hyperlink_608" tooltip="Download" display="Download"/>
    <hyperlink ref="BP611" r:id="rId_hyperlink_609" tooltip="Download" display="Download"/>
    <hyperlink ref="BP612" r:id="rId_hyperlink_610" tooltip="Download" display="Download"/>
    <hyperlink ref="BP613" r:id="rId_hyperlink_611" tooltip="Download" display="Download"/>
    <hyperlink ref="BP614" r:id="rId_hyperlink_612" tooltip="Download" display="Download"/>
    <hyperlink ref="BP615" r:id="rId_hyperlink_613" tooltip="Download" display="Download"/>
    <hyperlink ref="BP616" r:id="rId_hyperlink_614" tooltip="Download" display="Download"/>
    <hyperlink ref="BP617" r:id="rId_hyperlink_615" tooltip="Download" display="Download"/>
    <hyperlink ref="BP618" r:id="rId_hyperlink_616" tooltip="Download" display="Download"/>
    <hyperlink ref="BP619" r:id="rId_hyperlink_617" tooltip="Download" display="Download"/>
    <hyperlink ref="BP620" r:id="rId_hyperlink_618" tooltip="Download" display="Download"/>
    <hyperlink ref="BP621" r:id="rId_hyperlink_619" tooltip="Download" display="Download"/>
    <hyperlink ref="BP622" r:id="rId_hyperlink_620" tooltip="Download" display="Download"/>
    <hyperlink ref="BP623" r:id="rId_hyperlink_621" tooltip="Download" display="Download"/>
    <hyperlink ref="BP624" r:id="rId_hyperlink_622" tooltip="Download" display="Download"/>
    <hyperlink ref="BP625" r:id="rId_hyperlink_623" tooltip="Download" display="Download"/>
    <hyperlink ref="BP626" r:id="rId_hyperlink_624" tooltip="Download" display="Download"/>
    <hyperlink ref="BP627" r:id="rId_hyperlink_625" tooltip="Download" display="Download"/>
    <hyperlink ref="BP628" r:id="rId_hyperlink_626" tooltip="Download" display="Download"/>
    <hyperlink ref="BP629" r:id="rId_hyperlink_627" tooltip="Download" display="Download"/>
    <hyperlink ref="BP630" r:id="rId_hyperlink_628" tooltip="Download" display="Download"/>
    <hyperlink ref="BP631" r:id="rId_hyperlink_629" tooltip="Download" display="Download"/>
    <hyperlink ref="BP632" r:id="rId_hyperlink_630" tooltip="Download" display="Download"/>
    <hyperlink ref="BP633" r:id="rId_hyperlink_631" tooltip="Download" display="Download"/>
    <hyperlink ref="BP634" r:id="rId_hyperlink_632" tooltip="Download" display="Download"/>
    <hyperlink ref="BP635" r:id="rId_hyperlink_633" tooltip="Download" display="Download"/>
    <hyperlink ref="BP636" r:id="rId_hyperlink_634" tooltip="Download" display="Download"/>
    <hyperlink ref="BP637" r:id="rId_hyperlink_635" tooltip="Download" display="Download"/>
    <hyperlink ref="BP638" r:id="rId_hyperlink_636" tooltip="Download" display="Download"/>
    <hyperlink ref="BP639" r:id="rId_hyperlink_637" tooltip="Download" display="Download"/>
    <hyperlink ref="BP640" r:id="rId_hyperlink_638" tooltip="Download" display="Download"/>
    <hyperlink ref="BP641" r:id="rId_hyperlink_639" tooltip="Download" display="Download"/>
    <hyperlink ref="BP642" r:id="rId_hyperlink_640" tooltip="Download" display="Download"/>
    <hyperlink ref="BP643" r:id="rId_hyperlink_641" tooltip="Download" display="Download"/>
    <hyperlink ref="BP644" r:id="rId_hyperlink_642" tooltip="Download" display="Download"/>
    <hyperlink ref="BP645" r:id="rId_hyperlink_643" tooltip="Download" display="Download"/>
    <hyperlink ref="BP646" r:id="rId_hyperlink_644" tooltip="Download" display="Download"/>
    <hyperlink ref="BP647" r:id="rId_hyperlink_645" tooltip="Download" display="Download"/>
    <hyperlink ref="BP648" r:id="rId_hyperlink_646" tooltip="Download" display="Download"/>
    <hyperlink ref="BP649" r:id="rId_hyperlink_647" tooltip="Download" display="Download"/>
    <hyperlink ref="BP650" r:id="rId_hyperlink_648" tooltip="Download" display="Download"/>
    <hyperlink ref="BP651" r:id="rId_hyperlink_649" tooltip="Download" display="Download"/>
    <hyperlink ref="BP652" r:id="rId_hyperlink_650" tooltip="Download" display="Download"/>
    <hyperlink ref="BP653" r:id="rId_hyperlink_651" tooltip="Download" display="Download"/>
    <hyperlink ref="BP654" r:id="rId_hyperlink_652" tooltip="Download" display="Download"/>
    <hyperlink ref="BP655" r:id="rId_hyperlink_653" tooltip="Download" display="Download"/>
    <hyperlink ref="BP656" r:id="rId_hyperlink_654" tooltip="Download" display="Download"/>
    <hyperlink ref="BP657" r:id="rId_hyperlink_655" tooltip="Download" display="Download"/>
    <hyperlink ref="BP658" r:id="rId_hyperlink_656" tooltip="Download" display="Download"/>
    <hyperlink ref="BP659" r:id="rId_hyperlink_657" tooltip="Download" display="Download"/>
    <hyperlink ref="BP660" r:id="rId_hyperlink_658" tooltip="Download" display="Download"/>
    <hyperlink ref="BP661" r:id="rId_hyperlink_659" tooltip="Download" display="Download"/>
    <hyperlink ref="BP662" r:id="rId_hyperlink_660" tooltip="Download" display="Download"/>
    <hyperlink ref="BP663" r:id="rId_hyperlink_661" tooltip="Download" display="Download"/>
    <hyperlink ref="BP664" r:id="rId_hyperlink_662" tooltip="Download" display="Download"/>
    <hyperlink ref="BP665" r:id="rId_hyperlink_663" tooltip="Download" display="Download"/>
    <hyperlink ref="BP666" r:id="rId_hyperlink_664" tooltip="Download" display="Download"/>
    <hyperlink ref="BP667" r:id="rId_hyperlink_665" tooltip="Download" display="Download"/>
    <hyperlink ref="BP668" r:id="rId_hyperlink_666" tooltip="Download" display="Download"/>
    <hyperlink ref="BP669" r:id="rId_hyperlink_667" tooltip="Download" display="Download"/>
    <hyperlink ref="BP670" r:id="rId_hyperlink_668" tooltip="Download" display="Download"/>
    <hyperlink ref="BP671" r:id="rId_hyperlink_669" tooltip="Download" display="Download"/>
    <hyperlink ref="BP672" r:id="rId_hyperlink_670" tooltip="Download" display="Download"/>
    <hyperlink ref="BP673" r:id="rId_hyperlink_671" tooltip="Download" display="Download"/>
    <hyperlink ref="BP674" r:id="rId_hyperlink_672" tooltip="Download" display="Download"/>
    <hyperlink ref="BP675" r:id="rId_hyperlink_673" tooltip="Download" display="Download"/>
    <hyperlink ref="BP676" r:id="rId_hyperlink_674" tooltip="Download" display="Download"/>
    <hyperlink ref="BP677" r:id="rId_hyperlink_675" tooltip="Download" display="Download"/>
    <hyperlink ref="BP678" r:id="rId_hyperlink_676" tooltip="Download" display="Download"/>
    <hyperlink ref="BP679" r:id="rId_hyperlink_677" tooltip="Download" display="Download"/>
    <hyperlink ref="BP680" r:id="rId_hyperlink_678" tooltip="Download" display="Download"/>
    <hyperlink ref="BP681" r:id="rId_hyperlink_679" tooltip="Download" display="Download"/>
    <hyperlink ref="BP682" r:id="rId_hyperlink_680" tooltip="Download" display="Download"/>
    <hyperlink ref="BP683" r:id="rId_hyperlink_681" tooltip="Download" display="Download"/>
    <hyperlink ref="BP684" r:id="rId_hyperlink_682" tooltip="Download" display="Download"/>
    <hyperlink ref="BP685" r:id="rId_hyperlink_683" tooltip="Download" display="Download"/>
    <hyperlink ref="BP686" r:id="rId_hyperlink_684" tooltip="Download" display="Download"/>
    <hyperlink ref="BP687" r:id="rId_hyperlink_685" tooltip="Download" display="Download"/>
    <hyperlink ref="BP688" r:id="rId_hyperlink_686" tooltip="Download" display="Download"/>
    <hyperlink ref="BP689" r:id="rId_hyperlink_687" tooltip="Download" display="Download"/>
    <hyperlink ref="BP690" r:id="rId_hyperlink_688" tooltip="Download" display="Download"/>
    <hyperlink ref="BP691" r:id="rId_hyperlink_689" tooltip="Download" display="Download"/>
    <hyperlink ref="BP692" r:id="rId_hyperlink_690" tooltip="Download" display="Download"/>
    <hyperlink ref="BP693" r:id="rId_hyperlink_691" tooltip="Download" display="Download"/>
    <hyperlink ref="BP694" r:id="rId_hyperlink_692" tooltip="Download" display="Download"/>
    <hyperlink ref="BP695" r:id="rId_hyperlink_693" tooltip="Download" display="Download"/>
    <hyperlink ref="BP696" r:id="rId_hyperlink_694" tooltip="Download" display="Download"/>
    <hyperlink ref="BP697" r:id="rId_hyperlink_695" tooltip="Download" display="Download"/>
    <hyperlink ref="BP698" r:id="rId_hyperlink_696" tooltip="Download" display="Download"/>
    <hyperlink ref="BP699" r:id="rId_hyperlink_697" tooltip="Download" display="Download"/>
    <hyperlink ref="BP700" r:id="rId_hyperlink_698" tooltip="Download" display="Download"/>
    <hyperlink ref="BP701" r:id="rId_hyperlink_699" tooltip="Download" display="Download"/>
    <hyperlink ref="BP702" r:id="rId_hyperlink_700" tooltip="Download" display="Download"/>
    <hyperlink ref="BP703" r:id="rId_hyperlink_701" tooltip="Download" display="Download"/>
    <hyperlink ref="BP704" r:id="rId_hyperlink_702" tooltip="Download" display="Download"/>
    <hyperlink ref="BP705" r:id="rId_hyperlink_703" tooltip="Download" display="Download"/>
    <hyperlink ref="BP706" r:id="rId_hyperlink_704" tooltip="Download" display="Download"/>
    <hyperlink ref="BP707" r:id="rId_hyperlink_705" tooltip="Download" display="Download"/>
    <hyperlink ref="BP708" r:id="rId_hyperlink_706" tooltip="Download" display="Download"/>
    <hyperlink ref="BP709" r:id="rId_hyperlink_707" tooltip="Download" display="Download"/>
    <hyperlink ref="BP710" r:id="rId_hyperlink_708" tooltip="Download" display="Download"/>
    <hyperlink ref="BP711" r:id="rId_hyperlink_709" tooltip="Download" display="Download"/>
    <hyperlink ref="BP712" r:id="rId_hyperlink_710" tooltip="Download" display="Download"/>
    <hyperlink ref="BP713" r:id="rId_hyperlink_711" tooltip="Download" display="Download"/>
    <hyperlink ref="BP714" r:id="rId_hyperlink_712" tooltip="Download" display="Download"/>
    <hyperlink ref="BP715" r:id="rId_hyperlink_713" tooltip="Download" display="Download"/>
    <hyperlink ref="BP716" r:id="rId_hyperlink_714" tooltip="Download" display="Download"/>
    <hyperlink ref="BP717" r:id="rId_hyperlink_715" tooltip="Download" display="Download"/>
    <hyperlink ref="BP718" r:id="rId_hyperlink_716" tooltip="Download" display="Download"/>
    <hyperlink ref="BP719" r:id="rId_hyperlink_717" tooltip="Download" display="Download"/>
    <hyperlink ref="BP720" r:id="rId_hyperlink_718" tooltip="Download" display="Download"/>
    <hyperlink ref="BP721" r:id="rId_hyperlink_719" tooltip="Download" display="Download"/>
    <hyperlink ref="BP722" r:id="rId_hyperlink_720" tooltip="Download" display="Download"/>
    <hyperlink ref="BP723" r:id="rId_hyperlink_721" tooltip="Download" display="Download"/>
    <hyperlink ref="BP724" r:id="rId_hyperlink_722" tooltip="Download" display="Download"/>
    <hyperlink ref="BP725" r:id="rId_hyperlink_723" tooltip="Download" display="Download"/>
    <hyperlink ref="BP726" r:id="rId_hyperlink_724" tooltip="Download" display="Download"/>
    <hyperlink ref="BP727" r:id="rId_hyperlink_725" tooltip="Download" display="Download"/>
    <hyperlink ref="BP728" r:id="rId_hyperlink_726" tooltip="Download" display="Download"/>
    <hyperlink ref="BP729" r:id="rId_hyperlink_727" tooltip="Download" display="Download"/>
    <hyperlink ref="BP730" r:id="rId_hyperlink_728" tooltip="Download" display="Download"/>
    <hyperlink ref="BP731" r:id="rId_hyperlink_729" tooltip="Download" display="Download"/>
    <hyperlink ref="BP732" r:id="rId_hyperlink_730" tooltip="Download" display="Download"/>
    <hyperlink ref="BP733" r:id="rId_hyperlink_731" tooltip="Download" display="Download"/>
    <hyperlink ref="BP734" r:id="rId_hyperlink_732" tooltip="Download" display="Download"/>
    <hyperlink ref="BP735" r:id="rId_hyperlink_733" tooltip="Download" display="Download"/>
    <hyperlink ref="BP736" r:id="rId_hyperlink_734" tooltip="Download" display="Download"/>
    <hyperlink ref="BP737" r:id="rId_hyperlink_735" tooltip="Download" display="Download"/>
    <hyperlink ref="BP738" r:id="rId_hyperlink_736" tooltip="Download" display="Download"/>
    <hyperlink ref="BP739" r:id="rId_hyperlink_737" tooltip="Download" display="Download"/>
    <hyperlink ref="BP740" r:id="rId_hyperlink_738" tooltip="Download" display="Download"/>
    <hyperlink ref="BP741" r:id="rId_hyperlink_739" tooltip="Download" display="Download"/>
    <hyperlink ref="BP742" r:id="rId_hyperlink_740" tooltip="Download" display="Download"/>
    <hyperlink ref="BP743" r:id="rId_hyperlink_741" tooltip="Download" display="Download"/>
    <hyperlink ref="BP744" r:id="rId_hyperlink_742" tooltip="Download" display="Download"/>
    <hyperlink ref="BP745" r:id="rId_hyperlink_743" tooltip="Download" display="Download"/>
    <hyperlink ref="BP746" r:id="rId_hyperlink_744" tooltip="Download" display="Download"/>
    <hyperlink ref="BP747" r:id="rId_hyperlink_745" tooltip="Download" display="Download"/>
    <hyperlink ref="BP748" r:id="rId_hyperlink_746" tooltip="Download" display="Download"/>
    <hyperlink ref="BP803" r:id="rId_hyperlink_747" tooltip="Download" display="Download"/>
    <hyperlink ref="BP962" r:id="rId_hyperlink_748" tooltip="Download" display="Download"/>
    <hyperlink ref="BP1002" r:id="rId_hyperlink_749" tooltip="Download" display="Download"/>
    <hyperlink ref="BP1003" r:id="rId_hyperlink_750" tooltip="Download" display="Download"/>
    <hyperlink ref="BP1004" r:id="rId_hyperlink_751" tooltip="Download" display="Download"/>
    <hyperlink ref="BP1005" r:id="rId_hyperlink_752" tooltip="Download" display="Download"/>
    <hyperlink ref="BP1006" r:id="rId_hyperlink_753" tooltip="Download" display="Download"/>
    <hyperlink ref="BP1007" r:id="rId_hyperlink_754" tooltip="Download" display="Download"/>
    <hyperlink ref="BP1008" r:id="rId_hyperlink_755" tooltip="Download" display="Download"/>
    <hyperlink ref="BP1009" r:id="rId_hyperlink_756" tooltip="Download" display="Download"/>
    <hyperlink ref="BP1010" r:id="rId_hyperlink_757" tooltip="Download" display="Download"/>
    <hyperlink ref="BP1011" r:id="rId_hyperlink_758" tooltip="Download" display="Download"/>
    <hyperlink ref="BP1012" r:id="rId_hyperlink_759" tooltip="Download" display="Download"/>
    <hyperlink ref="BP1013" r:id="rId_hyperlink_760" tooltip="Download" display="Download"/>
    <hyperlink ref="BP1014" r:id="rId_hyperlink_761" tooltip="Download" display="Download"/>
    <hyperlink ref="BP1015" r:id="rId_hyperlink_762" tooltip="Download" display="Download"/>
    <hyperlink ref="BP1016" r:id="rId_hyperlink_763" tooltip="Download" display="Download"/>
    <hyperlink ref="BP1017" r:id="rId_hyperlink_764" tooltip="Download" display="Download"/>
    <hyperlink ref="BP1018" r:id="rId_hyperlink_765" tooltip="Download" display="Download"/>
    <hyperlink ref="BP1019" r:id="rId_hyperlink_766" tooltip="Download" display="Download"/>
    <hyperlink ref="BP1020" r:id="rId_hyperlink_767" tooltip="Download" display="Download"/>
    <hyperlink ref="BP1021" r:id="rId_hyperlink_768" tooltip="Download" display="Download"/>
    <hyperlink ref="BP1022" r:id="rId_hyperlink_769" tooltip="Download" display="Download"/>
    <hyperlink ref="BP1023" r:id="rId_hyperlink_770" tooltip="Download" display="Download"/>
    <hyperlink ref="BP1024" r:id="rId_hyperlink_771" tooltip="Download" display="Download"/>
    <hyperlink ref="BP1025" r:id="rId_hyperlink_772" tooltip="Download" display="Download"/>
    <hyperlink ref="BP1026" r:id="rId_hyperlink_773" tooltip="Download" display="Download"/>
    <hyperlink ref="BP1027" r:id="rId_hyperlink_774" tooltip="Download" display="Download"/>
    <hyperlink ref="BP1028" r:id="rId_hyperlink_775" tooltip="Download" display="Download"/>
    <hyperlink ref="BP1029" r:id="rId_hyperlink_776" tooltip="Download" display="Download"/>
    <hyperlink ref="BP1030" r:id="rId_hyperlink_777" tooltip="Download" display="Download"/>
    <hyperlink ref="BP1031" r:id="rId_hyperlink_778" tooltip="Download" display="Download"/>
    <hyperlink ref="BP1032" r:id="rId_hyperlink_779" tooltip="Download" display="Download"/>
    <hyperlink ref="BP1033" r:id="rId_hyperlink_780" tooltip="Download" display="Download"/>
    <hyperlink ref="BP1034" r:id="rId_hyperlink_781" tooltip="Download" display="Download"/>
    <hyperlink ref="BP1035" r:id="rId_hyperlink_782" tooltip="Download" display="Download"/>
    <hyperlink ref="BP1036" r:id="rId_hyperlink_783" tooltip="Download" display="Download"/>
    <hyperlink ref="BP1037" r:id="rId_hyperlink_784" tooltip="Download" display="Download"/>
    <hyperlink ref="BP1038" r:id="rId_hyperlink_785" tooltip="Download" display="Download"/>
    <hyperlink ref="BP1039" r:id="rId_hyperlink_786" tooltip="Download" display="Download"/>
    <hyperlink ref="BP1040" r:id="rId_hyperlink_787" tooltip="Download" display="Download"/>
    <hyperlink ref="BP1041" r:id="rId_hyperlink_788" tooltip="Download" display="Download"/>
    <hyperlink ref="BP1042" r:id="rId_hyperlink_789" tooltip="Download" display="Download"/>
    <hyperlink ref="BP1043" r:id="rId_hyperlink_790" tooltip="Download" display="Download"/>
    <hyperlink ref="BP1044" r:id="rId_hyperlink_791" tooltip="Download" display="Download"/>
    <hyperlink ref="BP1045" r:id="rId_hyperlink_792" tooltip="Download" display="Download"/>
    <hyperlink ref="BP1046" r:id="rId_hyperlink_793" tooltip="Download" display="Download"/>
    <hyperlink ref="BP1047" r:id="rId_hyperlink_794" tooltip="Download" display="Download"/>
    <hyperlink ref="BP1048" r:id="rId_hyperlink_795" tooltip="Download" display="Download"/>
    <hyperlink ref="BP1049" r:id="rId_hyperlink_796" tooltip="Download" display="Download"/>
    <hyperlink ref="BP1050" r:id="rId_hyperlink_797" tooltip="Download" display="Download"/>
    <hyperlink ref="BP1051" r:id="rId_hyperlink_798" tooltip="Download" display="Download"/>
    <hyperlink ref="BP1052" r:id="rId_hyperlink_799" tooltip="Download" display="Download"/>
    <hyperlink ref="BP1053" r:id="rId_hyperlink_800" tooltip="Download" display="Download"/>
    <hyperlink ref="BP1054" r:id="rId_hyperlink_801" tooltip="Download" display="Download"/>
    <hyperlink ref="BP1055" r:id="rId_hyperlink_802" tooltip="Download" display="Download"/>
    <hyperlink ref="BP1056" r:id="rId_hyperlink_803" tooltip="Download" display="Download"/>
    <hyperlink ref="BP1057" r:id="rId_hyperlink_804" tooltip="Download" display="Download"/>
    <hyperlink ref="BP1058" r:id="rId_hyperlink_805" tooltip="Download" display="Download"/>
    <hyperlink ref="BP1059" r:id="rId_hyperlink_806" tooltip="Download" display="Download"/>
    <hyperlink ref="BP1060" r:id="rId_hyperlink_807" tooltip="Download" display="Download"/>
    <hyperlink ref="BP1061" r:id="rId_hyperlink_808" tooltip="Download" display="Download"/>
    <hyperlink ref="BP1062" r:id="rId_hyperlink_809" tooltip="Download" display="Download"/>
    <hyperlink ref="BP1063" r:id="rId_hyperlink_810" tooltip="Download" display="Download"/>
    <hyperlink ref="BP1064" r:id="rId_hyperlink_811" tooltip="Download" display="Download"/>
    <hyperlink ref="BP1065" r:id="rId_hyperlink_812" tooltip="Download" display="Download"/>
    <hyperlink ref="BP1066" r:id="rId_hyperlink_813" tooltip="Download" display="Download"/>
    <hyperlink ref="BP1067" r:id="rId_hyperlink_814" tooltip="Download" display="Download"/>
    <hyperlink ref="BP1068" r:id="rId_hyperlink_815" tooltip="Download" display="Download"/>
    <hyperlink ref="BP1069" r:id="rId_hyperlink_816" tooltip="Download" display="Download"/>
    <hyperlink ref="BP1070" r:id="rId_hyperlink_817" tooltip="Download" display="Download"/>
    <hyperlink ref="BP1071" r:id="rId_hyperlink_818" tooltip="Download" display="Download"/>
    <hyperlink ref="BP1072" r:id="rId_hyperlink_819" tooltip="Download" display="Download"/>
    <hyperlink ref="BP1073" r:id="rId_hyperlink_820" tooltip="Download" display="Download"/>
    <hyperlink ref="BP1074" r:id="rId_hyperlink_821" tooltip="Download" display="Download"/>
    <hyperlink ref="BP1075" r:id="rId_hyperlink_822" tooltip="Download" display="Download"/>
    <hyperlink ref="BP1076" r:id="rId_hyperlink_823" tooltip="Download" display="Download"/>
    <hyperlink ref="BP1077" r:id="rId_hyperlink_824" tooltip="Download" display="Download"/>
    <hyperlink ref="BP1078" r:id="rId_hyperlink_825" tooltip="Download" display="Download"/>
    <hyperlink ref="BP1079" r:id="rId_hyperlink_826" tooltip="Download" display="Download"/>
    <hyperlink ref="BP1080" r:id="rId_hyperlink_827" tooltip="Download" display="Download"/>
    <hyperlink ref="BP1081" r:id="rId_hyperlink_828" tooltip="Download" display="Download"/>
    <hyperlink ref="BP1082" r:id="rId_hyperlink_829" tooltip="Download" display="Download"/>
    <hyperlink ref="BP1317" r:id="rId_hyperlink_830" tooltip="Download" display="Download"/>
    <hyperlink ref="BP1442" r:id="rId_hyperlink_831" tooltip="Download" display="Download"/>
    <hyperlink ref="BP1502" r:id="rId_hyperlink_832" tooltip="Download" display="Download"/>
    <hyperlink ref="BP1503" r:id="rId_hyperlink_833" tooltip="Download" display="Download"/>
    <hyperlink ref="BP1504" r:id="rId_hyperlink_834" tooltip="Download" display="Download"/>
    <hyperlink ref="BP1505" r:id="rId_hyperlink_835" tooltip="Download" display="Download"/>
    <hyperlink ref="BP1506" r:id="rId_hyperlink_836" tooltip="Download" display="Download"/>
    <hyperlink ref="BP1507" r:id="rId_hyperlink_837" tooltip="Download" display="Download"/>
    <hyperlink ref="BP1508" r:id="rId_hyperlink_838" tooltip="Download" display="Download"/>
    <hyperlink ref="BP1509" r:id="rId_hyperlink_839" tooltip="Download" display="Download"/>
    <hyperlink ref="BP1510" r:id="rId_hyperlink_840" tooltip="Download" display="Download"/>
    <hyperlink ref="BP1511" r:id="rId_hyperlink_841" tooltip="Download" display="Download"/>
    <hyperlink ref="BP1512" r:id="rId_hyperlink_842" tooltip="Download" display="Download"/>
    <hyperlink ref="BP1513" r:id="rId_hyperlink_843" tooltip="Download" display="Download"/>
    <hyperlink ref="BP1514" r:id="rId_hyperlink_844" tooltip="Download" display="Download"/>
    <hyperlink ref="BP1515" r:id="rId_hyperlink_845" tooltip="Download" display="Download"/>
    <hyperlink ref="BP1516" r:id="rId_hyperlink_846" tooltip="Download" display="Download"/>
    <hyperlink ref="BP1517" r:id="rId_hyperlink_847" tooltip="Download" display="Download"/>
    <hyperlink ref="BP1518" r:id="rId_hyperlink_848" tooltip="Download" display="Download"/>
    <hyperlink ref="BP1519" r:id="rId_hyperlink_849" tooltip="Download" display="Download"/>
    <hyperlink ref="BP1520" r:id="rId_hyperlink_850" tooltip="Download" display="Download"/>
    <hyperlink ref="BP1521" r:id="rId_hyperlink_851" tooltip="Download" display="Download"/>
    <hyperlink ref="BP1522" r:id="rId_hyperlink_852" tooltip="Download" display="Download"/>
    <hyperlink ref="BP1523" r:id="rId_hyperlink_853" tooltip="Download" display="Download"/>
    <hyperlink ref="BP1525" r:id="rId_hyperlink_854" tooltip="Download" display="Download"/>
    <hyperlink ref="BP1526" r:id="rId_hyperlink_855" tooltip="Download" display="Download"/>
    <hyperlink ref="BP1527" r:id="rId_hyperlink_856" tooltip="Download" display="Download"/>
    <hyperlink ref="BP1528" r:id="rId_hyperlink_857" tooltip="Download" display="Download"/>
    <hyperlink ref="BP1529" r:id="rId_hyperlink_858" tooltip="Download" display="Download"/>
    <hyperlink ref="BP1530" r:id="rId_hyperlink_859" tooltip="Download" display="Download"/>
    <hyperlink ref="BP1531" r:id="rId_hyperlink_860" tooltip="Download" display="Download"/>
    <hyperlink ref="BP1532" r:id="rId_hyperlink_861" tooltip="Download" display="Download"/>
    <hyperlink ref="BP1533" r:id="rId_hyperlink_862" tooltip="Download" display="Download"/>
    <hyperlink ref="BP1534" r:id="rId_hyperlink_863" tooltip="Download" display="Download"/>
    <hyperlink ref="BP1535" r:id="rId_hyperlink_864" tooltip="Download" display="Download"/>
    <hyperlink ref="BP1536" r:id="rId_hyperlink_865" tooltip="Download" display="Download"/>
    <hyperlink ref="BP1537" r:id="rId_hyperlink_866" tooltip="Download" display="Download"/>
    <hyperlink ref="BP1538" r:id="rId_hyperlink_867" tooltip="Download" display="Download"/>
    <hyperlink ref="BP1539" r:id="rId_hyperlink_868" tooltip="Download" display="Download"/>
    <hyperlink ref="BP1540" r:id="rId_hyperlink_869" tooltip="Download" display="Download"/>
    <hyperlink ref="BP1541" r:id="rId_hyperlink_870" tooltip="Download" display="Download"/>
    <hyperlink ref="BP1542" r:id="rId_hyperlink_871" tooltip="Download" display="Download"/>
    <hyperlink ref="BP1543" r:id="rId_hyperlink_872" tooltip="Download" display="Download"/>
    <hyperlink ref="BP1544" r:id="rId_hyperlink_873" tooltip="Download" display="Download"/>
    <hyperlink ref="BP1545" r:id="rId_hyperlink_874" tooltip="Download" display="Download"/>
    <hyperlink ref="BP1546" r:id="rId_hyperlink_875" tooltip="Download" display="Download"/>
    <hyperlink ref="BP1547" r:id="rId_hyperlink_876" tooltip="Download" display="Download"/>
    <hyperlink ref="BP1548" r:id="rId_hyperlink_877" tooltip="Download" display="Download"/>
    <hyperlink ref="BP1549" r:id="rId_hyperlink_878" tooltip="Download" display="Download"/>
    <hyperlink ref="BP1550" r:id="rId_hyperlink_879" tooltip="Download" display="Download"/>
    <hyperlink ref="BP1551" r:id="rId_hyperlink_880" tooltip="Download" display="Download"/>
    <hyperlink ref="BP1552" r:id="rId_hyperlink_881" tooltip="Download" display="Download"/>
    <hyperlink ref="BP1553" r:id="rId_hyperlink_882" tooltip="Download" display="Download"/>
    <hyperlink ref="BP1554" r:id="rId_hyperlink_883" tooltip="Download" display="Download"/>
    <hyperlink ref="BP1555" r:id="rId_hyperlink_884" tooltip="Download" display="Download"/>
    <hyperlink ref="BP1556" r:id="rId_hyperlink_885" tooltip="Download" display="Download"/>
    <hyperlink ref="BP1557" r:id="rId_hyperlink_886" tooltip="Download" display="Download"/>
    <hyperlink ref="BP1558" r:id="rId_hyperlink_887" tooltip="Download" display="Download"/>
    <hyperlink ref="BP1559" r:id="rId_hyperlink_888" tooltip="Download" display="Download"/>
    <hyperlink ref="BP1560" r:id="rId_hyperlink_889" tooltip="Download" display="Download"/>
    <hyperlink ref="BP1561" r:id="rId_hyperlink_890" tooltip="Download" display="Download"/>
    <hyperlink ref="BP1562" r:id="rId_hyperlink_891" tooltip="Download" display="Download"/>
    <hyperlink ref="BP1563" r:id="rId_hyperlink_892" tooltip="Download" display="Download"/>
    <hyperlink ref="BP1564" r:id="rId_hyperlink_893" tooltip="Download" display="Download"/>
    <hyperlink ref="BP1565" r:id="rId_hyperlink_894" tooltip="Download" display="Download"/>
    <hyperlink ref="BP1566" r:id="rId_hyperlink_895" tooltip="Download" display="Download"/>
    <hyperlink ref="BP1567" r:id="rId_hyperlink_896" tooltip="Download" display="Download"/>
    <hyperlink ref="BP1568" r:id="rId_hyperlink_897" tooltip="Download" display="Download"/>
    <hyperlink ref="BP1569" r:id="rId_hyperlink_898" tooltip="Download" display="Download"/>
    <hyperlink ref="BP1570" r:id="rId_hyperlink_899" tooltip="Download" display="Download"/>
    <hyperlink ref="BP1571" r:id="rId_hyperlink_900" tooltip="Download" display="Download"/>
    <hyperlink ref="BP1572" r:id="rId_hyperlink_901" tooltip="Download" display="Download"/>
    <hyperlink ref="BP1573" r:id="rId_hyperlink_902" tooltip="Download" display="Download"/>
    <hyperlink ref="BP1574" r:id="rId_hyperlink_903" tooltip="Download" display="Download"/>
    <hyperlink ref="BP1575" r:id="rId_hyperlink_904" tooltip="Download" display="Download"/>
    <hyperlink ref="BP1576" r:id="rId_hyperlink_905" tooltip="Download" display="Download"/>
    <hyperlink ref="BP1577" r:id="rId_hyperlink_906" tooltip="Download" display="Download"/>
    <hyperlink ref="BP1578" r:id="rId_hyperlink_907" tooltip="Download" display="Download"/>
    <hyperlink ref="BP1579" r:id="rId_hyperlink_908" tooltip="Download" display="Download"/>
    <hyperlink ref="BP1580" r:id="rId_hyperlink_909" tooltip="Download" display="Download"/>
    <hyperlink ref="BP1581" r:id="rId_hyperlink_910" tooltip="Download" display="Download"/>
    <hyperlink ref="BP1582" r:id="rId_hyperlink_911" tooltip="Download" display="Download"/>
    <hyperlink ref="BP1583" r:id="rId_hyperlink_912" tooltip="Download" display="Download"/>
    <hyperlink ref="BP1584" r:id="rId_hyperlink_913" tooltip="Download" display="Download"/>
    <hyperlink ref="BP1585" r:id="rId_hyperlink_914" tooltip="Download" display="Download"/>
    <hyperlink ref="BP1586" r:id="rId_hyperlink_915" tooltip="Download" display="Download"/>
    <hyperlink ref="BP1587" r:id="rId_hyperlink_916" tooltip="Download" display="Download"/>
    <hyperlink ref="BP1588" r:id="rId_hyperlink_917" tooltip="Download" display="Download"/>
    <hyperlink ref="BP1589" r:id="rId_hyperlink_918" tooltip="Download" display="Download"/>
    <hyperlink ref="BP1590" r:id="rId_hyperlink_919" tooltip="Download" display="Download"/>
    <hyperlink ref="BP1591" r:id="rId_hyperlink_920" tooltip="Download" display="Download"/>
    <hyperlink ref="BP1592" r:id="rId_hyperlink_921" tooltip="Download" display="Download"/>
    <hyperlink ref="BP1593" r:id="rId_hyperlink_922" tooltip="Download" display="Download"/>
    <hyperlink ref="BP1594" r:id="rId_hyperlink_923" tooltip="Download" display="Download"/>
    <hyperlink ref="BP1595" r:id="rId_hyperlink_924" tooltip="Download" display="Download"/>
    <hyperlink ref="BP1596" r:id="rId_hyperlink_925" tooltip="Download" display="Download"/>
    <hyperlink ref="BP1597" r:id="rId_hyperlink_926" tooltip="Download" display="Download"/>
    <hyperlink ref="BP1598" r:id="rId_hyperlink_927" tooltip="Download" display="Download"/>
    <hyperlink ref="BP1599" r:id="rId_hyperlink_928" tooltip="Download" display="Download"/>
    <hyperlink ref="BP1600" r:id="rId_hyperlink_929" tooltip="Download" display="Download"/>
    <hyperlink ref="BP1601" r:id="rId_hyperlink_930" tooltip="Download" display="Download"/>
    <hyperlink ref="BP1602" r:id="rId_hyperlink_931" tooltip="Download" display="Download"/>
    <hyperlink ref="BP1603" r:id="rId_hyperlink_932" tooltip="Download" display="Download"/>
    <hyperlink ref="BP1604" r:id="rId_hyperlink_933" tooltip="Download" display="Download"/>
    <hyperlink ref="BP1605" r:id="rId_hyperlink_934" tooltip="Download" display="Download"/>
    <hyperlink ref="BP1606" r:id="rId_hyperlink_935" tooltip="Download" display="Download"/>
    <hyperlink ref="BP1607" r:id="rId_hyperlink_936" tooltip="Download" display="Download"/>
    <hyperlink ref="BP1608" r:id="rId_hyperlink_937" tooltip="Download" display="Download"/>
    <hyperlink ref="BP1609" r:id="rId_hyperlink_938" tooltip="Download" display="Download"/>
    <hyperlink ref="BP1610" r:id="rId_hyperlink_939" tooltip="Download" display="Download"/>
    <hyperlink ref="BP1611" r:id="rId_hyperlink_940" tooltip="Download" display="Download"/>
    <hyperlink ref="BP1612" r:id="rId_hyperlink_941" tooltip="Download" display="Download"/>
    <hyperlink ref="BP1613" r:id="rId_hyperlink_942" tooltip="Download" display="Download"/>
    <hyperlink ref="BP1614" r:id="rId_hyperlink_943" tooltip="Download" display="Download"/>
    <hyperlink ref="BP1615" r:id="rId_hyperlink_944" tooltip="Download" display="Download"/>
    <hyperlink ref="BP1616" r:id="rId_hyperlink_945" tooltip="Download" display="Download"/>
    <hyperlink ref="BP1617" r:id="rId_hyperlink_946" tooltip="Download" display="Download"/>
    <hyperlink ref="BP1618" r:id="rId_hyperlink_947" tooltip="Download" display="Download"/>
    <hyperlink ref="BP1619" r:id="rId_hyperlink_948" tooltip="Download" display="Download"/>
    <hyperlink ref="BP1620" r:id="rId_hyperlink_949" tooltip="Download" display="Download"/>
    <hyperlink ref="BP1621" r:id="rId_hyperlink_950" tooltip="Download" display="Download"/>
    <hyperlink ref="BP1622" r:id="rId_hyperlink_951" tooltip="Download" display="Download"/>
    <hyperlink ref="BP1623" r:id="rId_hyperlink_952" tooltip="Download" display="Download"/>
    <hyperlink ref="BP1624" r:id="rId_hyperlink_953" tooltip="Download" display="Download"/>
    <hyperlink ref="BP1625" r:id="rId_hyperlink_954" tooltip="Download" display="Download"/>
    <hyperlink ref="BP1626" r:id="rId_hyperlink_955" tooltip="Download" display="Download"/>
    <hyperlink ref="BP1627" r:id="rId_hyperlink_956" tooltip="Download" display="Download"/>
    <hyperlink ref="BP1628" r:id="rId_hyperlink_957" tooltip="Download" display="Download"/>
    <hyperlink ref="BP1629" r:id="rId_hyperlink_958" tooltip="Download" display="Download"/>
    <hyperlink ref="BP1630" r:id="rId_hyperlink_959" tooltip="Download" display="Download"/>
    <hyperlink ref="BP1631" r:id="rId_hyperlink_960" tooltip="Download" display="Download"/>
    <hyperlink ref="BP1632" r:id="rId_hyperlink_961" tooltip="Download" display="Download"/>
    <hyperlink ref="BP1633" r:id="rId_hyperlink_962" tooltip="Download" display="Download"/>
    <hyperlink ref="BP1634" r:id="rId_hyperlink_963" tooltip="Download" display="Download"/>
    <hyperlink ref="BP1635" r:id="rId_hyperlink_964" tooltip="Download" display="Download"/>
    <hyperlink ref="BP1636" r:id="rId_hyperlink_965" tooltip="Download" display="Download"/>
    <hyperlink ref="BP1637" r:id="rId_hyperlink_966" tooltip="Download" display="Download"/>
    <hyperlink ref="BP1638" r:id="rId_hyperlink_967" tooltip="Download" display="Download"/>
    <hyperlink ref="BP1639" r:id="rId_hyperlink_968" tooltip="Download" display="Download"/>
    <hyperlink ref="BP1640" r:id="rId_hyperlink_969" tooltip="Download" display="Download"/>
    <hyperlink ref="BP1641" r:id="rId_hyperlink_970" tooltip="Download" display="Download"/>
    <hyperlink ref="BP1642" r:id="rId_hyperlink_971" tooltip="Download" display="Download"/>
    <hyperlink ref="BP1643" r:id="rId_hyperlink_972" tooltip="Download" display="Download"/>
    <hyperlink ref="BP1644" r:id="rId_hyperlink_973" tooltip="Download" display="Download"/>
    <hyperlink ref="BP1645" r:id="rId_hyperlink_974" tooltip="Download" display="Download"/>
    <hyperlink ref="BP1646" r:id="rId_hyperlink_975" tooltip="Download" display="Download"/>
    <hyperlink ref="BP1647" r:id="rId_hyperlink_976" tooltip="Download" display="Download"/>
    <hyperlink ref="BP1648" r:id="rId_hyperlink_977" tooltip="Download" display="Download"/>
    <hyperlink ref="BP1649" r:id="rId_hyperlink_978" tooltip="Download" display="Download"/>
    <hyperlink ref="BP1650" r:id="rId_hyperlink_979" tooltip="Download" display="Download"/>
    <hyperlink ref="BP1651" r:id="rId_hyperlink_980" tooltip="Download" display="Download"/>
    <hyperlink ref="BP1652" r:id="rId_hyperlink_981" tooltip="Download" display="Download"/>
    <hyperlink ref="BP1653" r:id="rId_hyperlink_982" tooltip="Download" display="Download"/>
    <hyperlink ref="BP1654" r:id="rId_hyperlink_983" tooltip="Download" display="Download"/>
    <hyperlink ref="BP1655" r:id="rId_hyperlink_984" tooltip="Download" display="Download"/>
    <hyperlink ref="BP1656" r:id="rId_hyperlink_985" tooltip="Download" display="Download"/>
    <hyperlink ref="BP1657" r:id="rId_hyperlink_986" tooltip="Download" display="Download"/>
    <hyperlink ref="BP1658" r:id="rId_hyperlink_987" tooltip="Download" display="Download"/>
    <hyperlink ref="BP1659" r:id="rId_hyperlink_988" tooltip="Download" display="Download"/>
    <hyperlink ref="BP1660" r:id="rId_hyperlink_989" tooltip="Download" display="Download"/>
    <hyperlink ref="BP1661" r:id="rId_hyperlink_990" tooltip="Download" display="Download"/>
    <hyperlink ref="BP1662" r:id="rId_hyperlink_991" tooltip="Download" display="Download"/>
    <hyperlink ref="BP1663" r:id="rId_hyperlink_992" tooltip="Download" display="Download"/>
    <hyperlink ref="BP1664" r:id="rId_hyperlink_993" tooltip="Download" display="Download"/>
    <hyperlink ref="BP1665" r:id="rId_hyperlink_994" tooltip="Download" display="Download"/>
    <hyperlink ref="BP1666" r:id="rId_hyperlink_995" tooltip="Download" display="Download"/>
    <hyperlink ref="BP1667" r:id="rId_hyperlink_996" tooltip="Download" display="Download"/>
    <hyperlink ref="BP1668" r:id="rId_hyperlink_997" tooltip="Download" display="Download"/>
    <hyperlink ref="BP1669" r:id="rId_hyperlink_998" tooltip="Download" display="Download"/>
    <hyperlink ref="BP1670" r:id="rId_hyperlink_999" tooltip="Download" display="Download"/>
    <hyperlink ref="BP1671" r:id="rId_hyperlink_1000" tooltip="Download" display="Download"/>
    <hyperlink ref="BP1672" r:id="rId_hyperlink_1001" tooltip="Download" display="Download"/>
    <hyperlink ref="BP1673" r:id="rId_hyperlink_1002" tooltip="Download" display="Download"/>
    <hyperlink ref="BP1674" r:id="rId_hyperlink_1003" tooltip="Download" display="Download"/>
    <hyperlink ref="BP1675" r:id="rId_hyperlink_1004" tooltip="Download" display="Download"/>
    <hyperlink ref="BP1676" r:id="rId_hyperlink_1005" tooltip="Download" display="Download"/>
    <hyperlink ref="BP1677" r:id="rId_hyperlink_1006" tooltip="Download" display="Download"/>
    <hyperlink ref="BP1678" r:id="rId_hyperlink_1007" tooltip="Download" display="Download"/>
    <hyperlink ref="BP1679" r:id="rId_hyperlink_1008" tooltip="Download" display="Download"/>
    <hyperlink ref="BP1680" r:id="rId_hyperlink_1009" tooltip="Download" display="Download"/>
    <hyperlink ref="BP1681" r:id="rId_hyperlink_1010" tooltip="Download" display="Download"/>
    <hyperlink ref="BP1682" r:id="rId_hyperlink_1011" tooltip="Download" display="Download"/>
    <hyperlink ref="BP1683" r:id="rId_hyperlink_1012" tooltip="Download" display="Download"/>
    <hyperlink ref="BP1684" r:id="rId_hyperlink_1013" tooltip="Download" display="Download"/>
    <hyperlink ref="BP1685" r:id="rId_hyperlink_1014" tooltip="Download" display="Download"/>
    <hyperlink ref="BP1686" r:id="rId_hyperlink_1015" tooltip="Download" display="Download"/>
    <hyperlink ref="BP1687" r:id="rId_hyperlink_1016" tooltip="Download" display="Download"/>
    <hyperlink ref="BP1688" r:id="rId_hyperlink_1017" tooltip="Download" display="Download"/>
    <hyperlink ref="BP1689" r:id="rId_hyperlink_1018" tooltip="Download" display="Download"/>
    <hyperlink ref="BP1690" r:id="rId_hyperlink_1019" tooltip="Download" display="Download"/>
    <hyperlink ref="BP1691" r:id="rId_hyperlink_1020" tooltip="Download" display="Download"/>
    <hyperlink ref="BP1692" r:id="rId_hyperlink_1021" tooltip="Download" display="Download"/>
    <hyperlink ref="BP1693" r:id="rId_hyperlink_1022" tooltip="Download" display="Download"/>
    <hyperlink ref="BP1694" r:id="rId_hyperlink_1023" tooltip="Download" display="Download"/>
    <hyperlink ref="BP1695" r:id="rId_hyperlink_1024" tooltip="Download" display="Download"/>
    <hyperlink ref="BP1696" r:id="rId_hyperlink_1025" tooltip="Download" display="Download"/>
    <hyperlink ref="BP1697" r:id="rId_hyperlink_1026" tooltip="Download" display="Download"/>
    <hyperlink ref="BP1698" r:id="rId_hyperlink_1027" tooltip="Download" display="Download"/>
    <hyperlink ref="BP1699" r:id="rId_hyperlink_1028" tooltip="Download" display="Download"/>
    <hyperlink ref="BP1700" r:id="rId_hyperlink_1029" tooltip="Download" display="Download"/>
    <hyperlink ref="BP1701" r:id="rId_hyperlink_1030" tooltip="Download" display="Download"/>
    <hyperlink ref="BP1702" r:id="rId_hyperlink_1031" tooltip="Download" display="Download"/>
    <hyperlink ref="BP1703" r:id="rId_hyperlink_1032" tooltip="Download" display="Download"/>
    <hyperlink ref="BP1704" r:id="rId_hyperlink_1033" tooltip="Download" display="Download"/>
    <hyperlink ref="BP1705" r:id="rId_hyperlink_1034" tooltip="Download" display="Download"/>
    <hyperlink ref="BP1706" r:id="rId_hyperlink_1035" tooltip="Download" display="Download"/>
    <hyperlink ref="BP1707" r:id="rId_hyperlink_1036" tooltip="Download" display="Download"/>
    <hyperlink ref="BP1708" r:id="rId_hyperlink_1037" tooltip="Download" display="Download"/>
    <hyperlink ref="BP1709" r:id="rId_hyperlink_1038" tooltip="Download" display="Download"/>
    <hyperlink ref="BP1710" r:id="rId_hyperlink_1039" tooltip="Download" display="Download"/>
    <hyperlink ref="BP1711" r:id="rId_hyperlink_1040" tooltip="Download" display="Download"/>
    <hyperlink ref="BP1712" r:id="rId_hyperlink_1041" tooltip="Download" display="Download"/>
    <hyperlink ref="BP1713" r:id="rId_hyperlink_1042" tooltip="Download" display="Download"/>
    <hyperlink ref="BP1714" r:id="rId_hyperlink_1043" tooltip="Download" display="Download"/>
    <hyperlink ref="BP1715" r:id="rId_hyperlink_1044" tooltip="Download" display="Download"/>
    <hyperlink ref="BP1716" r:id="rId_hyperlink_1045" tooltip="Download" display="Download"/>
    <hyperlink ref="BP1717" r:id="rId_hyperlink_1046" tooltip="Download" display="Download"/>
    <hyperlink ref="BP1718" r:id="rId_hyperlink_1047" tooltip="Download" display="Download"/>
    <hyperlink ref="BP1719" r:id="rId_hyperlink_1048" tooltip="Download" display="Download"/>
    <hyperlink ref="BP1720" r:id="rId_hyperlink_1049" tooltip="Download" display="Download"/>
    <hyperlink ref="BP1721" r:id="rId_hyperlink_1050" tooltip="Download" display="Download"/>
    <hyperlink ref="BP1722" r:id="rId_hyperlink_1051" tooltip="Download" display="Download"/>
    <hyperlink ref="BP1723" r:id="rId_hyperlink_1052" tooltip="Download" display="Download"/>
    <hyperlink ref="BP1724" r:id="rId_hyperlink_1053" tooltip="Download" display="Download"/>
    <hyperlink ref="BP1725" r:id="rId_hyperlink_1054" tooltip="Download" display="Download"/>
    <hyperlink ref="BP1726" r:id="rId_hyperlink_1055" tooltip="Download" display="Download"/>
    <hyperlink ref="BP1727" r:id="rId_hyperlink_1056" tooltip="Download" display="Download"/>
    <hyperlink ref="BP1728" r:id="rId_hyperlink_1057" tooltip="Download" display="Download"/>
    <hyperlink ref="BP1729" r:id="rId_hyperlink_1058" tooltip="Download" display="Download"/>
    <hyperlink ref="BP1730" r:id="rId_hyperlink_1059" tooltip="Download" display="Download"/>
    <hyperlink ref="BP1731" r:id="rId_hyperlink_1060" tooltip="Download" display="Download"/>
    <hyperlink ref="BP1732" r:id="rId_hyperlink_1061" tooltip="Download" display="Download"/>
    <hyperlink ref="BP1733" r:id="rId_hyperlink_1062" tooltip="Download" display="Download"/>
    <hyperlink ref="BP1734" r:id="rId_hyperlink_1063" tooltip="Download" display="Download"/>
    <hyperlink ref="BP1735" r:id="rId_hyperlink_1064" tooltip="Download" display="Download"/>
    <hyperlink ref="BP1736" r:id="rId_hyperlink_1065" tooltip="Download" display="Download"/>
    <hyperlink ref="BP1737" r:id="rId_hyperlink_1066" tooltip="Download" display="Download"/>
    <hyperlink ref="BP1738" r:id="rId_hyperlink_1067" tooltip="Download" display="Download"/>
    <hyperlink ref="BP1739" r:id="rId_hyperlink_1068" tooltip="Download" display="Download"/>
    <hyperlink ref="BP1740" r:id="rId_hyperlink_1069" tooltip="Download" display="Download"/>
    <hyperlink ref="BP1741" r:id="rId_hyperlink_1070" tooltip="Download" display="Download"/>
    <hyperlink ref="BP1742" r:id="rId_hyperlink_1071" tooltip="Download" display="Download"/>
    <hyperlink ref="BP1847" r:id="rId_hyperlink_1072" tooltip="Download" display="Download"/>
    <hyperlink ref="BP2002" r:id="rId_hyperlink_1073" tooltip="Download" display="Download"/>
    <hyperlink ref="BP2003" r:id="rId_hyperlink_1074" tooltip="Download" display="Download"/>
    <hyperlink ref="BP2004" r:id="rId_hyperlink_1075" tooltip="Download" display="Download"/>
    <hyperlink ref="BP2005" r:id="rId_hyperlink_1076" tooltip="Download" display="Download"/>
    <hyperlink ref="BP2006" r:id="rId_hyperlink_1077" tooltip="Download" display="Download"/>
    <hyperlink ref="BP2007" r:id="rId_hyperlink_1078" tooltip="Download" display="Download"/>
    <hyperlink ref="BP2008" r:id="rId_hyperlink_1079" tooltip="Download" display="Download"/>
    <hyperlink ref="BP2009" r:id="rId_hyperlink_1080" tooltip="Download" display="Download"/>
    <hyperlink ref="BP2010" r:id="rId_hyperlink_1081" tooltip="Download" display="Download"/>
    <hyperlink ref="BP2011" r:id="rId_hyperlink_1082" tooltip="Download" display="Download"/>
    <hyperlink ref="BP2012" r:id="rId_hyperlink_1083" tooltip="Download" display="Download"/>
    <hyperlink ref="BP2013" r:id="rId_hyperlink_1084" tooltip="Download" display="Download"/>
    <hyperlink ref="BP2014" r:id="rId_hyperlink_1085" tooltip="Download" display="Download"/>
    <hyperlink ref="BP2015" r:id="rId_hyperlink_1086" tooltip="Download" display="Download"/>
    <hyperlink ref="BP2016" r:id="rId_hyperlink_1087" tooltip="Download" display="Download"/>
    <hyperlink ref="BP2017" r:id="rId_hyperlink_1088" tooltip="Download" display="Download"/>
    <hyperlink ref="BP2018" r:id="rId_hyperlink_1089" tooltip="Download" display="Download"/>
    <hyperlink ref="BP2019" r:id="rId_hyperlink_1090" tooltip="Download" display="Download"/>
    <hyperlink ref="BP2020" r:id="rId_hyperlink_1091" tooltip="Download" display="Download"/>
    <hyperlink ref="BP2021" r:id="rId_hyperlink_1092" tooltip="Download" display="Download"/>
    <hyperlink ref="BP2022" r:id="rId_hyperlink_1093" tooltip="Download" display="Download"/>
    <hyperlink ref="BP2023" r:id="rId_hyperlink_1094" tooltip="Download" display="Download"/>
    <hyperlink ref="BP2024" r:id="rId_hyperlink_1095" tooltip="Download" display="Download"/>
    <hyperlink ref="BP2025" r:id="rId_hyperlink_1096" tooltip="Download" display="Download"/>
    <hyperlink ref="BP2026" r:id="rId_hyperlink_1097" tooltip="Download" display="Download"/>
    <hyperlink ref="BP2027" r:id="rId_hyperlink_1098" tooltip="Download" display="Download"/>
    <hyperlink ref="BP2028" r:id="rId_hyperlink_1099" tooltip="Download" display="Download"/>
    <hyperlink ref="BP2029" r:id="rId_hyperlink_1100" tooltip="Download" display="Download"/>
    <hyperlink ref="BP2030" r:id="rId_hyperlink_1101" tooltip="Download" display="Download"/>
    <hyperlink ref="BP2031" r:id="rId_hyperlink_1102" tooltip="Download" display="Download"/>
    <hyperlink ref="BP2032" r:id="rId_hyperlink_1103" tooltip="Download" display="Download"/>
    <hyperlink ref="BP2033" r:id="rId_hyperlink_1104" tooltip="Download" display="Download"/>
    <hyperlink ref="BP2034" r:id="rId_hyperlink_1105" tooltip="Download" display="Download"/>
    <hyperlink ref="BP2035" r:id="rId_hyperlink_1106" tooltip="Download" display="Download"/>
    <hyperlink ref="BP2036" r:id="rId_hyperlink_1107" tooltip="Download" display="Download"/>
    <hyperlink ref="BP2037" r:id="rId_hyperlink_1108" tooltip="Download" display="Download"/>
    <hyperlink ref="BP2038" r:id="rId_hyperlink_1109" tooltip="Download" display="Download"/>
    <hyperlink ref="BP2039" r:id="rId_hyperlink_1110" tooltip="Download" display="Download"/>
    <hyperlink ref="BP2040" r:id="rId_hyperlink_1111" tooltip="Download" display="Download"/>
    <hyperlink ref="BP2041" r:id="rId_hyperlink_1112" tooltip="Download" display="Download"/>
    <hyperlink ref="BP2042" r:id="rId_hyperlink_1113" tooltip="Download" display="Download"/>
    <hyperlink ref="BP2043" r:id="rId_hyperlink_1114" tooltip="Download" display="Download"/>
    <hyperlink ref="BP2044" r:id="rId_hyperlink_1115" tooltip="Download" display="Download"/>
    <hyperlink ref="BP2045" r:id="rId_hyperlink_1116" tooltip="Download" display="Download"/>
    <hyperlink ref="BP2046" r:id="rId_hyperlink_1117" tooltip="Download" display="Download"/>
    <hyperlink ref="BP2047" r:id="rId_hyperlink_1118" tooltip="Download" display="Download"/>
    <hyperlink ref="BP2048" r:id="rId_hyperlink_1119" tooltip="Download" display="Download"/>
    <hyperlink ref="BP2049" r:id="rId_hyperlink_1120" tooltip="Download" display="Download"/>
    <hyperlink ref="BP2050" r:id="rId_hyperlink_1121" tooltip="Download" display="Download"/>
    <hyperlink ref="BP2051" r:id="rId_hyperlink_1122" tooltip="Download" display="Download"/>
    <hyperlink ref="BP2052" r:id="rId_hyperlink_1123" tooltip="Download" display="Download"/>
    <hyperlink ref="BP2053" r:id="rId_hyperlink_1124" tooltip="Download" display="Download"/>
    <hyperlink ref="BP2054" r:id="rId_hyperlink_1125" tooltip="Download" display="Download"/>
    <hyperlink ref="BP2055" r:id="rId_hyperlink_1126" tooltip="Download" display="Download"/>
    <hyperlink ref="BP2056" r:id="rId_hyperlink_1127" tooltip="Download" display="Download"/>
    <hyperlink ref="BP2057" r:id="rId_hyperlink_1128" tooltip="Download" display="Download"/>
    <hyperlink ref="BP2058" r:id="rId_hyperlink_1129" tooltip="Download" display="Download"/>
    <hyperlink ref="BP2059" r:id="rId_hyperlink_1130" tooltip="Download" display="Download"/>
    <hyperlink ref="BP2060" r:id="rId_hyperlink_1131" tooltip="Download" display="Download"/>
    <hyperlink ref="BP2061" r:id="rId_hyperlink_1132" tooltip="Download" display="Download"/>
    <hyperlink ref="BP2062" r:id="rId_hyperlink_1133" tooltip="Download" display="Download"/>
    <hyperlink ref="BP2063" r:id="rId_hyperlink_1134" tooltip="Download" display="Download"/>
    <hyperlink ref="BP2064" r:id="rId_hyperlink_1135" tooltip="Download" display="Download"/>
    <hyperlink ref="BP2065" r:id="rId_hyperlink_1136" tooltip="Download" display="Download"/>
    <hyperlink ref="BP2066" r:id="rId_hyperlink_1137" tooltip="Download" display="Download"/>
    <hyperlink ref="BP2067" r:id="rId_hyperlink_1138" tooltip="Download" display="Download"/>
    <hyperlink ref="BP2068" r:id="rId_hyperlink_1139" tooltip="Download" display="Download"/>
    <hyperlink ref="BP2069" r:id="rId_hyperlink_1140" tooltip="Download" display="Download"/>
    <hyperlink ref="BP2070" r:id="rId_hyperlink_1141" tooltip="Download" display="Download"/>
    <hyperlink ref="BP2071" r:id="rId_hyperlink_1142" tooltip="Download" display="Download"/>
    <hyperlink ref="BP2072" r:id="rId_hyperlink_1143" tooltip="Download" display="Download"/>
    <hyperlink ref="BP2073" r:id="rId_hyperlink_1144" tooltip="Download" display="Download"/>
    <hyperlink ref="BP2074" r:id="rId_hyperlink_1145" tooltip="Download" display="Download"/>
    <hyperlink ref="BP2075" r:id="rId_hyperlink_1146" tooltip="Download" display="Download"/>
    <hyperlink ref="BP2076" r:id="rId_hyperlink_1147" tooltip="Download" display="Download"/>
    <hyperlink ref="BP2077" r:id="rId_hyperlink_1148" tooltip="Download" display="Download"/>
    <hyperlink ref="BP2078" r:id="rId_hyperlink_1149" tooltip="Download" display="Download"/>
    <hyperlink ref="BP2079" r:id="rId_hyperlink_1150" tooltip="Download" display="Download"/>
    <hyperlink ref="BP2080" r:id="rId_hyperlink_1151" tooltip="Download" display="Download"/>
    <hyperlink ref="BP2081" r:id="rId_hyperlink_1152" tooltip="Download" display="Download"/>
    <hyperlink ref="BP2082" r:id="rId_hyperlink_1153" tooltip="Download" display="Download"/>
    <hyperlink ref="BP2083" r:id="rId_hyperlink_1154" tooltip="Download" display="Download"/>
    <hyperlink ref="BP2084" r:id="rId_hyperlink_1155" tooltip="Download" display="Download"/>
    <hyperlink ref="BP2085" r:id="rId_hyperlink_1156" tooltip="Download" display="Download"/>
    <hyperlink ref="BP2086" r:id="rId_hyperlink_1157" tooltip="Download" display="Download"/>
    <hyperlink ref="BP2087" r:id="rId_hyperlink_1158" tooltip="Download" display="Download"/>
    <hyperlink ref="BP2088" r:id="rId_hyperlink_1159" tooltip="Download" display="Download"/>
    <hyperlink ref="BP2089" r:id="rId_hyperlink_1160" tooltip="Download" display="Download"/>
    <hyperlink ref="BP2090" r:id="rId_hyperlink_1161" tooltip="Download" display="Download"/>
    <hyperlink ref="BP2091" r:id="rId_hyperlink_1162" tooltip="Download" display="Download"/>
    <hyperlink ref="BP2092" r:id="rId_hyperlink_1163" tooltip="Download" display="Download"/>
    <hyperlink ref="BP2093" r:id="rId_hyperlink_1164" tooltip="Download" display="Download"/>
    <hyperlink ref="BP2094" r:id="rId_hyperlink_1165" tooltip="Download" display="Download"/>
    <hyperlink ref="BP2095" r:id="rId_hyperlink_1166" tooltip="Download" display="Download"/>
    <hyperlink ref="BP2096" r:id="rId_hyperlink_1167" tooltip="Download" display="Download"/>
    <hyperlink ref="BP2097" r:id="rId_hyperlink_1168" tooltip="Download" display="Download"/>
    <hyperlink ref="BP2098" r:id="rId_hyperlink_1169" tooltip="Download" display="Download"/>
    <hyperlink ref="BP2099" r:id="rId_hyperlink_1170" tooltip="Download" display="Download"/>
    <hyperlink ref="BP2100" r:id="rId_hyperlink_1171" tooltip="Download" display="Download"/>
    <hyperlink ref="BP2101" r:id="rId_hyperlink_1172" tooltip="Download" display="Download"/>
    <hyperlink ref="BP2102" r:id="rId_hyperlink_1173" tooltip="Download" display="Download"/>
    <hyperlink ref="BP2103" r:id="rId_hyperlink_1174" tooltip="Download" display="Download"/>
    <hyperlink ref="BP2104" r:id="rId_hyperlink_1175" tooltip="Download" display="Download"/>
    <hyperlink ref="BP2105" r:id="rId_hyperlink_1176" tooltip="Download" display="Download"/>
    <hyperlink ref="BP2106" r:id="rId_hyperlink_1177" tooltip="Download" display="Download"/>
    <hyperlink ref="BP2107" r:id="rId_hyperlink_1178" tooltip="Download" display="Download"/>
    <hyperlink ref="BP2108" r:id="rId_hyperlink_1179" tooltip="Download" display="Download"/>
    <hyperlink ref="BP2109" r:id="rId_hyperlink_1180" tooltip="Download" display="Download"/>
    <hyperlink ref="BP2110" r:id="rId_hyperlink_1181" tooltip="Download" display="Download"/>
    <hyperlink ref="BP2111" r:id="rId_hyperlink_1182" tooltip="Download" display="Download"/>
    <hyperlink ref="BP2112" r:id="rId_hyperlink_1183" tooltip="Download" display="Download"/>
    <hyperlink ref="BP2113" r:id="rId_hyperlink_1184" tooltip="Download" display="Download"/>
    <hyperlink ref="BP2114" r:id="rId_hyperlink_1185" tooltip="Download" display="Download"/>
    <hyperlink ref="BP2115" r:id="rId_hyperlink_1186" tooltip="Download" display="Download"/>
    <hyperlink ref="BP2116" r:id="rId_hyperlink_1187" tooltip="Download" display="Download"/>
    <hyperlink ref="BP2117" r:id="rId_hyperlink_1188" tooltip="Download" display="Download"/>
    <hyperlink ref="BP2118" r:id="rId_hyperlink_1189" tooltip="Download" display="Download"/>
    <hyperlink ref="BP2119" r:id="rId_hyperlink_1190" tooltip="Download" display="Download"/>
    <hyperlink ref="BP2120" r:id="rId_hyperlink_1191" tooltip="Download" display="Download"/>
    <hyperlink ref="BP2121" r:id="rId_hyperlink_1192" tooltip="Download" display="Download"/>
    <hyperlink ref="BP2122" r:id="rId_hyperlink_1193" tooltip="Download" display="Download"/>
    <hyperlink ref="BP2123" r:id="rId_hyperlink_1194" tooltip="Download" display="Download"/>
    <hyperlink ref="BP2124" r:id="rId_hyperlink_1195" tooltip="Download" display="Download"/>
    <hyperlink ref="BP2125" r:id="rId_hyperlink_1196" tooltip="Download" display="Download"/>
    <hyperlink ref="BP2126" r:id="rId_hyperlink_1197" tooltip="Download" display="Download"/>
    <hyperlink ref="BP2127" r:id="rId_hyperlink_1198" tooltip="Download" display="Download"/>
    <hyperlink ref="BP2128" r:id="rId_hyperlink_1199" tooltip="Download" display="Download"/>
    <hyperlink ref="BP2129" r:id="rId_hyperlink_1200" tooltip="Download" display="Download"/>
    <hyperlink ref="BP2130" r:id="rId_hyperlink_1201" tooltip="Download" display="Download"/>
    <hyperlink ref="BP2131" r:id="rId_hyperlink_1202" tooltip="Download" display="Download"/>
    <hyperlink ref="BP2132" r:id="rId_hyperlink_1203" tooltip="Download" display="Download"/>
    <hyperlink ref="BP2133" r:id="rId_hyperlink_1204" tooltip="Download" display="Download"/>
    <hyperlink ref="BP2134" r:id="rId_hyperlink_1205" tooltip="Download" display="Download"/>
    <hyperlink ref="BP2135" r:id="rId_hyperlink_1206" tooltip="Download" display="Download"/>
    <hyperlink ref="BP2136" r:id="rId_hyperlink_1207" tooltip="Download" display="Download"/>
    <hyperlink ref="BP2137" r:id="rId_hyperlink_1208" tooltip="Download" display="Download"/>
    <hyperlink ref="BP2138" r:id="rId_hyperlink_1209" tooltip="Download" display="Download"/>
    <hyperlink ref="BP2139" r:id="rId_hyperlink_1210" tooltip="Download" display="Download"/>
    <hyperlink ref="BP2140" r:id="rId_hyperlink_1211" tooltip="Download" display="Download"/>
    <hyperlink ref="BP2141" r:id="rId_hyperlink_1212" tooltip="Download" display="Download"/>
    <hyperlink ref="BP2142" r:id="rId_hyperlink_1213" tooltip="Download" display="Download"/>
    <hyperlink ref="BP2143" r:id="rId_hyperlink_1214" tooltip="Download" display="Download"/>
    <hyperlink ref="BP2144" r:id="rId_hyperlink_1215" tooltip="Download" display="Download"/>
    <hyperlink ref="BP2145" r:id="rId_hyperlink_1216" tooltip="Download" display="Download"/>
    <hyperlink ref="BP2146" r:id="rId_hyperlink_1217" tooltip="Download" display="Download"/>
    <hyperlink ref="BP2147" r:id="rId_hyperlink_1218" tooltip="Download" display="Download"/>
    <hyperlink ref="BP2148" r:id="rId_hyperlink_1219" tooltip="Download" display="Download"/>
    <hyperlink ref="BP2149" r:id="rId_hyperlink_1220" tooltip="Download" display="Download"/>
    <hyperlink ref="BP2150" r:id="rId_hyperlink_1221" tooltip="Download" display="Download"/>
    <hyperlink ref="BP2151" r:id="rId_hyperlink_1222" tooltip="Download" display="Download"/>
    <hyperlink ref="BP2152" r:id="rId_hyperlink_1223" tooltip="Download" display="Download"/>
    <hyperlink ref="BP2153" r:id="rId_hyperlink_1224" tooltip="Download" display="Download"/>
    <hyperlink ref="BP2154" r:id="rId_hyperlink_1225" tooltip="Download" display="Download"/>
    <hyperlink ref="BP2155" r:id="rId_hyperlink_1226" tooltip="Download" display="Download"/>
    <hyperlink ref="BP2156" r:id="rId_hyperlink_1227" tooltip="Download" display="Download"/>
    <hyperlink ref="BP2157" r:id="rId_hyperlink_1228" tooltip="Download" display="Download"/>
    <hyperlink ref="BP2158" r:id="rId_hyperlink_1229" tooltip="Download" display="Download"/>
    <hyperlink ref="BP2159" r:id="rId_hyperlink_1230" tooltip="Download" display="Download"/>
    <hyperlink ref="BP2160" r:id="rId_hyperlink_1231" tooltip="Download" display="Download"/>
    <hyperlink ref="BP2161" r:id="rId_hyperlink_1232" tooltip="Download" display="Download"/>
    <hyperlink ref="BP2162" r:id="rId_hyperlink_1233" tooltip="Download" display="Download"/>
    <hyperlink ref="BP2163" r:id="rId_hyperlink_1234" tooltip="Download" display="Download"/>
    <hyperlink ref="BP2164" r:id="rId_hyperlink_1235" tooltip="Download" display="Download"/>
    <hyperlink ref="BP2165" r:id="rId_hyperlink_1236" tooltip="Download" display="Download"/>
    <hyperlink ref="BP2166" r:id="rId_hyperlink_1237" tooltip="Download" display="Download"/>
    <hyperlink ref="BP2167" r:id="rId_hyperlink_1238" tooltip="Download" display="Download"/>
    <hyperlink ref="BP2168" r:id="rId_hyperlink_1239" tooltip="Download" display="Download"/>
    <hyperlink ref="BP2169" r:id="rId_hyperlink_1240" tooltip="Download" display="Download"/>
    <hyperlink ref="BP2170" r:id="rId_hyperlink_1241" tooltip="Download" display="Download"/>
    <hyperlink ref="BP2171" r:id="rId_hyperlink_1242" tooltip="Download" display="Download"/>
    <hyperlink ref="BP2176" r:id="rId_hyperlink_1243" tooltip="Download" display="Download"/>
    <hyperlink ref="BP2177" r:id="rId_hyperlink_1244" tooltip="Download" display="Download"/>
    <hyperlink ref="BP2178" r:id="rId_hyperlink_1245" tooltip="Download" display="Download"/>
    <hyperlink ref="BP2179" r:id="rId_hyperlink_1246" tooltip="Download" display="Download"/>
    <hyperlink ref="BP2180" r:id="rId_hyperlink_1247" tooltip="Download" display="Download"/>
    <hyperlink ref="BP2181" r:id="rId_hyperlink_1248" tooltip="Download" display="Download"/>
    <hyperlink ref="BP2182" r:id="rId_hyperlink_1249" tooltip="Download" display="Download"/>
    <hyperlink ref="BP2183" r:id="rId_hyperlink_1250" tooltip="Download" display="Download"/>
    <hyperlink ref="BP2184" r:id="rId_hyperlink_1251" tooltip="Download" display="Download"/>
    <hyperlink ref="BP2185" r:id="rId_hyperlink_1252" tooltip="Download" display="Download"/>
    <hyperlink ref="BP2186" r:id="rId_hyperlink_1253" tooltip="Download" display="Download"/>
    <hyperlink ref="BP2187" r:id="rId_hyperlink_1254" tooltip="Download" display="Download"/>
    <hyperlink ref="BP2188" r:id="rId_hyperlink_1255" tooltip="Download" display="Download"/>
    <hyperlink ref="BP2189" r:id="rId_hyperlink_1256" tooltip="Download" display="Download"/>
    <hyperlink ref="BP2190" r:id="rId_hyperlink_1257" tooltip="Download" display="Download"/>
    <hyperlink ref="BP2191" r:id="rId_hyperlink_1258" tooltip="Download" display="Download"/>
    <hyperlink ref="BP2192" r:id="rId_hyperlink_1259" tooltip="Download" display="Download"/>
    <hyperlink ref="BP2193" r:id="rId_hyperlink_1260" tooltip="Download" display="Download"/>
    <hyperlink ref="BP2194" r:id="rId_hyperlink_1261" tooltip="Download" display="Download"/>
    <hyperlink ref="BP2195" r:id="rId_hyperlink_1262" tooltip="Download" display="Download"/>
    <hyperlink ref="BP2196" r:id="rId_hyperlink_1263" tooltip="Download" display="Download"/>
    <hyperlink ref="BP2197" r:id="rId_hyperlink_1264" tooltip="Download" display="Download"/>
    <hyperlink ref="BP2198" r:id="rId_hyperlink_1265" tooltip="Download" display="Download"/>
    <hyperlink ref="BP2199" r:id="rId_hyperlink_1266" tooltip="Download" display="Download"/>
    <hyperlink ref="BP2200" r:id="rId_hyperlink_1267" tooltip="Download" display="Download"/>
    <hyperlink ref="BP2201" r:id="rId_hyperlink_1268" tooltip="Download" display="Download"/>
    <hyperlink ref="BP2202" r:id="rId_hyperlink_1269" tooltip="Download" display="Download"/>
    <hyperlink ref="BP2203" r:id="rId_hyperlink_1270" tooltip="Download" display="Download"/>
    <hyperlink ref="BP2204" r:id="rId_hyperlink_1271" tooltip="Download" display="Download"/>
    <hyperlink ref="BP2205" r:id="rId_hyperlink_1272" tooltip="Download" display="Download"/>
    <hyperlink ref="BP2206" r:id="rId_hyperlink_1273" tooltip="Download" display="Download"/>
    <hyperlink ref="BP2207" r:id="rId_hyperlink_1274" tooltip="Download" display="Download"/>
    <hyperlink ref="BP2208" r:id="rId_hyperlink_1275" tooltip="Download" display="Download"/>
    <hyperlink ref="BP2209" r:id="rId_hyperlink_1276" tooltip="Download" display="Download"/>
    <hyperlink ref="BP2210" r:id="rId_hyperlink_1277" tooltip="Download" display="Download"/>
    <hyperlink ref="BP2211" r:id="rId_hyperlink_1278" tooltip="Download" display="Download"/>
    <hyperlink ref="BP2212" r:id="rId_hyperlink_1279" tooltip="Download" display="Download"/>
    <hyperlink ref="BP2213" r:id="rId_hyperlink_1280" tooltip="Download" display="Download"/>
    <hyperlink ref="BP2214" r:id="rId_hyperlink_1281" tooltip="Download" display="Download"/>
    <hyperlink ref="BP2215" r:id="rId_hyperlink_1282" tooltip="Download" display="Download"/>
    <hyperlink ref="BP2216" r:id="rId_hyperlink_1283" tooltip="Download" display="Download"/>
    <hyperlink ref="BP2217" r:id="rId_hyperlink_1284" tooltip="Download" display="Download"/>
    <hyperlink ref="BP2218" r:id="rId_hyperlink_1285" tooltip="Download" display="Download"/>
    <hyperlink ref="BP2219" r:id="rId_hyperlink_1286" tooltip="Download" display="Download"/>
    <hyperlink ref="BP2220" r:id="rId_hyperlink_1287" tooltip="Download" display="Download"/>
    <hyperlink ref="BP2221" r:id="rId_hyperlink_1288" tooltip="Download" display="Download"/>
    <hyperlink ref="BP2222" r:id="rId_hyperlink_1289" tooltip="Download" display="Download"/>
    <hyperlink ref="BP2223" r:id="rId_hyperlink_1290" tooltip="Download" display="Download"/>
    <hyperlink ref="BP2224" r:id="rId_hyperlink_1291" tooltip="Download" display="Download"/>
    <hyperlink ref="BP2225" r:id="rId_hyperlink_1292" tooltip="Download" display="Download"/>
    <hyperlink ref="BP2226" r:id="rId_hyperlink_1293" tooltip="Download" display="Download"/>
    <hyperlink ref="BP2227" r:id="rId_hyperlink_1294" tooltip="Download" display="Download"/>
    <hyperlink ref="BP2228" r:id="rId_hyperlink_1295" tooltip="Download" display="Download"/>
    <hyperlink ref="BP2229" r:id="rId_hyperlink_1296" tooltip="Download" display="Download"/>
    <hyperlink ref="BP2230" r:id="rId_hyperlink_1297" tooltip="Download" display="Download"/>
    <hyperlink ref="BP2231" r:id="rId_hyperlink_1298" tooltip="Download" display="Download"/>
    <hyperlink ref="BP2232" r:id="rId_hyperlink_1299" tooltip="Download" display="Download"/>
    <hyperlink ref="BP2233" r:id="rId_hyperlink_1300" tooltip="Download" display="Download"/>
    <hyperlink ref="BP2234" r:id="rId_hyperlink_1301" tooltip="Download" display="Download"/>
    <hyperlink ref="BP2235" r:id="rId_hyperlink_1302" tooltip="Download" display="Download"/>
    <hyperlink ref="BP2236" r:id="rId_hyperlink_1303" tooltip="Download" display="Download"/>
    <hyperlink ref="BP2237" r:id="rId_hyperlink_1304" tooltip="Download" display="Download"/>
    <hyperlink ref="BP2238" r:id="rId_hyperlink_1305" tooltip="Download" display="Download"/>
    <hyperlink ref="BP2239" r:id="rId_hyperlink_1306" tooltip="Download" display="Download"/>
    <hyperlink ref="BP2240" r:id="rId_hyperlink_1307" tooltip="Download" display="Download"/>
    <hyperlink ref="BP2241" r:id="rId_hyperlink_1308" tooltip="Download" display="Download"/>
    <hyperlink ref="BP2242" r:id="rId_hyperlink_1309" tooltip="Download" display="Download"/>
    <hyperlink ref="BP2243" r:id="rId_hyperlink_1310" tooltip="Download" display="Download"/>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2026-08-14T23:28:05+05:30</dcterms:created>
  <dcterms:modified xsi:type="dcterms:W3CDTF">2026-08-14T23:28:05+05:30</dcterms:modified>
  <dc:title>Untitled Spreadsheet</dc:title>
  <dc:description/>
  <dc:subject/>
  <cp:keywords/>
  <cp:category/>
</cp:coreProperties>
</file>